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oaquincoli/Downloads/agrologix-erp/attached_assets/"/>
    </mc:Choice>
  </mc:AlternateContent>
  <xr:revisionPtr revIDLastSave="0" documentId="13_ncr:1_{76522C10-D484-1E4B-B061-4430F2111F16}" xr6:coauthVersionLast="47" xr6:coauthVersionMax="47" xr10:uidLastSave="{00000000-0000-0000-0000-000000000000}"/>
  <bookViews>
    <workbookView xWindow="30760" yWindow="1900" windowWidth="28800" windowHeight="16500" xr2:uid="{00000000-000D-0000-FFFF-FFFF00000000}"/>
  </bookViews>
  <sheets>
    <sheet name="01-04-2026 " sheetId="1" r:id="rId1"/>
    <sheet name="02-04-2026 " sheetId="2" r:id="rId2"/>
    <sheet name="06-04-2026 " sheetId="3" r:id="rId3"/>
    <sheet name="07-04-2026 " sheetId="4" r:id="rId4"/>
    <sheet name="08-04-2026 " sheetId="5" r:id="rId5"/>
    <sheet name="09-04-2026 " sheetId="6" r:id="rId6"/>
    <sheet name="10-04-2026" sheetId="12" r:id="rId7"/>
    <sheet name="13-04-2026 " sheetId="14" r:id="rId8"/>
    <sheet name="14-04-2026 " sheetId="15" r:id="rId9"/>
    <sheet name="15-04-2026 " sheetId="16" r:id="rId10"/>
    <sheet name="17-04-2026 " sheetId="17" r:id="rId11"/>
    <sheet name="20-04-2026 " sheetId="18" r:id="rId12"/>
    <sheet name="21-04-2026 " sheetId="19" r:id="rId13"/>
    <sheet name="22-04-2026 " sheetId="20" r:id="rId14"/>
    <sheet name="24-04-2026 " sheetId="21" r:id="rId15"/>
    <sheet name="27-04-2026 " sheetId="22" r:id="rId16"/>
    <sheet name="28-04-2026 " sheetId="23" r:id="rId17"/>
    <sheet name="29-04-2026 " sheetId="24" r:id="rId18"/>
    <sheet name="30-04-2026 " sheetId="25" r:id="rId19"/>
    <sheet name="CUENTAS CORRIENTES ABRIL" sheetId="26" r:id="rId20"/>
    <sheet name="CUENTAS CORRIENTES MARZO" sheetId="8" r:id="rId21"/>
    <sheet name="CUENTAS CORRIENTES FEBRERO" sheetId="9" r:id="rId22"/>
    <sheet name="CUENTAS CORRIENTES ENERO" sheetId="10" r:id="rId23"/>
    <sheet name="JUAN COMISION" sheetId="11" r:id="rId24"/>
  </sheets>
  <externalReferences>
    <externalReference r:id="rId25"/>
    <externalReference r:id="rId2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39" roundtripDataChecksum="R2zyb6BK7bNZIRHdhHS/Jl31/so3FabSxhJcK2lql0A="/>
    </ext>
  </extLst>
</workbook>
</file>

<file path=xl/calcChain.xml><?xml version="1.0" encoding="utf-8"?>
<calcChain xmlns="http://schemas.openxmlformats.org/spreadsheetml/2006/main">
  <c r="D14" i="26" l="1"/>
  <c r="D4" i="26"/>
  <c r="D5" i="26"/>
  <c r="D6" i="26"/>
  <c r="D8" i="26"/>
  <c r="D15" i="26"/>
  <c r="D16" i="26"/>
  <c r="D17" i="26"/>
  <c r="D21" i="26"/>
  <c r="D23" i="26"/>
  <c r="D24" i="26"/>
  <c r="D28" i="26"/>
  <c r="D29" i="26"/>
  <c r="D30" i="26"/>
  <c r="D31" i="26"/>
  <c r="D38" i="26"/>
  <c r="D39" i="26"/>
  <c r="D40" i="26"/>
  <c r="D43" i="26"/>
  <c r="D44" i="26"/>
  <c r="D49" i="26"/>
  <c r="B59" i="26"/>
  <c r="B58" i="26"/>
  <c r="B51" i="26"/>
  <c r="C44" i="26"/>
  <c r="F42" i="26"/>
  <c r="C41" i="26"/>
  <c r="F41" i="26" s="1"/>
  <c r="F36" i="26"/>
  <c r="F35" i="26"/>
  <c r="F32" i="26"/>
  <c r="F27" i="26"/>
  <c r="F26" i="26"/>
  <c r="F25" i="26"/>
  <c r="F22" i="26"/>
  <c r="F20" i="26"/>
  <c r="F18" i="26"/>
  <c r="E16" i="26"/>
  <c r="F13" i="26"/>
  <c r="F12" i="26"/>
  <c r="F11" i="26"/>
  <c r="F10" i="26"/>
  <c r="F9" i="26"/>
  <c r="E6" i="26"/>
  <c r="L399" i="25"/>
  <c r="K399" i="25"/>
  <c r="J399" i="25"/>
  <c r="I399" i="25"/>
  <c r="E399" i="25"/>
  <c r="L398" i="25"/>
  <c r="I398" i="25"/>
  <c r="J398" i="25" s="1"/>
  <c r="K398" i="25" s="1"/>
  <c r="E398" i="25"/>
  <c r="J397" i="25"/>
  <c r="E397" i="25"/>
  <c r="J396" i="25"/>
  <c r="K396" i="25" s="1"/>
  <c r="E396" i="25"/>
  <c r="K386" i="25"/>
  <c r="L386" i="25" s="1"/>
  <c r="J386" i="25"/>
  <c r="E386" i="25"/>
  <c r="J385" i="25"/>
  <c r="E385" i="25"/>
  <c r="K385" i="25" s="1"/>
  <c r="L385" i="25" s="1"/>
  <c r="K384" i="25"/>
  <c r="L384" i="25" s="1"/>
  <c r="J384" i="25"/>
  <c r="E384" i="25"/>
  <c r="J383" i="25"/>
  <c r="I383" i="25"/>
  <c r="E383" i="25"/>
  <c r="J382" i="25"/>
  <c r="K382" i="25" s="1"/>
  <c r="L382" i="25" s="1"/>
  <c r="E382" i="25"/>
  <c r="J381" i="25"/>
  <c r="E381" i="25"/>
  <c r="K381" i="25" s="1"/>
  <c r="L381" i="25" s="1"/>
  <c r="J380" i="25"/>
  <c r="K380" i="25" s="1"/>
  <c r="L380" i="25" s="1"/>
  <c r="I380" i="25"/>
  <c r="E380" i="25"/>
  <c r="L379" i="25"/>
  <c r="K379" i="25"/>
  <c r="J379" i="25"/>
  <c r="E379" i="25"/>
  <c r="J378" i="25"/>
  <c r="I378" i="25"/>
  <c r="E378" i="25"/>
  <c r="K378" i="25" s="1"/>
  <c r="L378" i="25" s="1"/>
  <c r="J377" i="25"/>
  <c r="K377" i="25" s="1"/>
  <c r="L377" i="25" s="1"/>
  <c r="E377" i="25"/>
  <c r="I376" i="25"/>
  <c r="J376" i="25" s="1"/>
  <c r="E376" i="25"/>
  <c r="K376" i="25" s="1"/>
  <c r="L376" i="25" s="1"/>
  <c r="J375" i="25"/>
  <c r="E375" i="25"/>
  <c r="K375" i="25" s="1"/>
  <c r="L375" i="25" s="1"/>
  <c r="J374" i="25"/>
  <c r="E374" i="25"/>
  <c r="K373" i="25"/>
  <c r="L373" i="25" s="1"/>
  <c r="I373" i="25"/>
  <c r="J373" i="25" s="1"/>
  <c r="E373" i="25"/>
  <c r="J372" i="25"/>
  <c r="E372" i="25"/>
  <c r="I364" i="25"/>
  <c r="J364" i="25" s="1"/>
  <c r="E364" i="25"/>
  <c r="J363" i="25"/>
  <c r="K363" i="25" s="1"/>
  <c r="L363" i="25" s="1"/>
  <c r="E363" i="25"/>
  <c r="J362" i="25"/>
  <c r="I362" i="25"/>
  <c r="E362" i="25"/>
  <c r="K361" i="25"/>
  <c r="L361" i="25" s="1"/>
  <c r="J361" i="25"/>
  <c r="E361" i="25"/>
  <c r="J360" i="25"/>
  <c r="E360" i="25"/>
  <c r="K360" i="25" s="1"/>
  <c r="L360" i="25" s="1"/>
  <c r="K359" i="25"/>
  <c r="L359" i="25" s="1"/>
  <c r="J359" i="25"/>
  <c r="E359" i="25"/>
  <c r="I358" i="25"/>
  <c r="J358" i="25" s="1"/>
  <c r="K358" i="25" s="1"/>
  <c r="L358" i="25" s="1"/>
  <c r="E358" i="25"/>
  <c r="L357" i="25"/>
  <c r="I357" i="25"/>
  <c r="J357" i="25" s="1"/>
  <c r="E357" i="25"/>
  <c r="K357" i="25" s="1"/>
  <c r="L356" i="25"/>
  <c r="K356" i="25"/>
  <c r="I356" i="25"/>
  <c r="J356" i="25" s="1"/>
  <c r="E356" i="25"/>
  <c r="K355" i="25"/>
  <c r="L355" i="25" s="1"/>
  <c r="J355" i="25"/>
  <c r="E355" i="25"/>
  <c r="J354" i="25"/>
  <c r="K354" i="25" s="1"/>
  <c r="L354" i="25" s="1"/>
  <c r="E354" i="25"/>
  <c r="J353" i="25"/>
  <c r="E353" i="25"/>
  <c r="K353" i="25" s="1"/>
  <c r="L353" i="25" s="1"/>
  <c r="L352" i="25"/>
  <c r="J352" i="25"/>
  <c r="K352" i="25" s="1"/>
  <c r="E352" i="25"/>
  <c r="J351" i="25"/>
  <c r="K351" i="25" s="1"/>
  <c r="L351" i="25" s="1"/>
  <c r="E351" i="25"/>
  <c r="J350" i="25"/>
  <c r="K350" i="25" s="1"/>
  <c r="L350" i="25" s="1"/>
  <c r="I350" i="25"/>
  <c r="E350" i="25"/>
  <c r="J349" i="25"/>
  <c r="K349" i="25" s="1"/>
  <c r="L349" i="25" s="1"/>
  <c r="E349" i="25"/>
  <c r="J348" i="25"/>
  <c r="I348" i="25"/>
  <c r="E348" i="25"/>
  <c r="K336" i="25"/>
  <c r="L336" i="25" s="1"/>
  <c r="J336" i="25"/>
  <c r="E336" i="25"/>
  <c r="L335" i="25"/>
  <c r="K335" i="25"/>
  <c r="J335" i="25"/>
  <c r="E335" i="25"/>
  <c r="K334" i="25"/>
  <c r="L334" i="25" s="1"/>
  <c r="J334" i="25"/>
  <c r="E334" i="25"/>
  <c r="J333" i="25"/>
  <c r="K333" i="25" s="1"/>
  <c r="L333" i="25" s="1"/>
  <c r="I333" i="25"/>
  <c r="E333" i="25"/>
  <c r="J332" i="25"/>
  <c r="E332" i="25"/>
  <c r="K332" i="25" s="1"/>
  <c r="L332" i="25" s="1"/>
  <c r="J331" i="25"/>
  <c r="K331" i="25" s="1"/>
  <c r="L331" i="25" s="1"/>
  <c r="E331" i="25"/>
  <c r="I330" i="25"/>
  <c r="J330" i="25" s="1"/>
  <c r="E330" i="25"/>
  <c r="J329" i="25"/>
  <c r="E329" i="25"/>
  <c r="K329" i="25" s="1"/>
  <c r="L329" i="25" s="1"/>
  <c r="I328" i="25"/>
  <c r="J328" i="25" s="1"/>
  <c r="E328" i="25"/>
  <c r="J327" i="25"/>
  <c r="K327" i="25" s="1"/>
  <c r="L327" i="25" s="1"/>
  <c r="E327" i="25"/>
  <c r="J326" i="25"/>
  <c r="E326" i="25"/>
  <c r="J318" i="25"/>
  <c r="I318" i="25"/>
  <c r="F318" i="25"/>
  <c r="K318" i="25" s="1"/>
  <c r="L318" i="25" s="1"/>
  <c r="E318" i="25"/>
  <c r="I317" i="25"/>
  <c r="J317" i="25" s="1"/>
  <c r="F317" i="25"/>
  <c r="E317" i="25"/>
  <c r="L316" i="25"/>
  <c r="J316" i="25"/>
  <c r="K316" i="25" s="1"/>
  <c r="F316" i="25"/>
  <c r="E316" i="25"/>
  <c r="L315" i="25"/>
  <c r="K315" i="25"/>
  <c r="J315" i="25"/>
  <c r="I315" i="25"/>
  <c r="E315" i="25"/>
  <c r="F315" i="25" s="1"/>
  <c r="I314" i="25"/>
  <c r="J314" i="25" s="1"/>
  <c r="E314" i="25"/>
  <c r="F314" i="25" s="1"/>
  <c r="K314" i="25" s="1"/>
  <c r="L314" i="25" s="1"/>
  <c r="K313" i="25"/>
  <c r="L313" i="25" s="1"/>
  <c r="J313" i="25"/>
  <c r="E313" i="25"/>
  <c r="F313" i="25" s="1"/>
  <c r="J312" i="25"/>
  <c r="I312" i="25"/>
  <c r="F312" i="25"/>
  <c r="E312" i="25"/>
  <c r="K304" i="25"/>
  <c r="L304" i="25" s="1"/>
  <c r="I304" i="25"/>
  <c r="J304" i="25" s="1"/>
  <c r="E304" i="25"/>
  <c r="J303" i="25"/>
  <c r="E303" i="25"/>
  <c r="K303" i="25" s="1"/>
  <c r="L303" i="25" s="1"/>
  <c r="J302" i="25"/>
  <c r="K302" i="25" s="1"/>
  <c r="L302" i="25" s="1"/>
  <c r="E302" i="25"/>
  <c r="I301" i="25"/>
  <c r="J301" i="25" s="1"/>
  <c r="K301" i="25" s="1"/>
  <c r="L301" i="25" s="1"/>
  <c r="E301" i="25"/>
  <c r="K300" i="25"/>
  <c r="L300" i="25" s="1"/>
  <c r="J300" i="25"/>
  <c r="E300" i="25"/>
  <c r="I299" i="25"/>
  <c r="J299" i="25" s="1"/>
  <c r="K299" i="25" s="1"/>
  <c r="L299" i="25" s="1"/>
  <c r="E299" i="25"/>
  <c r="L298" i="25"/>
  <c r="J298" i="25"/>
  <c r="E298" i="25"/>
  <c r="K298" i="25" s="1"/>
  <c r="J297" i="25"/>
  <c r="I297" i="25"/>
  <c r="E297" i="25"/>
  <c r="L289" i="25"/>
  <c r="J289" i="25"/>
  <c r="F289" i="25"/>
  <c r="K289" i="25" s="1"/>
  <c r="E289" i="25"/>
  <c r="J288" i="25"/>
  <c r="E288" i="25"/>
  <c r="F288" i="25" s="1"/>
  <c r="K288" i="25" s="1"/>
  <c r="L288" i="25" s="1"/>
  <c r="K287" i="25"/>
  <c r="L287" i="25" s="1"/>
  <c r="J287" i="25"/>
  <c r="E287" i="25"/>
  <c r="F287" i="25" s="1"/>
  <c r="J286" i="25"/>
  <c r="K286" i="25" s="1"/>
  <c r="L286" i="25" s="1"/>
  <c r="E286" i="25"/>
  <c r="F286" i="25" s="1"/>
  <c r="J285" i="25"/>
  <c r="F285" i="25"/>
  <c r="E285" i="25"/>
  <c r="J284" i="25"/>
  <c r="I284" i="25"/>
  <c r="E284" i="25"/>
  <c r="F284" i="25" s="1"/>
  <c r="K284" i="25" s="1"/>
  <c r="L284" i="25" s="1"/>
  <c r="J283" i="25"/>
  <c r="F283" i="25"/>
  <c r="E283" i="25"/>
  <c r="J282" i="25"/>
  <c r="F282" i="25"/>
  <c r="K282" i="25" s="1"/>
  <c r="L282" i="25" s="1"/>
  <c r="E282" i="25"/>
  <c r="J281" i="25"/>
  <c r="I281" i="25"/>
  <c r="E281" i="25"/>
  <c r="F281" i="25" s="1"/>
  <c r="K281" i="25" s="1"/>
  <c r="L281" i="25" s="1"/>
  <c r="J280" i="25"/>
  <c r="E280" i="25"/>
  <c r="J270" i="25"/>
  <c r="K270" i="25" s="1"/>
  <c r="L270" i="25" s="1"/>
  <c r="E270" i="25"/>
  <c r="L269" i="25"/>
  <c r="J269" i="25"/>
  <c r="E269" i="25"/>
  <c r="K269" i="25" s="1"/>
  <c r="J268" i="25"/>
  <c r="E268" i="25"/>
  <c r="J260" i="25"/>
  <c r="E260" i="25"/>
  <c r="I259" i="25"/>
  <c r="J259" i="25" s="1"/>
  <c r="E259" i="25"/>
  <c r="I258" i="25"/>
  <c r="J258" i="25" s="1"/>
  <c r="E258" i="25"/>
  <c r="J257" i="25"/>
  <c r="I257" i="25"/>
  <c r="E257" i="25"/>
  <c r="K257" i="25" s="1"/>
  <c r="L257" i="25" s="1"/>
  <c r="L256" i="25"/>
  <c r="J256" i="25"/>
  <c r="K256" i="25" s="1"/>
  <c r="I256" i="25"/>
  <c r="E256" i="25"/>
  <c r="I255" i="25"/>
  <c r="J255" i="25" s="1"/>
  <c r="K255" i="25" s="1"/>
  <c r="L255" i="25" s="1"/>
  <c r="E255" i="25"/>
  <c r="J254" i="25"/>
  <c r="E254" i="25"/>
  <c r="K254" i="25" s="1"/>
  <c r="L254" i="25" s="1"/>
  <c r="J253" i="25"/>
  <c r="E253" i="25"/>
  <c r="K253" i="25" s="1"/>
  <c r="L253" i="25" s="1"/>
  <c r="J252" i="25"/>
  <c r="E252" i="25"/>
  <c r="K252" i="25" s="1"/>
  <c r="L252" i="25" s="1"/>
  <c r="J251" i="25"/>
  <c r="E251" i="25"/>
  <c r="K251" i="25" s="1"/>
  <c r="L251" i="25" s="1"/>
  <c r="J250" i="25"/>
  <c r="E250" i="25"/>
  <c r="K250" i="25" s="1"/>
  <c r="L250" i="25" s="1"/>
  <c r="J249" i="25"/>
  <c r="K249" i="25" s="1"/>
  <c r="L249" i="25" s="1"/>
  <c r="E249" i="25"/>
  <c r="J248" i="25"/>
  <c r="E248" i="25"/>
  <c r="J247" i="25"/>
  <c r="E247" i="25"/>
  <c r="K247" i="25" s="1"/>
  <c r="L247" i="25" s="1"/>
  <c r="J246" i="25"/>
  <c r="E246" i="25"/>
  <c r="K245" i="25"/>
  <c r="L245" i="25" s="1"/>
  <c r="J245" i="25"/>
  <c r="E245" i="25"/>
  <c r="J244" i="25"/>
  <c r="E244" i="25"/>
  <c r="J243" i="25"/>
  <c r="E243" i="25"/>
  <c r="J235" i="25"/>
  <c r="I235" i="25"/>
  <c r="E235" i="25"/>
  <c r="K235" i="25" s="1"/>
  <c r="L235" i="25" s="1"/>
  <c r="J234" i="25"/>
  <c r="I234" i="25"/>
  <c r="E234" i="25"/>
  <c r="I233" i="25"/>
  <c r="J233" i="25" s="1"/>
  <c r="K233" i="25" s="1"/>
  <c r="L233" i="25" s="1"/>
  <c r="E233" i="25"/>
  <c r="L232" i="25"/>
  <c r="K232" i="25"/>
  <c r="I232" i="25"/>
  <c r="J232" i="25" s="1"/>
  <c r="E232" i="25"/>
  <c r="I231" i="25"/>
  <c r="J231" i="25" s="1"/>
  <c r="E231" i="25"/>
  <c r="K230" i="25"/>
  <c r="L230" i="25" s="1"/>
  <c r="J230" i="25"/>
  <c r="E230" i="25"/>
  <c r="J229" i="25"/>
  <c r="E229" i="25"/>
  <c r="J228" i="25"/>
  <c r="E228" i="25"/>
  <c r="K228" i="25" s="1"/>
  <c r="L228" i="25" s="1"/>
  <c r="J227" i="25"/>
  <c r="E227" i="25"/>
  <c r="K227" i="25" s="1"/>
  <c r="L227" i="25" s="1"/>
  <c r="K226" i="25"/>
  <c r="L226" i="25" s="1"/>
  <c r="J226" i="25"/>
  <c r="E226" i="25"/>
  <c r="J225" i="25"/>
  <c r="E225" i="25"/>
  <c r="J224" i="25"/>
  <c r="E224" i="25"/>
  <c r="K224" i="25" s="1"/>
  <c r="L224" i="25" s="1"/>
  <c r="J223" i="25"/>
  <c r="E223" i="25"/>
  <c r="J222" i="25"/>
  <c r="K222" i="25" s="1"/>
  <c r="L222" i="25" s="1"/>
  <c r="E222" i="25"/>
  <c r="L221" i="25"/>
  <c r="I221" i="25"/>
  <c r="J221" i="25" s="1"/>
  <c r="E221" i="25"/>
  <c r="K221" i="25" s="1"/>
  <c r="J220" i="25"/>
  <c r="E220" i="25"/>
  <c r="K220" i="25" s="1"/>
  <c r="L220" i="25" s="1"/>
  <c r="J219" i="25"/>
  <c r="I219" i="25"/>
  <c r="E219" i="25"/>
  <c r="K219" i="25" s="1"/>
  <c r="L219" i="25" s="1"/>
  <c r="K218" i="25"/>
  <c r="L218" i="25" s="1"/>
  <c r="J218" i="25"/>
  <c r="E218" i="25"/>
  <c r="J217" i="25"/>
  <c r="E217" i="25"/>
  <c r="J216" i="25"/>
  <c r="K216" i="25" s="1"/>
  <c r="L216" i="25" s="1"/>
  <c r="E216" i="25"/>
  <c r="J215" i="25"/>
  <c r="E215" i="25"/>
  <c r="I207" i="25"/>
  <c r="J207" i="25" s="1"/>
  <c r="F207" i="25"/>
  <c r="E207" i="25"/>
  <c r="J206" i="25"/>
  <c r="F206" i="25"/>
  <c r="K206" i="25" s="1"/>
  <c r="L206" i="25" s="1"/>
  <c r="E206" i="25"/>
  <c r="J205" i="25"/>
  <c r="I205" i="25"/>
  <c r="E205" i="25"/>
  <c r="F205" i="25" s="1"/>
  <c r="K205" i="25" s="1"/>
  <c r="L205" i="25" s="1"/>
  <c r="K204" i="25"/>
  <c r="L204" i="25" s="1"/>
  <c r="I204" i="25"/>
  <c r="J204" i="25" s="1"/>
  <c r="F204" i="25"/>
  <c r="E204" i="25"/>
  <c r="J203" i="25"/>
  <c r="I203" i="25"/>
  <c r="F203" i="25"/>
  <c r="E203" i="25"/>
  <c r="I202" i="25"/>
  <c r="J202" i="25" s="1"/>
  <c r="E202" i="25"/>
  <c r="F202" i="25" s="1"/>
  <c r="K202" i="25" s="1"/>
  <c r="L202" i="25" s="1"/>
  <c r="J201" i="25"/>
  <c r="F201" i="25"/>
  <c r="K201" i="25" s="1"/>
  <c r="L201" i="25" s="1"/>
  <c r="E201" i="25"/>
  <c r="J200" i="25"/>
  <c r="I200" i="25"/>
  <c r="F200" i="25"/>
  <c r="K200" i="25" s="1"/>
  <c r="L200" i="25" s="1"/>
  <c r="E200" i="25"/>
  <c r="J199" i="25"/>
  <c r="I199" i="25"/>
  <c r="E199" i="25"/>
  <c r="F199" i="25" s="1"/>
  <c r="J198" i="25"/>
  <c r="E198" i="25"/>
  <c r="F198" i="25" s="1"/>
  <c r="I197" i="25"/>
  <c r="J197" i="25" s="1"/>
  <c r="E197" i="25"/>
  <c r="F197" i="25" s="1"/>
  <c r="K197" i="25" s="1"/>
  <c r="L197" i="25" s="1"/>
  <c r="J196" i="25"/>
  <c r="E196" i="25"/>
  <c r="F196" i="25" s="1"/>
  <c r="K196" i="25" s="1"/>
  <c r="L196" i="25" s="1"/>
  <c r="K195" i="25"/>
  <c r="L195" i="25" s="1"/>
  <c r="J195" i="25"/>
  <c r="E195" i="25"/>
  <c r="F195" i="25" s="1"/>
  <c r="J194" i="25"/>
  <c r="F194" i="25"/>
  <c r="K194" i="25" s="1"/>
  <c r="L194" i="25" s="1"/>
  <c r="E194" i="25"/>
  <c r="I193" i="25"/>
  <c r="J193" i="25" s="1"/>
  <c r="F193" i="25"/>
  <c r="E193" i="25"/>
  <c r="J192" i="25"/>
  <c r="I192" i="25"/>
  <c r="E192" i="25"/>
  <c r="F192" i="25" s="1"/>
  <c r="K192" i="25" s="1"/>
  <c r="L192" i="25" s="1"/>
  <c r="J191" i="25"/>
  <c r="F191" i="25"/>
  <c r="E191" i="25"/>
  <c r="J190" i="25"/>
  <c r="E190" i="25"/>
  <c r="F190" i="25" s="1"/>
  <c r="K190" i="25" s="1"/>
  <c r="L190" i="25" s="1"/>
  <c r="J189" i="25"/>
  <c r="I189" i="25"/>
  <c r="F189" i="25"/>
  <c r="K189" i="25" s="1"/>
  <c r="L189" i="25" s="1"/>
  <c r="E189" i="25"/>
  <c r="J188" i="25"/>
  <c r="F188" i="25"/>
  <c r="K188" i="25" s="1"/>
  <c r="L188" i="25" s="1"/>
  <c r="E188" i="25"/>
  <c r="J187" i="25"/>
  <c r="F187" i="25"/>
  <c r="K187" i="25" s="1"/>
  <c r="L187" i="25" s="1"/>
  <c r="E187" i="25"/>
  <c r="J186" i="25"/>
  <c r="E186" i="25"/>
  <c r="F186" i="25" s="1"/>
  <c r="K186" i="25" s="1"/>
  <c r="L186" i="25" s="1"/>
  <c r="J185" i="25"/>
  <c r="F185" i="25"/>
  <c r="K185" i="25" s="1"/>
  <c r="L185" i="25" s="1"/>
  <c r="E185" i="25"/>
  <c r="I184" i="25"/>
  <c r="J184" i="25" s="1"/>
  <c r="E184" i="25"/>
  <c r="F184" i="25" s="1"/>
  <c r="K184" i="25" s="1"/>
  <c r="L184" i="25" s="1"/>
  <c r="K183" i="25"/>
  <c r="L183" i="25" s="1"/>
  <c r="J183" i="25"/>
  <c r="I183" i="25"/>
  <c r="E183" i="25"/>
  <c r="F183" i="25" s="1"/>
  <c r="J182" i="25"/>
  <c r="I182" i="25"/>
  <c r="F182" i="25"/>
  <c r="K182" i="25" s="1"/>
  <c r="L182" i="25" s="1"/>
  <c r="E182" i="25"/>
  <c r="J181" i="25"/>
  <c r="F181" i="25"/>
  <c r="K181" i="25" s="1"/>
  <c r="E181" i="25"/>
  <c r="I172" i="25"/>
  <c r="J172" i="25" s="1"/>
  <c r="F172" i="25"/>
  <c r="K172" i="25" s="1"/>
  <c r="L172" i="25" s="1"/>
  <c r="E172" i="25"/>
  <c r="J171" i="25"/>
  <c r="F171" i="25"/>
  <c r="E171" i="25"/>
  <c r="J170" i="25"/>
  <c r="E170" i="25"/>
  <c r="F170" i="25" s="1"/>
  <c r="K170" i="25" s="1"/>
  <c r="L170" i="25" s="1"/>
  <c r="J169" i="25"/>
  <c r="F169" i="25"/>
  <c r="E169" i="25"/>
  <c r="I159" i="25"/>
  <c r="J159" i="25" s="1"/>
  <c r="K159" i="25" s="1"/>
  <c r="L159" i="25" s="1"/>
  <c r="F159" i="25"/>
  <c r="E159" i="25"/>
  <c r="I158" i="25"/>
  <c r="J158" i="25" s="1"/>
  <c r="E158" i="25"/>
  <c r="F158" i="25" s="1"/>
  <c r="K158" i="25" s="1"/>
  <c r="L158" i="25" s="1"/>
  <c r="I157" i="25"/>
  <c r="J157" i="25" s="1"/>
  <c r="E157" i="25"/>
  <c r="F157" i="25" s="1"/>
  <c r="K157" i="25" s="1"/>
  <c r="L157" i="25" s="1"/>
  <c r="J156" i="25"/>
  <c r="I156" i="25"/>
  <c r="E156" i="25"/>
  <c r="F156" i="25" s="1"/>
  <c r="K156" i="25" s="1"/>
  <c r="L156" i="25" s="1"/>
  <c r="K155" i="25"/>
  <c r="L155" i="25" s="1"/>
  <c r="J155" i="25"/>
  <c r="F155" i="25"/>
  <c r="E155" i="25"/>
  <c r="J154" i="25"/>
  <c r="E154" i="25"/>
  <c r="F154" i="25" s="1"/>
  <c r="J153" i="25"/>
  <c r="K153" i="25" s="1"/>
  <c r="L153" i="25" s="1"/>
  <c r="I153" i="25"/>
  <c r="E153" i="25"/>
  <c r="F153" i="25" s="1"/>
  <c r="J152" i="25"/>
  <c r="E152" i="25"/>
  <c r="F152" i="25" s="1"/>
  <c r="K152" i="25" s="1"/>
  <c r="L152" i="25" s="1"/>
  <c r="I151" i="25"/>
  <c r="J151" i="25" s="1"/>
  <c r="F151" i="25"/>
  <c r="K151" i="25" s="1"/>
  <c r="L151" i="25" s="1"/>
  <c r="E151" i="25"/>
  <c r="I150" i="25"/>
  <c r="J150" i="25" s="1"/>
  <c r="F150" i="25"/>
  <c r="K150" i="25" s="1"/>
  <c r="L150" i="25" s="1"/>
  <c r="E150" i="25"/>
  <c r="L149" i="25"/>
  <c r="K149" i="25"/>
  <c r="J149" i="25"/>
  <c r="F149" i="25"/>
  <c r="E149" i="25"/>
  <c r="J148" i="25"/>
  <c r="E148" i="25"/>
  <c r="F148" i="25" s="1"/>
  <c r="K148" i="25" s="1"/>
  <c r="L148" i="25" s="1"/>
  <c r="L147" i="25"/>
  <c r="I147" i="25"/>
  <c r="J147" i="25" s="1"/>
  <c r="F147" i="25"/>
  <c r="K147" i="25" s="1"/>
  <c r="E147" i="25"/>
  <c r="J146" i="25"/>
  <c r="F146" i="25"/>
  <c r="K146" i="25" s="1"/>
  <c r="L146" i="25" s="1"/>
  <c r="E146" i="25"/>
  <c r="J145" i="25"/>
  <c r="I145" i="25"/>
  <c r="F145" i="25"/>
  <c r="E145" i="25"/>
  <c r="J144" i="25"/>
  <c r="I144" i="25"/>
  <c r="E144" i="25"/>
  <c r="F144" i="25" s="1"/>
  <c r="K144" i="25" s="1"/>
  <c r="L144" i="25" s="1"/>
  <c r="J143" i="25"/>
  <c r="I143" i="25"/>
  <c r="E143" i="25"/>
  <c r="F143" i="25" s="1"/>
  <c r="K143" i="25" s="1"/>
  <c r="L143" i="25" s="1"/>
  <c r="J142" i="25"/>
  <c r="E142" i="25"/>
  <c r="J132" i="25"/>
  <c r="F132" i="25"/>
  <c r="K132" i="25" s="1"/>
  <c r="L132" i="25" s="1"/>
  <c r="E132" i="25"/>
  <c r="J131" i="25"/>
  <c r="K131" i="25" s="1"/>
  <c r="L131" i="25" s="1"/>
  <c r="I131" i="25"/>
  <c r="F131" i="25"/>
  <c r="E131" i="25"/>
  <c r="J130" i="25"/>
  <c r="F130" i="25"/>
  <c r="K130" i="25" s="1"/>
  <c r="L130" i="25" s="1"/>
  <c r="E130" i="25"/>
  <c r="J129" i="25"/>
  <c r="K129" i="25" s="1"/>
  <c r="L129" i="25" s="1"/>
  <c r="F129" i="25"/>
  <c r="E129" i="25"/>
  <c r="J128" i="25"/>
  <c r="F128" i="25"/>
  <c r="K128" i="25" s="1"/>
  <c r="L128" i="25" s="1"/>
  <c r="E128" i="25"/>
  <c r="I127" i="25"/>
  <c r="J127" i="25" s="1"/>
  <c r="F127" i="25"/>
  <c r="E127" i="25"/>
  <c r="J126" i="25"/>
  <c r="K126" i="25" s="1"/>
  <c r="L126" i="25" s="1"/>
  <c r="I126" i="25"/>
  <c r="E126" i="25"/>
  <c r="F126" i="25" s="1"/>
  <c r="L125" i="25"/>
  <c r="K125" i="25"/>
  <c r="J125" i="25"/>
  <c r="F125" i="25"/>
  <c r="E125" i="25"/>
  <c r="L124" i="25"/>
  <c r="J124" i="25"/>
  <c r="E124" i="25"/>
  <c r="F124" i="25" s="1"/>
  <c r="K124" i="25" s="1"/>
  <c r="L123" i="25"/>
  <c r="K123" i="25"/>
  <c r="J123" i="25"/>
  <c r="F123" i="25"/>
  <c r="E123" i="25"/>
  <c r="I122" i="25"/>
  <c r="J122" i="25" s="1"/>
  <c r="E122" i="25"/>
  <c r="F122" i="25" s="1"/>
  <c r="K122" i="25" s="1"/>
  <c r="L122" i="25" s="1"/>
  <c r="L121" i="25"/>
  <c r="J121" i="25"/>
  <c r="F121" i="25"/>
  <c r="K121" i="25" s="1"/>
  <c r="E121" i="25"/>
  <c r="I120" i="25"/>
  <c r="J120" i="25" s="1"/>
  <c r="E120" i="25"/>
  <c r="F120" i="25" s="1"/>
  <c r="L119" i="25"/>
  <c r="K119" i="25"/>
  <c r="I119" i="25"/>
  <c r="J119" i="25" s="1"/>
  <c r="E119" i="25"/>
  <c r="F119" i="25" s="1"/>
  <c r="J118" i="25"/>
  <c r="E118" i="25"/>
  <c r="F118" i="25" s="1"/>
  <c r="K118" i="25" s="1"/>
  <c r="L118" i="25" s="1"/>
  <c r="K117" i="25"/>
  <c r="L117" i="25" s="1"/>
  <c r="J117" i="25"/>
  <c r="I117" i="25"/>
  <c r="E117" i="25"/>
  <c r="F117" i="25" s="1"/>
  <c r="I116" i="25"/>
  <c r="J116" i="25" s="1"/>
  <c r="K116" i="25" s="1"/>
  <c r="L116" i="25" s="1"/>
  <c r="F116" i="25"/>
  <c r="E116" i="25"/>
  <c r="J115" i="25"/>
  <c r="F115" i="25"/>
  <c r="E115" i="25"/>
  <c r="J114" i="25"/>
  <c r="E114" i="25"/>
  <c r="F114" i="25" s="1"/>
  <c r="K114" i="25" s="1"/>
  <c r="L114" i="25" s="1"/>
  <c r="L113" i="25"/>
  <c r="K113" i="25"/>
  <c r="J113" i="25"/>
  <c r="F113" i="25"/>
  <c r="E113" i="25"/>
  <c r="J112" i="25"/>
  <c r="E112" i="25"/>
  <c r="F112" i="25" s="1"/>
  <c r="K112" i="25" s="1"/>
  <c r="L112" i="25" s="1"/>
  <c r="J111" i="25"/>
  <c r="I111" i="25"/>
  <c r="F111" i="25"/>
  <c r="E111" i="25"/>
  <c r="J110" i="25"/>
  <c r="I110" i="25"/>
  <c r="F110" i="25"/>
  <c r="K110" i="25" s="1"/>
  <c r="L110" i="25" s="1"/>
  <c r="E110" i="25"/>
  <c r="J109" i="25"/>
  <c r="E109" i="25"/>
  <c r="F109" i="25" s="1"/>
  <c r="K109" i="25" s="1"/>
  <c r="L109" i="25" s="1"/>
  <c r="J108" i="25"/>
  <c r="E108" i="25"/>
  <c r="F108" i="25" s="1"/>
  <c r="K108" i="25" s="1"/>
  <c r="L108" i="25" s="1"/>
  <c r="J107" i="25"/>
  <c r="E107" i="25"/>
  <c r="F107" i="25" s="1"/>
  <c r="K107" i="25" s="1"/>
  <c r="L107" i="25" s="1"/>
  <c r="I106" i="25"/>
  <c r="J106" i="25" s="1"/>
  <c r="F106" i="25"/>
  <c r="E106" i="25"/>
  <c r="I105" i="25"/>
  <c r="J105" i="25" s="1"/>
  <c r="E105" i="25"/>
  <c r="F105" i="25" s="1"/>
  <c r="K105" i="25" s="1"/>
  <c r="L105" i="25" s="1"/>
  <c r="I104" i="25"/>
  <c r="J104" i="25" s="1"/>
  <c r="K104" i="25" s="1"/>
  <c r="L104" i="25" s="1"/>
  <c r="E104" i="25"/>
  <c r="F104" i="25" s="1"/>
  <c r="I103" i="25"/>
  <c r="J103" i="25" s="1"/>
  <c r="E103" i="25"/>
  <c r="F103" i="25" s="1"/>
  <c r="I102" i="25"/>
  <c r="J102" i="25" s="1"/>
  <c r="E102" i="25"/>
  <c r="F102" i="25" s="1"/>
  <c r="K102" i="25" s="1"/>
  <c r="L102" i="25" s="1"/>
  <c r="J101" i="25"/>
  <c r="F101" i="25"/>
  <c r="K101" i="25" s="1"/>
  <c r="L101" i="25" s="1"/>
  <c r="E101" i="25"/>
  <c r="J100" i="25"/>
  <c r="F100" i="25"/>
  <c r="E100" i="25"/>
  <c r="J99" i="25"/>
  <c r="E99" i="25"/>
  <c r="F99" i="25" s="1"/>
  <c r="K99" i="25" s="1"/>
  <c r="L99" i="25" s="1"/>
  <c r="J98" i="25"/>
  <c r="E98" i="25"/>
  <c r="F98" i="25" s="1"/>
  <c r="K98" i="25" s="1"/>
  <c r="L98" i="25" s="1"/>
  <c r="K97" i="25"/>
  <c r="L97" i="25" s="1"/>
  <c r="J97" i="25"/>
  <c r="F97" i="25"/>
  <c r="E97" i="25"/>
  <c r="J96" i="25"/>
  <c r="E96" i="25"/>
  <c r="F96" i="25" s="1"/>
  <c r="K96" i="25" s="1"/>
  <c r="L96" i="25" s="1"/>
  <c r="J95" i="25"/>
  <c r="K95" i="25" s="1"/>
  <c r="L95" i="25" s="1"/>
  <c r="E95" i="25"/>
  <c r="F95" i="25" s="1"/>
  <c r="J94" i="25"/>
  <c r="E94" i="25"/>
  <c r="I86" i="25"/>
  <c r="J86" i="25" s="1"/>
  <c r="F86" i="25"/>
  <c r="K86" i="25" s="1"/>
  <c r="L86" i="25" s="1"/>
  <c r="E86" i="25"/>
  <c r="J85" i="25"/>
  <c r="F85" i="25"/>
  <c r="K85" i="25" s="1"/>
  <c r="L85" i="25" s="1"/>
  <c r="E85" i="25"/>
  <c r="J84" i="25"/>
  <c r="F84" i="25"/>
  <c r="K84" i="25" s="1"/>
  <c r="L84" i="25" s="1"/>
  <c r="E84" i="25"/>
  <c r="I83" i="25"/>
  <c r="J83" i="25" s="1"/>
  <c r="F83" i="25"/>
  <c r="K83" i="25" s="1"/>
  <c r="L83" i="25" s="1"/>
  <c r="E83" i="25"/>
  <c r="I82" i="25"/>
  <c r="J82" i="25" s="1"/>
  <c r="E82" i="25"/>
  <c r="F82" i="25" s="1"/>
  <c r="K82" i="25" s="1"/>
  <c r="L82" i="25" s="1"/>
  <c r="K81" i="25"/>
  <c r="L81" i="25" s="1"/>
  <c r="J81" i="25"/>
  <c r="I81" i="25"/>
  <c r="F81" i="25"/>
  <c r="E81" i="25"/>
  <c r="J80" i="25"/>
  <c r="E80" i="25"/>
  <c r="F80" i="25" s="1"/>
  <c r="K80" i="25" s="1"/>
  <c r="L80" i="25" s="1"/>
  <c r="L79" i="25"/>
  <c r="K79" i="25"/>
  <c r="J79" i="25"/>
  <c r="E79" i="25"/>
  <c r="F79" i="25" s="1"/>
  <c r="J78" i="25"/>
  <c r="E78" i="25"/>
  <c r="F78" i="25" s="1"/>
  <c r="K78" i="25" s="1"/>
  <c r="L78" i="25" s="1"/>
  <c r="J77" i="25"/>
  <c r="I77" i="25"/>
  <c r="E77" i="25"/>
  <c r="F77" i="25" s="1"/>
  <c r="J76" i="25"/>
  <c r="E76" i="25"/>
  <c r="I68" i="25"/>
  <c r="J68" i="25" s="1"/>
  <c r="E68" i="25"/>
  <c r="F68" i="25" s="1"/>
  <c r="K68" i="25" s="1"/>
  <c r="L68" i="25" s="1"/>
  <c r="J67" i="25"/>
  <c r="I67" i="25"/>
  <c r="E67" i="25"/>
  <c r="F67" i="25" s="1"/>
  <c r="K67" i="25" s="1"/>
  <c r="L67" i="25" s="1"/>
  <c r="J66" i="25"/>
  <c r="I66" i="25"/>
  <c r="E66" i="25"/>
  <c r="F66" i="25" s="1"/>
  <c r="K66" i="25" s="1"/>
  <c r="L66" i="25" s="1"/>
  <c r="J65" i="25"/>
  <c r="K65" i="25" s="1"/>
  <c r="L65" i="25" s="1"/>
  <c r="F65" i="25"/>
  <c r="E65" i="25"/>
  <c r="J64" i="25"/>
  <c r="I64" i="25"/>
  <c r="E64" i="25"/>
  <c r="F64" i="25" s="1"/>
  <c r="K64" i="25" s="1"/>
  <c r="L64" i="25" s="1"/>
  <c r="K63" i="25"/>
  <c r="L63" i="25" s="1"/>
  <c r="J63" i="25"/>
  <c r="I63" i="25"/>
  <c r="F63" i="25"/>
  <c r="E63" i="25"/>
  <c r="I62" i="25"/>
  <c r="J62" i="25" s="1"/>
  <c r="K62" i="25" s="1"/>
  <c r="L62" i="25" s="1"/>
  <c r="F62" i="25"/>
  <c r="E62" i="25"/>
  <c r="J61" i="25"/>
  <c r="I61" i="25"/>
  <c r="E61" i="25"/>
  <c r="F61" i="25" s="1"/>
  <c r="K61" i="25" s="1"/>
  <c r="L61" i="25" s="1"/>
  <c r="K60" i="25"/>
  <c r="L60" i="25" s="1"/>
  <c r="J60" i="25"/>
  <c r="E60" i="25"/>
  <c r="F60" i="25" s="1"/>
  <c r="I59" i="25"/>
  <c r="J59" i="25" s="1"/>
  <c r="E59" i="25"/>
  <c r="F59" i="25" s="1"/>
  <c r="I58" i="25"/>
  <c r="J58" i="25" s="1"/>
  <c r="E58" i="25"/>
  <c r="F58" i="25" s="1"/>
  <c r="K58" i="25" s="1"/>
  <c r="L58" i="25" s="1"/>
  <c r="J57" i="25"/>
  <c r="E57" i="25"/>
  <c r="F57" i="25" s="1"/>
  <c r="K57" i="25" s="1"/>
  <c r="L57" i="25" s="1"/>
  <c r="J56" i="25"/>
  <c r="F56" i="25"/>
  <c r="K56" i="25" s="1"/>
  <c r="L56" i="25" s="1"/>
  <c r="E56" i="25"/>
  <c r="K55" i="25"/>
  <c r="L55" i="25" s="1"/>
  <c r="J55" i="25"/>
  <c r="E55" i="25"/>
  <c r="F55" i="25" s="1"/>
  <c r="I54" i="25"/>
  <c r="J54" i="25" s="1"/>
  <c r="K54" i="25" s="1"/>
  <c r="L54" i="25" s="1"/>
  <c r="F54" i="25"/>
  <c r="E54" i="25"/>
  <c r="J53" i="25"/>
  <c r="K53" i="25" s="1"/>
  <c r="L53" i="25" s="1"/>
  <c r="I53" i="25"/>
  <c r="F53" i="25"/>
  <c r="E53" i="25"/>
  <c r="I52" i="25"/>
  <c r="J52" i="25" s="1"/>
  <c r="E52" i="25"/>
  <c r="F52" i="25" s="1"/>
  <c r="K52" i="25" s="1"/>
  <c r="L52" i="25" s="1"/>
  <c r="L51" i="25"/>
  <c r="J51" i="25"/>
  <c r="I51" i="25"/>
  <c r="E51" i="25"/>
  <c r="F51" i="25" s="1"/>
  <c r="K51" i="25" s="1"/>
  <c r="J50" i="25"/>
  <c r="I50" i="25"/>
  <c r="D50" i="25"/>
  <c r="E50" i="25" s="1"/>
  <c r="F50" i="25" s="1"/>
  <c r="K50" i="25" s="1"/>
  <c r="L50" i="25" s="1"/>
  <c r="J49" i="25"/>
  <c r="E49" i="25"/>
  <c r="F49" i="25" s="1"/>
  <c r="I39" i="25"/>
  <c r="J39" i="25" s="1"/>
  <c r="F39" i="25"/>
  <c r="K39" i="25" s="1"/>
  <c r="L39" i="25" s="1"/>
  <c r="E39" i="25"/>
  <c r="I38" i="25"/>
  <c r="J38" i="25" s="1"/>
  <c r="E38" i="25"/>
  <c r="F38" i="25" s="1"/>
  <c r="K38" i="25" s="1"/>
  <c r="L38" i="25" s="1"/>
  <c r="L37" i="25"/>
  <c r="J37" i="25"/>
  <c r="I37" i="25"/>
  <c r="F37" i="25"/>
  <c r="K37" i="25" s="1"/>
  <c r="E37" i="25"/>
  <c r="J36" i="25"/>
  <c r="E36" i="25"/>
  <c r="F36" i="25" s="1"/>
  <c r="K36" i="25" s="1"/>
  <c r="L36" i="25" s="1"/>
  <c r="J35" i="25"/>
  <c r="I35" i="25"/>
  <c r="E35" i="25"/>
  <c r="F35" i="25" s="1"/>
  <c r="K35" i="25" s="1"/>
  <c r="L35" i="25" s="1"/>
  <c r="J34" i="25"/>
  <c r="I34" i="25"/>
  <c r="E34" i="25"/>
  <c r="F34" i="25" s="1"/>
  <c r="K34" i="25" s="1"/>
  <c r="L34" i="25" s="1"/>
  <c r="I33" i="25"/>
  <c r="J33" i="25" s="1"/>
  <c r="E33" i="25"/>
  <c r="F33" i="25" s="1"/>
  <c r="K33" i="25" s="1"/>
  <c r="L33" i="25" s="1"/>
  <c r="J32" i="25"/>
  <c r="F32" i="25"/>
  <c r="K32" i="25" s="1"/>
  <c r="L32" i="25" s="1"/>
  <c r="E32" i="25"/>
  <c r="J31" i="25"/>
  <c r="K31" i="25" s="1"/>
  <c r="L31" i="25" s="1"/>
  <c r="F31" i="25"/>
  <c r="E31" i="25"/>
  <c r="I30" i="25"/>
  <c r="J30" i="25" s="1"/>
  <c r="E30" i="25"/>
  <c r="F30" i="25" s="1"/>
  <c r="K30" i="25" s="1"/>
  <c r="L30" i="25" s="1"/>
  <c r="J29" i="25"/>
  <c r="F29" i="25"/>
  <c r="K29" i="25" s="1"/>
  <c r="L29" i="25" s="1"/>
  <c r="E29" i="25"/>
  <c r="I28" i="25"/>
  <c r="J28" i="25" s="1"/>
  <c r="K28" i="25" s="1"/>
  <c r="L28" i="25" s="1"/>
  <c r="F28" i="25"/>
  <c r="E28" i="25"/>
  <c r="I27" i="25"/>
  <c r="J27" i="25" s="1"/>
  <c r="E27" i="25"/>
  <c r="F27" i="25" s="1"/>
  <c r="K27" i="25" s="1"/>
  <c r="L27" i="25" s="1"/>
  <c r="J26" i="25"/>
  <c r="I26" i="25"/>
  <c r="E26" i="25"/>
  <c r="F26" i="25" s="1"/>
  <c r="K26" i="25" s="1"/>
  <c r="L26" i="25" s="1"/>
  <c r="J25" i="25"/>
  <c r="K25" i="25" s="1"/>
  <c r="L25" i="25" s="1"/>
  <c r="I25" i="25"/>
  <c r="F25" i="25"/>
  <c r="E25" i="25"/>
  <c r="J24" i="25"/>
  <c r="E24" i="25"/>
  <c r="F24" i="25" s="1"/>
  <c r="K24" i="25" s="1"/>
  <c r="L24" i="25" s="1"/>
  <c r="J23" i="25"/>
  <c r="E23" i="25"/>
  <c r="F23" i="25" s="1"/>
  <c r="K23" i="25" s="1"/>
  <c r="L23" i="25" s="1"/>
  <c r="J22" i="25"/>
  <c r="K22" i="25" s="1"/>
  <c r="L22" i="25" s="1"/>
  <c r="F22" i="25"/>
  <c r="E22" i="25"/>
  <c r="J21" i="25"/>
  <c r="E21" i="25"/>
  <c r="F21" i="25" s="1"/>
  <c r="K21" i="25" s="1"/>
  <c r="L21" i="25" s="1"/>
  <c r="L20" i="25"/>
  <c r="K20" i="25"/>
  <c r="J20" i="25"/>
  <c r="I20" i="25"/>
  <c r="F20" i="25"/>
  <c r="E20" i="25"/>
  <c r="K19" i="25"/>
  <c r="L19" i="25" s="1"/>
  <c r="J19" i="25"/>
  <c r="I19" i="25"/>
  <c r="F19" i="25"/>
  <c r="E19" i="25"/>
  <c r="I18" i="25"/>
  <c r="J18" i="25" s="1"/>
  <c r="E18" i="25"/>
  <c r="F18" i="25" s="1"/>
  <c r="K18" i="25" s="1"/>
  <c r="L18" i="25" s="1"/>
  <c r="I17" i="25"/>
  <c r="J17" i="25" s="1"/>
  <c r="E17" i="25"/>
  <c r="F17" i="25" s="1"/>
  <c r="J16" i="25"/>
  <c r="K16" i="25" s="1"/>
  <c r="L16" i="25" s="1"/>
  <c r="E16" i="25"/>
  <c r="F16" i="25" s="1"/>
  <c r="I15" i="25"/>
  <c r="J15" i="25" s="1"/>
  <c r="F15" i="25"/>
  <c r="K15" i="25" s="1"/>
  <c r="L15" i="25" s="1"/>
  <c r="E15" i="25"/>
  <c r="K14" i="25"/>
  <c r="L14" i="25" s="1"/>
  <c r="J14" i="25"/>
  <c r="I14" i="25"/>
  <c r="F14" i="25"/>
  <c r="E14" i="25"/>
  <c r="K13" i="25"/>
  <c r="L13" i="25" s="1"/>
  <c r="I13" i="25"/>
  <c r="J13" i="25" s="1"/>
  <c r="F13" i="25"/>
  <c r="E13" i="25"/>
  <c r="I12" i="25"/>
  <c r="J12" i="25" s="1"/>
  <c r="E12" i="25"/>
  <c r="F12" i="25" s="1"/>
  <c r="K12" i="25" s="1"/>
  <c r="L12" i="25" s="1"/>
  <c r="K11" i="25"/>
  <c r="L11" i="25" s="1"/>
  <c r="J11" i="25"/>
  <c r="I11" i="25"/>
  <c r="F11" i="25"/>
  <c r="E11" i="25"/>
  <c r="I10" i="25"/>
  <c r="J10" i="25" s="1"/>
  <c r="F10" i="25"/>
  <c r="K10" i="25" s="1"/>
  <c r="L10" i="25" s="1"/>
  <c r="E10" i="25"/>
  <c r="J9" i="25"/>
  <c r="E9" i="25"/>
  <c r="F9" i="25" s="1"/>
  <c r="K9" i="25" s="1"/>
  <c r="L9" i="25" s="1"/>
  <c r="J8" i="25"/>
  <c r="E8" i="25"/>
  <c r="F8" i="25" s="1"/>
  <c r="K8" i="25" s="1"/>
  <c r="L8" i="25" s="1"/>
  <c r="J7" i="25"/>
  <c r="F7" i="25"/>
  <c r="E7" i="25"/>
  <c r="J6" i="25"/>
  <c r="E6" i="25"/>
  <c r="F6" i="25" s="1"/>
  <c r="J143" i="24"/>
  <c r="I143" i="24"/>
  <c r="E143" i="24"/>
  <c r="K143" i="24" s="1"/>
  <c r="L143" i="24" s="1"/>
  <c r="J142" i="24"/>
  <c r="K142" i="24" s="1"/>
  <c r="L142" i="24" s="1"/>
  <c r="E142" i="24"/>
  <c r="J141" i="24"/>
  <c r="E141" i="24"/>
  <c r="J140" i="24"/>
  <c r="K140" i="24" s="1"/>
  <c r="I140" i="24"/>
  <c r="E140" i="24"/>
  <c r="E135" i="24"/>
  <c r="J133" i="24"/>
  <c r="K133" i="24" s="1"/>
  <c r="L133" i="24" s="1"/>
  <c r="I133" i="24"/>
  <c r="E133" i="24"/>
  <c r="J132" i="24"/>
  <c r="E132" i="24"/>
  <c r="K132" i="24" s="1"/>
  <c r="L132" i="24" s="1"/>
  <c r="L131" i="24"/>
  <c r="K131" i="24"/>
  <c r="I131" i="24"/>
  <c r="J131" i="24" s="1"/>
  <c r="E131" i="24"/>
  <c r="I130" i="24"/>
  <c r="J130" i="24" s="1"/>
  <c r="E130" i="24"/>
  <c r="K129" i="24"/>
  <c r="L129" i="24" s="1"/>
  <c r="J129" i="24"/>
  <c r="E129" i="24"/>
  <c r="J128" i="24"/>
  <c r="E128" i="24"/>
  <c r="K128" i="24" s="1"/>
  <c r="L128" i="24" s="1"/>
  <c r="J127" i="24"/>
  <c r="K127" i="24" s="1"/>
  <c r="L127" i="24" s="1"/>
  <c r="E127" i="24"/>
  <c r="J126" i="24"/>
  <c r="E126" i="24"/>
  <c r="K126" i="24" s="1"/>
  <c r="L126" i="24" s="1"/>
  <c r="J125" i="24"/>
  <c r="E125" i="24"/>
  <c r="K125" i="24" s="1"/>
  <c r="L125" i="24" s="1"/>
  <c r="J124" i="24"/>
  <c r="K124" i="24" s="1"/>
  <c r="L124" i="24" s="1"/>
  <c r="I124" i="24"/>
  <c r="E124" i="24"/>
  <c r="K123" i="24"/>
  <c r="L123" i="24" s="1"/>
  <c r="J123" i="24"/>
  <c r="I123" i="24"/>
  <c r="E123" i="24"/>
  <c r="I122" i="24"/>
  <c r="J122" i="24" s="1"/>
  <c r="E122" i="24"/>
  <c r="K122" i="24" s="1"/>
  <c r="L122" i="24" s="1"/>
  <c r="K121" i="24"/>
  <c r="L121" i="24" s="1"/>
  <c r="J121" i="24"/>
  <c r="I121" i="24"/>
  <c r="E121" i="24"/>
  <c r="J120" i="24"/>
  <c r="E120" i="24"/>
  <c r="K120" i="24" s="1"/>
  <c r="L120" i="24" s="1"/>
  <c r="K119" i="24"/>
  <c r="L119" i="24" s="1"/>
  <c r="J119" i="24"/>
  <c r="E119" i="24"/>
  <c r="I118" i="24"/>
  <c r="J118" i="24" s="1"/>
  <c r="E118" i="24"/>
  <c r="K117" i="24"/>
  <c r="L117" i="24" s="1"/>
  <c r="J117" i="24"/>
  <c r="I117" i="24"/>
  <c r="E117" i="24"/>
  <c r="K116" i="24"/>
  <c r="L116" i="24" s="1"/>
  <c r="J116" i="24"/>
  <c r="E116" i="24"/>
  <c r="L115" i="24"/>
  <c r="K115" i="24"/>
  <c r="J115" i="24"/>
  <c r="E115" i="24"/>
  <c r="J114" i="24"/>
  <c r="K114" i="24" s="1"/>
  <c r="I114" i="24"/>
  <c r="E114" i="24"/>
  <c r="J105" i="24"/>
  <c r="E105" i="24"/>
  <c r="K105" i="24" s="1"/>
  <c r="L105" i="24" s="1"/>
  <c r="K104" i="24"/>
  <c r="L104" i="24" s="1"/>
  <c r="J104" i="24"/>
  <c r="E104" i="24"/>
  <c r="J103" i="24"/>
  <c r="E103" i="24"/>
  <c r="K102" i="24"/>
  <c r="L102" i="24" s="1"/>
  <c r="J102" i="24"/>
  <c r="E102" i="24"/>
  <c r="J101" i="24"/>
  <c r="E101" i="24"/>
  <c r="L100" i="24"/>
  <c r="K100" i="24"/>
  <c r="J100" i="24"/>
  <c r="E100" i="24"/>
  <c r="I99" i="24"/>
  <c r="J99" i="24" s="1"/>
  <c r="E99" i="24"/>
  <c r="J98" i="24"/>
  <c r="E98" i="24"/>
  <c r="J97" i="24"/>
  <c r="E97" i="24"/>
  <c r="K97" i="24" s="1"/>
  <c r="L97" i="24" s="1"/>
  <c r="J96" i="24"/>
  <c r="E96" i="24"/>
  <c r="J95" i="24"/>
  <c r="E95" i="24"/>
  <c r="K95" i="24" s="1"/>
  <c r="L95" i="24" s="1"/>
  <c r="J94" i="24"/>
  <c r="E94" i="24"/>
  <c r="K94" i="24" s="1"/>
  <c r="L94" i="24" s="1"/>
  <c r="J93" i="24"/>
  <c r="E93" i="24"/>
  <c r="K93" i="24" s="1"/>
  <c r="L93" i="24" s="1"/>
  <c r="J92" i="24"/>
  <c r="E92" i="24"/>
  <c r="J91" i="24"/>
  <c r="E91" i="24"/>
  <c r="K91" i="24" s="1"/>
  <c r="L91" i="24" s="1"/>
  <c r="J90" i="24"/>
  <c r="E90" i="24"/>
  <c r="K90" i="24" s="1"/>
  <c r="L90" i="24" s="1"/>
  <c r="K89" i="24"/>
  <c r="L89" i="24" s="1"/>
  <c r="J89" i="24"/>
  <c r="E89" i="24"/>
  <c r="J88" i="24"/>
  <c r="E88" i="24"/>
  <c r="J79" i="24"/>
  <c r="E79" i="24"/>
  <c r="F79" i="24" s="1"/>
  <c r="K79" i="24" s="1"/>
  <c r="L79" i="24" s="1"/>
  <c r="J78" i="24"/>
  <c r="K78" i="24" s="1"/>
  <c r="L78" i="24" s="1"/>
  <c r="I78" i="24"/>
  <c r="E78" i="24"/>
  <c r="F78" i="24" s="1"/>
  <c r="J77" i="24"/>
  <c r="I77" i="24"/>
  <c r="F77" i="24"/>
  <c r="E77" i="24"/>
  <c r="I76" i="24"/>
  <c r="J76" i="24" s="1"/>
  <c r="E76" i="24"/>
  <c r="F76" i="24" s="1"/>
  <c r="K76" i="24" s="1"/>
  <c r="L76" i="24" s="1"/>
  <c r="K75" i="24"/>
  <c r="L75" i="24" s="1"/>
  <c r="J75" i="24"/>
  <c r="F75" i="24"/>
  <c r="E75" i="24"/>
  <c r="I74" i="24"/>
  <c r="J74" i="24" s="1"/>
  <c r="F74" i="24"/>
  <c r="E74" i="24"/>
  <c r="J73" i="24"/>
  <c r="I73" i="24"/>
  <c r="F73" i="24"/>
  <c r="K73" i="24" s="1"/>
  <c r="L73" i="24" s="1"/>
  <c r="E73" i="24"/>
  <c r="J72" i="24"/>
  <c r="F72" i="24"/>
  <c r="E72" i="24"/>
  <c r="I71" i="24"/>
  <c r="J71" i="24" s="1"/>
  <c r="E71" i="24"/>
  <c r="F71" i="24" s="1"/>
  <c r="K71" i="24" s="1"/>
  <c r="L71" i="24" s="1"/>
  <c r="J70" i="24"/>
  <c r="F70" i="24"/>
  <c r="K70" i="24" s="1"/>
  <c r="L70" i="24" s="1"/>
  <c r="E70" i="24"/>
  <c r="J69" i="24"/>
  <c r="E69" i="24"/>
  <c r="F69" i="24" s="1"/>
  <c r="J68" i="24"/>
  <c r="I68" i="24"/>
  <c r="E68" i="24"/>
  <c r="F68" i="24" s="1"/>
  <c r="K68" i="24" s="1"/>
  <c r="L68" i="24" s="1"/>
  <c r="J67" i="24"/>
  <c r="I67" i="24"/>
  <c r="E67" i="24"/>
  <c r="F67" i="24" s="1"/>
  <c r="K67" i="24" s="1"/>
  <c r="K59" i="24"/>
  <c r="L59" i="24" s="1"/>
  <c r="J59" i="24"/>
  <c r="F59" i="24"/>
  <c r="E59" i="24"/>
  <c r="K58" i="24"/>
  <c r="L58" i="24" s="1"/>
  <c r="J58" i="24"/>
  <c r="E58" i="24"/>
  <c r="F58" i="24" s="1"/>
  <c r="I57" i="24"/>
  <c r="J57" i="24" s="1"/>
  <c r="E57" i="24"/>
  <c r="F57" i="24" s="1"/>
  <c r="K57" i="24" s="1"/>
  <c r="L57" i="24" s="1"/>
  <c r="K56" i="24"/>
  <c r="L56" i="24" s="1"/>
  <c r="J56" i="24"/>
  <c r="I56" i="24"/>
  <c r="E56" i="24"/>
  <c r="F56" i="24" s="1"/>
  <c r="I55" i="24"/>
  <c r="J55" i="24" s="1"/>
  <c r="E55" i="24"/>
  <c r="F55" i="24" s="1"/>
  <c r="I54" i="24"/>
  <c r="J54" i="24" s="1"/>
  <c r="E54" i="24"/>
  <c r="F54" i="24" s="1"/>
  <c r="K54" i="24" s="1"/>
  <c r="L54" i="24" s="1"/>
  <c r="I53" i="24"/>
  <c r="J53" i="24" s="1"/>
  <c r="K53" i="24" s="1"/>
  <c r="L53" i="24" s="1"/>
  <c r="F53" i="24"/>
  <c r="E53" i="24"/>
  <c r="I52" i="24"/>
  <c r="J52" i="24" s="1"/>
  <c r="E52" i="24"/>
  <c r="F52" i="24" s="1"/>
  <c r="J51" i="24"/>
  <c r="F51" i="24"/>
  <c r="K51" i="24" s="1"/>
  <c r="L51" i="24" s="1"/>
  <c r="E51" i="24"/>
  <c r="I50" i="24"/>
  <c r="J50" i="24" s="1"/>
  <c r="F50" i="24"/>
  <c r="E50" i="24"/>
  <c r="J49" i="24"/>
  <c r="I49" i="24"/>
  <c r="E49" i="24"/>
  <c r="F49" i="24" s="1"/>
  <c r="K49" i="24" s="1"/>
  <c r="L49" i="24" s="1"/>
  <c r="I48" i="24"/>
  <c r="J48" i="24" s="1"/>
  <c r="K48" i="24" s="1"/>
  <c r="L48" i="24" s="1"/>
  <c r="F48" i="24"/>
  <c r="E48" i="24"/>
  <c r="I47" i="24"/>
  <c r="J47" i="24" s="1"/>
  <c r="E47" i="24"/>
  <c r="F47" i="24" s="1"/>
  <c r="J46" i="24"/>
  <c r="I46" i="24"/>
  <c r="F46" i="24"/>
  <c r="E46" i="24"/>
  <c r="J45" i="24"/>
  <c r="E45" i="24"/>
  <c r="F45" i="24" s="1"/>
  <c r="K45" i="24" s="1"/>
  <c r="L45" i="24" s="1"/>
  <c r="L44" i="24"/>
  <c r="K44" i="24"/>
  <c r="J44" i="24"/>
  <c r="I44" i="24"/>
  <c r="F44" i="24"/>
  <c r="E44" i="24"/>
  <c r="J43" i="24"/>
  <c r="F43" i="24"/>
  <c r="K43" i="24" s="1"/>
  <c r="L43" i="24" s="1"/>
  <c r="E43" i="24"/>
  <c r="L42" i="24"/>
  <c r="J42" i="24"/>
  <c r="I42" i="24"/>
  <c r="F42" i="24"/>
  <c r="K42" i="24" s="1"/>
  <c r="E42" i="24"/>
  <c r="K41" i="24"/>
  <c r="L41" i="24" s="1"/>
  <c r="J41" i="24"/>
  <c r="F41" i="24"/>
  <c r="E41" i="24"/>
  <c r="J40" i="24"/>
  <c r="E40" i="24"/>
  <c r="F40" i="24" s="1"/>
  <c r="K40" i="24" s="1"/>
  <c r="L40" i="24" s="1"/>
  <c r="J39" i="24"/>
  <c r="E39" i="24"/>
  <c r="F39" i="24" s="1"/>
  <c r="K39" i="24" s="1"/>
  <c r="L39" i="24" s="1"/>
  <c r="J38" i="24"/>
  <c r="E38" i="24"/>
  <c r="F38" i="24" s="1"/>
  <c r="K38" i="24" s="1"/>
  <c r="L38" i="24" s="1"/>
  <c r="J37" i="24"/>
  <c r="F37" i="24"/>
  <c r="E37" i="24"/>
  <c r="J36" i="24"/>
  <c r="F36" i="24"/>
  <c r="K36" i="24" s="1"/>
  <c r="L36" i="24" s="1"/>
  <c r="E36" i="24"/>
  <c r="L35" i="24"/>
  <c r="K35" i="24"/>
  <c r="J35" i="24"/>
  <c r="F35" i="24"/>
  <c r="E35" i="24"/>
  <c r="J34" i="24"/>
  <c r="E34" i="24"/>
  <c r="F34" i="24" s="1"/>
  <c r="K34" i="24" s="1"/>
  <c r="L34" i="24" s="1"/>
  <c r="K33" i="24"/>
  <c r="L33" i="24" s="1"/>
  <c r="J33" i="24"/>
  <c r="F33" i="24"/>
  <c r="E33" i="24"/>
  <c r="I32" i="24"/>
  <c r="J32" i="24" s="1"/>
  <c r="E32" i="24"/>
  <c r="F32" i="24" s="1"/>
  <c r="K32" i="24" s="1"/>
  <c r="L32" i="24" s="1"/>
  <c r="K31" i="24"/>
  <c r="L31" i="24" s="1"/>
  <c r="J31" i="24"/>
  <c r="F31" i="24"/>
  <c r="E31" i="24"/>
  <c r="J30" i="24"/>
  <c r="E30" i="24"/>
  <c r="J20" i="24"/>
  <c r="I20" i="24"/>
  <c r="E20" i="24"/>
  <c r="F20" i="24" s="1"/>
  <c r="K20" i="24" s="1"/>
  <c r="L20" i="24" s="1"/>
  <c r="I19" i="24"/>
  <c r="J19" i="24" s="1"/>
  <c r="K19" i="24" s="1"/>
  <c r="L19" i="24" s="1"/>
  <c r="E19" i="24"/>
  <c r="F19" i="24" s="1"/>
  <c r="I18" i="24"/>
  <c r="J18" i="24" s="1"/>
  <c r="E18" i="24"/>
  <c r="F18" i="24" s="1"/>
  <c r="K18" i="24" s="1"/>
  <c r="L18" i="24" s="1"/>
  <c r="L17" i="24"/>
  <c r="J17" i="24"/>
  <c r="E17" i="24"/>
  <c r="F17" i="24" s="1"/>
  <c r="K17" i="24" s="1"/>
  <c r="I16" i="24"/>
  <c r="J16" i="24" s="1"/>
  <c r="K16" i="24" s="1"/>
  <c r="L16" i="24" s="1"/>
  <c r="F16" i="24"/>
  <c r="E16" i="24"/>
  <c r="J15" i="24"/>
  <c r="K15" i="24" s="1"/>
  <c r="L15" i="24" s="1"/>
  <c r="I15" i="24"/>
  <c r="E15" i="24"/>
  <c r="F15" i="24" s="1"/>
  <c r="J14" i="24"/>
  <c r="I14" i="24"/>
  <c r="E14" i="24"/>
  <c r="F14" i="24" s="1"/>
  <c r="K14" i="24" s="1"/>
  <c r="L14" i="24" s="1"/>
  <c r="L13" i="24"/>
  <c r="K13" i="24"/>
  <c r="J13" i="24"/>
  <c r="E13" i="24"/>
  <c r="F13" i="24" s="1"/>
  <c r="J12" i="24"/>
  <c r="E12" i="24"/>
  <c r="F12" i="24" s="1"/>
  <c r="K12" i="24" s="1"/>
  <c r="L12" i="24" s="1"/>
  <c r="J11" i="24"/>
  <c r="E11" i="24"/>
  <c r="F11" i="24" s="1"/>
  <c r="J10" i="24"/>
  <c r="F10" i="24"/>
  <c r="K10" i="24" s="1"/>
  <c r="L10" i="24" s="1"/>
  <c r="E10" i="24"/>
  <c r="J9" i="24"/>
  <c r="I9" i="24"/>
  <c r="E9" i="24"/>
  <c r="F9" i="24" s="1"/>
  <c r="K9" i="24" s="1"/>
  <c r="L9" i="24" s="1"/>
  <c r="J8" i="24"/>
  <c r="I8" i="24"/>
  <c r="E8" i="24"/>
  <c r="F8" i="24" s="1"/>
  <c r="K7" i="24"/>
  <c r="L7" i="24" s="1"/>
  <c r="J7" i="24"/>
  <c r="E7" i="24"/>
  <c r="F7" i="24" s="1"/>
  <c r="I6" i="24"/>
  <c r="J6" i="24" s="1"/>
  <c r="E6" i="24"/>
  <c r="F6" i="24" s="1"/>
  <c r="J353" i="23"/>
  <c r="E353" i="23"/>
  <c r="K353" i="23" s="1"/>
  <c r="L353" i="23" s="1"/>
  <c r="J352" i="23"/>
  <c r="K352" i="23" s="1"/>
  <c r="L352" i="23" s="1"/>
  <c r="E352" i="23"/>
  <c r="J351" i="23"/>
  <c r="E351" i="23"/>
  <c r="K351" i="23" s="1"/>
  <c r="L351" i="23" s="1"/>
  <c r="L350" i="23"/>
  <c r="K350" i="23"/>
  <c r="J350" i="23"/>
  <c r="E350" i="23"/>
  <c r="J349" i="23"/>
  <c r="E349" i="23"/>
  <c r="K349" i="23" s="1"/>
  <c r="L349" i="23" s="1"/>
  <c r="J348" i="23"/>
  <c r="K348" i="23" s="1"/>
  <c r="L348" i="23" s="1"/>
  <c r="E348" i="23"/>
  <c r="L347" i="23"/>
  <c r="J347" i="23"/>
  <c r="E347" i="23"/>
  <c r="K347" i="23" s="1"/>
  <c r="J346" i="23"/>
  <c r="K346" i="23" s="1"/>
  <c r="L346" i="23" s="1"/>
  <c r="E346" i="23"/>
  <c r="L345" i="23"/>
  <c r="J345" i="23"/>
  <c r="E345" i="23"/>
  <c r="K345" i="23" s="1"/>
  <c r="J344" i="23"/>
  <c r="K344" i="23" s="1"/>
  <c r="L344" i="23" s="1"/>
  <c r="E344" i="23"/>
  <c r="J343" i="23"/>
  <c r="E343" i="23"/>
  <c r="K343" i="23" s="1"/>
  <c r="L343" i="23" s="1"/>
  <c r="J342" i="23"/>
  <c r="K342" i="23" s="1"/>
  <c r="L342" i="23" s="1"/>
  <c r="E342" i="23"/>
  <c r="L341" i="23"/>
  <c r="J341" i="23"/>
  <c r="E341" i="23"/>
  <c r="K341" i="23" s="1"/>
  <c r="L340" i="23"/>
  <c r="K340" i="23"/>
  <c r="J340" i="23"/>
  <c r="E340" i="23"/>
  <c r="J339" i="23"/>
  <c r="E339" i="23"/>
  <c r="K339" i="23" s="1"/>
  <c r="L339" i="23" s="1"/>
  <c r="L338" i="23"/>
  <c r="K338" i="23"/>
  <c r="J338" i="23"/>
  <c r="E338" i="23"/>
  <c r="J337" i="23"/>
  <c r="E337" i="23"/>
  <c r="K337" i="23" s="1"/>
  <c r="L337" i="23" s="1"/>
  <c r="L336" i="23"/>
  <c r="K336" i="23"/>
  <c r="J336" i="23"/>
  <c r="E336" i="23"/>
  <c r="J335" i="23"/>
  <c r="E335" i="23"/>
  <c r="J327" i="23"/>
  <c r="K327" i="23" s="1"/>
  <c r="L327" i="23" s="1"/>
  <c r="E327" i="23"/>
  <c r="J326" i="23"/>
  <c r="E326" i="23"/>
  <c r="K326" i="23" s="1"/>
  <c r="L326" i="23" s="1"/>
  <c r="K325" i="23"/>
  <c r="L325" i="23" s="1"/>
  <c r="J325" i="23"/>
  <c r="E325" i="23"/>
  <c r="K324" i="23"/>
  <c r="L324" i="23" s="1"/>
  <c r="J324" i="23"/>
  <c r="E324" i="23"/>
  <c r="K323" i="23"/>
  <c r="L323" i="23" s="1"/>
  <c r="J323" i="23"/>
  <c r="E323" i="23"/>
  <c r="J322" i="23"/>
  <c r="E322" i="23"/>
  <c r="K321" i="23"/>
  <c r="L321" i="23" s="1"/>
  <c r="J321" i="23"/>
  <c r="E321" i="23"/>
  <c r="K312" i="23"/>
  <c r="L312" i="23" s="1"/>
  <c r="J312" i="23"/>
  <c r="E312" i="23"/>
  <c r="F312" i="23" s="1"/>
  <c r="I311" i="23"/>
  <c r="J311" i="23" s="1"/>
  <c r="E311" i="23"/>
  <c r="F311" i="23" s="1"/>
  <c r="I310" i="23"/>
  <c r="J310" i="23" s="1"/>
  <c r="K310" i="23" s="1"/>
  <c r="L310" i="23" s="1"/>
  <c r="F310" i="23"/>
  <c r="E310" i="23"/>
  <c r="I309" i="23"/>
  <c r="J309" i="23" s="1"/>
  <c r="F309" i="23"/>
  <c r="K309" i="23" s="1"/>
  <c r="L309" i="23" s="1"/>
  <c r="E309" i="23"/>
  <c r="L308" i="23"/>
  <c r="K308" i="23"/>
  <c r="J308" i="23"/>
  <c r="I308" i="23"/>
  <c r="E308" i="23"/>
  <c r="F308" i="23" s="1"/>
  <c r="K307" i="23"/>
  <c r="L307" i="23" s="1"/>
  <c r="J307" i="23"/>
  <c r="I307" i="23"/>
  <c r="F307" i="23"/>
  <c r="E307" i="23"/>
  <c r="J306" i="23"/>
  <c r="E306" i="23"/>
  <c r="F306" i="23" s="1"/>
  <c r="K306" i="23" s="1"/>
  <c r="L306" i="23" s="1"/>
  <c r="K305" i="23"/>
  <c r="L305" i="23" s="1"/>
  <c r="J305" i="23"/>
  <c r="E305" i="23"/>
  <c r="F305" i="23" s="1"/>
  <c r="I304" i="23"/>
  <c r="J304" i="23" s="1"/>
  <c r="E304" i="23"/>
  <c r="F304" i="23" s="1"/>
  <c r="K304" i="23" s="1"/>
  <c r="L304" i="23" s="1"/>
  <c r="J303" i="23"/>
  <c r="K303" i="23" s="1"/>
  <c r="L303" i="23" s="1"/>
  <c r="F303" i="23"/>
  <c r="E303" i="23"/>
  <c r="J302" i="23"/>
  <c r="I302" i="23"/>
  <c r="E302" i="23"/>
  <c r="F302" i="23" s="1"/>
  <c r="K302" i="23" s="1"/>
  <c r="L302" i="23" s="1"/>
  <c r="J301" i="23"/>
  <c r="E301" i="23"/>
  <c r="F301" i="23" s="1"/>
  <c r="K301" i="23" s="1"/>
  <c r="L301" i="23" s="1"/>
  <c r="J300" i="23"/>
  <c r="K300" i="23" s="1"/>
  <c r="L300" i="23" s="1"/>
  <c r="I300" i="23"/>
  <c r="F300" i="23"/>
  <c r="E300" i="23"/>
  <c r="J299" i="23"/>
  <c r="F299" i="23"/>
  <c r="K299" i="23" s="1"/>
  <c r="L299" i="23" s="1"/>
  <c r="E299" i="23"/>
  <c r="K298" i="23"/>
  <c r="L298" i="23" s="1"/>
  <c r="J298" i="23"/>
  <c r="E298" i="23"/>
  <c r="F298" i="23" s="1"/>
  <c r="I297" i="23"/>
  <c r="J297" i="23" s="1"/>
  <c r="E297" i="23"/>
  <c r="F297" i="23" s="1"/>
  <c r="K297" i="23" s="1"/>
  <c r="L297" i="23" s="1"/>
  <c r="J296" i="23"/>
  <c r="E296" i="23"/>
  <c r="F296" i="23" s="1"/>
  <c r="K296" i="23" s="1"/>
  <c r="L296" i="23" s="1"/>
  <c r="L295" i="23"/>
  <c r="K295" i="23"/>
  <c r="J295" i="23"/>
  <c r="I295" i="23"/>
  <c r="F295" i="23"/>
  <c r="E295" i="23"/>
  <c r="J294" i="23"/>
  <c r="F294" i="23"/>
  <c r="K294" i="23" s="1"/>
  <c r="L294" i="23" s="1"/>
  <c r="E294" i="23"/>
  <c r="J293" i="23"/>
  <c r="E293" i="23"/>
  <c r="F293" i="23" s="1"/>
  <c r="K293" i="23" s="1"/>
  <c r="L293" i="23" s="1"/>
  <c r="J292" i="23"/>
  <c r="I292" i="23"/>
  <c r="F292" i="23"/>
  <c r="K292" i="23" s="1"/>
  <c r="L292" i="23" s="1"/>
  <c r="E292" i="23"/>
  <c r="I291" i="23"/>
  <c r="J291" i="23" s="1"/>
  <c r="F291" i="23"/>
  <c r="E291" i="23"/>
  <c r="J290" i="23"/>
  <c r="E290" i="23"/>
  <c r="F290" i="23" s="1"/>
  <c r="K290" i="23" s="1"/>
  <c r="L290" i="23" s="1"/>
  <c r="K289" i="23"/>
  <c r="L289" i="23" s="1"/>
  <c r="J289" i="23"/>
  <c r="I289" i="23"/>
  <c r="E289" i="23"/>
  <c r="F289" i="23" s="1"/>
  <c r="J288" i="23"/>
  <c r="I288" i="23"/>
  <c r="E288" i="23"/>
  <c r="F288" i="23" s="1"/>
  <c r="K288" i="23" s="1"/>
  <c r="L288" i="23" s="1"/>
  <c r="J287" i="23"/>
  <c r="I287" i="23"/>
  <c r="F287" i="23"/>
  <c r="E287" i="23"/>
  <c r="J286" i="23"/>
  <c r="E286" i="23"/>
  <c r="F286" i="23" s="1"/>
  <c r="K286" i="23" s="1"/>
  <c r="L286" i="23" s="1"/>
  <c r="K285" i="23"/>
  <c r="L285" i="23" s="1"/>
  <c r="J285" i="23"/>
  <c r="I285" i="23"/>
  <c r="F285" i="23"/>
  <c r="E285" i="23"/>
  <c r="J284" i="23"/>
  <c r="I284" i="23"/>
  <c r="F284" i="23"/>
  <c r="E284" i="23"/>
  <c r="J283" i="23"/>
  <c r="I283" i="23"/>
  <c r="E283" i="23"/>
  <c r="F283" i="23" s="1"/>
  <c r="K283" i="23" s="1"/>
  <c r="L283" i="23" s="1"/>
  <c r="L282" i="23"/>
  <c r="K282" i="23"/>
  <c r="J282" i="23"/>
  <c r="E282" i="23"/>
  <c r="F282" i="23" s="1"/>
  <c r="J281" i="23"/>
  <c r="F281" i="23"/>
  <c r="E281" i="23"/>
  <c r="J273" i="23"/>
  <c r="E273" i="23"/>
  <c r="F273" i="23" s="1"/>
  <c r="K273" i="23" s="1"/>
  <c r="L273" i="23" s="1"/>
  <c r="K272" i="23"/>
  <c r="L272" i="23" s="1"/>
  <c r="J272" i="23"/>
  <c r="I272" i="23"/>
  <c r="F272" i="23"/>
  <c r="E272" i="23"/>
  <c r="I271" i="23"/>
  <c r="J271" i="23" s="1"/>
  <c r="F271" i="23"/>
  <c r="E271" i="23"/>
  <c r="L270" i="23"/>
  <c r="I270" i="23"/>
  <c r="J270" i="23" s="1"/>
  <c r="E270" i="23"/>
  <c r="F270" i="23" s="1"/>
  <c r="K270" i="23" s="1"/>
  <c r="I269" i="23"/>
  <c r="J269" i="23" s="1"/>
  <c r="F269" i="23"/>
  <c r="K269" i="23" s="1"/>
  <c r="L269" i="23" s="1"/>
  <c r="E269" i="23"/>
  <c r="I268" i="23"/>
  <c r="J268" i="23" s="1"/>
  <c r="F268" i="23"/>
  <c r="E268" i="23"/>
  <c r="I267" i="23"/>
  <c r="J267" i="23" s="1"/>
  <c r="E267" i="23"/>
  <c r="F267" i="23" s="1"/>
  <c r="K267" i="23" s="1"/>
  <c r="L267" i="23" s="1"/>
  <c r="J266" i="23"/>
  <c r="K266" i="23" s="1"/>
  <c r="L266" i="23" s="1"/>
  <c r="F266" i="23"/>
  <c r="E266" i="23"/>
  <c r="I265" i="23"/>
  <c r="J265" i="23" s="1"/>
  <c r="E265" i="23"/>
  <c r="F265" i="23" s="1"/>
  <c r="K265" i="23" s="1"/>
  <c r="L265" i="23" s="1"/>
  <c r="J264" i="23"/>
  <c r="E264" i="23"/>
  <c r="F264" i="23" s="1"/>
  <c r="K264" i="23" s="1"/>
  <c r="L264" i="23" s="1"/>
  <c r="I263" i="23"/>
  <c r="J263" i="23" s="1"/>
  <c r="E263" i="23"/>
  <c r="F263" i="23" s="1"/>
  <c r="I262" i="23"/>
  <c r="J262" i="23" s="1"/>
  <c r="F262" i="23"/>
  <c r="E262" i="23"/>
  <c r="J261" i="23"/>
  <c r="F261" i="23"/>
  <c r="K261" i="23" s="1"/>
  <c r="L261" i="23" s="1"/>
  <c r="E261" i="23"/>
  <c r="L260" i="23"/>
  <c r="K260" i="23"/>
  <c r="J260" i="23"/>
  <c r="E260" i="23"/>
  <c r="F260" i="23" s="1"/>
  <c r="J259" i="23"/>
  <c r="I259" i="23"/>
  <c r="F259" i="23"/>
  <c r="K259" i="23" s="1"/>
  <c r="L259" i="23" s="1"/>
  <c r="E259" i="23"/>
  <c r="I258" i="23"/>
  <c r="J258" i="23" s="1"/>
  <c r="E258" i="23"/>
  <c r="F258" i="23" s="1"/>
  <c r="I257" i="23"/>
  <c r="J257" i="23" s="1"/>
  <c r="F257" i="23"/>
  <c r="E257" i="23"/>
  <c r="J256" i="23"/>
  <c r="I256" i="23"/>
  <c r="E256" i="23"/>
  <c r="F256" i="23" s="1"/>
  <c r="K256" i="23" s="1"/>
  <c r="L256" i="23" s="1"/>
  <c r="J255" i="23"/>
  <c r="I255" i="23"/>
  <c r="E255" i="23"/>
  <c r="F255" i="23" s="1"/>
  <c r="K255" i="23" s="1"/>
  <c r="L255" i="23" s="1"/>
  <c r="J254" i="23"/>
  <c r="I254" i="23"/>
  <c r="F254" i="23"/>
  <c r="E254" i="23"/>
  <c r="I253" i="23"/>
  <c r="J253" i="23" s="1"/>
  <c r="E253" i="23"/>
  <c r="F253" i="23" s="1"/>
  <c r="K253" i="23" s="1"/>
  <c r="L253" i="23" s="1"/>
  <c r="L252" i="23"/>
  <c r="K252" i="23"/>
  <c r="J252" i="23"/>
  <c r="F252" i="23"/>
  <c r="E252" i="23"/>
  <c r="J251" i="23"/>
  <c r="I251" i="23"/>
  <c r="E251" i="23"/>
  <c r="F251" i="23" s="1"/>
  <c r="K251" i="23" s="1"/>
  <c r="L251" i="23" s="1"/>
  <c r="J250" i="23"/>
  <c r="I250" i="23"/>
  <c r="E250" i="23"/>
  <c r="F250" i="23" s="1"/>
  <c r="J249" i="23"/>
  <c r="I249" i="23"/>
  <c r="E249" i="23"/>
  <c r="F249" i="23" s="1"/>
  <c r="K249" i="23" s="1"/>
  <c r="L249" i="23" s="1"/>
  <c r="I248" i="23"/>
  <c r="J248" i="23" s="1"/>
  <c r="F248" i="23"/>
  <c r="E248" i="23"/>
  <c r="I247" i="23"/>
  <c r="J247" i="23" s="1"/>
  <c r="K247" i="23" s="1"/>
  <c r="L247" i="23" s="1"/>
  <c r="F247" i="23"/>
  <c r="E247" i="23"/>
  <c r="I246" i="23"/>
  <c r="J246" i="23" s="1"/>
  <c r="F246" i="23"/>
  <c r="E246" i="23"/>
  <c r="J245" i="23"/>
  <c r="E245" i="23"/>
  <c r="F245" i="23" s="1"/>
  <c r="K245" i="23" s="1"/>
  <c r="K235" i="23"/>
  <c r="L235" i="23" s="1"/>
  <c r="I235" i="23"/>
  <c r="J235" i="23" s="1"/>
  <c r="E235" i="23"/>
  <c r="F235" i="23" s="1"/>
  <c r="J234" i="23"/>
  <c r="F234" i="23"/>
  <c r="K234" i="23" s="1"/>
  <c r="L234" i="23" s="1"/>
  <c r="E234" i="23"/>
  <c r="J233" i="23"/>
  <c r="I233" i="23"/>
  <c r="F233" i="23"/>
  <c r="K233" i="23" s="1"/>
  <c r="L233" i="23" s="1"/>
  <c r="E233" i="23"/>
  <c r="J232" i="23"/>
  <c r="F232" i="23"/>
  <c r="E232" i="23"/>
  <c r="J231" i="23"/>
  <c r="K231" i="23" s="1"/>
  <c r="L231" i="23" s="1"/>
  <c r="F231" i="23"/>
  <c r="E231" i="23"/>
  <c r="J230" i="23"/>
  <c r="E230" i="23"/>
  <c r="F230" i="23" s="1"/>
  <c r="K230" i="23" s="1"/>
  <c r="L230" i="23" s="1"/>
  <c r="I229" i="23"/>
  <c r="J229" i="23" s="1"/>
  <c r="E229" i="23"/>
  <c r="F229" i="23" s="1"/>
  <c r="J228" i="23"/>
  <c r="F228" i="23"/>
  <c r="K228" i="23" s="1"/>
  <c r="L228" i="23" s="1"/>
  <c r="E228" i="23"/>
  <c r="J227" i="23"/>
  <c r="K227" i="23" s="1"/>
  <c r="L227" i="23" s="1"/>
  <c r="F227" i="23"/>
  <c r="E227" i="23"/>
  <c r="I226" i="23"/>
  <c r="J226" i="23" s="1"/>
  <c r="F226" i="23"/>
  <c r="E226" i="23"/>
  <c r="I225" i="23"/>
  <c r="J225" i="23" s="1"/>
  <c r="E225" i="23"/>
  <c r="F225" i="23" s="1"/>
  <c r="L224" i="23"/>
  <c r="K224" i="23"/>
  <c r="J224" i="23"/>
  <c r="I224" i="23"/>
  <c r="F224" i="23"/>
  <c r="E224" i="23"/>
  <c r="J216" i="23"/>
  <c r="K216" i="23" s="1"/>
  <c r="L216" i="23" s="1"/>
  <c r="E216" i="23"/>
  <c r="J215" i="23"/>
  <c r="E215" i="23"/>
  <c r="K215" i="23" s="1"/>
  <c r="L215" i="23" s="1"/>
  <c r="J214" i="23"/>
  <c r="E214" i="23"/>
  <c r="K214" i="23" s="1"/>
  <c r="L214" i="23" s="1"/>
  <c r="J213" i="23"/>
  <c r="E213" i="23"/>
  <c r="J212" i="23"/>
  <c r="I212" i="23"/>
  <c r="E212" i="23"/>
  <c r="K211" i="23"/>
  <c r="L211" i="23" s="1"/>
  <c r="J211" i="23"/>
  <c r="I211" i="23"/>
  <c r="E211" i="23"/>
  <c r="K210" i="23"/>
  <c r="L210" i="23" s="1"/>
  <c r="J210" i="23"/>
  <c r="I210" i="23"/>
  <c r="E210" i="23"/>
  <c r="I209" i="23"/>
  <c r="J209" i="23" s="1"/>
  <c r="E209" i="23"/>
  <c r="K209" i="23" s="1"/>
  <c r="L209" i="23" s="1"/>
  <c r="J208" i="23"/>
  <c r="E208" i="23"/>
  <c r="K208" i="23" s="1"/>
  <c r="L208" i="23" s="1"/>
  <c r="I207" i="23"/>
  <c r="J207" i="23" s="1"/>
  <c r="E207" i="23"/>
  <c r="J206" i="23"/>
  <c r="E206" i="23"/>
  <c r="I205" i="23"/>
  <c r="J205" i="23" s="1"/>
  <c r="K205" i="23" s="1"/>
  <c r="L205" i="23" s="1"/>
  <c r="E205" i="23"/>
  <c r="L204" i="23"/>
  <c r="K204" i="23"/>
  <c r="J204" i="23"/>
  <c r="E204" i="23"/>
  <c r="K203" i="23"/>
  <c r="L203" i="23" s="1"/>
  <c r="J203" i="23"/>
  <c r="E203" i="23"/>
  <c r="J196" i="23"/>
  <c r="K196" i="23" s="1"/>
  <c r="L196" i="23" s="1"/>
  <c r="I196" i="23"/>
  <c r="E196" i="23"/>
  <c r="J195" i="23"/>
  <c r="K195" i="23" s="1"/>
  <c r="L195" i="23" s="1"/>
  <c r="I195" i="23"/>
  <c r="E195" i="23"/>
  <c r="I194" i="23"/>
  <c r="J194" i="23" s="1"/>
  <c r="E194" i="23"/>
  <c r="K193" i="23"/>
  <c r="L193" i="23" s="1"/>
  <c r="J193" i="23"/>
  <c r="E193" i="23"/>
  <c r="J192" i="23"/>
  <c r="E192" i="23"/>
  <c r="K192" i="23" s="1"/>
  <c r="L192" i="23" s="1"/>
  <c r="J191" i="23"/>
  <c r="K191" i="23" s="1"/>
  <c r="L191" i="23" s="1"/>
  <c r="I191" i="23"/>
  <c r="E191" i="23"/>
  <c r="I190" i="23"/>
  <c r="J190" i="23" s="1"/>
  <c r="E190" i="23"/>
  <c r="K190" i="23" s="1"/>
  <c r="L190" i="23" s="1"/>
  <c r="L189" i="23"/>
  <c r="K189" i="23"/>
  <c r="J189" i="23"/>
  <c r="E189" i="23"/>
  <c r="J188" i="23"/>
  <c r="I188" i="23"/>
  <c r="E188" i="23"/>
  <c r="L187" i="23"/>
  <c r="I187" i="23"/>
  <c r="J187" i="23" s="1"/>
  <c r="E187" i="23"/>
  <c r="K187" i="23" s="1"/>
  <c r="K186" i="23"/>
  <c r="L186" i="23" s="1"/>
  <c r="J186" i="23"/>
  <c r="E186" i="23"/>
  <c r="L185" i="23"/>
  <c r="J185" i="23"/>
  <c r="I185" i="23"/>
  <c r="E185" i="23"/>
  <c r="K185" i="23" s="1"/>
  <c r="K184" i="23"/>
  <c r="L184" i="23" s="1"/>
  <c r="J184" i="23"/>
  <c r="I184" i="23"/>
  <c r="E184" i="23"/>
  <c r="E198" i="23" s="1"/>
  <c r="J183" i="23"/>
  <c r="I183" i="23"/>
  <c r="E183" i="23"/>
  <c r="E175" i="23"/>
  <c r="J173" i="23"/>
  <c r="E173" i="23"/>
  <c r="J172" i="23"/>
  <c r="E172" i="23"/>
  <c r="K172" i="23" s="1"/>
  <c r="L172" i="23" s="1"/>
  <c r="J171" i="23"/>
  <c r="E171" i="23"/>
  <c r="K171" i="23" s="1"/>
  <c r="L171" i="23" s="1"/>
  <c r="K170" i="23"/>
  <c r="L170" i="23" s="1"/>
  <c r="J170" i="23"/>
  <c r="E170" i="23"/>
  <c r="I169" i="23"/>
  <c r="J169" i="23" s="1"/>
  <c r="E169" i="23"/>
  <c r="J168" i="23"/>
  <c r="K168" i="23" s="1"/>
  <c r="E168" i="23"/>
  <c r="K160" i="23"/>
  <c r="L160" i="23" s="1"/>
  <c r="J160" i="23"/>
  <c r="I160" i="23"/>
  <c r="E160" i="23"/>
  <c r="F160" i="23" s="1"/>
  <c r="I159" i="23"/>
  <c r="J159" i="23" s="1"/>
  <c r="F159" i="23"/>
  <c r="K159" i="23" s="1"/>
  <c r="L159" i="23" s="1"/>
  <c r="E159" i="23"/>
  <c r="K158" i="23"/>
  <c r="L158" i="23" s="1"/>
  <c r="J158" i="23"/>
  <c r="I158" i="23"/>
  <c r="E158" i="23"/>
  <c r="F158" i="23" s="1"/>
  <c r="J157" i="23"/>
  <c r="E157" i="23"/>
  <c r="F157" i="23" s="1"/>
  <c r="K157" i="23" s="1"/>
  <c r="L157" i="23" s="1"/>
  <c r="I156" i="23"/>
  <c r="J156" i="23" s="1"/>
  <c r="K156" i="23" s="1"/>
  <c r="L156" i="23" s="1"/>
  <c r="F156" i="23"/>
  <c r="E156" i="23"/>
  <c r="J155" i="23"/>
  <c r="I155" i="23"/>
  <c r="E155" i="23"/>
  <c r="F155" i="23" s="1"/>
  <c r="K155" i="23" s="1"/>
  <c r="L155" i="23" s="1"/>
  <c r="J154" i="23"/>
  <c r="I154" i="23"/>
  <c r="F154" i="23"/>
  <c r="E154" i="23"/>
  <c r="J153" i="23"/>
  <c r="I153" i="23"/>
  <c r="E153" i="23"/>
  <c r="F153" i="23" s="1"/>
  <c r="K153" i="23" s="1"/>
  <c r="L153" i="23" s="1"/>
  <c r="L152" i="23"/>
  <c r="K152" i="23"/>
  <c r="J152" i="23"/>
  <c r="F152" i="23"/>
  <c r="E152" i="23"/>
  <c r="J151" i="23"/>
  <c r="E151" i="23"/>
  <c r="F151" i="23" s="1"/>
  <c r="K151" i="23" s="1"/>
  <c r="L151" i="23" s="1"/>
  <c r="L150" i="23"/>
  <c r="J150" i="23"/>
  <c r="I150" i="23"/>
  <c r="E150" i="23"/>
  <c r="F150" i="23" s="1"/>
  <c r="K150" i="23" s="1"/>
  <c r="J149" i="23"/>
  <c r="K149" i="23" s="1"/>
  <c r="L149" i="23" s="1"/>
  <c r="F149" i="23"/>
  <c r="E149" i="23"/>
  <c r="J148" i="23"/>
  <c r="F148" i="23"/>
  <c r="K148" i="23" s="1"/>
  <c r="L148" i="23" s="1"/>
  <c r="E148" i="23"/>
  <c r="K147" i="23"/>
  <c r="L147" i="23" s="1"/>
  <c r="J147" i="23"/>
  <c r="E147" i="23"/>
  <c r="F147" i="23" s="1"/>
  <c r="J146" i="23"/>
  <c r="K146" i="23" s="1"/>
  <c r="L146" i="23" s="1"/>
  <c r="I146" i="23"/>
  <c r="F146" i="23"/>
  <c r="E146" i="23"/>
  <c r="J145" i="23"/>
  <c r="I145" i="23"/>
  <c r="E145" i="23"/>
  <c r="F145" i="23" s="1"/>
  <c r="K145" i="23" s="1"/>
  <c r="L145" i="23" s="1"/>
  <c r="I144" i="23"/>
  <c r="J144" i="23" s="1"/>
  <c r="E144" i="23"/>
  <c r="F144" i="23" s="1"/>
  <c r="K144" i="23" s="1"/>
  <c r="L144" i="23" s="1"/>
  <c r="J143" i="23"/>
  <c r="K143" i="23" s="1"/>
  <c r="L143" i="23" s="1"/>
  <c r="F143" i="23"/>
  <c r="E143" i="23"/>
  <c r="K142" i="23"/>
  <c r="L142" i="23" s="1"/>
  <c r="J142" i="23"/>
  <c r="F142" i="23"/>
  <c r="E142" i="23"/>
  <c r="I141" i="23"/>
  <c r="J141" i="23" s="1"/>
  <c r="F141" i="23"/>
  <c r="K141" i="23" s="1"/>
  <c r="L141" i="23" s="1"/>
  <c r="E141" i="23"/>
  <c r="L140" i="23"/>
  <c r="K140" i="23"/>
  <c r="J140" i="23"/>
  <c r="F140" i="23"/>
  <c r="E140" i="23"/>
  <c r="K139" i="23"/>
  <c r="L139" i="23" s="1"/>
  <c r="J139" i="23"/>
  <c r="F139" i="23"/>
  <c r="E139" i="23"/>
  <c r="J138" i="23"/>
  <c r="E138" i="23"/>
  <c r="F138" i="23" s="1"/>
  <c r="K138" i="23" s="1"/>
  <c r="L138" i="23" s="1"/>
  <c r="I137" i="23"/>
  <c r="J137" i="23" s="1"/>
  <c r="K137" i="23" s="1"/>
  <c r="L137" i="23" s="1"/>
  <c r="F137" i="23"/>
  <c r="E137" i="23"/>
  <c r="I136" i="23"/>
  <c r="J136" i="23" s="1"/>
  <c r="E136" i="23"/>
  <c r="F136" i="23" s="1"/>
  <c r="K136" i="23" s="1"/>
  <c r="L136" i="23" s="1"/>
  <c r="J135" i="23"/>
  <c r="I135" i="23"/>
  <c r="E135" i="23"/>
  <c r="F135" i="23" s="1"/>
  <c r="K135" i="23" s="1"/>
  <c r="L135" i="23" s="1"/>
  <c r="K134" i="23"/>
  <c r="L134" i="23" s="1"/>
  <c r="J134" i="23"/>
  <c r="E134" i="23"/>
  <c r="F134" i="23" s="1"/>
  <c r="J133" i="23"/>
  <c r="I133" i="23"/>
  <c r="F133" i="23"/>
  <c r="E133" i="23"/>
  <c r="J132" i="23"/>
  <c r="I132" i="23"/>
  <c r="E132" i="23"/>
  <c r="F132" i="23" s="1"/>
  <c r="J131" i="23"/>
  <c r="E131" i="23"/>
  <c r="F131" i="23" s="1"/>
  <c r="K131" i="23" s="1"/>
  <c r="L131" i="23" s="1"/>
  <c r="J130" i="23"/>
  <c r="F130" i="23"/>
  <c r="K130" i="23" s="1"/>
  <c r="L130" i="23" s="1"/>
  <c r="E130" i="23"/>
  <c r="J129" i="23"/>
  <c r="E129" i="23"/>
  <c r="J119" i="23"/>
  <c r="F119" i="23"/>
  <c r="K119" i="23" s="1"/>
  <c r="L119" i="23" s="1"/>
  <c r="E119" i="23"/>
  <c r="I118" i="23"/>
  <c r="J118" i="23" s="1"/>
  <c r="E118" i="23"/>
  <c r="F118" i="23" s="1"/>
  <c r="K118" i="23" s="1"/>
  <c r="L118" i="23" s="1"/>
  <c r="K117" i="23"/>
  <c r="L117" i="23" s="1"/>
  <c r="J117" i="23"/>
  <c r="F117" i="23"/>
  <c r="E117" i="23"/>
  <c r="I116" i="23"/>
  <c r="J116" i="23" s="1"/>
  <c r="E116" i="23"/>
  <c r="F116" i="23" s="1"/>
  <c r="K116" i="23" s="1"/>
  <c r="L116" i="23" s="1"/>
  <c r="J115" i="23"/>
  <c r="F115" i="23"/>
  <c r="E115" i="23"/>
  <c r="J114" i="23"/>
  <c r="I114" i="23"/>
  <c r="E114" i="23"/>
  <c r="F114" i="23" s="1"/>
  <c r="K114" i="23" s="1"/>
  <c r="L114" i="23" s="1"/>
  <c r="J113" i="23"/>
  <c r="E113" i="23"/>
  <c r="F113" i="23" s="1"/>
  <c r="K113" i="23" s="1"/>
  <c r="L113" i="23" s="1"/>
  <c r="J112" i="23"/>
  <c r="E112" i="23"/>
  <c r="F112" i="23" s="1"/>
  <c r="K112" i="23" s="1"/>
  <c r="L112" i="23" s="1"/>
  <c r="J111" i="23"/>
  <c r="I111" i="23"/>
  <c r="E111" i="23"/>
  <c r="F111" i="23" s="1"/>
  <c r="K111" i="23" s="1"/>
  <c r="L111" i="23" s="1"/>
  <c r="I110" i="23"/>
  <c r="J110" i="23" s="1"/>
  <c r="F110" i="23"/>
  <c r="K110" i="23" s="1"/>
  <c r="L110" i="23" s="1"/>
  <c r="E110" i="23"/>
  <c r="J109" i="23"/>
  <c r="F109" i="23"/>
  <c r="E109" i="23"/>
  <c r="K108" i="23"/>
  <c r="L108" i="23" s="1"/>
  <c r="J108" i="23"/>
  <c r="E108" i="23"/>
  <c r="F108" i="23" s="1"/>
  <c r="J107" i="23"/>
  <c r="F107" i="23"/>
  <c r="K107" i="23" s="1"/>
  <c r="L107" i="23" s="1"/>
  <c r="E107" i="23"/>
  <c r="J106" i="23"/>
  <c r="F106" i="23"/>
  <c r="K106" i="23" s="1"/>
  <c r="L106" i="23" s="1"/>
  <c r="E106" i="23"/>
  <c r="J105" i="23"/>
  <c r="I105" i="23"/>
  <c r="E105" i="23"/>
  <c r="F105" i="23" s="1"/>
  <c r="K105" i="23" s="1"/>
  <c r="L105" i="23" s="1"/>
  <c r="J104" i="23"/>
  <c r="I104" i="23"/>
  <c r="F104" i="23"/>
  <c r="K104" i="23" s="1"/>
  <c r="L104" i="23" s="1"/>
  <c r="E104" i="23"/>
  <c r="J103" i="23"/>
  <c r="K103" i="23" s="1"/>
  <c r="L103" i="23" s="1"/>
  <c r="F103" i="23"/>
  <c r="E103" i="23"/>
  <c r="J102" i="23"/>
  <c r="I102" i="23"/>
  <c r="E102" i="23"/>
  <c r="F102" i="23" s="1"/>
  <c r="K102" i="23" s="1"/>
  <c r="L102" i="23" s="1"/>
  <c r="K101" i="23"/>
  <c r="L101" i="23" s="1"/>
  <c r="J101" i="23"/>
  <c r="I101" i="23"/>
  <c r="F101" i="23"/>
  <c r="E101" i="23"/>
  <c r="K100" i="23"/>
  <c r="L100" i="23" s="1"/>
  <c r="J100" i="23"/>
  <c r="I100" i="23"/>
  <c r="F100" i="23"/>
  <c r="E100" i="23"/>
  <c r="I99" i="23"/>
  <c r="J99" i="23" s="1"/>
  <c r="E99" i="23"/>
  <c r="F99" i="23" s="1"/>
  <c r="K99" i="23" s="1"/>
  <c r="L99" i="23" s="1"/>
  <c r="L98" i="23"/>
  <c r="K98" i="23"/>
  <c r="J98" i="23"/>
  <c r="I98" i="23"/>
  <c r="E98" i="23"/>
  <c r="F98" i="23" s="1"/>
  <c r="J97" i="23"/>
  <c r="F97" i="23"/>
  <c r="K97" i="23" s="1"/>
  <c r="L97" i="23" s="1"/>
  <c r="E97" i="23"/>
  <c r="I96" i="23"/>
  <c r="J96" i="23" s="1"/>
  <c r="E96" i="23"/>
  <c r="F96" i="23" s="1"/>
  <c r="I95" i="23"/>
  <c r="J95" i="23" s="1"/>
  <c r="F95" i="23"/>
  <c r="E95" i="23"/>
  <c r="J94" i="23"/>
  <c r="I94" i="23"/>
  <c r="E94" i="23"/>
  <c r="F94" i="23" s="1"/>
  <c r="K94" i="23" s="1"/>
  <c r="L94" i="23" s="1"/>
  <c r="I93" i="23"/>
  <c r="J93" i="23" s="1"/>
  <c r="F93" i="23"/>
  <c r="E93" i="23"/>
  <c r="I92" i="23"/>
  <c r="J92" i="23" s="1"/>
  <c r="K92" i="23" s="1"/>
  <c r="L92" i="23" s="1"/>
  <c r="F92" i="23"/>
  <c r="E92" i="23"/>
  <c r="L91" i="23"/>
  <c r="J91" i="23"/>
  <c r="E91" i="23"/>
  <c r="F91" i="23" s="1"/>
  <c r="K91" i="23" s="1"/>
  <c r="K90" i="23"/>
  <c r="L90" i="23" s="1"/>
  <c r="J90" i="23"/>
  <c r="F90" i="23"/>
  <c r="E90" i="23"/>
  <c r="J89" i="23"/>
  <c r="E89" i="23"/>
  <c r="I79" i="23"/>
  <c r="J79" i="23" s="1"/>
  <c r="K79" i="23" s="1"/>
  <c r="L79" i="23" s="1"/>
  <c r="F79" i="23"/>
  <c r="E79" i="23"/>
  <c r="J78" i="23"/>
  <c r="I78" i="23"/>
  <c r="E78" i="23"/>
  <c r="F78" i="23" s="1"/>
  <c r="K78" i="23" s="1"/>
  <c r="L78" i="23" s="1"/>
  <c r="K77" i="23"/>
  <c r="L77" i="23" s="1"/>
  <c r="J77" i="23"/>
  <c r="I77" i="23"/>
  <c r="F77" i="23"/>
  <c r="E77" i="23"/>
  <c r="J76" i="23"/>
  <c r="F76" i="23"/>
  <c r="E76" i="23"/>
  <c r="K75" i="23"/>
  <c r="L75" i="23" s="1"/>
  <c r="J75" i="23"/>
  <c r="I75" i="23"/>
  <c r="E75" i="23"/>
  <c r="F75" i="23" s="1"/>
  <c r="I74" i="23"/>
  <c r="J74" i="23" s="1"/>
  <c r="F74" i="23"/>
  <c r="K74" i="23" s="1"/>
  <c r="L74" i="23" s="1"/>
  <c r="E74" i="23"/>
  <c r="L73" i="23"/>
  <c r="K73" i="23"/>
  <c r="J73" i="23"/>
  <c r="F73" i="23"/>
  <c r="E73" i="23"/>
  <c r="K72" i="23"/>
  <c r="L72" i="23" s="1"/>
  <c r="J72" i="23"/>
  <c r="I72" i="23"/>
  <c r="F72" i="23"/>
  <c r="E72" i="23"/>
  <c r="I71" i="23"/>
  <c r="J71" i="23" s="1"/>
  <c r="E71" i="23"/>
  <c r="F71" i="23" s="1"/>
  <c r="K71" i="23" s="1"/>
  <c r="L71" i="23" s="1"/>
  <c r="L70" i="23"/>
  <c r="K70" i="23"/>
  <c r="J70" i="23"/>
  <c r="I70" i="23"/>
  <c r="E70" i="23"/>
  <c r="F70" i="23" s="1"/>
  <c r="J69" i="23"/>
  <c r="F69" i="23"/>
  <c r="K69" i="23" s="1"/>
  <c r="L69" i="23" s="1"/>
  <c r="E69" i="23"/>
  <c r="J68" i="23"/>
  <c r="E68" i="23"/>
  <c r="F68" i="23" s="1"/>
  <c r="K68" i="23" s="1"/>
  <c r="L68" i="23" s="1"/>
  <c r="K67" i="23"/>
  <c r="L67" i="23" s="1"/>
  <c r="J67" i="23"/>
  <c r="E67" i="23"/>
  <c r="F67" i="23" s="1"/>
  <c r="J66" i="23"/>
  <c r="E66" i="23"/>
  <c r="F66" i="23" s="1"/>
  <c r="K66" i="23" s="1"/>
  <c r="L66" i="23" s="1"/>
  <c r="J65" i="23"/>
  <c r="F65" i="23"/>
  <c r="K65" i="23" s="1"/>
  <c r="L65" i="23" s="1"/>
  <c r="E65" i="23"/>
  <c r="K64" i="23"/>
  <c r="L64" i="23" s="1"/>
  <c r="J64" i="23"/>
  <c r="F64" i="23"/>
  <c r="E64" i="23"/>
  <c r="K63" i="23"/>
  <c r="L63" i="23" s="1"/>
  <c r="J63" i="23"/>
  <c r="I63" i="23"/>
  <c r="F63" i="23"/>
  <c r="E63" i="23"/>
  <c r="I62" i="23"/>
  <c r="J62" i="23" s="1"/>
  <c r="E62" i="23"/>
  <c r="F62" i="23" s="1"/>
  <c r="K62" i="23" s="1"/>
  <c r="L62" i="23" s="1"/>
  <c r="J61" i="23"/>
  <c r="I61" i="23"/>
  <c r="F61" i="23"/>
  <c r="K61" i="23" s="1"/>
  <c r="L61" i="23" s="1"/>
  <c r="E61" i="23"/>
  <c r="K60" i="23"/>
  <c r="L60" i="23" s="1"/>
  <c r="J60" i="23"/>
  <c r="I60" i="23"/>
  <c r="F60" i="23"/>
  <c r="E60" i="23"/>
  <c r="L59" i="23"/>
  <c r="I59" i="23"/>
  <c r="J59" i="23" s="1"/>
  <c r="K59" i="23" s="1"/>
  <c r="F59" i="23"/>
  <c r="E59" i="23"/>
  <c r="I58" i="23"/>
  <c r="J58" i="23" s="1"/>
  <c r="F58" i="23"/>
  <c r="E58" i="23"/>
  <c r="K57" i="23"/>
  <c r="L57" i="23" s="1"/>
  <c r="J57" i="23"/>
  <c r="E57" i="23"/>
  <c r="F57" i="23" s="1"/>
  <c r="J56" i="23"/>
  <c r="K56" i="23" s="1"/>
  <c r="L56" i="23" s="1"/>
  <c r="F56" i="23"/>
  <c r="E56" i="23"/>
  <c r="J55" i="23"/>
  <c r="F55" i="23"/>
  <c r="E55" i="23"/>
  <c r="J54" i="23"/>
  <c r="K54" i="23" s="1"/>
  <c r="L54" i="23" s="1"/>
  <c r="I54" i="23"/>
  <c r="E54" i="23"/>
  <c r="F54" i="23" s="1"/>
  <c r="I53" i="23"/>
  <c r="J53" i="23" s="1"/>
  <c r="F53" i="23"/>
  <c r="K53" i="23" s="1"/>
  <c r="L53" i="23" s="1"/>
  <c r="E53" i="23"/>
  <c r="J52" i="23"/>
  <c r="K52" i="23" s="1"/>
  <c r="L52" i="23" s="1"/>
  <c r="I52" i="23"/>
  <c r="F52" i="23"/>
  <c r="E52" i="23"/>
  <c r="I51" i="23"/>
  <c r="J51" i="23" s="1"/>
  <c r="E51" i="23"/>
  <c r="F51" i="23" s="1"/>
  <c r="K51" i="23" s="1"/>
  <c r="L51" i="23" s="1"/>
  <c r="L50" i="23"/>
  <c r="K50" i="23"/>
  <c r="J50" i="23"/>
  <c r="F50" i="23"/>
  <c r="E50" i="23"/>
  <c r="J49" i="23"/>
  <c r="F49" i="23"/>
  <c r="K49" i="23" s="1"/>
  <c r="L49" i="23" s="1"/>
  <c r="E49" i="23"/>
  <c r="J48" i="23"/>
  <c r="E48" i="23"/>
  <c r="F48" i="23" s="1"/>
  <c r="K48" i="23" s="1"/>
  <c r="L48" i="23" s="1"/>
  <c r="L47" i="23"/>
  <c r="K47" i="23"/>
  <c r="J47" i="23"/>
  <c r="F47" i="23"/>
  <c r="E47" i="23"/>
  <c r="I39" i="23"/>
  <c r="J39" i="23" s="1"/>
  <c r="K39" i="23" s="1"/>
  <c r="L39" i="23" s="1"/>
  <c r="E39" i="23"/>
  <c r="F39" i="23" s="1"/>
  <c r="I38" i="23"/>
  <c r="J38" i="23" s="1"/>
  <c r="E38" i="23"/>
  <c r="F38" i="23" s="1"/>
  <c r="J37" i="23"/>
  <c r="K37" i="23" s="1"/>
  <c r="L37" i="23" s="1"/>
  <c r="I37" i="23"/>
  <c r="F37" i="23"/>
  <c r="E37" i="23"/>
  <c r="I36" i="23"/>
  <c r="J36" i="23" s="1"/>
  <c r="F36" i="23"/>
  <c r="E36" i="23"/>
  <c r="K35" i="23"/>
  <c r="L35" i="23" s="1"/>
  <c r="J35" i="23"/>
  <c r="I35" i="23"/>
  <c r="E35" i="23"/>
  <c r="F35" i="23" s="1"/>
  <c r="J34" i="23"/>
  <c r="K34" i="23" s="1"/>
  <c r="L34" i="23" s="1"/>
  <c r="I34" i="23"/>
  <c r="F34" i="23"/>
  <c r="E34" i="23"/>
  <c r="I33" i="23"/>
  <c r="J33" i="23" s="1"/>
  <c r="E33" i="23"/>
  <c r="F33" i="23" s="1"/>
  <c r="K33" i="23" s="1"/>
  <c r="L33" i="23" s="1"/>
  <c r="I32" i="23"/>
  <c r="J32" i="23" s="1"/>
  <c r="K32" i="23" s="1"/>
  <c r="L32" i="23" s="1"/>
  <c r="F32" i="23"/>
  <c r="E32" i="23"/>
  <c r="J31" i="23"/>
  <c r="I31" i="23"/>
  <c r="E31" i="23"/>
  <c r="F31" i="23" s="1"/>
  <c r="K31" i="23" s="1"/>
  <c r="L31" i="23" s="1"/>
  <c r="I30" i="23"/>
  <c r="J30" i="23" s="1"/>
  <c r="E30" i="23"/>
  <c r="F30" i="23" s="1"/>
  <c r="K30" i="23" s="1"/>
  <c r="L30" i="23" s="1"/>
  <c r="J29" i="23"/>
  <c r="I29" i="23"/>
  <c r="F29" i="23"/>
  <c r="E29" i="23"/>
  <c r="J28" i="23"/>
  <c r="E28" i="23"/>
  <c r="F28" i="23" s="1"/>
  <c r="K28" i="23" s="1"/>
  <c r="L28" i="23" s="1"/>
  <c r="K27" i="23"/>
  <c r="L27" i="23" s="1"/>
  <c r="J27" i="23"/>
  <c r="I27" i="23"/>
  <c r="F27" i="23"/>
  <c r="E27" i="23"/>
  <c r="I26" i="23"/>
  <c r="J26" i="23" s="1"/>
  <c r="E26" i="23"/>
  <c r="F26" i="23" s="1"/>
  <c r="K26" i="23" s="1"/>
  <c r="L26" i="23" s="1"/>
  <c r="J25" i="23"/>
  <c r="I25" i="23"/>
  <c r="E25" i="23"/>
  <c r="F25" i="23" s="1"/>
  <c r="K25" i="23" s="1"/>
  <c r="L25" i="23" s="1"/>
  <c r="J24" i="23"/>
  <c r="K24" i="23" s="1"/>
  <c r="L24" i="23" s="1"/>
  <c r="I24" i="23"/>
  <c r="F24" i="23"/>
  <c r="E24" i="23"/>
  <c r="J23" i="23"/>
  <c r="E23" i="23"/>
  <c r="F23" i="23" s="1"/>
  <c r="K23" i="23" s="1"/>
  <c r="L23" i="23" s="1"/>
  <c r="J22" i="23"/>
  <c r="I22" i="23"/>
  <c r="E22" i="23"/>
  <c r="F22" i="23" s="1"/>
  <c r="K22" i="23" s="1"/>
  <c r="L22" i="23" s="1"/>
  <c r="L21" i="23"/>
  <c r="K21" i="23"/>
  <c r="J21" i="23"/>
  <c r="F21" i="23"/>
  <c r="E21" i="23"/>
  <c r="I20" i="23"/>
  <c r="J20" i="23" s="1"/>
  <c r="F20" i="23"/>
  <c r="K20" i="23" s="1"/>
  <c r="L20" i="23" s="1"/>
  <c r="E20" i="23"/>
  <c r="L19" i="23"/>
  <c r="I19" i="23"/>
  <c r="J19" i="23" s="1"/>
  <c r="E19" i="23"/>
  <c r="F19" i="23" s="1"/>
  <c r="K19" i="23" s="1"/>
  <c r="J18" i="23"/>
  <c r="I18" i="23"/>
  <c r="F18" i="23"/>
  <c r="E18" i="23"/>
  <c r="J17" i="23"/>
  <c r="I17" i="23"/>
  <c r="E17" i="23"/>
  <c r="F17" i="23" s="1"/>
  <c r="K17" i="23" s="1"/>
  <c r="L17" i="23" s="1"/>
  <c r="J16" i="23"/>
  <c r="I16" i="23"/>
  <c r="F16" i="23"/>
  <c r="E16" i="23"/>
  <c r="J15" i="23"/>
  <c r="K15" i="23" s="1"/>
  <c r="L15" i="23" s="1"/>
  <c r="I15" i="23"/>
  <c r="F15" i="23"/>
  <c r="E15" i="23"/>
  <c r="I14" i="23"/>
  <c r="J14" i="23" s="1"/>
  <c r="F14" i="23"/>
  <c r="E14" i="23"/>
  <c r="J13" i="23"/>
  <c r="I13" i="23"/>
  <c r="E13" i="23"/>
  <c r="F13" i="23" s="1"/>
  <c r="K13" i="23" s="1"/>
  <c r="L13" i="23" s="1"/>
  <c r="L12" i="23"/>
  <c r="K12" i="23"/>
  <c r="I12" i="23"/>
  <c r="J12" i="23" s="1"/>
  <c r="F12" i="23"/>
  <c r="E12" i="23"/>
  <c r="I11" i="23"/>
  <c r="J11" i="23" s="1"/>
  <c r="E11" i="23"/>
  <c r="F11" i="23" s="1"/>
  <c r="K11" i="23" s="1"/>
  <c r="L11" i="23" s="1"/>
  <c r="J10" i="23"/>
  <c r="I10" i="23"/>
  <c r="E10" i="23"/>
  <c r="F10" i="23" s="1"/>
  <c r="J9" i="23"/>
  <c r="I9" i="23"/>
  <c r="E9" i="23"/>
  <c r="F9" i="23" s="1"/>
  <c r="K9" i="23" s="1"/>
  <c r="L9" i="23" s="1"/>
  <c r="J8" i="23"/>
  <c r="E8" i="23"/>
  <c r="F8" i="23" s="1"/>
  <c r="K8" i="23" s="1"/>
  <c r="L8" i="23" s="1"/>
  <c r="K7" i="23"/>
  <c r="L7" i="23" s="1"/>
  <c r="J7" i="23"/>
  <c r="E7" i="23"/>
  <c r="F7" i="23" s="1"/>
  <c r="J6" i="23"/>
  <c r="E6" i="23"/>
  <c r="F6" i="23" s="1"/>
  <c r="J354" i="22"/>
  <c r="E354" i="22"/>
  <c r="F354" i="22" s="1"/>
  <c r="K354" i="22" s="1"/>
  <c r="L354" i="22" s="1"/>
  <c r="J353" i="22"/>
  <c r="E353" i="22"/>
  <c r="F353" i="22" s="1"/>
  <c r="K353" i="22" s="1"/>
  <c r="L353" i="22" s="1"/>
  <c r="L352" i="22"/>
  <c r="K352" i="22"/>
  <c r="J352" i="22"/>
  <c r="I352" i="22"/>
  <c r="F352" i="22"/>
  <c r="E352" i="22"/>
  <c r="J351" i="22"/>
  <c r="E351" i="22"/>
  <c r="F351" i="22" s="1"/>
  <c r="K351" i="22" s="1"/>
  <c r="L351" i="22" s="1"/>
  <c r="K350" i="22"/>
  <c r="L350" i="22" s="1"/>
  <c r="J350" i="22"/>
  <c r="E350" i="22"/>
  <c r="F350" i="22" s="1"/>
  <c r="J349" i="22"/>
  <c r="E349" i="22"/>
  <c r="J341" i="22"/>
  <c r="I341" i="22"/>
  <c r="E341" i="22"/>
  <c r="K341" i="22" s="1"/>
  <c r="L341" i="22" s="1"/>
  <c r="K340" i="22"/>
  <c r="L340" i="22" s="1"/>
  <c r="J340" i="22"/>
  <c r="E340" i="22"/>
  <c r="J339" i="22"/>
  <c r="E339" i="22"/>
  <c r="K339" i="22" s="1"/>
  <c r="L339" i="22" s="1"/>
  <c r="L338" i="22"/>
  <c r="K338" i="22"/>
  <c r="J338" i="22"/>
  <c r="E338" i="22"/>
  <c r="J337" i="22"/>
  <c r="E337" i="22"/>
  <c r="K337" i="22" s="1"/>
  <c r="L337" i="22" s="1"/>
  <c r="L336" i="22"/>
  <c r="K336" i="22"/>
  <c r="K343" i="22" s="1"/>
  <c r="I336" i="22"/>
  <c r="J336" i="22" s="1"/>
  <c r="E336" i="22"/>
  <c r="J328" i="22"/>
  <c r="I328" i="22"/>
  <c r="E328" i="22"/>
  <c r="K328" i="22" s="1"/>
  <c r="L328" i="22" s="1"/>
  <c r="L327" i="22"/>
  <c r="J327" i="22"/>
  <c r="E327" i="22"/>
  <c r="K327" i="22" s="1"/>
  <c r="J326" i="22"/>
  <c r="I326" i="22"/>
  <c r="E326" i="22"/>
  <c r="K326" i="22" s="1"/>
  <c r="L326" i="22" s="1"/>
  <c r="I325" i="22"/>
  <c r="J325" i="22" s="1"/>
  <c r="E325" i="22"/>
  <c r="K325" i="22" s="1"/>
  <c r="L325" i="22" s="1"/>
  <c r="L324" i="22"/>
  <c r="K324" i="22"/>
  <c r="J324" i="22"/>
  <c r="E324" i="22"/>
  <c r="J323" i="22"/>
  <c r="E323" i="22"/>
  <c r="K323" i="22" s="1"/>
  <c r="L323" i="22" s="1"/>
  <c r="K322" i="22"/>
  <c r="L322" i="22" s="1"/>
  <c r="J322" i="22"/>
  <c r="E322" i="22"/>
  <c r="J321" i="22"/>
  <c r="E321" i="22"/>
  <c r="K321" i="22" s="1"/>
  <c r="L321" i="22" s="1"/>
  <c r="K320" i="22"/>
  <c r="J320" i="22"/>
  <c r="E320" i="22"/>
  <c r="L310" i="22"/>
  <c r="K310" i="22"/>
  <c r="J310" i="22"/>
  <c r="E310" i="22"/>
  <c r="F310" i="22" s="1"/>
  <c r="J309" i="22"/>
  <c r="E309" i="22"/>
  <c r="F309" i="22" s="1"/>
  <c r="K309" i="22" s="1"/>
  <c r="L309" i="22" s="1"/>
  <c r="J308" i="22"/>
  <c r="F308" i="22"/>
  <c r="K308" i="22" s="1"/>
  <c r="L308" i="22" s="1"/>
  <c r="E308" i="22"/>
  <c r="J307" i="22"/>
  <c r="F307" i="22"/>
  <c r="K307" i="22" s="1"/>
  <c r="L307" i="22" s="1"/>
  <c r="E307" i="22"/>
  <c r="J306" i="22"/>
  <c r="I306" i="22"/>
  <c r="E306" i="22"/>
  <c r="F306" i="22" s="1"/>
  <c r="K306" i="22" s="1"/>
  <c r="L306" i="22" s="1"/>
  <c r="J305" i="22"/>
  <c r="I305" i="22"/>
  <c r="E305" i="22"/>
  <c r="F305" i="22" s="1"/>
  <c r="K305" i="22" s="1"/>
  <c r="L305" i="22" s="1"/>
  <c r="J304" i="22"/>
  <c r="I304" i="22"/>
  <c r="F304" i="22"/>
  <c r="K304" i="22" s="1"/>
  <c r="L304" i="22" s="1"/>
  <c r="E304" i="22"/>
  <c r="J303" i="22"/>
  <c r="E303" i="22"/>
  <c r="F303" i="22" s="1"/>
  <c r="K303" i="22" s="1"/>
  <c r="L303" i="22" s="1"/>
  <c r="J302" i="22"/>
  <c r="E302" i="22"/>
  <c r="F302" i="22" s="1"/>
  <c r="K301" i="22"/>
  <c r="L301" i="22" s="1"/>
  <c r="J301" i="22"/>
  <c r="E301" i="22"/>
  <c r="F301" i="22" s="1"/>
  <c r="J300" i="22"/>
  <c r="E300" i="22"/>
  <c r="F300" i="22" s="1"/>
  <c r="K300" i="22" s="1"/>
  <c r="L300" i="22" s="1"/>
  <c r="L299" i="22"/>
  <c r="J299" i="22"/>
  <c r="I299" i="22"/>
  <c r="E299" i="22"/>
  <c r="F299" i="22" s="1"/>
  <c r="K299" i="22" s="1"/>
  <c r="J298" i="22"/>
  <c r="E298" i="22"/>
  <c r="F298" i="22" s="1"/>
  <c r="K298" i="22" s="1"/>
  <c r="L298" i="22" s="1"/>
  <c r="I297" i="22"/>
  <c r="J297" i="22" s="1"/>
  <c r="E297" i="22"/>
  <c r="F297" i="22" s="1"/>
  <c r="J296" i="22"/>
  <c r="E296" i="22"/>
  <c r="F296" i="22" s="1"/>
  <c r="K296" i="22" s="1"/>
  <c r="L296" i="22" s="1"/>
  <c r="J295" i="22"/>
  <c r="E295" i="22"/>
  <c r="F295" i="22" s="1"/>
  <c r="K295" i="22" s="1"/>
  <c r="L295" i="22" s="1"/>
  <c r="L294" i="22"/>
  <c r="K294" i="22"/>
  <c r="J294" i="22"/>
  <c r="F294" i="22"/>
  <c r="E294" i="22"/>
  <c r="I293" i="22"/>
  <c r="J293" i="22" s="1"/>
  <c r="E293" i="22"/>
  <c r="K292" i="22"/>
  <c r="J292" i="22"/>
  <c r="I292" i="22"/>
  <c r="E292" i="22"/>
  <c r="F292" i="22" s="1"/>
  <c r="I284" i="22"/>
  <c r="J284" i="22" s="1"/>
  <c r="K284" i="22" s="1"/>
  <c r="L284" i="22" s="1"/>
  <c r="E284" i="22"/>
  <c r="I283" i="22"/>
  <c r="J283" i="22" s="1"/>
  <c r="E283" i="22"/>
  <c r="K283" i="22" s="1"/>
  <c r="L283" i="22" s="1"/>
  <c r="K282" i="22"/>
  <c r="L282" i="22" s="1"/>
  <c r="J282" i="22"/>
  <c r="I282" i="22"/>
  <c r="E282" i="22"/>
  <c r="J281" i="22"/>
  <c r="I281" i="22"/>
  <c r="E281" i="22"/>
  <c r="K281" i="22" s="1"/>
  <c r="L281" i="22" s="1"/>
  <c r="J280" i="22"/>
  <c r="E280" i="22"/>
  <c r="I279" i="22"/>
  <c r="J279" i="22" s="1"/>
  <c r="E279" i="22"/>
  <c r="K279" i="22" s="1"/>
  <c r="L279" i="22" s="1"/>
  <c r="K278" i="22"/>
  <c r="L278" i="22" s="1"/>
  <c r="J278" i="22"/>
  <c r="I278" i="22"/>
  <c r="E278" i="22"/>
  <c r="J277" i="22"/>
  <c r="E277" i="22"/>
  <c r="K277" i="22" s="1"/>
  <c r="L277" i="22" s="1"/>
  <c r="K276" i="22"/>
  <c r="L276" i="22" s="1"/>
  <c r="J276" i="22"/>
  <c r="I276" i="22"/>
  <c r="E276" i="22"/>
  <c r="K275" i="22"/>
  <c r="L275" i="22" s="1"/>
  <c r="J275" i="22"/>
  <c r="E275" i="22"/>
  <c r="J274" i="22"/>
  <c r="I274" i="22"/>
  <c r="E274" i="22"/>
  <c r="K274" i="22" s="1"/>
  <c r="L274" i="22" s="1"/>
  <c r="I273" i="22"/>
  <c r="J273" i="22" s="1"/>
  <c r="K273" i="22" s="1"/>
  <c r="L273" i="22" s="1"/>
  <c r="E273" i="22"/>
  <c r="J272" i="22"/>
  <c r="E272" i="22"/>
  <c r="K272" i="22" s="1"/>
  <c r="L272" i="22" s="1"/>
  <c r="L271" i="22"/>
  <c r="K271" i="22"/>
  <c r="J271" i="22"/>
  <c r="E271" i="22"/>
  <c r="L270" i="22"/>
  <c r="J270" i="22"/>
  <c r="E270" i="22"/>
  <c r="K270" i="22" s="1"/>
  <c r="K269" i="22"/>
  <c r="J269" i="22"/>
  <c r="E269" i="22"/>
  <c r="J259" i="22"/>
  <c r="F259" i="22"/>
  <c r="K259" i="22" s="1"/>
  <c r="L259" i="22" s="1"/>
  <c r="E259" i="22"/>
  <c r="J258" i="22"/>
  <c r="E258" i="22"/>
  <c r="F258" i="22" s="1"/>
  <c r="K258" i="22" s="1"/>
  <c r="L258" i="22" s="1"/>
  <c r="L257" i="22"/>
  <c r="K257" i="22"/>
  <c r="J257" i="22"/>
  <c r="F257" i="22"/>
  <c r="E257" i="22"/>
  <c r="J256" i="22"/>
  <c r="E256" i="22"/>
  <c r="E261" i="22" s="1"/>
  <c r="E263" i="22" s="1"/>
  <c r="J244" i="22"/>
  <c r="E244" i="22"/>
  <c r="J243" i="22"/>
  <c r="K243" i="22" s="1"/>
  <c r="L243" i="22" s="1"/>
  <c r="I243" i="22"/>
  <c r="E243" i="22"/>
  <c r="J242" i="22"/>
  <c r="I242" i="22"/>
  <c r="E242" i="22"/>
  <c r="L241" i="22"/>
  <c r="K241" i="22"/>
  <c r="J241" i="22"/>
  <c r="E241" i="22"/>
  <c r="J240" i="22"/>
  <c r="E240" i="22"/>
  <c r="K240" i="22" s="1"/>
  <c r="L240" i="22" s="1"/>
  <c r="L239" i="22"/>
  <c r="K239" i="22"/>
  <c r="J239" i="22"/>
  <c r="E239" i="22"/>
  <c r="J238" i="22"/>
  <c r="E238" i="22"/>
  <c r="K238" i="22" s="1"/>
  <c r="L238" i="22" s="1"/>
  <c r="L237" i="22"/>
  <c r="K237" i="22"/>
  <c r="J237" i="22"/>
  <c r="E237" i="22"/>
  <c r="J236" i="22"/>
  <c r="E236" i="22"/>
  <c r="K236" i="22" s="1"/>
  <c r="L236" i="22" s="1"/>
  <c r="L235" i="22"/>
  <c r="K235" i="22"/>
  <c r="J235" i="22"/>
  <c r="E235" i="22"/>
  <c r="J234" i="22"/>
  <c r="E234" i="22"/>
  <c r="K234" i="22" s="1"/>
  <c r="L234" i="22" s="1"/>
  <c r="L233" i="22"/>
  <c r="K233" i="22"/>
  <c r="J233" i="22"/>
  <c r="E233" i="22"/>
  <c r="L223" i="22"/>
  <c r="J223" i="22"/>
  <c r="E223" i="22"/>
  <c r="F223" i="22" s="1"/>
  <c r="K223" i="22" s="1"/>
  <c r="J222" i="22"/>
  <c r="E222" i="22"/>
  <c r="F222" i="22" s="1"/>
  <c r="K222" i="22" s="1"/>
  <c r="L222" i="22" s="1"/>
  <c r="J221" i="22"/>
  <c r="I221" i="22"/>
  <c r="E221" i="22"/>
  <c r="F221" i="22" s="1"/>
  <c r="K221" i="22" s="1"/>
  <c r="L221" i="22" s="1"/>
  <c r="L220" i="22"/>
  <c r="K220" i="22"/>
  <c r="J220" i="22"/>
  <c r="I220" i="22"/>
  <c r="F220" i="22"/>
  <c r="E220" i="22"/>
  <c r="K219" i="22"/>
  <c r="L219" i="22" s="1"/>
  <c r="J219" i="22"/>
  <c r="F219" i="22"/>
  <c r="E219" i="22"/>
  <c r="I218" i="22"/>
  <c r="J218" i="22" s="1"/>
  <c r="E218" i="22"/>
  <c r="F218" i="22" s="1"/>
  <c r="K218" i="22" s="1"/>
  <c r="L218" i="22" s="1"/>
  <c r="K217" i="22"/>
  <c r="L217" i="22" s="1"/>
  <c r="J217" i="22"/>
  <c r="I217" i="22"/>
  <c r="E217" i="22"/>
  <c r="F217" i="22" s="1"/>
  <c r="J216" i="22"/>
  <c r="E216" i="22"/>
  <c r="F216" i="22" s="1"/>
  <c r="K216" i="22" s="1"/>
  <c r="L216" i="22" s="1"/>
  <c r="J215" i="22"/>
  <c r="E215" i="22"/>
  <c r="F215" i="22" s="1"/>
  <c r="K215" i="22" s="1"/>
  <c r="L215" i="22" s="1"/>
  <c r="I214" i="22"/>
  <c r="J214" i="22" s="1"/>
  <c r="K214" i="22" s="1"/>
  <c r="L214" i="22" s="1"/>
  <c r="E214" i="22"/>
  <c r="F214" i="22" s="1"/>
  <c r="I213" i="22"/>
  <c r="J213" i="22" s="1"/>
  <c r="E213" i="22"/>
  <c r="F213" i="22" s="1"/>
  <c r="K213" i="22" s="1"/>
  <c r="L213" i="22" s="1"/>
  <c r="K212" i="22"/>
  <c r="L212" i="22" s="1"/>
  <c r="J212" i="22"/>
  <c r="I212" i="22"/>
  <c r="E212" i="22"/>
  <c r="F212" i="22" s="1"/>
  <c r="J211" i="22"/>
  <c r="F211" i="22"/>
  <c r="K211" i="22" s="1"/>
  <c r="L211" i="22" s="1"/>
  <c r="E211" i="22"/>
  <c r="I210" i="22"/>
  <c r="J210" i="22" s="1"/>
  <c r="F210" i="22"/>
  <c r="K210" i="22" s="1"/>
  <c r="L210" i="22" s="1"/>
  <c r="E210" i="22"/>
  <c r="L209" i="22"/>
  <c r="J209" i="22"/>
  <c r="E209" i="22"/>
  <c r="F209" i="22" s="1"/>
  <c r="K209" i="22" s="1"/>
  <c r="L208" i="22"/>
  <c r="K208" i="22"/>
  <c r="J208" i="22"/>
  <c r="F208" i="22"/>
  <c r="E208" i="22"/>
  <c r="I207" i="22"/>
  <c r="J207" i="22" s="1"/>
  <c r="F207" i="22"/>
  <c r="E207" i="22"/>
  <c r="I206" i="22"/>
  <c r="J206" i="22" s="1"/>
  <c r="E206" i="22"/>
  <c r="F206" i="22" s="1"/>
  <c r="J205" i="22"/>
  <c r="F205" i="22"/>
  <c r="K205" i="22" s="1"/>
  <c r="L205" i="22" s="1"/>
  <c r="E205" i="22"/>
  <c r="J204" i="22"/>
  <c r="F204" i="22"/>
  <c r="K204" i="22" s="1"/>
  <c r="L204" i="22" s="1"/>
  <c r="E204" i="22"/>
  <c r="J203" i="22"/>
  <c r="E203" i="22"/>
  <c r="F203" i="22" s="1"/>
  <c r="K203" i="22" s="1"/>
  <c r="L203" i="22" s="1"/>
  <c r="I202" i="22"/>
  <c r="J202" i="22" s="1"/>
  <c r="K202" i="22" s="1"/>
  <c r="L202" i="22" s="1"/>
  <c r="F202" i="22"/>
  <c r="E202" i="22"/>
  <c r="I201" i="22"/>
  <c r="J201" i="22" s="1"/>
  <c r="E201" i="22"/>
  <c r="F201" i="22" s="1"/>
  <c r="K201" i="22" s="1"/>
  <c r="L201" i="22" s="1"/>
  <c r="J200" i="22"/>
  <c r="K200" i="22" s="1"/>
  <c r="F200" i="22"/>
  <c r="E200" i="22"/>
  <c r="K190" i="22"/>
  <c r="L190" i="22" s="1"/>
  <c r="J190" i="22"/>
  <c r="I190" i="22"/>
  <c r="E190" i="22"/>
  <c r="F190" i="22" s="1"/>
  <c r="J189" i="22"/>
  <c r="E189" i="22"/>
  <c r="F189" i="22" s="1"/>
  <c r="K189" i="22" s="1"/>
  <c r="L189" i="22" s="1"/>
  <c r="J188" i="22"/>
  <c r="E188" i="22"/>
  <c r="F188" i="22" s="1"/>
  <c r="K188" i="22" s="1"/>
  <c r="L188" i="22" s="1"/>
  <c r="J187" i="22"/>
  <c r="K187" i="22" s="1"/>
  <c r="L187" i="22" s="1"/>
  <c r="I187" i="22"/>
  <c r="E187" i="22"/>
  <c r="F187" i="22" s="1"/>
  <c r="I186" i="22"/>
  <c r="J186" i="22" s="1"/>
  <c r="E186" i="22"/>
  <c r="F186" i="22" s="1"/>
  <c r="K186" i="22" s="1"/>
  <c r="L186" i="22" s="1"/>
  <c r="K185" i="22"/>
  <c r="L185" i="22" s="1"/>
  <c r="J185" i="22"/>
  <c r="E185" i="22"/>
  <c r="F185" i="22" s="1"/>
  <c r="K184" i="22"/>
  <c r="L184" i="22" s="1"/>
  <c r="J184" i="22"/>
  <c r="I184" i="22"/>
  <c r="F184" i="22"/>
  <c r="E184" i="22"/>
  <c r="J183" i="22"/>
  <c r="E183" i="22"/>
  <c r="F183" i="22" s="1"/>
  <c r="K183" i="22" s="1"/>
  <c r="L183" i="22" s="1"/>
  <c r="K182" i="22"/>
  <c r="L182" i="22" s="1"/>
  <c r="J182" i="22"/>
  <c r="I182" i="22"/>
  <c r="E182" i="22"/>
  <c r="F182" i="22" s="1"/>
  <c r="I181" i="22"/>
  <c r="J181" i="22" s="1"/>
  <c r="E181" i="22"/>
  <c r="F181" i="22" s="1"/>
  <c r="K181" i="22" s="1"/>
  <c r="L181" i="22" s="1"/>
  <c r="J180" i="22"/>
  <c r="F180" i="22"/>
  <c r="K180" i="22" s="1"/>
  <c r="L180" i="22" s="1"/>
  <c r="E180" i="22"/>
  <c r="J179" i="22"/>
  <c r="K179" i="22" s="1"/>
  <c r="L179" i="22" s="1"/>
  <c r="F179" i="22"/>
  <c r="E179" i="22"/>
  <c r="I178" i="22"/>
  <c r="J178" i="22" s="1"/>
  <c r="E178" i="22"/>
  <c r="F178" i="22" s="1"/>
  <c r="K178" i="22" s="1"/>
  <c r="L178" i="22" s="1"/>
  <c r="L177" i="22"/>
  <c r="K177" i="22"/>
  <c r="J177" i="22"/>
  <c r="F177" i="22"/>
  <c r="E177" i="22"/>
  <c r="J176" i="22"/>
  <c r="F176" i="22"/>
  <c r="K176" i="22" s="1"/>
  <c r="L176" i="22" s="1"/>
  <c r="E176" i="22"/>
  <c r="J175" i="22"/>
  <c r="E175" i="22"/>
  <c r="L174" i="22"/>
  <c r="K174" i="22"/>
  <c r="J174" i="22"/>
  <c r="I174" i="22"/>
  <c r="F174" i="22"/>
  <c r="E174" i="22"/>
  <c r="K173" i="22"/>
  <c r="J173" i="22"/>
  <c r="F173" i="22"/>
  <c r="E173" i="22"/>
  <c r="J164" i="22"/>
  <c r="F164" i="22"/>
  <c r="K164" i="22" s="1"/>
  <c r="L164" i="22" s="1"/>
  <c r="E164" i="22"/>
  <c r="J163" i="22"/>
  <c r="E163" i="22"/>
  <c r="F163" i="22" s="1"/>
  <c r="K163" i="22" s="1"/>
  <c r="L163" i="22" s="1"/>
  <c r="J162" i="22"/>
  <c r="K162" i="22" s="1"/>
  <c r="L162" i="22" s="1"/>
  <c r="F162" i="22"/>
  <c r="E162" i="22"/>
  <c r="J161" i="22"/>
  <c r="F161" i="22"/>
  <c r="E161" i="22"/>
  <c r="J160" i="22"/>
  <c r="E160" i="22"/>
  <c r="F160" i="22" s="1"/>
  <c r="K160" i="22" s="1"/>
  <c r="L160" i="22" s="1"/>
  <c r="J159" i="22"/>
  <c r="K159" i="22" s="1"/>
  <c r="L159" i="22" s="1"/>
  <c r="F159" i="22"/>
  <c r="E159" i="22"/>
  <c r="J158" i="22"/>
  <c r="E158" i="22"/>
  <c r="F158" i="22" s="1"/>
  <c r="K158" i="22" s="1"/>
  <c r="L158" i="22" s="1"/>
  <c r="L157" i="22"/>
  <c r="K157" i="22"/>
  <c r="J157" i="22"/>
  <c r="E157" i="22"/>
  <c r="F157" i="22" s="1"/>
  <c r="J156" i="22"/>
  <c r="E156" i="22"/>
  <c r="F156" i="22" s="1"/>
  <c r="K156" i="22" s="1"/>
  <c r="L156" i="22" s="1"/>
  <c r="J155" i="22"/>
  <c r="F155" i="22"/>
  <c r="E155" i="22"/>
  <c r="J154" i="22"/>
  <c r="F154" i="22"/>
  <c r="E154" i="22"/>
  <c r="J153" i="22"/>
  <c r="E153" i="22"/>
  <c r="F153" i="22" s="1"/>
  <c r="K153" i="22" s="1"/>
  <c r="L153" i="22" s="1"/>
  <c r="K152" i="22"/>
  <c r="L152" i="22" s="1"/>
  <c r="J152" i="22"/>
  <c r="F152" i="22"/>
  <c r="E152" i="22"/>
  <c r="I151" i="22"/>
  <c r="J151" i="22" s="1"/>
  <c r="F151" i="22"/>
  <c r="K151" i="22" s="1"/>
  <c r="L151" i="22" s="1"/>
  <c r="E151" i="22"/>
  <c r="L150" i="22"/>
  <c r="J150" i="22"/>
  <c r="E150" i="22"/>
  <c r="F150" i="22" s="1"/>
  <c r="K150" i="22" s="1"/>
  <c r="I149" i="22"/>
  <c r="J149" i="22" s="1"/>
  <c r="F149" i="22"/>
  <c r="K149" i="22" s="1"/>
  <c r="L149" i="22" s="1"/>
  <c r="E149" i="22"/>
  <c r="I148" i="22"/>
  <c r="J148" i="22" s="1"/>
  <c r="E148" i="22"/>
  <c r="L147" i="22"/>
  <c r="K147" i="22"/>
  <c r="J147" i="22"/>
  <c r="E147" i="22"/>
  <c r="F147" i="22" s="1"/>
  <c r="K136" i="22"/>
  <c r="L136" i="22" s="1"/>
  <c r="J136" i="22"/>
  <c r="I136" i="22"/>
  <c r="E136" i="22"/>
  <c r="I135" i="22"/>
  <c r="J135" i="22" s="1"/>
  <c r="E135" i="22"/>
  <c r="L134" i="22"/>
  <c r="K134" i="22"/>
  <c r="J134" i="22"/>
  <c r="E134" i="22"/>
  <c r="J133" i="22"/>
  <c r="E133" i="22"/>
  <c r="K133" i="22" s="1"/>
  <c r="L133" i="22" s="1"/>
  <c r="L132" i="22"/>
  <c r="K132" i="22"/>
  <c r="J132" i="22"/>
  <c r="E132" i="22"/>
  <c r="K131" i="22"/>
  <c r="L131" i="22" s="1"/>
  <c r="J131" i="22"/>
  <c r="E131" i="22"/>
  <c r="J130" i="22"/>
  <c r="I130" i="22"/>
  <c r="E130" i="22"/>
  <c r="K130" i="22" s="1"/>
  <c r="L130" i="22" s="1"/>
  <c r="L129" i="22"/>
  <c r="K129" i="22"/>
  <c r="J129" i="22"/>
  <c r="E129" i="22"/>
  <c r="J128" i="22"/>
  <c r="E128" i="22"/>
  <c r="K128" i="22" s="1"/>
  <c r="L128" i="22" s="1"/>
  <c r="L127" i="22"/>
  <c r="K127" i="22"/>
  <c r="J127" i="22"/>
  <c r="E127" i="22"/>
  <c r="J126" i="22"/>
  <c r="E126" i="22"/>
  <c r="K126" i="22" s="1"/>
  <c r="L126" i="22" s="1"/>
  <c r="J125" i="22"/>
  <c r="E125" i="22"/>
  <c r="E138" i="22" s="1"/>
  <c r="E140" i="22" s="1"/>
  <c r="J124" i="22"/>
  <c r="E124" i="22"/>
  <c r="K124" i="22" s="1"/>
  <c r="L124" i="22" s="1"/>
  <c r="I114" i="22"/>
  <c r="J114" i="22" s="1"/>
  <c r="E114" i="22"/>
  <c r="K114" i="22" s="1"/>
  <c r="L114" i="22" s="1"/>
  <c r="I113" i="22"/>
  <c r="J113" i="22" s="1"/>
  <c r="K113" i="22" s="1"/>
  <c r="L113" i="22" s="1"/>
  <c r="E113" i="22"/>
  <c r="I112" i="22"/>
  <c r="J112" i="22" s="1"/>
  <c r="E112" i="22"/>
  <c r="K111" i="22"/>
  <c r="L111" i="22" s="1"/>
  <c r="J111" i="22"/>
  <c r="E111" i="22"/>
  <c r="J110" i="22"/>
  <c r="E110" i="22"/>
  <c r="K110" i="22" s="1"/>
  <c r="L110" i="22" s="1"/>
  <c r="J109" i="22"/>
  <c r="K109" i="22" s="1"/>
  <c r="L109" i="22" s="1"/>
  <c r="I109" i="22"/>
  <c r="E109" i="22"/>
  <c r="I108" i="22"/>
  <c r="J108" i="22" s="1"/>
  <c r="E108" i="22"/>
  <c r="J107" i="22"/>
  <c r="I107" i="22"/>
  <c r="E107" i="22"/>
  <c r="K106" i="22"/>
  <c r="L106" i="22" s="1"/>
  <c r="J106" i="22"/>
  <c r="E106" i="22"/>
  <c r="K105" i="22"/>
  <c r="L105" i="22" s="1"/>
  <c r="J105" i="22"/>
  <c r="E105" i="22"/>
  <c r="J104" i="22"/>
  <c r="E104" i="22"/>
  <c r="K104" i="22" s="1"/>
  <c r="L104" i="22" s="1"/>
  <c r="K103" i="22"/>
  <c r="L103" i="22" s="1"/>
  <c r="J103" i="22"/>
  <c r="E103" i="22"/>
  <c r="I102" i="22"/>
  <c r="J102" i="22" s="1"/>
  <c r="K102" i="22" s="1"/>
  <c r="L102" i="22" s="1"/>
  <c r="E102" i="22"/>
  <c r="J94" i="22"/>
  <c r="E94" i="22"/>
  <c r="K94" i="22" s="1"/>
  <c r="L94" i="22" s="1"/>
  <c r="J93" i="22"/>
  <c r="E93" i="22"/>
  <c r="K93" i="22" s="1"/>
  <c r="L93" i="22" s="1"/>
  <c r="I92" i="22"/>
  <c r="J92" i="22" s="1"/>
  <c r="K92" i="22" s="1"/>
  <c r="L92" i="22" s="1"/>
  <c r="E92" i="22"/>
  <c r="L91" i="22"/>
  <c r="K91" i="22"/>
  <c r="J91" i="22"/>
  <c r="E91" i="22"/>
  <c r="J90" i="22"/>
  <c r="K90" i="22" s="1"/>
  <c r="L90" i="22" s="1"/>
  <c r="E90" i="22"/>
  <c r="L89" i="22"/>
  <c r="K89" i="22"/>
  <c r="J89" i="22"/>
  <c r="E89" i="22"/>
  <c r="J88" i="22"/>
  <c r="K88" i="22" s="1"/>
  <c r="L88" i="22" s="1"/>
  <c r="E88" i="22"/>
  <c r="J87" i="22"/>
  <c r="K87" i="22" s="1"/>
  <c r="L87" i="22" s="1"/>
  <c r="E87" i="22"/>
  <c r="J86" i="22"/>
  <c r="I86" i="22"/>
  <c r="E86" i="22"/>
  <c r="K86" i="22" s="1"/>
  <c r="L86" i="22" s="1"/>
  <c r="K85" i="22"/>
  <c r="L85" i="22" s="1"/>
  <c r="J85" i="22"/>
  <c r="E85" i="22"/>
  <c r="J84" i="22"/>
  <c r="E84" i="22"/>
  <c r="L83" i="22"/>
  <c r="K83" i="22"/>
  <c r="J83" i="22"/>
  <c r="E83" i="22"/>
  <c r="J75" i="22"/>
  <c r="E75" i="22"/>
  <c r="K75" i="22" s="1"/>
  <c r="L75" i="22" s="1"/>
  <c r="J74" i="22"/>
  <c r="I74" i="22"/>
  <c r="E74" i="22"/>
  <c r="K74" i="22" s="1"/>
  <c r="L74" i="22" s="1"/>
  <c r="J73" i="22"/>
  <c r="K73" i="22" s="1"/>
  <c r="L73" i="22" s="1"/>
  <c r="E73" i="22"/>
  <c r="I72" i="22"/>
  <c r="J72" i="22" s="1"/>
  <c r="E72" i="22"/>
  <c r="K72" i="22" s="1"/>
  <c r="L72" i="22" s="1"/>
  <c r="J71" i="22"/>
  <c r="K71" i="22" s="1"/>
  <c r="L71" i="22" s="1"/>
  <c r="E71" i="22"/>
  <c r="J70" i="22"/>
  <c r="E70" i="22"/>
  <c r="K70" i="22" s="1"/>
  <c r="L70" i="22" s="1"/>
  <c r="L69" i="22"/>
  <c r="K69" i="22"/>
  <c r="J69" i="22"/>
  <c r="E69" i="22"/>
  <c r="L68" i="22"/>
  <c r="J68" i="22"/>
  <c r="E68" i="22"/>
  <c r="K68" i="22" s="1"/>
  <c r="K67" i="22"/>
  <c r="L67" i="22" s="1"/>
  <c r="J67" i="22"/>
  <c r="I67" i="22"/>
  <c r="E67" i="22"/>
  <c r="K66" i="22"/>
  <c r="L66" i="22" s="1"/>
  <c r="J66" i="22"/>
  <c r="E66" i="22"/>
  <c r="J65" i="22"/>
  <c r="K65" i="22" s="1"/>
  <c r="L65" i="22" s="1"/>
  <c r="E65" i="22"/>
  <c r="K64" i="22"/>
  <c r="L64" i="22" s="1"/>
  <c r="J64" i="22"/>
  <c r="I64" i="22"/>
  <c r="E64" i="22"/>
  <c r="J63" i="22"/>
  <c r="I63" i="22"/>
  <c r="E63" i="22"/>
  <c r="K63" i="22" s="1"/>
  <c r="L63" i="22" s="1"/>
  <c r="J62" i="22"/>
  <c r="E62" i="22"/>
  <c r="K62" i="22" s="1"/>
  <c r="L62" i="22" s="1"/>
  <c r="J61" i="22"/>
  <c r="E61" i="22"/>
  <c r="K61" i="22" s="1"/>
  <c r="L61" i="22" s="1"/>
  <c r="J60" i="22"/>
  <c r="E60" i="22"/>
  <c r="K60" i="22" s="1"/>
  <c r="L60" i="22" s="1"/>
  <c r="L59" i="22"/>
  <c r="K59" i="22"/>
  <c r="J59" i="22"/>
  <c r="E59" i="22"/>
  <c r="J58" i="22"/>
  <c r="E58" i="22"/>
  <c r="K58" i="22" s="1"/>
  <c r="L58" i="22" s="1"/>
  <c r="K57" i="22"/>
  <c r="L57" i="22" s="1"/>
  <c r="J57" i="22"/>
  <c r="E57" i="22"/>
  <c r="J56" i="22"/>
  <c r="E56" i="22"/>
  <c r="K47" i="22"/>
  <c r="L47" i="22" s="1"/>
  <c r="J47" i="22"/>
  <c r="I47" i="22"/>
  <c r="E47" i="22"/>
  <c r="J46" i="22"/>
  <c r="E46" i="22"/>
  <c r="K46" i="22" s="1"/>
  <c r="L46" i="22" s="1"/>
  <c r="L45" i="22"/>
  <c r="K45" i="22"/>
  <c r="J45" i="22"/>
  <c r="E45" i="22"/>
  <c r="I44" i="22"/>
  <c r="J44" i="22" s="1"/>
  <c r="E44" i="22"/>
  <c r="K44" i="22" s="1"/>
  <c r="L44" i="22" s="1"/>
  <c r="L43" i="22"/>
  <c r="K43" i="22"/>
  <c r="J43" i="22"/>
  <c r="E43" i="22"/>
  <c r="J42" i="22"/>
  <c r="E42" i="22"/>
  <c r="K41" i="22"/>
  <c r="L41" i="22" s="1"/>
  <c r="J41" i="22"/>
  <c r="I41" i="22"/>
  <c r="E41" i="22"/>
  <c r="J40" i="22"/>
  <c r="I40" i="22"/>
  <c r="E40" i="22"/>
  <c r="J39" i="22"/>
  <c r="I39" i="22"/>
  <c r="E39" i="22"/>
  <c r="K39" i="22" s="1"/>
  <c r="L39" i="22" s="1"/>
  <c r="L38" i="22"/>
  <c r="K38" i="22"/>
  <c r="J38" i="22"/>
  <c r="E38" i="22"/>
  <c r="J37" i="22"/>
  <c r="E37" i="22"/>
  <c r="K37" i="22" s="1"/>
  <c r="L37" i="22" s="1"/>
  <c r="K36" i="22"/>
  <c r="L36" i="22" s="1"/>
  <c r="J36" i="22"/>
  <c r="E36" i="22"/>
  <c r="I35" i="22"/>
  <c r="J35" i="22" s="1"/>
  <c r="E35" i="22"/>
  <c r="K35" i="22" s="1"/>
  <c r="L35" i="22" s="1"/>
  <c r="I34" i="22"/>
  <c r="J34" i="22" s="1"/>
  <c r="K34" i="22" s="1"/>
  <c r="L34" i="22" s="1"/>
  <c r="E34" i="22"/>
  <c r="I33" i="22"/>
  <c r="J33" i="22" s="1"/>
  <c r="E33" i="22"/>
  <c r="J32" i="22"/>
  <c r="K32" i="22" s="1"/>
  <c r="L32" i="22" s="1"/>
  <c r="I32" i="22"/>
  <c r="E32" i="22"/>
  <c r="J31" i="22"/>
  <c r="E31" i="22"/>
  <c r="K31" i="22" s="1"/>
  <c r="L31" i="22" s="1"/>
  <c r="L30" i="22"/>
  <c r="K30" i="22"/>
  <c r="I30" i="22"/>
  <c r="J30" i="22" s="1"/>
  <c r="E30" i="22"/>
  <c r="I29" i="22"/>
  <c r="J29" i="22" s="1"/>
  <c r="E29" i="22"/>
  <c r="I28" i="22"/>
  <c r="J28" i="22" s="1"/>
  <c r="E28" i="22"/>
  <c r="J27" i="22"/>
  <c r="K27" i="22" s="1"/>
  <c r="L27" i="22" s="1"/>
  <c r="I27" i="22"/>
  <c r="E27" i="22"/>
  <c r="I26" i="22"/>
  <c r="J26" i="22" s="1"/>
  <c r="E26" i="22"/>
  <c r="K25" i="22"/>
  <c r="L25" i="22" s="1"/>
  <c r="J25" i="22"/>
  <c r="I25" i="22"/>
  <c r="E25" i="22"/>
  <c r="L17" i="22"/>
  <c r="K17" i="22"/>
  <c r="J17" i="22"/>
  <c r="I17" i="22"/>
  <c r="E17" i="22"/>
  <c r="K16" i="22"/>
  <c r="L16" i="22" s="1"/>
  <c r="J16" i="22"/>
  <c r="E16" i="22"/>
  <c r="L15" i="22"/>
  <c r="I15" i="22"/>
  <c r="J15" i="22" s="1"/>
  <c r="E15" i="22"/>
  <c r="K15" i="22" s="1"/>
  <c r="J14" i="22"/>
  <c r="K14" i="22" s="1"/>
  <c r="L14" i="22" s="1"/>
  <c r="E14" i="22"/>
  <c r="J13" i="22"/>
  <c r="E13" i="22"/>
  <c r="K13" i="22" s="1"/>
  <c r="L13" i="22" s="1"/>
  <c r="I12" i="22"/>
  <c r="J12" i="22" s="1"/>
  <c r="K12" i="22" s="1"/>
  <c r="L12" i="22" s="1"/>
  <c r="E12" i="22"/>
  <c r="J11" i="22"/>
  <c r="E11" i="22"/>
  <c r="K11" i="22" s="1"/>
  <c r="L11" i="22" s="1"/>
  <c r="J10" i="22"/>
  <c r="K10" i="22" s="1"/>
  <c r="L10" i="22" s="1"/>
  <c r="I10" i="22"/>
  <c r="E10" i="22"/>
  <c r="J9" i="22"/>
  <c r="E9" i="22"/>
  <c r="K9" i="22" s="1"/>
  <c r="L9" i="22" s="1"/>
  <c r="L8" i="22"/>
  <c r="K8" i="22"/>
  <c r="J8" i="22"/>
  <c r="I8" i="22"/>
  <c r="E8" i="22"/>
  <c r="J7" i="22"/>
  <c r="E7" i="22"/>
  <c r="K7" i="22" s="1"/>
  <c r="L7" i="22" s="1"/>
  <c r="L6" i="22"/>
  <c r="K6" i="22"/>
  <c r="J6" i="22"/>
  <c r="E6" i="22"/>
  <c r="J5" i="22"/>
  <c r="I5" i="22"/>
  <c r="E5" i="22"/>
  <c r="K631" i="21"/>
  <c r="L631" i="21" s="1"/>
  <c r="J631" i="21"/>
  <c r="E631" i="21"/>
  <c r="K630" i="21"/>
  <c r="L630" i="21" s="1"/>
  <c r="J630" i="21"/>
  <c r="I630" i="21"/>
  <c r="E630" i="21"/>
  <c r="I629" i="21"/>
  <c r="J629" i="21" s="1"/>
  <c r="E629" i="21"/>
  <c r="K629" i="21" s="1"/>
  <c r="L629" i="21" s="1"/>
  <c r="K628" i="21"/>
  <c r="L628" i="21" s="1"/>
  <c r="J628" i="21"/>
  <c r="E628" i="21"/>
  <c r="E633" i="21" s="1"/>
  <c r="I627" i="21"/>
  <c r="J627" i="21" s="1"/>
  <c r="E627" i="21"/>
  <c r="I619" i="21"/>
  <c r="J619" i="21" s="1"/>
  <c r="F619" i="21"/>
  <c r="E619" i="21"/>
  <c r="I618" i="21"/>
  <c r="J618" i="21" s="1"/>
  <c r="E618" i="21"/>
  <c r="F618" i="21" s="1"/>
  <c r="K618" i="21" s="1"/>
  <c r="L618" i="21" s="1"/>
  <c r="J617" i="21"/>
  <c r="K617" i="21" s="1"/>
  <c r="L617" i="21" s="1"/>
  <c r="F617" i="21"/>
  <c r="E617" i="21"/>
  <c r="J616" i="21"/>
  <c r="F616" i="21"/>
  <c r="K616" i="21" s="1"/>
  <c r="L616" i="21" s="1"/>
  <c r="E616" i="21"/>
  <c r="I615" i="21"/>
  <c r="J615" i="21" s="1"/>
  <c r="F615" i="21"/>
  <c r="E615" i="21"/>
  <c r="J614" i="21"/>
  <c r="I614" i="21"/>
  <c r="E614" i="21"/>
  <c r="F614" i="21" s="1"/>
  <c r="I613" i="21"/>
  <c r="J613" i="21" s="1"/>
  <c r="K613" i="21" s="1"/>
  <c r="F613" i="21"/>
  <c r="E613" i="21"/>
  <c r="E621" i="21" s="1"/>
  <c r="L604" i="21"/>
  <c r="K604" i="21"/>
  <c r="J604" i="21"/>
  <c r="F604" i="21"/>
  <c r="E604" i="21"/>
  <c r="J603" i="21"/>
  <c r="E603" i="21"/>
  <c r="E606" i="21" s="1"/>
  <c r="L602" i="21"/>
  <c r="J602" i="21"/>
  <c r="E602" i="21"/>
  <c r="F602" i="21" s="1"/>
  <c r="K602" i="21" s="1"/>
  <c r="J601" i="21"/>
  <c r="F601" i="21"/>
  <c r="E601" i="21"/>
  <c r="J593" i="21"/>
  <c r="I593" i="21"/>
  <c r="E593" i="21"/>
  <c r="F593" i="21" s="1"/>
  <c r="I592" i="21"/>
  <c r="J592" i="21" s="1"/>
  <c r="K592" i="21" s="1"/>
  <c r="L592" i="21" s="1"/>
  <c r="F592" i="21"/>
  <c r="E592" i="21"/>
  <c r="J591" i="21"/>
  <c r="I591" i="21"/>
  <c r="F591" i="21"/>
  <c r="E591" i="21"/>
  <c r="I590" i="21"/>
  <c r="J590" i="21" s="1"/>
  <c r="E590" i="21"/>
  <c r="F590" i="21" s="1"/>
  <c r="K590" i="21" s="1"/>
  <c r="L590" i="21" s="1"/>
  <c r="K589" i="21"/>
  <c r="L589" i="21" s="1"/>
  <c r="J589" i="21"/>
  <c r="I589" i="21"/>
  <c r="E589" i="21"/>
  <c r="F589" i="21" s="1"/>
  <c r="I588" i="21"/>
  <c r="J588" i="21" s="1"/>
  <c r="F588" i="21"/>
  <c r="E588" i="21"/>
  <c r="J587" i="21"/>
  <c r="E587" i="21"/>
  <c r="F587" i="21" s="1"/>
  <c r="K587" i="21" s="1"/>
  <c r="L587" i="21" s="1"/>
  <c r="K586" i="21"/>
  <c r="L586" i="21" s="1"/>
  <c r="J586" i="21"/>
  <c r="E586" i="21"/>
  <c r="F586" i="21" s="1"/>
  <c r="J585" i="21"/>
  <c r="E585" i="21"/>
  <c r="F585" i="21" s="1"/>
  <c r="K585" i="21" s="1"/>
  <c r="L585" i="21" s="1"/>
  <c r="J584" i="21"/>
  <c r="E584" i="21"/>
  <c r="F584" i="21" s="1"/>
  <c r="K584" i="21" s="1"/>
  <c r="L584" i="21" s="1"/>
  <c r="L583" i="21"/>
  <c r="K583" i="21"/>
  <c r="J583" i="21"/>
  <c r="I583" i="21"/>
  <c r="E583" i="21"/>
  <c r="F583" i="21" s="1"/>
  <c r="J582" i="21"/>
  <c r="K582" i="21" s="1"/>
  <c r="L582" i="21" s="1"/>
  <c r="I582" i="21"/>
  <c r="F582" i="21"/>
  <c r="E582" i="21"/>
  <c r="I581" i="21"/>
  <c r="J581" i="21" s="1"/>
  <c r="E581" i="21"/>
  <c r="F581" i="21" s="1"/>
  <c r="K581" i="21" s="1"/>
  <c r="L581" i="21" s="1"/>
  <c r="I580" i="21"/>
  <c r="J580" i="21" s="1"/>
  <c r="F580" i="21"/>
  <c r="E580" i="21"/>
  <c r="J579" i="21"/>
  <c r="I579" i="21"/>
  <c r="E579" i="21"/>
  <c r="F579" i="21" s="1"/>
  <c r="K579" i="21" s="1"/>
  <c r="L579" i="21" s="1"/>
  <c r="I578" i="21"/>
  <c r="J578" i="21" s="1"/>
  <c r="K578" i="21" s="1"/>
  <c r="L578" i="21" s="1"/>
  <c r="F578" i="21"/>
  <c r="E578" i="21"/>
  <c r="I577" i="21"/>
  <c r="J577" i="21" s="1"/>
  <c r="F577" i="21"/>
  <c r="E577" i="21"/>
  <c r="I576" i="21"/>
  <c r="J576" i="21" s="1"/>
  <c r="E576" i="21"/>
  <c r="F576" i="21" s="1"/>
  <c r="K576" i="21" s="1"/>
  <c r="L576" i="21" s="1"/>
  <c r="L575" i="21"/>
  <c r="K575" i="21"/>
  <c r="J575" i="21"/>
  <c r="I575" i="21"/>
  <c r="E575" i="21"/>
  <c r="F575" i="21" s="1"/>
  <c r="J574" i="21"/>
  <c r="E574" i="21"/>
  <c r="F574" i="21" s="1"/>
  <c r="K574" i="21" s="1"/>
  <c r="L574" i="21" s="1"/>
  <c r="J573" i="21"/>
  <c r="F573" i="21"/>
  <c r="K573" i="21" s="1"/>
  <c r="L573" i="21" s="1"/>
  <c r="E573" i="21"/>
  <c r="J572" i="21"/>
  <c r="K572" i="21" s="1"/>
  <c r="L572" i="21" s="1"/>
  <c r="F572" i="21"/>
  <c r="E572" i="21"/>
  <c r="J571" i="21"/>
  <c r="E571" i="21"/>
  <c r="F571" i="21" s="1"/>
  <c r="K571" i="21" s="1"/>
  <c r="L571" i="21" s="1"/>
  <c r="I570" i="21"/>
  <c r="J570" i="21" s="1"/>
  <c r="E570" i="21"/>
  <c r="F570" i="21" s="1"/>
  <c r="K570" i="21" s="1"/>
  <c r="L570" i="21" s="1"/>
  <c r="L569" i="21"/>
  <c r="K569" i="21"/>
  <c r="J569" i="21"/>
  <c r="I569" i="21"/>
  <c r="E569" i="21"/>
  <c r="F569" i="21" s="1"/>
  <c r="I568" i="21"/>
  <c r="J568" i="21" s="1"/>
  <c r="K568" i="21" s="1"/>
  <c r="L568" i="21" s="1"/>
  <c r="F568" i="21"/>
  <c r="E568" i="21"/>
  <c r="I567" i="21"/>
  <c r="J567" i="21" s="1"/>
  <c r="F567" i="21"/>
  <c r="K567" i="21" s="1"/>
  <c r="L567" i="21" s="1"/>
  <c r="E567" i="21"/>
  <c r="K566" i="21"/>
  <c r="L566" i="21" s="1"/>
  <c r="J566" i="21"/>
  <c r="E566" i="21"/>
  <c r="F566" i="21" s="1"/>
  <c r="J565" i="21"/>
  <c r="F565" i="21"/>
  <c r="E565" i="21"/>
  <c r="J564" i="21"/>
  <c r="F564" i="21"/>
  <c r="E564" i="21"/>
  <c r="J563" i="21"/>
  <c r="E563" i="21"/>
  <c r="F563" i="21" s="1"/>
  <c r="J555" i="21"/>
  <c r="K555" i="21" s="1"/>
  <c r="L555" i="21" s="1"/>
  <c r="E555" i="21"/>
  <c r="J554" i="21"/>
  <c r="E554" i="21"/>
  <c r="K554" i="21" s="1"/>
  <c r="L554" i="21" s="1"/>
  <c r="J553" i="21"/>
  <c r="K553" i="21" s="1"/>
  <c r="L553" i="21" s="1"/>
  <c r="E553" i="21"/>
  <c r="K552" i="21"/>
  <c r="L552" i="21" s="1"/>
  <c r="J552" i="21"/>
  <c r="E552" i="21"/>
  <c r="L551" i="21"/>
  <c r="K551" i="21"/>
  <c r="J551" i="21"/>
  <c r="I551" i="21"/>
  <c r="E551" i="21"/>
  <c r="L550" i="21"/>
  <c r="K550" i="21"/>
  <c r="J550" i="21"/>
  <c r="E550" i="21"/>
  <c r="L549" i="21"/>
  <c r="K549" i="21"/>
  <c r="J549" i="21"/>
  <c r="E549" i="21"/>
  <c r="L548" i="21"/>
  <c r="K548" i="21"/>
  <c r="J548" i="21"/>
  <c r="E548" i="21"/>
  <c r="I547" i="21"/>
  <c r="J547" i="21" s="1"/>
  <c r="E547" i="21"/>
  <c r="K547" i="21" s="1"/>
  <c r="L547" i="21" s="1"/>
  <c r="J546" i="21"/>
  <c r="K546" i="21" s="1"/>
  <c r="L546" i="21" s="1"/>
  <c r="E546" i="21"/>
  <c r="L545" i="21"/>
  <c r="J545" i="21"/>
  <c r="E545" i="21"/>
  <c r="K545" i="21" s="1"/>
  <c r="I544" i="21"/>
  <c r="J544" i="21" s="1"/>
  <c r="E544" i="21"/>
  <c r="J543" i="21"/>
  <c r="E543" i="21"/>
  <c r="I534" i="21"/>
  <c r="J534" i="21" s="1"/>
  <c r="E534" i="21"/>
  <c r="K534" i="21" s="1"/>
  <c r="L534" i="21" s="1"/>
  <c r="I533" i="21"/>
  <c r="J533" i="21" s="1"/>
  <c r="K533" i="21" s="1"/>
  <c r="L533" i="21" s="1"/>
  <c r="E533" i="21"/>
  <c r="K532" i="21"/>
  <c r="L532" i="21" s="1"/>
  <c r="J532" i="21"/>
  <c r="E532" i="21"/>
  <c r="J531" i="21"/>
  <c r="K531" i="21" s="1"/>
  <c r="L531" i="21" s="1"/>
  <c r="I531" i="21"/>
  <c r="E531" i="21"/>
  <c r="J530" i="21"/>
  <c r="K530" i="21" s="1"/>
  <c r="L530" i="21" s="1"/>
  <c r="E530" i="21"/>
  <c r="I529" i="21"/>
  <c r="J529" i="21" s="1"/>
  <c r="E529" i="21"/>
  <c r="K529" i="21" s="1"/>
  <c r="L529" i="21" s="1"/>
  <c r="J528" i="21"/>
  <c r="K528" i="21" s="1"/>
  <c r="L528" i="21" s="1"/>
  <c r="I528" i="21"/>
  <c r="E528" i="21"/>
  <c r="I527" i="21"/>
  <c r="J527" i="21" s="1"/>
  <c r="E527" i="21"/>
  <c r="J526" i="21"/>
  <c r="K526" i="21" s="1"/>
  <c r="L526" i="21" s="1"/>
  <c r="E526" i="21"/>
  <c r="J525" i="21"/>
  <c r="E525" i="21"/>
  <c r="K525" i="21" s="1"/>
  <c r="L525" i="21" s="1"/>
  <c r="J524" i="21"/>
  <c r="K524" i="21" s="1"/>
  <c r="L524" i="21" s="1"/>
  <c r="I524" i="21"/>
  <c r="E524" i="21"/>
  <c r="I523" i="21"/>
  <c r="J523" i="21" s="1"/>
  <c r="E523" i="21"/>
  <c r="L514" i="21"/>
  <c r="K514" i="21"/>
  <c r="J514" i="21"/>
  <c r="E514" i="21"/>
  <c r="K513" i="21"/>
  <c r="L513" i="21" s="1"/>
  <c r="J513" i="21"/>
  <c r="E513" i="21"/>
  <c r="L512" i="21"/>
  <c r="I512" i="21"/>
  <c r="J512" i="21" s="1"/>
  <c r="K512" i="21" s="1"/>
  <c r="E512" i="21"/>
  <c r="I511" i="21"/>
  <c r="J511" i="21" s="1"/>
  <c r="E511" i="21"/>
  <c r="I510" i="21"/>
  <c r="J510" i="21" s="1"/>
  <c r="K510" i="21" s="1"/>
  <c r="E510" i="21"/>
  <c r="L502" i="21"/>
  <c r="K502" i="21"/>
  <c r="J502" i="21"/>
  <c r="E502" i="21"/>
  <c r="F502" i="21" s="1"/>
  <c r="K501" i="21"/>
  <c r="L501" i="21" s="1"/>
  <c r="J501" i="21"/>
  <c r="I501" i="21"/>
  <c r="F501" i="21"/>
  <c r="E501" i="21"/>
  <c r="I500" i="21"/>
  <c r="J500" i="21" s="1"/>
  <c r="E500" i="21"/>
  <c r="K499" i="21"/>
  <c r="J499" i="21"/>
  <c r="E499" i="21"/>
  <c r="F499" i="21" s="1"/>
  <c r="I498" i="21"/>
  <c r="J498" i="21" s="1"/>
  <c r="F498" i="21"/>
  <c r="K498" i="21" s="1"/>
  <c r="L498" i="21" s="1"/>
  <c r="E498" i="21"/>
  <c r="J490" i="21"/>
  <c r="E490" i="21"/>
  <c r="K490" i="21" s="1"/>
  <c r="L490" i="21" s="1"/>
  <c r="J489" i="21"/>
  <c r="E489" i="21"/>
  <c r="I488" i="21"/>
  <c r="J488" i="21" s="1"/>
  <c r="K488" i="21" s="1"/>
  <c r="L488" i="21" s="1"/>
  <c r="E488" i="21"/>
  <c r="I487" i="21"/>
  <c r="J487" i="21" s="1"/>
  <c r="K487" i="21" s="1"/>
  <c r="E487" i="21"/>
  <c r="L486" i="21"/>
  <c r="K486" i="21"/>
  <c r="J486" i="21"/>
  <c r="E486" i="21"/>
  <c r="L477" i="21"/>
  <c r="K477" i="21"/>
  <c r="J477" i="21"/>
  <c r="E477" i="21"/>
  <c r="J476" i="21"/>
  <c r="E476" i="21"/>
  <c r="K475" i="21"/>
  <c r="L475" i="21" s="1"/>
  <c r="J475" i="21"/>
  <c r="E475" i="21"/>
  <c r="J474" i="21"/>
  <c r="E474" i="21"/>
  <c r="K474" i="21" s="1"/>
  <c r="L474" i="21" s="1"/>
  <c r="J473" i="21"/>
  <c r="K473" i="21" s="1"/>
  <c r="L473" i="21" s="1"/>
  <c r="E473" i="21"/>
  <c r="J472" i="21"/>
  <c r="E472" i="21"/>
  <c r="K472" i="21" s="1"/>
  <c r="L472" i="21" s="1"/>
  <c r="J471" i="21"/>
  <c r="K471" i="21" s="1"/>
  <c r="L471" i="21" s="1"/>
  <c r="I471" i="21"/>
  <c r="E471" i="21"/>
  <c r="J470" i="21"/>
  <c r="E470" i="21"/>
  <c r="K470" i="21" s="1"/>
  <c r="L470" i="21" s="1"/>
  <c r="K469" i="21"/>
  <c r="L469" i="21" s="1"/>
  <c r="J469" i="21"/>
  <c r="E469" i="21"/>
  <c r="J468" i="21"/>
  <c r="E468" i="21"/>
  <c r="K468" i="21" s="1"/>
  <c r="L468" i="21" s="1"/>
  <c r="L467" i="21"/>
  <c r="K467" i="21"/>
  <c r="J467" i="21"/>
  <c r="E467" i="21"/>
  <c r="J466" i="21"/>
  <c r="E466" i="21"/>
  <c r="K466" i="21" s="1"/>
  <c r="L466" i="21" s="1"/>
  <c r="I457" i="21"/>
  <c r="J457" i="21" s="1"/>
  <c r="E457" i="21"/>
  <c r="F457" i="21" s="1"/>
  <c r="I456" i="21"/>
  <c r="J456" i="21" s="1"/>
  <c r="F456" i="21"/>
  <c r="K456" i="21" s="1"/>
  <c r="L456" i="21" s="1"/>
  <c r="E456" i="21"/>
  <c r="I455" i="21"/>
  <c r="J455" i="21" s="1"/>
  <c r="F455" i="21"/>
  <c r="K455" i="21" s="1"/>
  <c r="L455" i="21" s="1"/>
  <c r="E455" i="21"/>
  <c r="K454" i="21"/>
  <c r="L454" i="21" s="1"/>
  <c r="J454" i="21"/>
  <c r="I454" i="21"/>
  <c r="E454" i="21"/>
  <c r="F454" i="21" s="1"/>
  <c r="J453" i="21"/>
  <c r="K453" i="21" s="1"/>
  <c r="L453" i="21" s="1"/>
  <c r="I453" i="21"/>
  <c r="F453" i="21"/>
  <c r="E453" i="21"/>
  <c r="J452" i="21"/>
  <c r="E452" i="21"/>
  <c r="F452" i="21" s="1"/>
  <c r="K452" i="21" s="1"/>
  <c r="L452" i="21" s="1"/>
  <c r="J451" i="21"/>
  <c r="K451" i="21" s="1"/>
  <c r="L451" i="21" s="1"/>
  <c r="I451" i="21"/>
  <c r="E451" i="21"/>
  <c r="F451" i="21" s="1"/>
  <c r="I450" i="21"/>
  <c r="J450" i="21" s="1"/>
  <c r="F450" i="21"/>
  <c r="K450" i="21" s="1"/>
  <c r="L450" i="21" s="1"/>
  <c r="E450" i="21"/>
  <c r="K449" i="21"/>
  <c r="L449" i="21" s="1"/>
  <c r="J449" i="21"/>
  <c r="I449" i="21"/>
  <c r="E449" i="21"/>
  <c r="F449" i="21" s="1"/>
  <c r="I448" i="21"/>
  <c r="J448" i="21" s="1"/>
  <c r="E448" i="21"/>
  <c r="F448" i="21" s="1"/>
  <c r="K448" i="21" s="1"/>
  <c r="L448" i="21" s="1"/>
  <c r="J447" i="21"/>
  <c r="I447" i="21"/>
  <c r="E447" i="21"/>
  <c r="F447" i="21" s="1"/>
  <c r="K447" i="21" s="1"/>
  <c r="L447" i="21" s="1"/>
  <c r="J446" i="21"/>
  <c r="K446" i="21" s="1"/>
  <c r="L446" i="21" s="1"/>
  <c r="F446" i="21"/>
  <c r="E446" i="21"/>
  <c r="I445" i="21"/>
  <c r="J445" i="21" s="1"/>
  <c r="E445" i="21"/>
  <c r="F445" i="21" s="1"/>
  <c r="K445" i="21" s="1"/>
  <c r="L445" i="21" s="1"/>
  <c r="I444" i="21"/>
  <c r="J444" i="21" s="1"/>
  <c r="E444" i="21"/>
  <c r="F444" i="21" s="1"/>
  <c r="K444" i="21" s="1"/>
  <c r="L444" i="21" s="1"/>
  <c r="I443" i="21"/>
  <c r="J443" i="21" s="1"/>
  <c r="K443" i="21" s="1"/>
  <c r="L443" i="21" s="1"/>
  <c r="E443" i="21"/>
  <c r="F443" i="21" s="1"/>
  <c r="I442" i="21"/>
  <c r="J442" i="21" s="1"/>
  <c r="E442" i="21"/>
  <c r="F442" i="21" s="1"/>
  <c r="K442" i="21" s="1"/>
  <c r="L442" i="21" s="1"/>
  <c r="I441" i="21"/>
  <c r="J441" i="21" s="1"/>
  <c r="F441" i="21"/>
  <c r="E441" i="21"/>
  <c r="J440" i="21"/>
  <c r="E440" i="21"/>
  <c r="K431" i="21"/>
  <c r="L431" i="21" s="1"/>
  <c r="J431" i="21"/>
  <c r="E431" i="21"/>
  <c r="K430" i="21"/>
  <c r="L430" i="21" s="1"/>
  <c r="J430" i="21"/>
  <c r="I430" i="21"/>
  <c r="E430" i="21"/>
  <c r="I429" i="21"/>
  <c r="J429" i="21" s="1"/>
  <c r="E429" i="21"/>
  <c r="K429" i="21" s="1"/>
  <c r="L429" i="21" s="1"/>
  <c r="J428" i="21"/>
  <c r="K428" i="21" s="1"/>
  <c r="L428" i="21" s="1"/>
  <c r="I428" i="21"/>
  <c r="E428" i="21"/>
  <c r="I427" i="21"/>
  <c r="J427" i="21" s="1"/>
  <c r="E427" i="21"/>
  <c r="K427" i="21" s="1"/>
  <c r="L427" i="21" s="1"/>
  <c r="K426" i="21"/>
  <c r="L426" i="21" s="1"/>
  <c r="I426" i="21"/>
  <c r="J426" i="21" s="1"/>
  <c r="E426" i="21"/>
  <c r="J425" i="21"/>
  <c r="E425" i="21"/>
  <c r="I424" i="21"/>
  <c r="J424" i="21" s="1"/>
  <c r="E424" i="21"/>
  <c r="J423" i="21"/>
  <c r="E423" i="21"/>
  <c r="K423" i="21" s="1"/>
  <c r="L423" i="21" s="1"/>
  <c r="J422" i="21"/>
  <c r="I422" i="21"/>
  <c r="E422" i="21"/>
  <c r="J421" i="21"/>
  <c r="K421" i="21" s="1"/>
  <c r="L421" i="21" s="1"/>
  <c r="I421" i="21"/>
  <c r="E421" i="21"/>
  <c r="J411" i="21"/>
  <c r="K411" i="21" s="1"/>
  <c r="L411" i="21" s="1"/>
  <c r="I411" i="21"/>
  <c r="E411" i="21"/>
  <c r="K410" i="21"/>
  <c r="L410" i="21" s="1"/>
  <c r="J410" i="21"/>
  <c r="I410" i="21"/>
  <c r="E410" i="21"/>
  <c r="J409" i="21"/>
  <c r="E409" i="21"/>
  <c r="K409" i="21" s="1"/>
  <c r="L409" i="21" s="1"/>
  <c r="J408" i="21"/>
  <c r="K408" i="21" s="1"/>
  <c r="L408" i="21" s="1"/>
  <c r="E408" i="21"/>
  <c r="I407" i="21"/>
  <c r="J407" i="21" s="1"/>
  <c r="E407" i="21"/>
  <c r="K407" i="21" s="1"/>
  <c r="L407" i="21" s="1"/>
  <c r="I406" i="21"/>
  <c r="J406" i="21" s="1"/>
  <c r="K406" i="21" s="1"/>
  <c r="L406" i="21" s="1"/>
  <c r="E406" i="21"/>
  <c r="I405" i="21"/>
  <c r="J405" i="21" s="1"/>
  <c r="E405" i="21"/>
  <c r="K405" i="21" s="1"/>
  <c r="L405" i="21" s="1"/>
  <c r="L404" i="21"/>
  <c r="K404" i="21"/>
  <c r="J404" i="21"/>
  <c r="E404" i="21"/>
  <c r="I403" i="21"/>
  <c r="J403" i="21" s="1"/>
  <c r="E403" i="21"/>
  <c r="K403" i="21" s="1"/>
  <c r="L403" i="21" s="1"/>
  <c r="I402" i="21"/>
  <c r="J402" i="21" s="1"/>
  <c r="E402" i="21"/>
  <c r="I401" i="21"/>
  <c r="J401" i="21" s="1"/>
  <c r="K401" i="21" s="1"/>
  <c r="L401" i="21" s="1"/>
  <c r="E401" i="21"/>
  <c r="J400" i="21"/>
  <c r="K400" i="21" s="1"/>
  <c r="L400" i="21" s="1"/>
  <c r="I400" i="21"/>
  <c r="E400" i="21"/>
  <c r="K399" i="21"/>
  <c r="L399" i="21" s="1"/>
  <c r="J399" i="21"/>
  <c r="E399" i="21"/>
  <c r="K398" i="21"/>
  <c r="L398" i="21" s="1"/>
  <c r="J398" i="21"/>
  <c r="E398" i="21"/>
  <c r="J389" i="21"/>
  <c r="E389" i="21"/>
  <c r="K389" i="21" s="1"/>
  <c r="L389" i="21" s="1"/>
  <c r="L388" i="21"/>
  <c r="K388" i="21"/>
  <c r="J388" i="21"/>
  <c r="E388" i="21"/>
  <c r="J387" i="21"/>
  <c r="I387" i="21"/>
  <c r="E387" i="21"/>
  <c r="J379" i="21"/>
  <c r="E379" i="21"/>
  <c r="K379" i="21" s="1"/>
  <c r="L379" i="21" s="1"/>
  <c r="J378" i="21"/>
  <c r="K378" i="21" s="1"/>
  <c r="L378" i="21" s="1"/>
  <c r="I378" i="21"/>
  <c r="E378" i="21"/>
  <c r="J377" i="21"/>
  <c r="E377" i="21"/>
  <c r="K377" i="21" s="1"/>
  <c r="L377" i="21" s="1"/>
  <c r="K376" i="21"/>
  <c r="L376" i="21" s="1"/>
  <c r="J376" i="21"/>
  <c r="E376" i="21"/>
  <c r="J375" i="21"/>
  <c r="E375" i="21"/>
  <c r="K375" i="21" s="1"/>
  <c r="L375" i="21" s="1"/>
  <c r="L374" i="21"/>
  <c r="K374" i="21"/>
  <c r="J374" i="21"/>
  <c r="E374" i="21"/>
  <c r="I373" i="21"/>
  <c r="J373" i="21" s="1"/>
  <c r="E373" i="21"/>
  <c r="K373" i="21" s="1"/>
  <c r="L373" i="21" s="1"/>
  <c r="I372" i="21"/>
  <c r="J372" i="21" s="1"/>
  <c r="E372" i="21"/>
  <c r="I371" i="21"/>
  <c r="J371" i="21" s="1"/>
  <c r="K371" i="21" s="1"/>
  <c r="L371" i="21" s="1"/>
  <c r="E371" i="21"/>
  <c r="J370" i="21"/>
  <c r="K370" i="21" s="1"/>
  <c r="L370" i="21" s="1"/>
  <c r="E370" i="21"/>
  <c r="J369" i="21"/>
  <c r="K369" i="21" s="1"/>
  <c r="L369" i="21" s="1"/>
  <c r="E369" i="21"/>
  <c r="K368" i="21"/>
  <c r="L368" i="21" s="1"/>
  <c r="J368" i="21"/>
  <c r="E368" i="21"/>
  <c r="J367" i="21"/>
  <c r="K367" i="21" s="1"/>
  <c r="I367" i="21"/>
  <c r="E367" i="21"/>
  <c r="E361" i="21"/>
  <c r="J359" i="21"/>
  <c r="K359" i="21" s="1"/>
  <c r="L359" i="21" s="1"/>
  <c r="E359" i="21"/>
  <c r="J358" i="21"/>
  <c r="E358" i="21"/>
  <c r="K358" i="21" s="1"/>
  <c r="L358" i="21" s="1"/>
  <c r="L357" i="21"/>
  <c r="K357" i="21"/>
  <c r="J357" i="21"/>
  <c r="I357" i="21"/>
  <c r="E357" i="21"/>
  <c r="J356" i="21"/>
  <c r="E356" i="21"/>
  <c r="K356" i="21" s="1"/>
  <c r="L356" i="21" s="1"/>
  <c r="I355" i="21"/>
  <c r="J355" i="21" s="1"/>
  <c r="E355" i="21"/>
  <c r="K355" i="21" s="1"/>
  <c r="L355" i="21" s="1"/>
  <c r="J354" i="21"/>
  <c r="E354" i="21"/>
  <c r="K354" i="21" s="1"/>
  <c r="L354" i="21" s="1"/>
  <c r="L353" i="21"/>
  <c r="J353" i="21"/>
  <c r="E353" i="21"/>
  <c r="K353" i="21" s="1"/>
  <c r="K352" i="21"/>
  <c r="L352" i="21" s="1"/>
  <c r="J352" i="21"/>
  <c r="E352" i="21"/>
  <c r="L351" i="21"/>
  <c r="J351" i="21"/>
  <c r="E351" i="21"/>
  <c r="K351" i="21" s="1"/>
  <c r="J350" i="21"/>
  <c r="I350" i="21"/>
  <c r="E350" i="21"/>
  <c r="J349" i="21"/>
  <c r="E349" i="21"/>
  <c r="J348" i="21"/>
  <c r="E348" i="21"/>
  <c r="K348" i="21" s="1"/>
  <c r="L348" i="21" s="1"/>
  <c r="K347" i="21"/>
  <c r="J347" i="21"/>
  <c r="E347" i="21"/>
  <c r="J346" i="21"/>
  <c r="E346" i="21"/>
  <c r="K346" i="21" s="1"/>
  <c r="L346" i="21" s="1"/>
  <c r="K338" i="21"/>
  <c r="L338" i="21" s="1"/>
  <c r="J338" i="21"/>
  <c r="E338" i="21"/>
  <c r="I337" i="21"/>
  <c r="J337" i="21" s="1"/>
  <c r="E337" i="21"/>
  <c r="K336" i="21"/>
  <c r="L336" i="21" s="1"/>
  <c r="J336" i="21"/>
  <c r="I336" i="21"/>
  <c r="E336" i="21"/>
  <c r="J335" i="21"/>
  <c r="K335" i="21" s="1"/>
  <c r="L335" i="21" s="1"/>
  <c r="I335" i="21"/>
  <c r="E335" i="21"/>
  <c r="J334" i="21"/>
  <c r="E334" i="21"/>
  <c r="K334" i="21" s="1"/>
  <c r="L334" i="21" s="1"/>
  <c r="I333" i="21"/>
  <c r="J333" i="21" s="1"/>
  <c r="K333" i="21" s="1"/>
  <c r="L333" i="21" s="1"/>
  <c r="E333" i="21"/>
  <c r="J332" i="21"/>
  <c r="E332" i="21"/>
  <c r="K332" i="21" s="1"/>
  <c r="L332" i="21" s="1"/>
  <c r="I331" i="21"/>
  <c r="J331" i="21" s="1"/>
  <c r="K331" i="21" s="1"/>
  <c r="L331" i="21" s="1"/>
  <c r="E331" i="21"/>
  <c r="J330" i="21"/>
  <c r="E330" i="21"/>
  <c r="K330" i="21" s="1"/>
  <c r="L330" i="21" s="1"/>
  <c r="J329" i="21"/>
  <c r="K329" i="21" s="1"/>
  <c r="L329" i="21" s="1"/>
  <c r="I329" i="21"/>
  <c r="E329" i="21"/>
  <c r="J328" i="21"/>
  <c r="E328" i="21"/>
  <c r="K328" i="21" s="1"/>
  <c r="L328" i="21" s="1"/>
  <c r="J327" i="21"/>
  <c r="K327" i="21" s="1"/>
  <c r="L327" i="21" s="1"/>
  <c r="E327" i="21"/>
  <c r="I326" i="21"/>
  <c r="J326" i="21" s="1"/>
  <c r="E326" i="21"/>
  <c r="L325" i="21"/>
  <c r="K325" i="21"/>
  <c r="J325" i="21"/>
  <c r="E325" i="21"/>
  <c r="J324" i="21"/>
  <c r="E324" i="21"/>
  <c r="K324" i="21" s="1"/>
  <c r="L324" i="21" s="1"/>
  <c r="L323" i="21"/>
  <c r="K323" i="21"/>
  <c r="J323" i="21"/>
  <c r="E323" i="21"/>
  <c r="J322" i="21"/>
  <c r="E322" i="21"/>
  <c r="K322" i="21" s="1"/>
  <c r="L322" i="21" s="1"/>
  <c r="K321" i="21"/>
  <c r="L321" i="21" s="1"/>
  <c r="J321" i="21"/>
  <c r="E321" i="21"/>
  <c r="J320" i="21"/>
  <c r="I320" i="21"/>
  <c r="E320" i="21"/>
  <c r="I312" i="21"/>
  <c r="J312" i="21" s="1"/>
  <c r="F312" i="21"/>
  <c r="K312" i="21" s="1"/>
  <c r="L312" i="21" s="1"/>
  <c r="E312" i="21"/>
  <c r="J311" i="21"/>
  <c r="E311" i="21"/>
  <c r="F311" i="21" s="1"/>
  <c r="K311" i="21" s="1"/>
  <c r="L311" i="21" s="1"/>
  <c r="I310" i="21"/>
  <c r="J310" i="21" s="1"/>
  <c r="K310" i="21" s="1"/>
  <c r="L310" i="21" s="1"/>
  <c r="F310" i="21"/>
  <c r="E310" i="21"/>
  <c r="I309" i="21"/>
  <c r="J309" i="21" s="1"/>
  <c r="E309" i="21"/>
  <c r="F309" i="21" s="1"/>
  <c r="I308" i="21"/>
  <c r="J308" i="21" s="1"/>
  <c r="E308" i="21"/>
  <c r="F308" i="21" s="1"/>
  <c r="K308" i="21" s="1"/>
  <c r="L308" i="21" s="1"/>
  <c r="I307" i="21"/>
  <c r="J307" i="21" s="1"/>
  <c r="K307" i="21" s="1"/>
  <c r="L307" i="21" s="1"/>
  <c r="F307" i="21"/>
  <c r="E307" i="21"/>
  <c r="I306" i="21"/>
  <c r="J306" i="21" s="1"/>
  <c r="E306" i="21"/>
  <c r="F306" i="21" s="1"/>
  <c r="K306" i="21" s="1"/>
  <c r="L306" i="21" s="1"/>
  <c r="L305" i="21"/>
  <c r="I305" i="21"/>
  <c r="J305" i="21" s="1"/>
  <c r="K305" i="21" s="1"/>
  <c r="E305" i="21"/>
  <c r="F305" i="21" s="1"/>
  <c r="L304" i="21"/>
  <c r="K304" i="21"/>
  <c r="J304" i="21"/>
  <c r="F304" i="21"/>
  <c r="E304" i="21"/>
  <c r="I303" i="21"/>
  <c r="J303" i="21" s="1"/>
  <c r="F303" i="21"/>
  <c r="E303" i="21"/>
  <c r="L302" i="21"/>
  <c r="K302" i="21"/>
  <c r="J302" i="21"/>
  <c r="E302" i="21"/>
  <c r="F302" i="21" s="1"/>
  <c r="I301" i="21"/>
  <c r="J301" i="21" s="1"/>
  <c r="F301" i="21"/>
  <c r="K301" i="21" s="1"/>
  <c r="L301" i="21" s="1"/>
  <c r="E301" i="21"/>
  <c r="I300" i="21"/>
  <c r="J300" i="21" s="1"/>
  <c r="E300" i="21"/>
  <c r="F300" i="21" s="1"/>
  <c r="K299" i="21"/>
  <c r="L299" i="21" s="1"/>
  <c r="J299" i="21"/>
  <c r="F299" i="21"/>
  <c r="E299" i="21"/>
  <c r="J298" i="21"/>
  <c r="F298" i="21"/>
  <c r="E298" i="21"/>
  <c r="J297" i="21"/>
  <c r="I297" i="21"/>
  <c r="E297" i="21"/>
  <c r="F297" i="21" s="1"/>
  <c r="K297" i="21" s="1"/>
  <c r="L297" i="21" s="1"/>
  <c r="I296" i="21"/>
  <c r="J296" i="21" s="1"/>
  <c r="K296" i="21" s="1"/>
  <c r="L296" i="21" s="1"/>
  <c r="F296" i="21"/>
  <c r="E296" i="21"/>
  <c r="I295" i="21"/>
  <c r="J295" i="21" s="1"/>
  <c r="E295" i="21"/>
  <c r="F295" i="21" s="1"/>
  <c r="K295" i="21" s="1"/>
  <c r="L295" i="21" s="1"/>
  <c r="K294" i="21"/>
  <c r="L294" i="21" s="1"/>
  <c r="J294" i="21"/>
  <c r="I294" i="21"/>
  <c r="E294" i="21"/>
  <c r="F294" i="21" s="1"/>
  <c r="I293" i="21"/>
  <c r="J293" i="21" s="1"/>
  <c r="F293" i="21"/>
  <c r="K293" i="21" s="1"/>
  <c r="L293" i="21" s="1"/>
  <c r="E293" i="21"/>
  <c r="I292" i="21"/>
  <c r="J292" i="21" s="1"/>
  <c r="F292" i="21"/>
  <c r="K292" i="21" s="1"/>
  <c r="L292" i="21" s="1"/>
  <c r="E292" i="21"/>
  <c r="K291" i="21"/>
  <c r="L291" i="21" s="1"/>
  <c r="J291" i="21"/>
  <c r="F291" i="21"/>
  <c r="E291" i="21"/>
  <c r="J290" i="21"/>
  <c r="K290" i="21" s="1"/>
  <c r="L290" i="21" s="1"/>
  <c r="I290" i="21"/>
  <c r="F290" i="21"/>
  <c r="E290" i="21"/>
  <c r="I289" i="21"/>
  <c r="J289" i="21" s="1"/>
  <c r="E289" i="21"/>
  <c r="F289" i="21" s="1"/>
  <c r="K289" i="21" s="1"/>
  <c r="L289" i="21" s="1"/>
  <c r="K288" i="21"/>
  <c r="L288" i="21" s="1"/>
  <c r="J288" i="21"/>
  <c r="E288" i="21"/>
  <c r="F288" i="21" s="1"/>
  <c r="J287" i="21"/>
  <c r="E287" i="21"/>
  <c r="F287" i="21" s="1"/>
  <c r="K287" i="21" s="1"/>
  <c r="L287" i="21" s="1"/>
  <c r="L286" i="21"/>
  <c r="J286" i="21"/>
  <c r="I286" i="21"/>
  <c r="E286" i="21"/>
  <c r="F286" i="21" s="1"/>
  <c r="K286" i="21" s="1"/>
  <c r="J285" i="21"/>
  <c r="E285" i="21"/>
  <c r="L277" i="21"/>
  <c r="K277" i="21"/>
  <c r="I277" i="21"/>
  <c r="J277" i="21" s="1"/>
  <c r="F277" i="21"/>
  <c r="E277" i="21"/>
  <c r="I276" i="21"/>
  <c r="J276" i="21" s="1"/>
  <c r="E276" i="21"/>
  <c r="F276" i="21" s="1"/>
  <c r="K276" i="21" s="1"/>
  <c r="L276" i="21" s="1"/>
  <c r="K275" i="21"/>
  <c r="L275" i="21" s="1"/>
  <c r="J275" i="21"/>
  <c r="I275" i="21"/>
  <c r="E275" i="21"/>
  <c r="F275" i="21" s="1"/>
  <c r="I274" i="21"/>
  <c r="J274" i="21" s="1"/>
  <c r="F274" i="21"/>
  <c r="K274" i="21" s="1"/>
  <c r="L274" i="21" s="1"/>
  <c r="E274" i="21"/>
  <c r="I273" i="21"/>
  <c r="J273" i="21" s="1"/>
  <c r="F273" i="21"/>
  <c r="K273" i="21" s="1"/>
  <c r="L273" i="21" s="1"/>
  <c r="E273" i="21"/>
  <c r="K272" i="21"/>
  <c r="L272" i="21" s="1"/>
  <c r="J272" i="21"/>
  <c r="F272" i="21"/>
  <c r="E272" i="21"/>
  <c r="J271" i="21"/>
  <c r="K271" i="21" s="1"/>
  <c r="L271" i="21" s="1"/>
  <c r="I271" i="21"/>
  <c r="F271" i="21"/>
  <c r="E271" i="21"/>
  <c r="I270" i="21"/>
  <c r="J270" i="21" s="1"/>
  <c r="E270" i="21"/>
  <c r="F270" i="21" s="1"/>
  <c r="K270" i="21" s="1"/>
  <c r="L270" i="21" s="1"/>
  <c r="K269" i="21"/>
  <c r="L269" i="21" s="1"/>
  <c r="J269" i="21"/>
  <c r="E269" i="21"/>
  <c r="F269" i="21" s="1"/>
  <c r="I268" i="21"/>
  <c r="J268" i="21" s="1"/>
  <c r="E268" i="21"/>
  <c r="F268" i="21" s="1"/>
  <c r="K268" i="21" s="1"/>
  <c r="L268" i="21" s="1"/>
  <c r="I267" i="21"/>
  <c r="J267" i="21" s="1"/>
  <c r="E267" i="21"/>
  <c r="F267" i="21" s="1"/>
  <c r="K267" i="21" s="1"/>
  <c r="L267" i="21" s="1"/>
  <c r="I266" i="21"/>
  <c r="J266" i="21" s="1"/>
  <c r="K266" i="21" s="1"/>
  <c r="L266" i="21" s="1"/>
  <c r="F266" i="21"/>
  <c r="E266" i="21"/>
  <c r="I265" i="21"/>
  <c r="J265" i="21" s="1"/>
  <c r="E265" i="21"/>
  <c r="F265" i="21" s="1"/>
  <c r="L264" i="21"/>
  <c r="I264" i="21"/>
  <c r="J264" i="21" s="1"/>
  <c r="E264" i="21"/>
  <c r="F264" i="21" s="1"/>
  <c r="K264" i="21" s="1"/>
  <c r="J263" i="21"/>
  <c r="F263" i="21"/>
  <c r="E263" i="21"/>
  <c r="J262" i="21"/>
  <c r="I262" i="21"/>
  <c r="E262" i="21"/>
  <c r="F262" i="21" s="1"/>
  <c r="K262" i="21" s="1"/>
  <c r="L262" i="21" s="1"/>
  <c r="I261" i="21"/>
  <c r="J261" i="21" s="1"/>
  <c r="K261" i="21" s="1"/>
  <c r="L261" i="21" s="1"/>
  <c r="F261" i="21"/>
  <c r="E261" i="21"/>
  <c r="L260" i="21"/>
  <c r="K260" i="21"/>
  <c r="J260" i="21"/>
  <c r="F260" i="21"/>
  <c r="E260" i="21"/>
  <c r="J259" i="21"/>
  <c r="E259" i="21"/>
  <c r="F259" i="21" s="1"/>
  <c r="K259" i="21" s="1"/>
  <c r="L259" i="21" s="1"/>
  <c r="L258" i="21"/>
  <c r="I258" i="21"/>
  <c r="J258" i="21" s="1"/>
  <c r="K258" i="21" s="1"/>
  <c r="F258" i="21"/>
  <c r="E258" i="21"/>
  <c r="J257" i="21"/>
  <c r="I257" i="21"/>
  <c r="E257" i="21"/>
  <c r="F257" i="21" s="1"/>
  <c r="K257" i="21" s="1"/>
  <c r="L257" i="21" s="1"/>
  <c r="J256" i="21"/>
  <c r="E256" i="21"/>
  <c r="F256" i="21" s="1"/>
  <c r="K256" i="21" s="1"/>
  <c r="L256" i="21" s="1"/>
  <c r="I255" i="21"/>
  <c r="J255" i="21" s="1"/>
  <c r="K255" i="21" s="1"/>
  <c r="L255" i="21" s="1"/>
  <c r="E255" i="21"/>
  <c r="F255" i="21" s="1"/>
  <c r="K254" i="21"/>
  <c r="L254" i="21" s="1"/>
  <c r="J254" i="21"/>
  <c r="I254" i="21"/>
  <c r="F254" i="21"/>
  <c r="E254" i="21"/>
  <c r="I253" i="21"/>
  <c r="J253" i="21" s="1"/>
  <c r="E253" i="21"/>
  <c r="F253" i="21" s="1"/>
  <c r="K253" i="21" s="1"/>
  <c r="L253" i="21" s="1"/>
  <c r="L252" i="21"/>
  <c r="J252" i="21"/>
  <c r="E252" i="21"/>
  <c r="F252" i="21" s="1"/>
  <c r="K252" i="21" s="1"/>
  <c r="J251" i="21"/>
  <c r="F251" i="21"/>
  <c r="E251" i="21"/>
  <c r="I250" i="21"/>
  <c r="J250" i="21" s="1"/>
  <c r="F250" i="21"/>
  <c r="E250" i="21"/>
  <c r="J249" i="21"/>
  <c r="E249" i="21"/>
  <c r="F249" i="21" s="1"/>
  <c r="K249" i="21" s="1"/>
  <c r="L249" i="21" s="1"/>
  <c r="K248" i="21"/>
  <c r="J248" i="21"/>
  <c r="F248" i="21"/>
  <c r="E248" i="21"/>
  <c r="I240" i="21"/>
  <c r="J240" i="21" s="1"/>
  <c r="E240" i="21"/>
  <c r="F240" i="21" s="1"/>
  <c r="K240" i="21" s="1"/>
  <c r="L240" i="21" s="1"/>
  <c r="I239" i="21"/>
  <c r="J239" i="21" s="1"/>
  <c r="F239" i="21"/>
  <c r="K239" i="21" s="1"/>
  <c r="L239" i="21" s="1"/>
  <c r="E239" i="21"/>
  <c r="J238" i="21"/>
  <c r="I238" i="21"/>
  <c r="E238" i="21"/>
  <c r="F238" i="21" s="1"/>
  <c r="K238" i="21" s="1"/>
  <c r="L238" i="21" s="1"/>
  <c r="I237" i="21"/>
  <c r="J237" i="21" s="1"/>
  <c r="F237" i="21"/>
  <c r="K237" i="21" s="1"/>
  <c r="L237" i="21" s="1"/>
  <c r="E237" i="21"/>
  <c r="I236" i="21"/>
  <c r="J236" i="21" s="1"/>
  <c r="E236" i="21"/>
  <c r="F236" i="21" s="1"/>
  <c r="K236" i="21" s="1"/>
  <c r="L236" i="21" s="1"/>
  <c r="J235" i="21"/>
  <c r="K235" i="21" s="1"/>
  <c r="L235" i="21" s="1"/>
  <c r="F235" i="21"/>
  <c r="E235" i="21"/>
  <c r="J234" i="21"/>
  <c r="E234" i="21"/>
  <c r="F234" i="21" s="1"/>
  <c r="K234" i="21" s="1"/>
  <c r="L234" i="21" s="1"/>
  <c r="K233" i="21"/>
  <c r="L233" i="21" s="1"/>
  <c r="J233" i="21"/>
  <c r="I233" i="21"/>
  <c r="E233" i="21"/>
  <c r="F233" i="21" s="1"/>
  <c r="I232" i="21"/>
  <c r="J232" i="21" s="1"/>
  <c r="K232" i="21" s="1"/>
  <c r="L232" i="21" s="1"/>
  <c r="F232" i="21"/>
  <c r="E232" i="21"/>
  <c r="I231" i="21"/>
  <c r="J231" i="21" s="1"/>
  <c r="F231" i="21"/>
  <c r="E231" i="21"/>
  <c r="J230" i="21"/>
  <c r="E230" i="21"/>
  <c r="F230" i="21" s="1"/>
  <c r="K230" i="21" s="1"/>
  <c r="L230" i="21" s="1"/>
  <c r="J229" i="21"/>
  <c r="I229" i="21"/>
  <c r="F229" i="21"/>
  <c r="K229" i="21" s="1"/>
  <c r="L229" i="21" s="1"/>
  <c r="E229" i="21"/>
  <c r="I228" i="21"/>
  <c r="J228" i="21" s="1"/>
  <c r="E228" i="21"/>
  <c r="F228" i="21" s="1"/>
  <c r="K228" i="21" s="1"/>
  <c r="L228" i="21" s="1"/>
  <c r="J227" i="21"/>
  <c r="I227" i="21"/>
  <c r="E227" i="21"/>
  <c r="F227" i="21" s="1"/>
  <c r="K227" i="21" s="1"/>
  <c r="L227" i="21" s="1"/>
  <c r="J226" i="21"/>
  <c r="E226" i="21"/>
  <c r="F226" i="21" s="1"/>
  <c r="K226" i="21" s="1"/>
  <c r="L226" i="21" s="1"/>
  <c r="J225" i="21"/>
  <c r="E225" i="21"/>
  <c r="F225" i="21" s="1"/>
  <c r="K225" i="21" s="1"/>
  <c r="L225" i="21" s="1"/>
  <c r="J224" i="21"/>
  <c r="F224" i="21"/>
  <c r="E224" i="21"/>
  <c r="I223" i="21"/>
  <c r="J223" i="21" s="1"/>
  <c r="E223" i="21"/>
  <c r="F223" i="21" s="1"/>
  <c r="K223" i="21" s="1"/>
  <c r="L223" i="21" s="1"/>
  <c r="J222" i="21"/>
  <c r="E222" i="21"/>
  <c r="F222" i="21" s="1"/>
  <c r="K222" i="21" s="1"/>
  <c r="L222" i="21" s="1"/>
  <c r="J221" i="21"/>
  <c r="I221" i="21"/>
  <c r="E221" i="21"/>
  <c r="F221" i="21" s="1"/>
  <c r="K221" i="21" s="1"/>
  <c r="L221" i="21" s="1"/>
  <c r="J220" i="21"/>
  <c r="I220" i="21"/>
  <c r="E220" i="21"/>
  <c r="F220" i="21" s="1"/>
  <c r="K220" i="21" s="1"/>
  <c r="L220" i="21" s="1"/>
  <c r="J219" i="21"/>
  <c r="E219" i="21"/>
  <c r="F219" i="21" s="1"/>
  <c r="K219" i="21" s="1"/>
  <c r="L219" i="21" s="1"/>
  <c r="I218" i="21"/>
  <c r="J218" i="21" s="1"/>
  <c r="F218" i="21"/>
  <c r="E218" i="21"/>
  <c r="J217" i="21"/>
  <c r="E217" i="21"/>
  <c r="F217" i="21" s="1"/>
  <c r="K217" i="21" s="1"/>
  <c r="L217" i="21" s="1"/>
  <c r="J216" i="21"/>
  <c r="K216" i="21" s="1"/>
  <c r="L216" i="21" s="1"/>
  <c r="I216" i="21"/>
  <c r="F216" i="21"/>
  <c r="E216" i="21"/>
  <c r="J215" i="21"/>
  <c r="E215" i="21"/>
  <c r="F215" i="21" s="1"/>
  <c r="K215" i="21" s="1"/>
  <c r="L215" i="21" s="1"/>
  <c r="I214" i="21"/>
  <c r="J214" i="21" s="1"/>
  <c r="E214" i="21"/>
  <c r="K213" i="21"/>
  <c r="J213" i="21"/>
  <c r="I213" i="21"/>
  <c r="E213" i="21"/>
  <c r="F213" i="21" s="1"/>
  <c r="L205" i="21"/>
  <c r="J205" i="21"/>
  <c r="I205" i="21"/>
  <c r="E205" i="21"/>
  <c r="F205" i="21" s="1"/>
  <c r="K205" i="21" s="1"/>
  <c r="J204" i="21"/>
  <c r="K204" i="21" s="1"/>
  <c r="L204" i="21" s="1"/>
  <c r="I204" i="21"/>
  <c r="F204" i="21"/>
  <c r="E204" i="21"/>
  <c r="J203" i="21"/>
  <c r="E203" i="21"/>
  <c r="F203" i="21" s="1"/>
  <c r="K203" i="21" s="1"/>
  <c r="L203" i="21" s="1"/>
  <c r="J202" i="21"/>
  <c r="I202" i="21"/>
  <c r="E202" i="21"/>
  <c r="F202" i="21" s="1"/>
  <c r="K202" i="21" s="1"/>
  <c r="L202" i="21" s="1"/>
  <c r="L201" i="21"/>
  <c r="K201" i="21"/>
  <c r="I201" i="21"/>
  <c r="J201" i="21" s="1"/>
  <c r="F201" i="21"/>
  <c r="E201" i="21"/>
  <c r="J200" i="21"/>
  <c r="F200" i="21"/>
  <c r="K200" i="21" s="1"/>
  <c r="L200" i="21" s="1"/>
  <c r="E200" i="21"/>
  <c r="L199" i="21"/>
  <c r="K199" i="21"/>
  <c r="J199" i="21"/>
  <c r="E199" i="21"/>
  <c r="F199" i="21" s="1"/>
  <c r="J198" i="21"/>
  <c r="F198" i="21"/>
  <c r="K198" i="21" s="1"/>
  <c r="L198" i="21" s="1"/>
  <c r="E198" i="21"/>
  <c r="I197" i="21"/>
  <c r="J197" i="21" s="1"/>
  <c r="F197" i="21"/>
  <c r="E197" i="21"/>
  <c r="J196" i="21"/>
  <c r="E196" i="21"/>
  <c r="F196" i="21" s="1"/>
  <c r="K196" i="21" s="1"/>
  <c r="L196" i="21" s="1"/>
  <c r="I195" i="21"/>
  <c r="J195" i="21" s="1"/>
  <c r="K195" i="21" s="1"/>
  <c r="L195" i="21" s="1"/>
  <c r="F195" i="21"/>
  <c r="E195" i="21"/>
  <c r="J194" i="21"/>
  <c r="F194" i="21"/>
  <c r="K194" i="21" s="1"/>
  <c r="L194" i="21" s="1"/>
  <c r="E194" i="21"/>
  <c r="J193" i="21"/>
  <c r="K193" i="21" s="1"/>
  <c r="L193" i="21" s="1"/>
  <c r="I193" i="21"/>
  <c r="E193" i="21"/>
  <c r="F193" i="21" s="1"/>
  <c r="I192" i="21"/>
  <c r="J192" i="21" s="1"/>
  <c r="E192" i="21"/>
  <c r="F192" i="21" s="1"/>
  <c r="K192" i="21" s="1"/>
  <c r="L192" i="21" s="1"/>
  <c r="J191" i="21"/>
  <c r="E191" i="21"/>
  <c r="F191" i="21" s="1"/>
  <c r="K191" i="21" s="1"/>
  <c r="L191" i="21" s="1"/>
  <c r="J190" i="21"/>
  <c r="F190" i="21"/>
  <c r="K190" i="21" s="1"/>
  <c r="L190" i="21" s="1"/>
  <c r="E190" i="21"/>
  <c r="J189" i="21"/>
  <c r="E189" i="21"/>
  <c r="F189" i="21" s="1"/>
  <c r="K189" i="21" s="1"/>
  <c r="L189" i="21" s="1"/>
  <c r="L188" i="21"/>
  <c r="K188" i="21"/>
  <c r="J188" i="21"/>
  <c r="F188" i="21"/>
  <c r="E188" i="21"/>
  <c r="J187" i="21"/>
  <c r="I187" i="21"/>
  <c r="E187" i="21"/>
  <c r="F187" i="21" s="1"/>
  <c r="I186" i="21"/>
  <c r="J186" i="21" s="1"/>
  <c r="E186" i="21"/>
  <c r="F186" i="21" s="1"/>
  <c r="J185" i="21"/>
  <c r="K185" i="21" s="1"/>
  <c r="L185" i="21" s="1"/>
  <c r="E185" i="21"/>
  <c r="F185" i="21" s="1"/>
  <c r="J184" i="21"/>
  <c r="F184" i="21"/>
  <c r="K184" i="21" s="1"/>
  <c r="L184" i="21" s="1"/>
  <c r="E184" i="21"/>
  <c r="J183" i="21"/>
  <c r="I183" i="21"/>
  <c r="E183" i="21"/>
  <c r="F183" i="21" s="1"/>
  <c r="K183" i="21" s="1"/>
  <c r="L183" i="21" s="1"/>
  <c r="K182" i="21"/>
  <c r="L182" i="21" s="1"/>
  <c r="J182" i="21"/>
  <c r="I182" i="21"/>
  <c r="F182" i="21"/>
  <c r="E182" i="21"/>
  <c r="I181" i="21"/>
  <c r="J181" i="21" s="1"/>
  <c r="F181" i="21"/>
  <c r="K181" i="21" s="1"/>
  <c r="L181" i="21" s="1"/>
  <c r="E181" i="21"/>
  <c r="I180" i="21"/>
  <c r="J180" i="21" s="1"/>
  <c r="E180" i="21"/>
  <c r="I179" i="21"/>
  <c r="J179" i="21" s="1"/>
  <c r="F179" i="21"/>
  <c r="E179" i="21"/>
  <c r="K171" i="21"/>
  <c r="L171" i="21" s="1"/>
  <c r="J171" i="21"/>
  <c r="I171" i="21"/>
  <c r="E171" i="21"/>
  <c r="F171" i="21" s="1"/>
  <c r="I170" i="21"/>
  <c r="J170" i="21" s="1"/>
  <c r="E170" i="21"/>
  <c r="F170" i="21" s="1"/>
  <c r="K170" i="21" s="1"/>
  <c r="L170" i="21" s="1"/>
  <c r="J169" i="21"/>
  <c r="I169" i="21"/>
  <c r="E169" i="21"/>
  <c r="F169" i="21" s="1"/>
  <c r="K169" i="21" s="1"/>
  <c r="L169" i="21" s="1"/>
  <c r="K168" i="21"/>
  <c r="L168" i="21" s="1"/>
  <c r="J168" i="21"/>
  <c r="I168" i="21"/>
  <c r="F168" i="21"/>
  <c r="E168" i="21"/>
  <c r="J167" i="21"/>
  <c r="F167" i="21"/>
  <c r="K167" i="21" s="1"/>
  <c r="L167" i="21" s="1"/>
  <c r="E167" i="21"/>
  <c r="J166" i="21"/>
  <c r="F166" i="21"/>
  <c r="K166" i="21" s="1"/>
  <c r="L166" i="21" s="1"/>
  <c r="E166" i="21"/>
  <c r="J165" i="21"/>
  <c r="E165" i="21"/>
  <c r="F165" i="21" s="1"/>
  <c r="K165" i="21" s="1"/>
  <c r="L165" i="21" s="1"/>
  <c r="I164" i="21"/>
  <c r="J164" i="21" s="1"/>
  <c r="F164" i="21"/>
  <c r="E164" i="21"/>
  <c r="I163" i="21"/>
  <c r="J163" i="21" s="1"/>
  <c r="E163" i="21"/>
  <c r="F163" i="21" s="1"/>
  <c r="K163" i="21" s="1"/>
  <c r="L163" i="21" s="1"/>
  <c r="J162" i="21"/>
  <c r="K162" i="21" s="1"/>
  <c r="L162" i="21" s="1"/>
  <c r="F162" i="21"/>
  <c r="E162" i="21"/>
  <c r="J161" i="21"/>
  <c r="E161" i="21"/>
  <c r="F161" i="21" s="1"/>
  <c r="K161" i="21" s="1"/>
  <c r="L161" i="21" s="1"/>
  <c r="I160" i="21"/>
  <c r="J160" i="21" s="1"/>
  <c r="E160" i="21"/>
  <c r="F160" i="21" s="1"/>
  <c r="K160" i="21" s="1"/>
  <c r="L160" i="21" s="1"/>
  <c r="K159" i="21"/>
  <c r="L159" i="21" s="1"/>
  <c r="J159" i="21"/>
  <c r="I159" i="21"/>
  <c r="E159" i="21"/>
  <c r="F159" i="21" s="1"/>
  <c r="I158" i="21"/>
  <c r="J158" i="21" s="1"/>
  <c r="F158" i="21"/>
  <c r="K158" i="21" s="1"/>
  <c r="L158" i="21" s="1"/>
  <c r="E158" i="21"/>
  <c r="K157" i="21"/>
  <c r="L157" i="21" s="1"/>
  <c r="J157" i="21"/>
  <c r="E157" i="21"/>
  <c r="F157" i="21" s="1"/>
  <c r="J156" i="21"/>
  <c r="I156" i="21"/>
  <c r="F156" i="21"/>
  <c r="K156" i="21" s="1"/>
  <c r="L156" i="21" s="1"/>
  <c r="E156" i="21"/>
  <c r="J155" i="21"/>
  <c r="F155" i="21"/>
  <c r="K155" i="21" s="1"/>
  <c r="L155" i="21" s="1"/>
  <c r="E155" i="21"/>
  <c r="J154" i="21"/>
  <c r="I154" i="21"/>
  <c r="E154" i="21"/>
  <c r="F154" i="21" s="1"/>
  <c r="K154" i="21" s="1"/>
  <c r="L154" i="21" s="1"/>
  <c r="K153" i="21"/>
  <c r="L153" i="21" s="1"/>
  <c r="J153" i="21"/>
  <c r="F153" i="21"/>
  <c r="E153" i="21"/>
  <c r="I152" i="21"/>
  <c r="J152" i="21" s="1"/>
  <c r="F152" i="21"/>
  <c r="K152" i="21" s="1"/>
  <c r="L152" i="21" s="1"/>
  <c r="E152" i="21"/>
  <c r="K151" i="21"/>
  <c r="L151" i="21" s="1"/>
  <c r="J151" i="21"/>
  <c r="I151" i="21"/>
  <c r="E151" i="21"/>
  <c r="F151" i="21" s="1"/>
  <c r="J150" i="21"/>
  <c r="E150" i="21"/>
  <c r="J140" i="21"/>
  <c r="F140" i="21"/>
  <c r="K140" i="21" s="1"/>
  <c r="L140" i="21" s="1"/>
  <c r="E140" i="21"/>
  <c r="J139" i="21"/>
  <c r="I139" i="21"/>
  <c r="E139" i="21"/>
  <c r="F139" i="21" s="1"/>
  <c r="K139" i="21" s="1"/>
  <c r="L139" i="21" s="1"/>
  <c r="K138" i="21"/>
  <c r="L138" i="21" s="1"/>
  <c r="J138" i="21"/>
  <c r="E138" i="21"/>
  <c r="F138" i="21" s="1"/>
  <c r="J137" i="21"/>
  <c r="E137" i="21"/>
  <c r="F137" i="21" s="1"/>
  <c r="K137" i="21" s="1"/>
  <c r="L137" i="21" s="1"/>
  <c r="L136" i="21"/>
  <c r="K136" i="21"/>
  <c r="J136" i="21"/>
  <c r="E136" i="21"/>
  <c r="F136" i="21" s="1"/>
  <c r="J135" i="21"/>
  <c r="E135" i="21"/>
  <c r="F135" i="21" s="1"/>
  <c r="K135" i="21" s="1"/>
  <c r="L135" i="21" s="1"/>
  <c r="I134" i="21"/>
  <c r="J134" i="21" s="1"/>
  <c r="E134" i="21"/>
  <c r="F134" i="21" s="1"/>
  <c r="K133" i="21"/>
  <c r="L133" i="21" s="1"/>
  <c r="J133" i="21"/>
  <c r="E133" i="21"/>
  <c r="F133" i="21" s="1"/>
  <c r="I132" i="21"/>
  <c r="J132" i="21" s="1"/>
  <c r="E132" i="21"/>
  <c r="F132" i="21" s="1"/>
  <c r="K132" i="21" s="1"/>
  <c r="L132" i="21" s="1"/>
  <c r="K131" i="21"/>
  <c r="L131" i="21" s="1"/>
  <c r="J131" i="21"/>
  <c r="I131" i="21"/>
  <c r="F131" i="21"/>
  <c r="E131" i="21"/>
  <c r="I130" i="21"/>
  <c r="J130" i="21" s="1"/>
  <c r="F130" i="21"/>
  <c r="E130" i="21"/>
  <c r="J129" i="21"/>
  <c r="F129" i="21"/>
  <c r="K129" i="21" s="1"/>
  <c r="L129" i="21" s="1"/>
  <c r="E129" i="21"/>
  <c r="K128" i="21"/>
  <c r="L128" i="21" s="1"/>
  <c r="J128" i="21"/>
  <c r="I128" i="21"/>
  <c r="F128" i="21"/>
  <c r="E128" i="21"/>
  <c r="I127" i="21"/>
  <c r="J127" i="21" s="1"/>
  <c r="F127" i="21"/>
  <c r="E127" i="21"/>
  <c r="J126" i="21"/>
  <c r="E126" i="21"/>
  <c r="F126" i="21" s="1"/>
  <c r="K126" i="21" s="1"/>
  <c r="L126" i="21" s="1"/>
  <c r="L125" i="21"/>
  <c r="K125" i="21"/>
  <c r="J125" i="21"/>
  <c r="F125" i="21"/>
  <c r="E125" i="21"/>
  <c r="I124" i="21"/>
  <c r="J124" i="21" s="1"/>
  <c r="E124" i="21"/>
  <c r="F124" i="21" s="1"/>
  <c r="K124" i="21" s="1"/>
  <c r="L124" i="21" s="1"/>
  <c r="L123" i="21"/>
  <c r="K123" i="21"/>
  <c r="J123" i="21"/>
  <c r="E123" i="21"/>
  <c r="F123" i="21" s="1"/>
  <c r="J122" i="21"/>
  <c r="E122" i="21"/>
  <c r="F122" i="21" s="1"/>
  <c r="K122" i="21" s="1"/>
  <c r="L122" i="21" s="1"/>
  <c r="I121" i="21"/>
  <c r="J121" i="21" s="1"/>
  <c r="E121" i="21"/>
  <c r="F121" i="21" s="1"/>
  <c r="J120" i="21"/>
  <c r="I120" i="21"/>
  <c r="E120" i="21"/>
  <c r="F120" i="21" s="1"/>
  <c r="K120" i="21" s="1"/>
  <c r="L120" i="21" s="1"/>
  <c r="J119" i="21"/>
  <c r="K119" i="21" s="1"/>
  <c r="L119" i="21" s="1"/>
  <c r="I119" i="21"/>
  <c r="F119" i="21"/>
  <c r="E119" i="21"/>
  <c r="I118" i="21"/>
  <c r="J118" i="21" s="1"/>
  <c r="F118" i="21"/>
  <c r="K118" i="21" s="1"/>
  <c r="L118" i="21" s="1"/>
  <c r="E118" i="21"/>
  <c r="J117" i="21"/>
  <c r="I117" i="21"/>
  <c r="E117" i="21"/>
  <c r="F117" i="21" s="1"/>
  <c r="J116" i="21"/>
  <c r="E116" i="21"/>
  <c r="F116" i="21" s="1"/>
  <c r="I115" i="21"/>
  <c r="J115" i="21" s="1"/>
  <c r="F115" i="21"/>
  <c r="E115" i="21"/>
  <c r="I114" i="21"/>
  <c r="J114" i="21" s="1"/>
  <c r="E114" i="21"/>
  <c r="F114" i="21" s="1"/>
  <c r="K114" i="21" s="1"/>
  <c r="L114" i="21" s="1"/>
  <c r="K113" i="21"/>
  <c r="L113" i="21" s="1"/>
  <c r="I113" i="21"/>
  <c r="J113" i="21" s="1"/>
  <c r="F113" i="21"/>
  <c r="E113" i="21"/>
  <c r="I112" i="21"/>
  <c r="J112" i="21" s="1"/>
  <c r="E112" i="21"/>
  <c r="F112" i="21" s="1"/>
  <c r="K112" i="21" s="1"/>
  <c r="L112" i="21" s="1"/>
  <c r="J111" i="21"/>
  <c r="K111" i="21" s="1"/>
  <c r="L111" i="21" s="1"/>
  <c r="I111" i="21"/>
  <c r="E111" i="21"/>
  <c r="F111" i="21" s="1"/>
  <c r="I110" i="21"/>
  <c r="J110" i="21" s="1"/>
  <c r="E110" i="21"/>
  <c r="F110" i="21" s="1"/>
  <c r="K110" i="21" s="1"/>
  <c r="L110" i="21" s="1"/>
  <c r="L109" i="21"/>
  <c r="J109" i="21"/>
  <c r="E109" i="21"/>
  <c r="F109" i="21" s="1"/>
  <c r="K109" i="21" s="1"/>
  <c r="J108" i="21"/>
  <c r="F108" i="21"/>
  <c r="K108" i="21" s="1"/>
  <c r="L108" i="21" s="1"/>
  <c r="E108" i="21"/>
  <c r="J107" i="21"/>
  <c r="F107" i="21"/>
  <c r="K107" i="21" s="1"/>
  <c r="L107" i="21" s="1"/>
  <c r="E107" i="21"/>
  <c r="J106" i="21"/>
  <c r="K106" i="21" s="1"/>
  <c r="L106" i="21" s="1"/>
  <c r="E106" i="21"/>
  <c r="F106" i="21" s="1"/>
  <c r="J105" i="21"/>
  <c r="F105" i="21"/>
  <c r="K105" i="21" s="1"/>
  <c r="L105" i="21" s="1"/>
  <c r="E105" i="21"/>
  <c r="J104" i="21"/>
  <c r="E104" i="21"/>
  <c r="F104" i="21" s="1"/>
  <c r="K96" i="21"/>
  <c r="L96" i="21" s="1"/>
  <c r="J96" i="21"/>
  <c r="E96" i="21"/>
  <c r="F96" i="21" s="1"/>
  <c r="J95" i="21"/>
  <c r="I95" i="21"/>
  <c r="E95" i="21"/>
  <c r="F95" i="21" s="1"/>
  <c r="K95" i="21" s="1"/>
  <c r="L95" i="21" s="1"/>
  <c r="I94" i="21"/>
  <c r="J94" i="21" s="1"/>
  <c r="F94" i="21"/>
  <c r="K94" i="21" s="1"/>
  <c r="L94" i="21" s="1"/>
  <c r="E94" i="21"/>
  <c r="I93" i="21"/>
  <c r="J93" i="21" s="1"/>
  <c r="E93" i="21"/>
  <c r="F93" i="21" s="1"/>
  <c r="K93" i="21" s="1"/>
  <c r="L93" i="21" s="1"/>
  <c r="I92" i="21"/>
  <c r="J92" i="21" s="1"/>
  <c r="F92" i="21"/>
  <c r="E92" i="21"/>
  <c r="J91" i="21"/>
  <c r="E91" i="21"/>
  <c r="F91" i="21" s="1"/>
  <c r="K91" i="21" s="1"/>
  <c r="L91" i="21" s="1"/>
  <c r="J90" i="21"/>
  <c r="K90" i="21" s="1"/>
  <c r="L90" i="21" s="1"/>
  <c r="I90" i="21"/>
  <c r="E90" i="21"/>
  <c r="F90" i="21" s="1"/>
  <c r="I89" i="21"/>
  <c r="J89" i="21" s="1"/>
  <c r="E89" i="21"/>
  <c r="F89" i="21" s="1"/>
  <c r="K89" i="21" s="1"/>
  <c r="L89" i="21" s="1"/>
  <c r="I88" i="21"/>
  <c r="J88" i="21" s="1"/>
  <c r="F88" i="21"/>
  <c r="K88" i="21" s="1"/>
  <c r="L88" i="21" s="1"/>
  <c r="E88" i="21"/>
  <c r="J87" i="21"/>
  <c r="K87" i="21" s="1"/>
  <c r="L87" i="21" s="1"/>
  <c r="F87" i="21"/>
  <c r="E87" i="21"/>
  <c r="J86" i="21"/>
  <c r="K86" i="21" s="1"/>
  <c r="L86" i="21" s="1"/>
  <c r="F86" i="21"/>
  <c r="E86" i="21"/>
  <c r="J85" i="21"/>
  <c r="E85" i="21"/>
  <c r="F85" i="21" s="1"/>
  <c r="K85" i="21" s="1"/>
  <c r="L85" i="21" s="1"/>
  <c r="K84" i="21"/>
  <c r="L84" i="21" s="1"/>
  <c r="J84" i="21"/>
  <c r="F84" i="21"/>
  <c r="E84" i="21"/>
  <c r="J83" i="21"/>
  <c r="E83" i="21"/>
  <c r="F83" i="21" s="1"/>
  <c r="K83" i="21" s="1"/>
  <c r="L83" i="21" s="1"/>
  <c r="J82" i="21"/>
  <c r="K82" i="21" s="1"/>
  <c r="L82" i="21" s="1"/>
  <c r="I82" i="21"/>
  <c r="E82" i="21"/>
  <c r="F82" i="21" s="1"/>
  <c r="J81" i="21"/>
  <c r="E81" i="21"/>
  <c r="F81" i="21" s="1"/>
  <c r="K81" i="21" s="1"/>
  <c r="L81" i="21" s="1"/>
  <c r="J80" i="21"/>
  <c r="E80" i="21"/>
  <c r="F80" i="21" s="1"/>
  <c r="K80" i="21" s="1"/>
  <c r="L80" i="21" s="1"/>
  <c r="J79" i="21"/>
  <c r="I79" i="21"/>
  <c r="E79" i="21"/>
  <c r="F79" i="21" s="1"/>
  <c r="K79" i="21" s="1"/>
  <c r="L79" i="21" s="1"/>
  <c r="K78" i="21"/>
  <c r="L78" i="21" s="1"/>
  <c r="J78" i="21"/>
  <c r="I78" i="21"/>
  <c r="F78" i="21"/>
  <c r="E78" i="21"/>
  <c r="I77" i="21"/>
  <c r="J77" i="21" s="1"/>
  <c r="E77" i="21"/>
  <c r="J69" i="21"/>
  <c r="I69" i="21"/>
  <c r="F69" i="21"/>
  <c r="E69" i="21"/>
  <c r="L68" i="21"/>
  <c r="J68" i="21"/>
  <c r="I68" i="21"/>
  <c r="F68" i="21"/>
  <c r="K68" i="21" s="1"/>
  <c r="E68" i="21"/>
  <c r="I67" i="21"/>
  <c r="J67" i="21" s="1"/>
  <c r="E67" i="21"/>
  <c r="F67" i="21" s="1"/>
  <c r="K67" i="21" s="1"/>
  <c r="L67" i="21" s="1"/>
  <c r="K66" i="21"/>
  <c r="L66" i="21" s="1"/>
  <c r="J66" i="21"/>
  <c r="I66" i="21"/>
  <c r="F66" i="21"/>
  <c r="E66" i="21"/>
  <c r="I65" i="21"/>
  <c r="J65" i="21" s="1"/>
  <c r="F65" i="21"/>
  <c r="K65" i="21" s="1"/>
  <c r="L65" i="21" s="1"/>
  <c r="E65" i="21"/>
  <c r="L64" i="21"/>
  <c r="K64" i="21"/>
  <c r="J64" i="21"/>
  <c r="F64" i="21"/>
  <c r="E64" i="21"/>
  <c r="I63" i="21"/>
  <c r="J63" i="21" s="1"/>
  <c r="E63" i="21"/>
  <c r="F63" i="21" s="1"/>
  <c r="K63" i="21" s="1"/>
  <c r="L63" i="21" s="1"/>
  <c r="J62" i="21"/>
  <c r="F62" i="21"/>
  <c r="K62" i="21" s="1"/>
  <c r="L62" i="21" s="1"/>
  <c r="E62" i="21"/>
  <c r="J61" i="21"/>
  <c r="E61" i="21"/>
  <c r="F61" i="21" s="1"/>
  <c r="J60" i="21"/>
  <c r="K60" i="21" s="1"/>
  <c r="L60" i="21" s="1"/>
  <c r="F60" i="21"/>
  <c r="E60" i="21"/>
  <c r="J59" i="21"/>
  <c r="E59" i="21"/>
  <c r="F59" i="21" s="1"/>
  <c r="K59" i="21" s="1"/>
  <c r="L59" i="21" s="1"/>
  <c r="J58" i="21"/>
  <c r="K58" i="21" s="1"/>
  <c r="L58" i="21" s="1"/>
  <c r="I58" i="21"/>
  <c r="E58" i="21"/>
  <c r="F58" i="21" s="1"/>
  <c r="I57" i="21"/>
  <c r="J57" i="21" s="1"/>
  <c r="E57" i="21"/>
  <c r="F57" i="21" s="1"/>
  <c r="K57" i="21" s="1"/>
  <c r="L57" i="21" s="1"/>
  <c r="I56" i="21"/>
  <c r="J56" i="21" s="1"/>
  <c r="F56" i="21"/>
  <c r="E56" i="21"/>
  <c r="I55" i="21"/>
  <c r="J55" i="21" s="1"/>
  <c r="E55" i="21"/>
  <c r="F55" i="21" s="1"/>
  <c r="K55" i="21" s="1"/>
  <c r="L55" i="21" s="1"/>
  <c r="L54" i="21"/>
  <c r="K54" i="21"/>
  <c r="J54" i="21"/>
  <c r="F54" i="21"/>
  <c r="E54" i="21"/>
  <c r="I53" i="21"/>
  <c r="J53" i="21" s="1"/>
  <c r="F53" i="21"/>
  <c r="K53" i="21" s="1"/>
  <c r="L53" i="21" s="1"/>
  <c r="E53" i="21"/>
  <c r="J52" i="21"/>
  <c r="E52" i="21"/>
  <c r="F52" i="21" s="1"/>
  <c r="K52" i="21" s="1"/>
  <c r="L52" i="21" s="1"/>
  <c r="J51" i="21"/>
  <c r="K51" i="21" s="1"/>
  <c r="L51" i="21" s="1"/>
  <c r="I51" i="21"/>
  <c r="E51" i="21"/>
  <c r="F51" i="21" s="1"/>
  <c r="J50" i="21"/>
  <c r="I50" i="21"/>
  <c r="E50" i="21"/>
  <c r="F50" i="21" s="1"/>
  <c r="K50" i="21" s="1"/>
  <c r="L50" i="21" s="1"/>
  <c r="I49" i="21"/>
  <c r="J49" i="21" s="1"/>
  <c r="E49" i="21"/>
  <c r="F49" i="21" s="1"/>
  <c r="K49" i="21" s="1"/>
  <c r="L49" i="21" s="1"/>
  <c r="I48" i="21"/>
  <c r="J48" i="21" s="1"/>
  <c r="K48" i="21" s="1"/>
  <c r="L48" i="21" s="1"/>
  <c r="F48" i="21"/>
  <c r="E48" i="21"/>
  <c r="I47" i="21"/>
  <c r="J47" i="21" s="1"/>
  <c r="E47" i="21"/>
  <c r="F47" i="21" s="1"/>
  <c r="J46" i="21"/>
  <c r="E46" i="21"/>
  <c r="F46" i="21" s="1"/>
  <c r="K46" i="21" s="1"/>
  <c r="L46" i="21" s="1"/>
  <c r="J45" i="21"/>
  <c r="E45" i="21"/>
  <c r="F45" i="21" s="1"/>
  <c r="J44" i="21"/>
  <c r="F44" i="21"/>
  <c r="K44" i="21" s="1"/>
  <c r="E44" i="21"/>
  <c r="J34" i="21"/>
  <c r="I34" i="21"/>
  <c r="E34" i="21"/>
  <c r="F34" i="21" s="1"/>
  <c r="K34" i="21" s="1"/>
  <c r="L34" i="21" s="1"/>
  <c r="I33" i="21"/>
  <c r="J33" i="21" s="1"/>
  <c r="K33" i="21" s="1"/>
  <c r="L33" i="21" s="1"/>
  <c r="F33" i="21"/>
  <c r="E33" i="21"/>
  <c r="J32" i="21"/>
  <c r="I32" i="21"/>
  <c r="E32" i="21"/>
  <c r="F32" i="21" s="1"/>
  <c r="K32" i="21" s="1"/>
  <c r="L32" i="21" s="1"/>
  <c r="J31" i="21"/>
  <c r="D31" i="21"/>
  <c r="E31" i="21" s="1"/>
  <c r="F31" i="21" s="1"/>
  <c r="K31" i="21" s="1"/>
  <c r="L31" i="21" s="1"/>
  <c r="J30" i="21"/>
  <c r="E30" i="21"/>
  <c r="F30" i="21" s="1"/>
  <c r="K30" i="21" s="1"/>
  <c r="L30" i="21" s="1"/>
  <c r="J29" i="21"/>
  <c r="K29" i="21" s="1"/>
  <c r="L29" i="21" s="1"/>
  <c r="I29" i="21"/>
  <c r="F29" i="21"/>
  <c r="E29" i="21"/>
  <c r="I28" i="21"/>
  <c r="J28" i="21" s="1"/>
  <c r="E28" i="21"/>
  <c r="F28" i="21" s="1"/>
  <c r="K28" i="21" s="1"/>
  <c r="L28" i="21" s="1"/>
  <c r="L27" i="21"/>
  <c r="I27" i="21"/>
  <c r="J27" i="21" s="1"/>
  <c r="E27" i="21"/>
  <c r="F27" i="21" s="1"/>
  <c r="K27" i="21" s="1"/>
  <c r="I26" i="21"/>
  <c r="J26" i="21" s="1"/>
  <c r="K26" i="21" s="1"/>
  <c r="L26" i="21" s="1"/>
  <c r="E26" i="21"/>
  <c r="F26" i="21" s="1"/>
  <c r="I25" i="21"/>
  <c r="J25" i="21" s="1"/>
  <c r="F25" i="21"/>
  <c r="K25" i="21" s="1"/>
  <c r="L25" i="21" s="1"/>
  <c r="E25" i="21"/>
  <c r="J24" i="21"/>
  <c r="I24" i="21"/>
  <c r="E24" i="21"/>
  <c r="F24" i="21" s="1"/>
  <c r="K24" i="21" s="1"/>
  <c r="L24" i="21" s="1"/>
  <c r="I23" i="21"/>
  <c r="J23" i="21" s="1"/>
  <c r="K23" i="21" s="1"/>
  <c r="L23" i="21" s="1"/>
  <c r="F23" i="21"/>
  <c r="E23" i="21"/>
  <c r="J22" i="21"/>
  <c r="F22" i="21"/>
  <c r="K22" i="21" s="1"/>
  <c r="L22" i="21" s="1"/>
  <c r="E22" i="21"/>
  <c r="K21" i="21"/>
  <c r="L21" i="21" s="1"/>
  <c r="J21" i="21"/>
  <c r="I21" i="21"/>
  <c r="E21" i="21"/>
  <c r="F21" i="21" s="1"/>
  <c r="J20" i="21"/>
  <c r="E20" i="21"/>
  <c r="F20" i="21" s="1"/>
  <c r="K20" i="21" s="1"/>
  <c r="L20" i="21" s="1"/>
  <c r="J19" i="21"/>
  <c r="F19" i="21"/>
  <c r="K19" i="21" s="1"/>
  <c r="L19" i="21" s="1"/>
  <c r="E19" i="21"/>
  <c r="J18" i="21"/>
  <c r="K18" i="21" s="1"/>
  <c r="L18" i="21" s="1"/>
  <c r="F18" i="21"/>
  <c r="E18" i="21"/>
  <c r="J17" i="21"/>
  <c r="F17" i="21"/>
  <c r="K17" i="21" s="1"/>
  <c r="L17" i="21" s="1"/>
  <c r="E17" i="21"/>
  <c r="I16" i="21"/>
  <c r="J16" i="21" s="1"/>
  <c r="K16" i="21" s="1"/>
  <c r="L16" i="21" s="1"/>
  <c r="F16" i="21"/>
  <c r="E16" i="21"/>
  <c r="J15" i="21"/>
  <c r="K15" i="21" s="1"/>
  <c r="L15" i="21" s="1"/>
  <c r="F15" i="21"/>
  <c r="E15" i="21"/>
  <c r="I14" i="21"/>
  <c r="J14" i="21" s="1"/>
  <c r="E14" i="21"/>
  <c r="F14" i="21" s="1"/>
  <c r="K14" i="21" s="1"/>
  <c r="L14" i="21" s="1"/>
  <c r="L13" i="21"/>
  <c r="K13" i="21"/>
  <c r="J13" i="21"/>
  <c r="F13" i="21"/>
  <c r="E13" i="21"/>
  <c r="I12" i="21"/>
  <c r="J12" i="21" s="1"/>
  <c r="K12" i="21" s="1"/>
  <c r="L12" i="21" s="1"/>
  <c r="F12" i="21"/>
  <c r="E12" i="21"/>
  <c r="J11" i="21"/>
  <c r="E11" i="21"/>
  <c r="F11" i="21" s="1"/>
  <c r="K11" i="21" s="1"/>
  <c r="L11" i="21" s="1"/>
  <c r="K10" i="21"/>
  <c r="L10" i="21" s="1"/>
  <c r="J10" i="21"/>
  <c r="I10" i="21"/>
  <c r="E10" i="21"/>
  <c r="F10" i="21" s="1"/>
  <c r="I9" i="21"/>
  <c r="J9" i="21" s="1"/>
  <c r="F9" i="21"/>
  <c r="K9" i="21" s="1"/>
  <c r="L9" i="21" s="1"/>
  <c r="E9" i="21"/>
  <c r="I8" i="21"/>
  <c r="J8" i="21" s="1"/>
  <c r="E8" i="21"/>
  <c r="F8" i="21" s="1"/>
  <c r="K8" i="21" s="1"/>
  <c r="L8" i="21" s="1"/>
  <c r="I7" i="21"/>
  <c r="J7" i="21" s="1"/>
  <c r="E7" i="21"/>
  <c r="F7" i="21" s="1"/>
  <c r="K7" i="21" s="1"/>
  <c r="L7" i="21" s="1"/>
  <c r="J6" i="21"/>
  <c r="I6" i="21"/>
  <c r="E6" i="21"/>
  <c r="J286" i="20"/>
  <c r="K286" i="20" s="1"/>
  <c r="L286" i="20" s="1"/>
  <c r="I286" i="20"/>
  <c r="E286" i="20"/>
  <c r="J285" i="20"/>
  <c r="I285" i="20"/>
  <c r="E285" i="20"/>
  <c r="I284" i="20"/>
  <c r="J284" i="20" s="1"/>
  <c r="K284" i="20" s="1"/>
  <c r="L284" i="20" s="1"/>
  <c r="E284" i="20"/>
  <c r="J283" i="20"/>
  <c r="E283" i="20"/>
  <c r="K283" i="20" s="1"/>
  <c r="L283" i="20" s="1"/>
  <c r="J274" i="20"/>
  <c r="E274" i="20"/>
  <c r="F274" i="20" s="1"/>
  <c r="K274" i="20" s="1"/>
  <c r="L274" i="20" s="1"/>
  <c r="L273" i="20"/>
  <c r="K273" i="20"/>
  <c r="J273" i="20"/>
  <c r="F273" i="20"/>
  <c r="E273" i="20"/>
  <c r="J272" i="20"/>
  <c r="F272" i="20"/>
  <c r="K272" i="20" s="1"/>
  <c r="L272" i="20" s="1"/>
  <c r="E272" i="20"/>
  <c r="J271" i="20"/>
  <c r="E271" i="20"/>
  <c r="F271" i="20" s="1"/>
  <c r="K271" i="20" s="1"/>
  <c r="L271" i="20" s="1"/>
  <c r="J270" i="20"/>
  <c r="E270" i="20"/>
  <c r="F270" i="20" s="1"/>
  <c r="K270" i="20" s="1"/>
  <c r="L270" i="20" s="1"/>
  <c r="J269" i="20"/>
  <c r="E269" i="20"/>
  <c r="F269" i="20" s="1"/>
  <c r="K269" i="20" s="1"/>
  <c r="L269" i="20" s="1"/>
  <c r="L268" i="20"/>
  <c r="J268" i="20"/>
  <c r="E268" i="20"/>
  <c r="F268" i="20" s="1"/>
  <c r="K268" i="20" s="1"/>
  <c r="J267" i="20"/>
  <c r="F267" i="20"/>
  <c r="K267" i="20" s="1"/>
  <c r="L267" i="20" s="1"/>
  <c r="E267" i="20"/>
  <c r="J266" i="20"/>
  <c r="F266" i="20"/>
  <c r="K266" i="20" s="1"/>
  <c r="L266" i="20" s="1"/>
  <c r="E266" i="20"/>
  <c r="J265" i="20"/>
  <c r="E265" i="20"/>
  <c r="F265" i="20" s="1"/>
  <c r="K265" i="20" s="1"/>
  <c r="L265" i="20" s="1"/>
  <c r="J264" i="20"/>
  <c r="K264" i="20" s="1"/>
  <c r="L264" i="20" s="1"/>
  <c r="F264" i="20"/>
  <c r="E264" i="20"/>
  <c r="I263" i="20"/>
  <c r="J263" i="20" s="1"/>
  <c r="E263" i="20"/>
  <c r="F263" i="20" s="1"/>
  <c r="K263" i="20" s="1"/>
  <c r="L263" i="20" s="1"/>
  <c r="K262" i="20"/>
  <c r="J262" i="20"/>
  <c r="E262" i="20"/>
  <c r="F262" i="20" s="1"/>
  <c r="K252" i="20"/>
  <c r="L252" i="20" s="1"/>
  <c r="J252" i="20"/>
  <c r="I252" i="20"/>
  <c r="E252" i="20"/>
  <c r="J251" i="20"/>
  <c r="E251" i="20"/>
  <c r="K251" i="20" s="1"/>
  <c r="L251" i="20" s="1"/>
  <c r="L250" i="20"/>
  <c r="K250" i="20"/>
  <c r="J250" i="20"/>
  <c r="E250" i="20"/>
  <c r="K249" i="20"/>
  <c r="L249" i="20" s="1"/>
  <c r="J249" i="20"/>
  <c r="I249" i="20"/>
  <c r="E249" i="20"/>
  <c r="J248" i="20"/>
  <c r="E248" i="20"/>
  <c r="K248" i="20" s="1"/>
  <c r="L248" i="20" s="1"/>
  <c r="J247" i="20"/>
  <c r="K247" i="20" s="1"/>
  <c r="E247" i="20"/>
  <c r="E254" i="20" s="1"/>
  <c r="I239" i="20"/>
  <c r="J239" i="20" s="1"/>
  <c r="E239" i="20"/>
  <c r="K239" i="20" s="1"/>
  <c r="L239" i="20" s="1"/>
  <c r="I238" i="20"/>
  <c r="J238" i="20" s="1"/>
  <c r="E238" i="20"/>
  <c r="K238" i="20" s="1"/>
  <c r="L238" i="20" s="1"/>
  <c r="L237" i="20"/>
  <c r="K237" i="20"/>
  <c r="J237" i="20"/>
  <c r="E237" i="20"/>
  <c r="J236" i="20"/>
  <c r="E236" i="20"/>
  <c r="K236" i="20" s="1"/>
  <c r="L236" i="20" s="1"/>
  <c r="J235" i="20"/>
  <c r="K235" i="20" s="1"/>
  <c r="L235" i="20" s="1"/>
  <c r="E235" i="20"/>
  <c r="J234" i="20"/>
  <c r="E234" i="20"/>
  <c r="K234" i="20" s="1"/>
  <c r="L234" i="20" s="1"/>
  <c r="J233" i="20"/>
  <c r="K233" i="20" s="1"/>
  <c r="L233" i="20" s="1"/>
  <c r="I233" i="20"/>
  <c r="E233" i="20"/>
  <c r="J232" i="20"/>
  <c r="E232" i="20"/>
  <c r="J223" i="20"/>
  <c r="E223" i="20"/>
  <c r="K223" i="20" s="1"/>
  <c r="L223" i="20" s="1"/>
  <c r="K222" i="20"/>
  <c r="L222" i="20" s="1"/>
  <c r="J222" i="20"/>
  <c r="I222" i="20"/>
  <c r="E222" i="20"/>
  <c r="I221" i="20"/>
  <c r="J221" i="20" s="1"/>
  <c r="E221" i="20"/>
  <c r="L220" i="20"/>
  <c r="K220" i="20"/>
  <c r="J220" i="20"/>
  <c r="E220" i="20"/>
  <c r="I219" i="20"/>
  <c r="J219" i="20" s="1"/>
  <c r="E219" i="20"/>
  <c r="K219" i="20" s="1"/>
  <c r="L219" i="20" s="1"/>
  <c r="I218" i="20"/>
  <c r="J218" i="20" s="1"/>
  <c r="E218" i="20"/>
  <c r="K218" i="20" s="1"/>
  <c r="L218" i="20" s="1"/>
  <c r="J217" i="20"/>
  <c r="K217" i="20" s="1"/>
  <c r="L217" i="20" s="1"/>
  <c r="E217" i="20"/>
  <c r="J216" i="20"/>
  <c r="E216" i="20"/>
  <c r="K216" i="20" s="1"/>
  <c r="L216" i="20" s="1"/>
  <c r="K215" i="20"/>
  <c r="L215" i="20" s="1"/>
  <c r="J215" i="20"/>
  <c r="E215" i="20"/>
  <c r="J214" i="20"/>
  <c r="E214" i="20"/>
  <c r="K214" i="20" s="1"/>
  <c r="L214" i="20" s="1"/>
  <c r="K213" i="20"/>
  <c r="L213" i="20" s="1"/>
  <c r="J213" i="20"/>
  <c r="E213" i="20"/>
  <c r="J212" i="20"/>
  <c r="E212" i="20"/>
  <c r="K212" i="20" s="1"/>
  <c r="L212" i="20" s="1"/>
  <c r="J211" i="20"/>
  <c r="K211" i="20" s="1"/>
  <c r="L211" i="20" s="1"/>
  <c r="I211" i="20"/>
  <c r="E211" i="20"/>
  <c r="J210" i="20"/>
  <c r="I210" i="20"/>
  <c r="E210" i="20"/>
  <c r="L209" i="20"/>
  <c r="I209" i="20"/>
  <c r="J209" i="20" s="1"/>
  <c r="K209" i="20" s="1"/>
  <c r="E209" i="20"/>
  <c r="J208" i="20"/>
  <c r="K208" i="20" s="1"/>
  <c r="L208" i="20" s="1"/>
  <c r="I208" i="20"/>
  <c r="E208" i="20"/>
  <c r="I207" i="20"/>
  <c r="J207" i="20" s="1"/>
  <c r="E207" i="20"/>
  <c r="K206" i="20"/>
  <c r="L206" i="20" s="1"/>
  <c r="J206" i="20"/>
  <c r="I206" i="20"/>
  <c r="E206" i="20"/>
  <c r="J205" i="20"/>
  <c r="I205" i="20"/>
  <c r="E205" i="20"/>
  <c r="K205" i="20" s="1"/>
  <c r="L205" i="20" s="1"/>
  <c r="I204" i="20"/>
  <c r="J204" i="20" s="1"/>
  <c r="E204" i="20"/>
  <c r="L203" i="20"/>
  <c r="K203" i="20"/>
  <c r="J203" i="20"/>
  <c r="I203" i="20"/>
  <c r="E203" i="20"/>
  <c r="I202" i="20"/>
  <c r="J202" i="20" s="1"/>
  <c r="E202" i="20"/>
  <c r="L201" i="20"/>
  <c r="I201" i="20"/>
  <c r="J201" i="20" s="1"/>
  <c r="K201" i="20" s="1"/>
  <c r="E201" i="20"/>
  <c r="J200" i="20"/>
  <c r="E200" i="20"/>
  <c r="K200" i="20" s="1"/>
  <c r="L200" i="20" s="1"/>
  <c r="J199" i="20"/>
  <c r="E199" i="20"/>
  <c r="K199" i="20" s="1"/>
  <c r="L199" i="20" s="1"/>
  <c r="J198" i="20"/>
  <c r="E198" i="20"/>
  <c r="J190" i="20"/>
  <c r="I190" i="20"/>
  <c r="E190" i="20"/>
  <c r="K190" i="20" s="1"/>
  <c r="L190" i="20" s="1"/>
  <c r="I189" i="20"/>
  <c r="J189" i="20" s="1"/>
  <c r="E189" i="20"/>
  <c r="J188" i="20"/>
  <c r="K188" i="20" s="1"/>
  <c r="L188" i="20" s="1"/>
  <c r="I188" i="20"/>
  <c r="E188" i="20"/>
  <c r="J187" i="20"/>
  <c r="I187" i="20"/>
  <c r="E187" i="20"/>
  <c r="I186" i="20"/>
  <c r="J186" i="20" s="1"/>
  <c r="K186" i="20" s="1"/>
  <c r="L186" i="20" s="1"/>
  <c r="E186" i="20"/>
  <c r="J185" i="20"/>
  <c r="K185" i="20" s="1"/>
  <c r="I185" i="20"/>
  <c r="E185" i="20"/>
  <c r="J176" i="20"/>
  <c r="E176" i="20"/>
  <c r="K176" i="20" s="1"/>
  <c r="L176" i="20" s="1"/>
  <c r="I175" i="20"/>
  <c r="J175" i="20" s="1"/>
  <c r="E175" i="20"/>
  <c r="K175" i="20" s="1"/>
  <c r="L175" i="20" s="1"/>
  <c r="J174" i="20"/>
  <c r="K174" i="20" s="1"/>
  <c r="L174" i="20" s="1"/>
  <c r="E174" i="20"/>
  <c r="J173" i="20"/>
  <c r="E173" i="20"/>
  <c r="K173" i="20" s="1"/>
  <c r="L173" i="20" s="1"/>
  <c r="K172" i="20"/>
  <c r="L172" i="20" s="1"/>
  <c r="J172" i="20"/>
  <c r="E172" i="20"/>
  <c r="J171" i="20"/>
  <c r="E171" i="20"/>
  <c r="K171" i="20" s="1"/>
  <c r="L171" i="20" s="1"/>
  <c r="K170" i="20"/>
  <c r="L170" i="20" s="1"/>
  <c r="J170" i="20"/>
  <c r="I170" i="20"/>
  <c r="E170" i="20"/>
  <c r="J169" i="20"/>
  <c r="E169" i="20"/>
  <c r="K169" i="20" s="1"/>
  <c r="L169" i="20" s="1"/>
  <c r="K168" i="20"/>
  <c r="L168" i="20" s="1"/>
  <c r="J168" i="20"/>
  <c r="E168" i="20"/>
  <c r="J167" i="20"/>
  <c r="E167" i="20"/>
  <c r="K166" i="20"/>
  <c r="J166" i="20"/>
  <c r="E166" i="20"/>
  <c r="J157" i="20"/>
  <c r="I157" i="20"/>
  <c r="E157" i="20"/>
  <c r="F157" i="20" s="1"/>
  <c r="K157" i="20" s="1"/>
  <c r="L157" i="20" s="1"/>
  <c r="I156" i="20"/>
  <c r="J156" i="20" s="1"/>
  <c r="K156" i="20" s="1"/>
  <c r="L156" i="20" s="1"/>
  <c r="F156" i="20"/>
  <c r="E156" i="20"/>
  <c r="J155" i="20"/>
  <c r="I155" i="20"/>
  <c r="E155" i="20"/>
  <c r="F155" i="20" s="1"/>
  <c r="K155" i="20" s="1"/>
  <c r="L155" i="20" s="1"/>
  <c r="I154" i="20"/>
  <c r="J154" i="20" s="1"/>
  <c r="F154" i="20"/>
  <c r="K154" i="20" s="1"/>
  <c r="L154" i="20" s="1"/>
  <c r="E154" i="20"/>
  <c r="J153" i="20"/>
  <c r="I153" i="20"/>
  <c r="E153" i="20"/>
  <c r="F153" i="20" s="1"/>
  <c r="K153" i="20" s="1"/>
  <c r="L153" i="20" s="1"/>
  <c r="K152" i="20"/>
  <c r="L152" i="20" s="1"/>
  <c r="J152" i="20"/>
  <c r="F152" i="20"/>
  <c r="E152" i="20"/>
  <c r="J151" i="20"/>
  <c r="E151" i="20"/>
  <c r="F151" i="20" s="1"/>
  <c r="K151" i="20" s="1"/>
  <c r="L151" i="20" s="1"/>
  <c r="K150" i="20"/>
  <c r="L150" i="20" s="1"/>
  <c r="J150" i="20"/>
  <c r="E150" i="20"/>
  <c r="F150" i="20" s="1"/>
  <c r="J149" i="20"/>
  <c r="E149" i="20"/>
  <c r="F149" i="20" s="1"/>
  <c r="K149" i="20" s="1"/>
  <c r="L149" i="20" s="1"/>
  <c r="I148" i="20"/>
  <c r="J148" i="20" s="1"/>
  <c r="F148" i="20"/>
  <c r="K148" i="20" s="1"/>
  <c r="L148" i="20" s="1"/>
  <c r="E148" i="20"/>
  <c r="J147" i="20"/>
  <c r="E147" i="20"/>
  <c r="F147" i="20" s="1"/>
  <c r="K147" i="20" s="1"/>
  <c r="L147" i="20" s="1"/>
  <c r="I146" i="20"/>
  <c r="J146" i="20" s="1"/>
  <c r="K146" i="20" s="1"/>
  <c r="L146" i="20" s="1"/>
  <c r="F146" i="20"/>
  <c r="E146" i="20"/>
  <c r="J145" i="20"/>
  <c r="E145" i="20"/>
  <c r="F145" i="20" s="1"/>
  <c r="K145" i="20" s="1"/>
  <c r="L145" i="20" s="1"/>
  <c r="K144" i="20"/>
  <c r="L144" i="20" s="1"/>
  <c r="J144" i="20"/>
  <c r="E144" i="20"/>
  <c r="F144" i="20" s="1"/>
  <c r="J143" i="20"/>
  <c r="I143" i="20"/>
  <c r="F143" i="20"/>
  <c r="K143" i="20" s="1"/>
  <c r="L143" i="20" s="1"/>
  <c r="E143" i="20"/>
  <c r="I142" i="20"/>
  <c r="J142" i="20" s="1"/>
  <c r="F142" i="20"/>
  <c r="K142" i="20" s="1"/>
  <c r="L142" i="20" s="1"/>
  <c r="E142" i="20"/>
  <c r="J141" i="20"/>
  <c r="E141" i="20"/>
  <c r="F141" i="20" s="1"/>
  <c r="K141" i="20" s="1"/>
  <c r="L141" i="20" s="1"/>
  <c r="J140" i="20"/>
  <c r="F140" i="20"/>
  <c r="K140" i="20" s="1"/>
  <c r="L140" i="20" s="1"/>
  <c r="E140" i="20"/>
  <c r="J139" i="20"/>
  <c r="F139" i="20"/>
  <c r="K139" i="20" s="1"/>
  <c r="L139" i="20" s="1"/>
  <c r="E139" i="20"/>
  <c r="J138" i="20"/>
  <c r="E138" i="20"/>
  <c r="F138" i="20" s="1"/>
  <c r="J137" i="20"/>
  <c r="F137" i="20"/>
  <c r="K137" i="20" s="1"/>
  <c r="E137" i="20"/>
  <c r="I128" i="20"/>
  <c r="J128" i="20" s="1"/>
  <c r="K128" i="20" s="1"/>
  <c r="L128" i="20" s="1"/>
  <c r="F128" i="20"/>
  <c r="E128" i="20"/>
  <c r="J127" i="20"/>
  <c r="E127" i="20"/>
  <c r="F127" i="20" s="1"/>
  <c r="K127" i="20" s="1"/>
  <c r="L127" i="20" s="1"/>
  <c r="J126" i="20"/>
  <c r="E126" i="20"/>
  <c r="F126" i="20" s="1"/>
  <c r="K126" i="20" s="1"/>
  <c r="L126" i="20" s="1"/>
  <c r="J125" i="20"/>
  <c r="K125" i="20" s="1"/>
  <c r="I125" i="20"/>
  <c r="F125" i="20"/>
  <c r="E125" i="20"/>
  <c r="J116" i="20"/>
  <c r="E116" i="20"/>
  <c r="F116" i="20" s="1"/>
  <c r="K116" i="20" s="1"/>
  <c r="L116" i="20" s="1"/>
  <c r="J115" i="20"/>
  <c r="E115" i="20"/>
  <c r="F115" i="20" s="1"/>
  <c r="K115" i="20" s="1"/>
  <c r="L115" i="20" s="1"/>
  <c r="I114" i="20"/>
  <c r="J114" i="20" s="1"/>
  <c r="E114" i="20"/>
  <c r="F114" i="20" s="1"/>
  <c r="K114" i="20" s="1"/>
  <c r="L114" i="20" s="1"/>
  <c r="J113" i="20"/>
  <c r="E113" i="20"/>
  <c r="F113" i="20" s="1"/>
  <c r="K113" i="20" s="1"/>
  <c r="L113" i="20" s="1"/>
  <c r="K112" i="20"/>
  <c r="L112" i="20" s="1"/>
  <c r="J112" i="20"/>
  <c r="I112" i="20"/>
  <c r="F112" i="20"/>
  <c r="E112" i="20"/>
  <c r="I111" i="20"/>
  <c r="J111" i="20" s="1"/>
  <c r="E111" i="20"/>
  <c r="F111" i="20" s="1"/>
  <c r="K111" i="20" s="1"/>
  <c r="L111" i="20" s="1"/>
  <c r="I110" i="20"/>
  <c r="J110" i="20" s="1"/>
  <c r="E110" i="20"/>
  <c r="F110" i="20" s="1"/>
  <c r="J109" i="20"/>
  <c r="I109" i="20"/>
  <c r="E109" i="20"/>
  <c r="F109" i="20" s="1"/>
  <c r="K109" i="20" s="1"/>
  <c r="L109" i="20" s="1"/>
  <c r="K108" i="20"/>
  <c r="L108" i="20" s="1"/>
  <c r="J108" i="20"/>
  <c r="E108" i="20"/>
  <c r="F108" i="20" s="1"/>
  <c r="J107" i="20"/>
  <c r="E107" i="20"/>
  <c r="F107" i="20" s="1"/>
  <c r="K107" i="20" s="1"/>
  <c r="L107" i="20" s="1"/>
  <c r="J106" i="20"/>
  <c r="K106" i="20" s="1"/>
  <c r="L106" i="20" s="1"/>
  <c r="I106" i="20"/>
  <c r="E106" i="20"/>
  <c r="F106" i="20" s="1"/>
  <c r="J105" i="20"/>
  <c r="E105" i="20"/>
  <c r="F105" i="20" s="1"/>
  <c r="K105" i="20" s="1"/>
  <c r="L105" i="20" s="1"/>
  <c r="I104" i="20"/>
  <c r="J104" i="20" s="1"/>
  <c r="F104" i="20"/>
  <c r="K104" i="20" s="1"/>
  <c r="L104" i="20" s="1"/>
  <c r="E104" i="20"/>
  <c r="J103" i="20"/>
  <c r="I103" i="20"/>
  <c r="E103" i="20"/>
  <c r="F103" i="20" s="1"/>
  <c r="K103" i="20" s="1"/>
  <c r="L103" i="20" s="1"/>
  <c r="K102" i="20"/>
  <c r="L102" i="20" s="1"/>
  <c r="J102" i="20"/>
  <c r="I102" i="20"/>
  <c r="F102" i="20"/>
  <c r="E102" i="20"/>
  <c r="J101" i="20"/>
  <c r="E101" i="20"/>
  <c r="F101" i="20" s="1"/>
  <c r="I100" i="20"/>
  <c r="J100" i="20" s="1"/>
  <c r="E100" i="20"/>
  <c r="F100" i="20" s="1"/>
  <c r="J91" i="20"/>
  <c r="E91" i="20"/>
  <c r="F91" i="20" s="1"/>
  <c r="K91" i="20" s="1"/>
  <c r="L91" i="20" s="1"/>
  <c r="J90" i="20"/>
  <c r="E90" i="20"/>
  <c r="F90" i="20" s="1"/>
  <c r="K90" i="20" s="1"/>
  <c r="L90" i="20" s="1"/>
  <c r="J89" i="20"/>
  <c r="E89" i="20"/>
  <c r="F89" i="20" s="1"/>
  <c r="K89" i="20" s="1"/>
  <c r="L89" i="20" s="1"/>
  <c r="I88" i="20"/>
  <c r="J88" i="20" s="1"/>
  <c r="E88" i="20"/>
  <c r="F88" i="20" s="1"/>
  <c r="K88" i="20" s="1"/>
  <c r="L88" i="20" s="1"/>
  <c r="J87" i="20"/>
  <c r="I87" i="20"/>
  <c r="E87" i="20"/>
  <c r="F87" i="20" s="1"/>
  <c r="K87" i="20" s="1"/>
  <c r="L87" i="20" s="1"/>
  <c r="J86" i="20"/>
  <c r="K86" i="20" s="1"/>
  <c r="L86" i="20" s="1"/>
  <c r="I86" i="20"/>
  <c r="F86" i="20"/>
  <c r="E86" i="20"/>
  <c r="I85" i="20"/>
  <c r="J85" i="20" s="1"/>
  <c r="F85" i="20"/>
  <c r="E85" i="20"/>
  <c r="J84" i="20"/>
  <c r="E84" i="20"/>
  <c r="F84" i="20" s="1"/>
  <c r="K84" i="20" s="1"/>
  <c r="L84" i="20" s="1"/>
  <c r="J83" i="20"/>
  <c r="K83" i="20" s="1"/>
  <c r="L83" i="20" s="1"/>
  <c r="I83" i="20"/>
  <c r="E83" i="20"/>
  <c r="F83" i="20" s="1"/>
  <c r="J82" i="20"/>
  <c r="I82" i="20"/>
  <c r="F82" i="20"/>
  <c r="K82" i="20" s="1"/>
  <c r="L82" i="20" s="1"/>
  <c r="E82" i="20"/>
  <c r="I81" i="20"/>
  <c r="J81" i="20" s="1"/>
  <c r="F81" i="20"/>
  <c r="K81" i="20" s="1"/>
  <c r="L81" i="20" s="1"/>
  <c r="E81" i="20"/>
  <c r="J80" i="20"/>
  <c r="E80" i="20"/>
  <c r="F80" i="20" s="1"/>
  <c r="K80" i="20" s="1"/>
  <c r="L80" i="20" s="1"/>
  <c r="J79" i="20"/>
  <c r="F79" i="20"/>
  <c r="K79" i="20" s="1"/>
  <c r="L79" i="20" s="1"/>
  <c r="E79" i="20"/>
  <c r="J78" i="20"/>
  <c r="F78" i="20"/>
  <c r="K78" i="20" s="1"/>
  <c r="L78" i="20" s="1"/>
  <c r="E78" i="20"/>
  <c r="K77" i="20"/>
  <c r="L77" i="20" s="1"/>
  <c r="J77" i="20"/>
  <c r="I77" i="20"/>
  <c r="E77" i="20"/>
  <c r="F77" i="20" s="1"/>
  <c r="J76" i="20"/>
  <c r="F76" i="20"/>
  <c r="K76" i="20" s="1"/>
  <c r="L76" i="20" s="1"/>
  <c r="E76" i="20"/>
  <c r="J75" i="20"/>
  <c r="F75" i="20"/>
  <c r="K75" i="20" s="1"/>
  <c r="L75" i="20" s="1"/>
  <c r="E75" i="20"/>
  <c r="J74" i="20"/>
  <c r="E74" i="20"/>
  <c r="F74" i="20" s="1"/>
  <c r="K74" i="20" s="1"/>
  <c r="L74" i="20" s="1"/>
  <c r="J73" i="20"/>
  <c r="F73" i="20"/>
  <c r="E73" i="20"/>
  <c r="I72" i="20"/>
  <c r="J72" i="20" s="1"/>
  <c r="F72" i="20"/>
  <c r="K72" i="20" s="1"/>
  <c r="L72" i="20" s="1"/>
  <c r="E72" i="20"/>
  <c r="K71" i="20"/>
  <c r="L71" i="20" s="1"/>
  <c r="J71" i="20"/>
  <c r="I71" i="20"/>
  <c r="E71" i="20"/>
  <c r="F71" i="20" s="1"/>
  <c r="I70" i="20"/>
  <c r="J70" i="20" s="1"/>
  <c r="K70" i="20" s="1"/>
  <c r="F70" i="20"/>
  <c r="E70" i="20"/>
  <c r="F62" i="20"/>
  <c r="J60" i="20"/>
  <c r="I60" i="20"/>
  <c r="E60" i="20"/>
  <c r="F60" i="20" s="1"/>
  <c r="K60" i="20" s="1"/>
  <c r="L60" i="20" s="1"/>
  <c r="K59" i="20"/>
  <c r="L59" i="20" s="1"/>
  <c r="J59" i="20"/>
  <c r="I59" i="20"/>
  <c r="F59" i="20"/>
  <c r="E59" i="20"/>
  <c r="I58" i="20"/>
  <c r="J58" i="20" s="1"/>
  <c r="E58" i="20"/>
  <c r="F58" i="20" s="1"/>
  <c r="I57" i="20"/>
  <c r="J57" i="20" s="1"/>
  <c r="E57" i="20"/>
  <c r="F57" i="20" s="1"/>
  <c r="K57" i="20" s="1"/>
  <c r="L57" i="20" s="1"/>
  <c r="J56" i="20"/>
  <c r="E56" i="20"/>
  <c r="F56" i="20" s="1"/>
  <c r="K56" i="20" s="1"/>
  <c r="L56" i="20" s="1"/>
  <c r="K55" i="20"/>
  <c r="L55" i="20" s="1"/>
  <c r="J55" i="20"/>
  <c r="I55" i="20"/>
  <c r="F55" i="20"/>
  <c r="E55" i="20"/>
  <c r="J54" i="20"/>
  <c r="E54" i="20"/>
  <c r="F54" i="20" s="1"/>
  <c r="K54" i="20" s="1"/>
  <c r="L54" i="20" s="1"/>
  <c r="L53" i="20"/>
  <c r="J53" i="20"/>
  <c r="I53" i="20"/>
  <c r="E53" i="20"/>
  <c r="F53" i="20" s="1"/>
  <c r="K53" i="20" s="1"/>
  <c r="J52" i="20"/>
  <c r="F52" i="20"/>
  <c r="K52" i="20" s="1"/>
  <c r="L52" i="20" s="1"/>
  <c r="E52" i="20"/>
  <c r="J51" i="20"/>
  <c r="F51" i="20"/>
  <c r="K51" i="20" s="1"/>
  <c r="L51" i="20" s="1"/>
  <c r="E51" i="20"/>
  <c r="J50" i="20"/>
  <c r="E50" i="20"/>
  <c r="F50" i="20" s="1"/>
  <c r="K50" i="20" s="1"/>
  <c r="L50" i="20" s="1"/>
  <c r="J49" i="20"/>
  <c r="F49" i="20"/>
  <c r="K49" i="20" s="1"/>
  <c r="L49" i="20" s="1"/>
  <c r="E49" i="20"/>
  <c r="I48" i="20"/>
  <c r="J48" i="20" s="1"/>
  <c r="E48" i="20"/>
  <c r="F48" i="20" s="1"/>
  <c r="K48" i="20" s="1"/>
  <c r="L48" i="20" s="1"/>
  <c r="L47" i="20"/>
  <c r="J47" i="20"/>
  <c r="E47" i="20"/>
  <c r="F47" i="20" s="1"/>
  <c r="K47" i="20" s="1"/>
  <c r="J46" i="20"/>
  <c r="E46" i="20"/>
  <c r="F46" i="20" s="1"/>
  <c r="K46" i="20" s="1"/>
  <c r="L46" i="20" s="1"/>
  <c r="I45" i="20"/>
  <c r="J45" i="20" s="1"/>
  <c r="F45" i="20"/>
  <c r="E45" i="20"/>
  <c r="J44" i="20"/>
  <c r="I44" i="20"/>
  <c r="E44" i="20"/>
  <c r="F44" i="20" s="1"/>
  <c r="K44" i="20" s="1"/>
  <c r="L44" i="20" s="1"/>
  <c r="J43" i="20"/>
  <c r="F43" i="20"/>
  <c r="K43" i="20" s="1"/>
  <c r="L43" i="20" s="1"/>
  <c r="E43" i="20"/>
  <c r="I42" i="20"/>
  <c r="J42" i="20" s="1"/>
  <c r="E42" i="20"/>
  <c r="F42" i="20" s="1"/>
  <c r="K42" i="20" s="1"/>
  <c r="L42" i="20" s="1"/>
  <c r="I41" i="20"/>
  <c r="J41" i="20" s="1"/>
  <c r="E41" i="20"/>
  <c r="F41" i="20" s="1"/>
  <c r="J40" i="20"/>
  <c r="I40" i="20"/>
  <c r="E40" i="20"/>
  <c r="F40" i="20" s="1"/>
  <c r="K40" i="20" s="1"/>
  <c r="L40" i="20" s="1"/>
  <c r="K39" i="20"/>
  <c r="L39" i="20" s="1"/>
  <c r="J39" i="20"/>
  <c r="I39" i="20"/>
  <c r="F39" i="20"/>
  <c r="E39" i="20"/>
  <c r="I38" i="20"/>
  <c r="J38" i="20" s="1"/>
  <c r="E38" i="20"/>
  <c r="F38" i="20" s="1"/>
  <c r="K38" i="20" s="1"/>
  <c r="L38" i="20" s="1"/>
  <c r="I37" i="20"/>
  <c r="J37" i="20" s="1"/>
  <c r="E37" i="20"/>
  <c r="F37" i="20" s="1"/>
  <c r="J36" i="20"/>
  <c r="K36" i="20" s="1"/>
  <c r="L36" i="20" s="1"/>
  <c r="F36" i="20"/>
  <c r="E36" i="20"/>
  <c r="J35" i="20"/>
  <c r="I35" i="20"/>
  <c r="E35" i="20"/>
  <c r="F35" i="20" s="1"/>
  <c r="K35" i="20" s="1"/>
  <c r="I24" i="20"/>
  <c r="J24" i="20" s="1"/>
  <c r="K24" i="20" s="1"/>
  <c r="L24" i="20" s="1"/>
  <c r="F24" i="20"/>
  <c r="E24" i="20"/>
  <c r="I23" i="20"/>
  <c r="J23" i="20" s="1"/>
  <c r="E23" i="20"/>
  <c r="F23" i="20" s="1"/>
  <c r="I22" i="20"/>
  <c r="J22" i="20" s="1"/>
  <c r="E22" i="20"/>
  <c r="F22" i="20" s="1"/>
  <c r="K22" i="20" s="1"/>
  <c r="L22" i="20" s="1"/>
  <c r="J21" i="20"/>
  <c r="E21" i="20"/>
  <c r="F21" i="20" s="1"/>
  <c r="K21" i="20" s="1"/>
  <c r="L21" i="20" s="1"/>
  <c r="J20" i="20"/>
  <c r="E20" i="20"/>
  <c r="F20" i="20" s="1"/>
  <c r="K20" i="20" s="1"/>
  <c r="L20" i="20" s="1"/>
  <c r="J19" i="20"/>
  <c r="E19" i="20"/>
  <c r="F19" i="20" s="1"/>
  <c r="K19" i="20" s="1"/>
  <c r="L19" i="20" s="1"/>
  <c r="J18" i="20"/>
  <c r="K18" i="20" s="1"/>
  <c r="L18" i="20" s="1"/>
  <c r="F18" i="20"/>
  <c r="E18" i="20"/>
  <c r="J17" i="20"/>
  <c r="I17" i="20"/>
  <c r="E17" i="20"/>
  <c r="F17" i="20" s="1"/>
  <c r="K17" i="20" s="1"/>
  <c r="L17" i="20" s="1"/>
  <c r="I16" i="20"/>
  <c r="J16" i="20" s="1"/>
  <c r="F16" i="20"/>
  <c r="K16" i="20" s="1"/>
  <c r="L16" i="20" s="1"/>
  <c r="E16" i="20"/>
  <c r="K15" i="20"/>
  <c r="L15" i="20" s="1"/>
  <c r="J15" i="20"/>
  <c r="I15" i="20"/>
  <c r="E15" i="20"/>
  <c r="F15" i="20" s="1"/>
  <c r="I14" i="20"/>
  <c r="J14" i="20" s="1"/>
  <c r="K14" i="20" s="1"/>
  <c r="L14" i="20" s="1"/>
  <c r="F14" i="20"/>
  <c r="E14" i="20"/>
  <c r="I13" i="20"/>
  <c r="J13" i="20" s="1"/>
  <c r="E13" i="20"/>
  <c r="F13" i="20" s="1"/>
  <c r="K13" i="20" s="1"/>
  <c r="L13" i="20" s="1"/>
  <c r="J12" i="20"/>
  <c r="E12" i="20"/>
  <c r="F12" i="20" s="1"/>
  <c r="K12" i="20" s="1"/>
  <c r="L12" i="20" s="1"/>
  <c r="L11" i="20"/>
  <c r="J11" i="20"/>
  <c r="I11" i="20"/>
  <c r="E11" i="20"/>
  <c r="F11" i="20" s="1"/>
  <c r="K11" i="20" s="1"/>
  <c r="I10" i="20"/>
  <c r="J10" i="20" s="1"/>
  <c r="F10" i="20"/>
  <c r="K10" i="20" s="1"/>
  <c r="L10" i="20" s="1"/>
  <c r="E10" i="20"/>
  <c r="J9" i="20"/>
  <c r="F9" i="20"/>
  <c r="K9" i="20" s="1"/>
  <c r="L9" i="20" s="1"/>
  <c r="E9" i="20"/>
  <c r="J8" i="20"/>
  <c r="E8" i="20"/>
  <c r="F8" i="20" s="1"/>
  <c r="K8" i="20" s="1"/>
  <c r="L8" i="20" s="1"/>
  <c r="J7" i="20"/>
  <c r="F7" i="20"/>
  <c r="K7" i="20" s="1"/>
  <c r="L7" i="20" s="1"/>
  <c r="E7" i="20"/>
  <c r="J6" i="20"/>
  <c r="E6" i="20"/>
  <c r="J304" i="19"/>
  <c r="F304" i="19"/>
  <c r="K304" i="19" s="1"/>
  <c r="L304" i="19" s="1"/>
  <c r="E304" i="19"/>
  <c r="J303" i="19"/>
  <c r="F303" i="19"/>
  <c r="K303" i="19" s="1"/>
  <c r="L303" i="19" s="1"/>
  <c r="E303" i="19"/>
  <c r="J302" i="19"/>
  <c r="I302" i="19"/>
  <c r="E302" i="19"/>
  <c r="F302" i="19" s="1"/>
  <c r="K302" i="19" s="1"/>
  <c r="L302" i="19" s="1"/>
  <c r="K301" i="19"/>
  <c r="L301" i="19" s="1"/>
  <c r="J301" i="19"/>
  <c r="F301" i="19"/>
  <c r="E301" i="19"/>
  <c r="I300" i="19"/>
  <c r="J300" i="19" s="1"/>
  <c r="F300" i="19"/>
  <c r="K300" i="19" s="1"/>
  <c r="L300" i="19" s="1"/>
  <c r="E300" i="19"/>
  <c r="I299" i="19"/>
  <c r="J299" i="19" s="1"/>
  <c r="E299" i="19"/>
  <c r="F299" i="19" s="1"/>
  <c r="K298" i="19"/>
  <c r="L298" i="19" s="1"/>
  <c r="J298" i="19"/>
  <c r="F298" i="19"/>
  <c r="E298" i="19"/>
  <c r="J297" i="19"/>
  <c r="F297" i="19"/>
  <c r="K297" i="19" s="1"/>
  <c r="L297" i="19" s="1"/>
  <c r="E297" i="19"/>
  <c r="J296" i="19"/>
  <c r="E296" i="19"/>
  <c r="F296" i="19" s="1"/>
  <c r="K296" i="19" s="1"/>
  <c r="L296" i="19" s="1"/>
  <c r="J295" i="19"/>
  <c r="F295" i="19"/>
  <c r="K295" i="19" s="1"/>
  <c r="L295" i="19" s="1"/>
  <c r="E295" i="19"/>
  <c r="J294" i="19"/>
  <c r="F294" i="19"/>
  <c r="K294" i="19" s="1"/>
  <c r="L294" i="19" s="1"/>
  <c r="E294" i="19"/>
  <c r="L293" i="19"/>
  <c r="K293" i="19"/>
  <c r="J293" i="19"/>
  <c r="I293" i="19"/>
  <c r="E293" i="19"/>
  <c r="F293" i="19" s="1"/>
  <c r="I292" i="19"/>
  <c r="J292" i="19" s="1"/>
  <c r="K292" i="19" s="1"/>
  <c r="L292" i="19" s="1"/>
  <c r="F292" i="19"/>
  <c r="E292" i="19"/>
  <c r="J291" i="19"/>
  <c r="F291" i="19"/>
  <c r="E291" i="19"/>
  <c r="J290" i="19"/>
  <c r="E290" i="19"/>
  <c r="F290" i="19" s="1"/>
  <c r="K290" i="19" s="1"/>
  <c r="L290" i="19" s="1"/>
  <c r="J289" i="19"/>
  <c r="K289" i="19" s="1"/>
  <c r="L289" i="19" s="1"/>
  <c r="F289" i="19"/>
  <c r="E289" i="19"/>
  <c r="I288" i="19"/>
  <c r="J288" i="19" s="1"/>
  <c r="E288" i="19"/>
  <c r="F288" i="19" s="1"/>
  <c r="K288" i="19" s="1"/>
  <c r="L288" i="19" s="1"/>
  <c r="J287" i="19"/>
  <c r="E287" i="19"/>
  <c r="F287" i="19" s="1"/>
  <c r="K287" i="19" s="1"/>
  <c r="L287" i="19" s="1"/>
  <c r="J286" i="19"/>
  <c r="F286" i="19"/>
  <c r="K286" i="19" s="1"/>
  <c r="L286" i="19" s="1"/>
  <c r="E286" i="19"/>
  <c r="J285" i="19"/>
  <c r="E285" i="19"/>
  <c r="F285" i="19" s="1"/>
  <c r="K285" i="19" s="1"/>
  <c r="L285" i="19" s="1"/>
  <c r="J284" i="19"/>
  <c r="I284" i="19"/>
  <c r="E284" i="19"/>
  <c r="F284" i="19" s="1"/>
  <c r="K284" i="19" s="1"/>
  <c r="L284" i="19" s="1"/>
  <c r="J283" i="19"/>
  <c r="K283" i="19" s="1"/>
  <c r="L283" i="19" s="1"/>
  <c r="I283" i="19"/>
  <c r="F283" i="19"/>
  <c r="E283" i="19"/>
  <c r="I282" i="19"/>
  <c r="J282" i="19" s="1"/>
  <c r="E282" i="19"/>
  <c r="F282" i="19" s="1"/>
  <c r="K282" i="19" s="1"/>
  <c r="L282" i="19" s="1"/>
  <c r="I281" i="19"/>
  <c r="J281" i="19" s="1"/>
  <c r="F281" i="19"/>
  <c r="E281" i="19"/>
  <c r="J280" i="19"/>
  <c r="E280" i="19"/>
  <c r="F280" i="19" s="1"/>
  <c r="K280" i="19" s="1"/>
  <c r="L280" i="19" s="1"/>
  <c r="J279" i="19"/>
  <c r="K279" i="19" s="1"/>
  <c r="L279" i="19" s="1"/>
  <c r="F279" i="19"/>
  <c r="E279" i="19"/>
  <c r="J278" i="19"/>
  <c r="E278" i="19"/>
  <c r="F278" i="19" s="1"/>
  <c r="K278" i="19" s="1"/>
  <c r="L278" i="19" s="1"/>
  <c r="J277" i="19"/>
  <c r="K277" i="19" s="1"/>
  <c r="L277" i="19" s="1"/>
  <c r="I277" i="19"/>
  <c r="E277" i="19"/>
  <c r="F277" i="19" s="1"/>
  <c r="J276" i="19"/>
  <c r="E276" i="19"/>
  <c r="F276" i="19" s="1"/>
  <c r="K276" i="19" s="1"/>
  <c r="L276" i="19" s="1"/>
  <c r="I275" i="19"/>
  <c r="J275" i="19" s="1"/>
  <c r="E275" i="19"/>
  <c r="J274" i="19"/>
  <c r="E274" i="19"/>
  <c r="F274" i="19" s="1"/>
  <c r="L266" i="19"/>
  <c r="J266" i="19"/>
  <c r="E266" i="19"/>
  <c r="F266" i="19" s="1"/>
  <c r="K266" i="19" s="1"/>
  <c r="J265" i="19"/>
  <c r="K265" i="19" s="1"/>
  <c r="L265" i="19" s="1"/>
  <c r="I265" i="19"/>
  <c r="F265" i="19"/>
  <c r="E265" i="19"/>
  <c r="J264" i="19"/>
  <c r="I264" i="19"/>
  <c r="F264" i="19"/>
  <c r="K264" i="19" s="1"/>
  <c r="L264" i="19" s="1"/>
  <c r="E264" i="19"/>
  <c r="I263" i="19"/>
  <c r="J263" i="19" s="1"/>
  <c r="E263" i="19"/>
  <c r="F263" i="19" s="1"/>
  <c r="K263" i="19" s="1"/>
  <c r="L263" i="19" s="1"/>
  <c r="J262" i="19"/>
  <c r="I262" i="19"/>
  <c r="E262" i="19"/>
  <c r="F262" i="19" s="1"/>
  <c r="K262" i="19" s="1"/>
  <c r="L262" i="19" s="1"/>
  <c r="J261" i="19"/>
  <c r="F261" i="19"/>
  <c r="K261" i="19" s="1"/>
  <c r="L261" i="19" s="1"/>
  <c r="E261" i="19"/>
  <c r="I260" i="19"/>
  <c r="J260" i="19" s="1"/>
  <c r="F260" i="19"/>
  <c r="K260" i="19" s="1"/>
  <c r="L260" i="19" s="1"/>
  <c r="E260" i="19"/>
  <c r="I259" i="19"/>
  <c r="J259" i="19" s="1"/>
  <c r="E259" i="19"/>
  <c r="F259" i="19" s="1"/>
  <c r="K259" i="19" s="1"/>
  <c r="L259" i="19" s="1"/>
  <c r="L258" i="19"/>
  <c r="K258" i="19"/>
  <c r="J258" i="19"/>
  <c r="F258" i="19"/>
  <c r="E258" i="19"/>
  <c r="J257" i="19"/>
  <c r="E257" i="19"/>
  <c r="F257" i="19" s="1"/>
  <c r="K257" i="19" s="1"/>
  <c r="L257" i="19" s="1"/>
  <c r="I256" i="19"/>
  <c r="J256" i="19" s="1"/>
  <c r="E256" i="19"/>
  <c r="F256" i="19" s="1"/>
  <c r="J255" i="19"/>
  <c r="K255" i="19" s="1"/>
  <c r="L255" i="19" s="1"/>
  <c r="F255" i="19"/>
  <c r="E255" i="19"/>
  <c r="J254" i="19"/>
  <c r="I254" i="19"/>
  <c r="E254" i="19"/>
  <c r="F254" i="19" s="1"/>
  <c r="K254" i="19" s="1"/>
  <c r="L254" i="19" s="1"/>
  <c r="I253" i="19"/>
  <c r="J253" i="19" s="1"/>
  <c r="F253" i="19"/>
  <c r="K253" i="19" s="1"/>
  <c r="L253" i="19" s="1"/>
  <c r="E253" i="19"/>
  <c r="K252" i="19"/>
  <c r="L252" i="19" s="1"/>
  <c r="J252" i="19"/>
  <c r="E252" i="19"/>
  <c r="F252" i="19" s="1"/>
  <c r="I251" i="19"/>
  <c r="J251" i="19" s="1"/>
  <c r="F251" i="19"/>
  <c r="K251" i="19" s="1"/>
  <c r="L251" i="19" s="1"/>
  <c r="E251" i="19"/>
  <c r="J250" i="19"/>
  <c r="F250" i="19"/>
  <c r="K250" i="19" s="1"/>
  <c r="L250" i="19" s="1"/>
  <c r="E250" i="19"/>
  <c r="J249" i="19"/>
  <c r="I249" i="19"/>
  <c r="E249" i="19"/>
  <c r="F249" i="19" s="1"/>
  <c r="K249" i="19" s="1"/>
  <c r="L249" i="19" s="1"/>
  <c r="I248" i="19"/>
  <c r="J248" i="19" s="1"/>
  <c r="K248" i="19" s="1"/>
  <c r="L248" i="19" s="1"/>
  <c r="F248" i="19"/>
  <c r="E248" i="19"/>
  <c r="I247" i="19"/>
  <c r="J247" i="19" s="1"/>
  <c r="F247" i="19"/>
  <c r="K247" i="19" s="1"/>
  <c r="L247" i="19" s="1"/>
  <c r="E247" i="19"/>
  <c r="I246" i="19"/>
  <c r="J246" i="19" s="1"/>
  <c r="F246" i="19"/>
  <c r="K246" i="19" s="1"/>
  <c r="L246" i="19" s="1"/>
  <c r="E246" i="19"/>
  <c r="L245" i="19"/>
  <c r="K245" i="19"/>
  <c r="J245" i="19"/>
  <c r="I245" i="19"/>
  <c r="E245" i="19"/>
  <c r="F245" i="19" s="1"/>
  <c r="I244" i="19"/>
  <c r="J244" i="19" s="1"/>
  <c r="K244" i="19" s="1"/>
  <c r="L244" i="19" s="1"/>
  <c r="F244" i="19"/>
  <c r="E244" i="19"/>
  <c r="J243" i="19"/>
  <c r="F243" i="19"/>
  <c r="E243" i="19"/>
  <c r="J242" i="19"/>
  <c r="E242" i="19"/>
  <c r="F242" i="19" s="1"/>
  <c r="K242" i="19" s="1"/>
  <c r="L242" i="19" s="1"/>
  <c r="J241" i="19"/>
  <c r="K241" i="19" s="1"/>
  <c r="L241" i="19" s="1"/>
  <c r="F241" i="19"/>
  <c r="E241" i="19"/>
  <c r="J240" i="19"/>
  <c r="E240" i="19"/>
  <c r="F240" i="19" s="1"/>
  <c r="K240" i="19" s="1"/>
  <c r="L240" i="19" s="1"/>
  <c r="K239" i="19"/>
  <c r="L239" i="19" s="1"/>
  <c r="J239" i="19"/>
  <c r="I239" i="19"/>
  <c r="E239" i="19"/>
  <c r="F239" i="19" s="1"/>
  <c r="J238" i="19"/>
  <c r="K238" i="19" s="1"/>
  <c r="L238" i="19" s="1"/>
  <c r="I238" i="19"/>
  <c r="F238" i="19"/>
  <c r="E238" i="19"/>
  <c r="J237" i="19"/>
  <c r="I237" i="19"/>
  <c r="F237" i="19"/>
  <c r="K237" i="19" s="1"/>
  <c r="L237" i="19" s="1"/>
  <c r="E237" i="19"/>
  <c r="J236" i="19"/>
  <c r="E236" i="19"/>
  <c r="F236" i="19" s="1"/>
  <c r="K236" i="19" s="1"/>
  <c r="L236" i="19" s="1"/>
  <c r="K235" i="19"/>
  <c r="L235" i="19" s="1"/>
  <c r="J235" i="19"/>
  <c r="F235" i="19"/>
  <c r="E235" i="19"/>
  <c r="J234" i="19"/>
  <c r="F234" i="19"/>
  <c r="K234" i="19" s="1"/>
  <c r="L234" i="19" s="1"/>
  <c r="E234" i="19"/>
  <c r="E268" i="19" s="1"/>
  <c r="K224" i="19"/>
  <c r="L224" i="19" s="1"/>
  <c r="J224" i="19"/>
  <c r="E224" i="19"/>
  <c r="F224" i="19" s="1"/>
  <c r="J223" i="19"/>
  <c r="E223" i="19"/>
  <c r="F223" i="19" s="1"/>
  <c r="K223" i="19" s="1"/>
  <c r="L223" i="19" s="1"/>
  <c r="J222" i="19"/>
  <c r="K222" i="19" s="1"/>
  <c r="L222" i="19" s="1"/>
  <c r="F222" i="19"/>
  <c r="E222" i="19"/>
  <c r="J221" i="19"/>
  <c r="E221" i="19"/>
  <c r="F221" i="19" s="1"/>
  <c r="K221" i="19" s="1"/>
  <c r="L221" i="19" s="1"/>
  <c r="J220" i="19"/>
  <c r="E220" i="19"/>
  <c r="I212" i="19"/>
  <c r="J212" i="19" s="1"/>
  <c r="K212" i="19" s="1"/>
  <c r="L212" i="19" s="1"/>
  <c r="E212" i="19"/>
  <c r="K211" i="19"/>
  <c r="L211" i="19" s="1"/>
  <c r="J211" i="19"/>
  <c r="I211" i="19"/>
  <c r="E211" i="19"/>
  <c r="I210" i="19"/>
  <c r="J210" i="19" s="1"/>
  <c r="E210" i="19"/>
  <c r="K210" i="19" s="1"/>
  <c r="L210" i="19" s="1"/>
  <c r="K209" i="19"/>
  <c r="L209" i="19" s="1"/>
  <c r="J209" i="19"/>
  <c r="I209" i="19"/>
  <c r="E209" i="19"/>
  <c r="I208" i="19"/>
  <c r="J208" i="19" s="1"/>
  <c r="E208" i="19"/>
  <c r="E214" i="19" s="1"/>
  <c r="J207" i="19"/>
  <c r="E207" i="19"/>
  <c r="K207" i="19" s="1"/>
  <c r="I200" i="19"/>
  <c r="J200" i="19" s="1"/>
  <c r="K200" i="19" s="1"/>
  <c r="L200" i="19" s="1"/>
  <c r="E200" i="19"/>
  <c r="K199" i="19"/>
  <c r="L199" i="19" s="1"/>
  <c r="J199" i="19"/>
  <c r="E199" i="19"/>
  <c r="I198" i="19"/>
  <c r="J198" i="19" s="1"/>
  <c r="E198" i="19"/>
  <c r="J197" i="19"/>
  <c r="K197" i="19" s="1"/>
  <c r="L197" i="19" s="1"/>
  <c r="I197" i="19"/>
  <c r="E197" i="19"/>
  <c r="J196" i="19"/>
  <c r="E196" i="19"/>
  <c r="K196" i="19" s="1"/>
  <c r="L196" i="19" s="1"/>
  <c r="K195" i="19"/>
  <c r="L195" i="19" s="1"/>
  <c r="J195" i="19"/>
  <c r="I195" i="19"/>
  <c r="E195" i="19"/>
  <c r="I194" i="19"/>
  <c r="J194" i="19" s="1"/>
  <c r="E194" i="19"/>
  <c r="K194" i="19" s="1"/>
  <c r="L194" i="19" s="1"/>
  <c r="I193" i="19"/>
  <c r="J193" i="19" s="1"/>
  <c r="E193" i="19"/>
  <c r="K192" i="19"/>
  <c r="L192" i="19" s="1"/>
  <c r="J192" i="19"/>
  <c r="I192" i="19"/>
  <c r="E192" i="19"/>
  <c r="I191" i="19"/>
  <c r="J191" i="19" s="1"/>
  <c r="E191" i="19"/>
  <c r="J181" i="19"/>
  <c r="I181" i="19"/>
  <c r="E181" i="19"/>
  <c r="L180" i="19"/>
  <c r="K180" i="19"/>
  <c r="J180" i="19"/>
  <c r="E180" i="19"/>
  <c r="K179" i="19"/>
  <c r="L179" i="19" s="1"/>
  <c r="J179" i="19"/>
  <c r="E179" i="19"/>
  <c r="L178" i="19"/>
  <c r="K178" i="19"/>
  <c r="J178" i="19"/>
  <c r="E178" i="19"/>
  <c r="K177" i="19"/>
  <c r="L177" i="19" s="1"/>
  <c r="J177" i="19"/>
  <c r="I177" i="19"/>
  <c r="E177" i="19"/>
  <c r="J176" i="19"/>
  <c r="E176" i="19"/>
  <c r="K176" i="19" s="1"/>
  <c r="L176" i="19" s="1"/>
  <c r="J175" i="19"/>
  <c r="E175" i="19"/>
  <c r="K175" i="19" s="1"/>
  <c r="L175" i="19" s="1"/>
  <c r="I174" i="19"/>
  <c r="J174" i="19" s="1"/>
  <c r="E174" i="19"/>
  <c r="K173" i="19"/>
  <c r="L173" i="19" s="1"/>
  <c r="J173" i="19"/>
  <c r="E173" i="19"/>
  <c r="I172" i="19"/>
  <c r="J172" i="19" s="1"/>
  <c r="E172" i="19"/>
  <c r="K172" i="19" s="1"/>
  <c r="L172" i="19" s="1"/>
  <c r="L171" i="19"/>
  <c r="K171" i="19"/>
  <c r="J171" i="19"/>
  <c r="I171" i="19"/>
  <c r="E171" i="19"/>
  <c r="I170" i="19"/>
  <c r="J170" i="19" s="1"/>
  <c r="E170" i="19"/>
  <c r="E183" i="19" s="1"/>
  <c r="J162" i="19"/>
  <c r="F162" i="19"/>
  <c r="K162" i="19" s="1"/>
  <c r="L162" i="19" s="1"/>
  <c r="E162" i="19"/>
  <c r="I161" i="19"/>
  <c r="J161" i="19" s="1"/>
  <c r="E161" i="19"/>
  <c r="F161" i="19" s="1"/>
  <c r="K161" i="19" s="1"/>
  <c r="L161" i="19" s="1"/>
  <c r="I160" i="19"/>
  <c r="J160" i="19" s="1"/>
  <c r="E160" i="19"/>
  <c r="F160" i="19" s="1"/>
  <c r="K160" i="19" s="1"/>
  <c r="L160" i="19" s="1"/>
  <c r="K159" i="19"/>
  <c r="L159" i="19" s="1"/>
  <c r="J159" i="19"/>
  <c r="F159" i="19"/>
  <c r="E159" i="19"/>
  <c r="J158" i="19"/>
  <c r="E158" i="19"/>
  <c r="F158" i="19" s="1"/>
  <c r="K158" i="19" s="1"/>
  <c r="L158" i="19" s="1"/>
  <c r="I157" i="19"/>
  <c r="J157" i="19" s="1"/>
  <c r="E157" i="19"/>
  <c r="F157" i="19" s="1"/>
  <c r="K157" i="19" s="1"/>
  <c r="L157" i="19" s="1"/>
  <c r="L156" i="19"/>
  <c r="K156" i="19"/>
  <c r="J156" i="19"/>
  <c r="I156" i="19"/>
  <c r="E156" i="19"/>
  <c r="F156" i="19" s="1"/>
  <c r="J155" i="19"/>
  <c r="E155" i="19"/>
  <c r="F155" i="19" s="1"/>
  <c r="K155" i="19" s="1"/>
  <c r="L155" i="19" s="1"/>
  <c r="I154" i="19"/>
  <c r="J154" i="19" s="1"/>
  <c r="F154" i="19"/>
  <c r="E154" i="19"/>
  <c r="J153" i="19"/>
  <c r="E153" i="19"/>
  <c r="F153" i="19" s="1"/>
  <c r="K153" i="19" s="1"/>
  <c r="L153" i="19" s="1"/>
  <c r="J152" i="19"/>
  <c r="K152" i="19" s="1"/>
  <c r="L152" i="19" s="1"/>
  <c r="I152" i="19"/>
  <c r="F152" i="19"/>
  <c r="E152" i="19"/>
  <c r="I151" i="19"/>
  <c r="J151" i="19" s="1"/>
  <c r="E151" i="19"/>
  <c r="F151" i="19" s="1"/>
  <c r="K151" i="19" s="1"/>
  <c r="L151" i="19" s="1"/>
  <c r="L150" i="19"/>
  <c r="J150" i="19"/>
  <c r="E150" i="19"/>
  <c r="F150" i="19" s="1"/>
  <c r="K150" i="19" s="1"/>
  <c r="I149" i="19"/>
  <c r="J149" i="19" s="1"/>
  <c r="K149" i="19" s="1"/>
  <c r="L149" i="19" s="1"/>
  <c r="F149" i="19"/>
  <c r="E149" i="19"/>
  <c r="J148" i="19"/>
  <c r="I148" i="19"/>
  <c r="E148" i="19"/>
  <c r="F148" i="19" s="1"/>
  <c r="K148" i="19" s="1"/>
  <c r="L148" i="19" s="1"/>
  <c r="I147" i="19"/>
  <c r="J147" i="19" s="1"/>
  <c r="F147" i="19"/>
  <c r="K147" i="19" s="1"/>
  <c r="L147" i="19" s="1"/>
  <c r="E147" i="19"/>
  <c r="K146" i="19"/>
  <c r="L146" i="19" s="1"/>
  <c r="J146" i="19"/>
  <c r="E146" i="19"/>
  <c r="F146" i="19" s="1"/>
  <c r="J145" i="19"/>
  <c r="E145" i="19"/>
  <c r="F145" i="19" s="1"/>
  <c r="K145" i="19" s="1"/>
  <c r="L145" i="19" s="1"/>
  <c r="J144" i="19"/>
  <c r="E144" i="19"/>
  <c r="F144" i="19" s="1"/>
  <c r="K144" i="19" s="1"/>
  <c r="L144" i="19" s="1"/>
  <c r="J143" i="19"/>
  <c r="K143" i="19" s="1"/>
  <c r="L143" i="19" s="1"/>
  <c r="F143" i="19"/>
  <c r="E143" i="19"/>
  <c r="I142" i="19"/>
  <c r="J142" i="19" s="1"/>
  <c r="F142" i="19"/>
  <c r="E142" i="19"/>
  <c r="J141" i="19"/>
  <c r="E141" i="19"/>
  <c r="F141" i="19" s="1"/>
  <c r="K141" i="19" s="1"/>
  <c r="L141" i="19" s="1"/>
  <c r="J140" i="19"/>
  <c r="I140" i="19"/>
  <c r="E140" i="19"/>
  <c r="F140" i="19" s="1"/>
  <c r="K140" i="19" s="1"/>
  <c r="L140" i="19" s="1"/>
  <c r="I139" i="19"/>
  <c r="J139" i="19" s="1"/>
  <c r="F139" i="19"/>
  <c r="E139" i="19"/>
  <c r="J138" i="19"/>
  <c r="E138" i="19"/>
  <c r="F138" i="19" s="1"/>
  <c r="K138" i="19" s="1"/>
  <c r="L138" i="19" s="1"/>
  <c r="J137" i="19"/>
  <c r="I137" i="19"/>
  <c r="E137" i="19"/>
  <c r="F137" i="19" s="1"/>
  <c r="K137" i="19" s="1"/>
  <c r="L137" i="19" s="1"/>
  <c r="J136" i="19"/>
  <c r="K136" i="19" s="1"/>
  <c r="L136" i="19" s="1"/>
  <c r="F136" i="19"/>
  <c r="E136" i="19"/>
  <c r="J135" i="19"/>
  <c r="E135" i="19"/>
  <c r="F135" i="19" s="1"/>
  <c r="K135" i="19" s="1"/>
  <c r="L135" i="19" s="1"/>
  <c r="L134" i="19"/>
  <c r="K134" i="19"/>
  <c r="J134" i="19"/>
  <c r="E134" i="19"/>
  <c r="F134" i="19" s="1"/>
  <c r="J133" i="19"/>
  <c r="I133" i="19"/>
  <c r="F133" i="19"/>
  <c r="K133" i="19" s="1"/>
  <c r="L133" i="19" s="1"/>
  <c r="E133" i="19"/>
  <c r="I132" i="19"/>
  <c r="J132" i="19" s="1"/>
  <c r="F132" i="19"/>
  <c r="E132" i="19"/>
  <c r="J131" i="19"/>
  <c r="E131" i="19"/>
  <c r="F131" i="19" s="1"/>
  <c r="K131" i="19" s="1"/>
  <c r="L131" i="19" s="1"/>
  <c r="J130" i="19"/>
  <c r="F130" i="19"/>
  <c r="K130" i="19" s="1"/>
  <c r="L130" i="19" s="1"/>
  <c r="E130" i="19"/>
  <c r="J129" i="19"/>
  <c r="F129" i="19"/>
  <c r="K129" i="19" s="1"/>
  <c r="L129" i="19" s="1"/>
  <c r="E129" i="19"/>
  <c r="K128" i="19"/>
  <c r="L128" i="19" s="1"/>
  <c r="J128" i="19"/>
  <c r="I128" i="19"/>
  <c r="E128" i="19"/>
  <c r="F128" i="19" s="1"/>
  <c r="J127" i="19"/>
  <c r="F127" i="19"/>
  <c r="K127" i="19" s="1"/>
  <c r="L127" i="19" s="1"/>
  <c r="E127" i="19"/>
  <c r="I126" i="19"/>
  <c r="J126" i="19" s="1"/>
  <c r="F126" i="19"/>
  <c r="E126" i="19"/>
  <c r="J116" i="19"/>
  <c r="F116" i="19"/>
  <c r="K116" i="19" s="1"/>
  <c r="L116" i="19" s="1"/>
  <c r="E116" i="19"/>
  <c r="J115" i="19"/>
  <c r="E115" i="19"/>
  <c r="F115" i="19" s="1"/>
  <c r="K115" i="19" s="1"/>
  <c r="L115" i="19" s="1"/>
  <c r="J114" i="19"/>
  <c r="K114" i="19" s="1"/>
  <c r="L114" i="19" s="1"/>
  <c r="F114" i="19"/>
  <c r="E114" i="19"/>
  <c r="J113" i="19"/>
  <c r="F113" i="19"/>
  <c r="E113" i="19"/>
  <c r="I112" i="19"/>
  <c r="J112" i="19" s="1"/>
  <c r="E112" i="19"/>
  <c r="F112" i="19" s="1"/>
  <c r="K112" i="19" s="1"/>
  <c r="L112" i="19" s="1"/>
  <c r="J111" i="19"/>
  <c r="I111" i="19"/>
  <c r="E111" i="19"/>
  <c r="F111" i="19" s="1"/>
  <c r="K111" i="19" s="1"/>
  <c r="L111" i="19" s="1"/>
  <c r="J110" i="19"/>
  <c r="F110" i="19"/>
  <c r="K110" i="19" s="1"/>
  <c r="L110" i="19" s="1"/>
  <c r="E110" i="19"/>
  <c r="J109" i="19"/>
  <c r="E109" i="19"/>
  <c r="F109" i="19" s="1"/>
  <c r="K109" i="19" s="1"/>
  <c r="L109" i="19" s="1"/>
  <c r="K108" i="19"/>
  <c r="L108" i="19" s="1"/>
  <c r="J108" i="19"/>
  <c r="F108" i="19"/>
  <c r="E108" i="19"/>
  <c r="J107" i="19"/>
  <c r="E107" i="19"/>
  <c r="F107" i="19" s="1"/>
  <c r="K107" i="19" s="1"/>
  <c r="L107" i="19" s="1"/>
  <c r="L106" i="19"/>
  <c r="J106" i="19"/>
  <c r="E106" i="19"/>
  <c r="F106" i="19" s="1"/>
  <c r="K106" i="19" s="1"/>
  <c r="J105" i="19"/>
  <c r="F105" i="19"/>
  <c r="K105" i="19" s="1"/>
  <c r="L105" i="19" s="1"/>
  <c r="E105" i="19"/>
  <c r="I104" i="19"/>
  <c r="J104" i="19" s="1"/>
  <c r="F104" i="19"/>
  <c r="K104" i="19" s="1"/>
  <c r="L104" i="19" s="1"/>
  <c r="E104" i="19"/>
  <c r="J103" i="19"/>
  <c r="E103" i="19"/>
  <c r="F103" i="19" s="1"/>
  <c r="K103" i="19" s="1"/>
  <c r="L103" i="19" s="1"/>
  <c r="I102" i="19"/>
  <c r="J102" i="19" s="1"/>
  <c r="K102" i="19" s="1"/>
  <c r="L102" i="19" s="1"/>
  <c r="F102" i="19"/>
  <c r="E102" i="19"/>
  <c r="J101" i="19"/>
  <c r="E101" i="19"/>
  <c r="F101" i="19" s="1"/>
  <c r="K101" i="19" s="1"/>
  <c r="L101" i="19" s="1"/>
  <c r="L100" i="19"/>
  <c r="I100" i="19"/>
  <c r="J100" i="19" s="1"/>
  <c r="E100" i="19"/>
  <c r="F100" i="19" s="1"/>
  <c r="K100" i="19" s="1"/>
  <c r="J99" i="19"/>
  <c r="K99" i="19" s="1"/>
  <c r="L99" i="19" s="1"/>
  <c r="F99" i="19"/>
  <c r="E99" i="19"/>
  <c r="I98" i="19"/>
  <c r="J98" i="19" s="1"/>
  <c r="F98" i="19"/>
  <c r="E98" i="19"/>
  <c r="I97" i="19"/>
  <c r="J97" i="19" s="1"/>
  <c r="F97" i="19"/>
  <c r="K97" i="19" s="1"/>
  <c r="L97" i="19" s="1"/>
  <c r="E97" i="19"/>
  <c r="K96" i="19"/>
  <c r="L96" i="19" s="1"/>
  <c r="J96" i="19"/>
  <c r="I96" i="19"/>
  <c r="E96" i="19"/>
  <c r="F96" i="19" s="1"/>
  <c r="I95" i="19"/>
  <c r="J95" i="19" s="1"/>
  <c r="K95" i="19" s="1"/>
  <c r="L95" i="19" s="1"/>
  <c r="F95" i="19"/>
  <c r="E95" i="19"/>
  <c r="J94" i="19"/>
  <c r="F94" i="19"/>
  <c r="E94" i="19"/>
  <c r="I93" i="19"/>
  <c r="J93" i="19" s="1"/>
  <c r="E93" i="19"/>
  <c r="F93" i="19" s="1"/>
  <c r="K93" i="19" s="1"/>
  <c r="L93" i="19" s="1"/>
  <c r="J92" i="19"/>
  <c r="K92" i="19" s="1"/>
  <c r="L92" i="19" s="1"/>
  <c r="I92" i="19"/>
  <c r="E92" i="19"/>
  <c r="F92" i="19" s="1"/>
  <c r="I91" i="19"/>
  <c r="J91" i="19" s="1"/>
  <c r="F91" i="19"/>
  <c r="E91" i="19"/>
  <c r="I90" i="19"/>
  <c r="J90" i="19" s="1"/>
  <c r="F90" i="19"/>
  <c r="E90" i="19"/>
  <c r="I89" i="19"/>
  <c r="J89" i="19" s="1"/>
  <c r="E89" i="19"/>
  <c r="F89" i="19" s="1"/>
  <c r="K89" i="19" s="1"/>
  <c r="L89" i="19" s="1"/>
  <c r="L88" i="19"/>
  <c r="K88" i="19"/>
  <c r="J88" i="19"/>
  <c r="I88" i="19"/>
  <c r="E88" i="19"/>
  <c r="F88" i="19" s="1"/>
  <c r="J87" i="19"/>
  <c r="E87" i="19"/>
  <c r="L77" i="19"/>
  <c r="K77" i="19"/>
  <c r="J77" i="19"/>
  <c r="I77" i="19"/>
  <c r="F77" i="19"/>
  <c r="E77" i="19"/>
  <c r="J76" i="19"/>
  <c r="E76" i="19"/>
  <c r="F76" i="19" s="1"/>
  <c r="K76" i="19" s="1"/>
  <c r="L76" i="19" s="1"/>
  <c r="I75" i="19"/>
  <c r="J75" i="19" s="1"/>
  <c r="E75" i="19"/>
  <c r="F75" i="19" s="1"/>
  <c r="J74" i="19"/>
  <c r="I74" i="19"/>
  <c r="E74" i="19"/>
  <c r="F74" i="19" s="1"/>
  <c r="K74" i="19" s="1"/>
  <c r="L74" i="19" s="1"/>
  <c r="K73" i="19"/>
  <c r="L73" i="19" s="1"/>
  <c r="J73" i="19"/>
  <c r="I73" i="19"/>
  <c r="F73" i="19"/>
  <c r="E73" i="19"/>
  <c r="I72" i="19"/>
  <c r="J72" i="19" s="1"/>
  <c r="E72" i="19"/>
  <c r="F72" i="19" s="1"/>
  <c r="K72" i="19" s="1"/>
  <c r="L72" i="19" s="1"/>
  <c r="I71" i="19"/>
  <c r="J71" i="19" s="1"/>
  <c r="E71" i="19"/>
  <c r="F71" i="19" s="1"/>
  <c r="J70" i="19"/>
  <c r="K70" i="19" s="1"/>
  <c r="L70" i="19" s="1"/>
  <c r="F70" i="19"/>
  <c r="E70" i="19"/>
  <c r="J69" i="19"/>
  <c r="I69" i="19"/>
  <c r="E69" i="19"/>
  <c r="F69" i="19" s="1"/>
  <c r="K69" i="19" s="1"/>
  <c r="L69" i="19" s="1"/>
  <c r="J68" i="19"/>
  <c r="E68" i="19"/>
  <c r="F68" i="19" s="1"/>
  <c r="K68" i="19" s="1"/>
  <c r="L68" i="19" s="1"/>
  <c r="J67" i="19"/>
  <c r="K67" i="19" s="1"/>
  <c r="L67" i="19" s="1"/>
  <c r="F67" i="19"/>
  <c r="E67" i="19"/>
  <c r="J66" i="19"/>
  <c r="E66" i="19"/>
  <c r="F66" i="19" s="1"/>
  <c r="K66" i="19" s="1"/>
  <c r="L66" i="19" s="1"/>
  <c r="L65" i="19"/>
  <c r="I65" i="19"/>
  <c r="J65" i="19" s="1"/>
  <c r="E65" i="19"/>
  <c r="F65" i="19" s="1"/>
  <c r="K65" i="19" s="1"/>
  <c r="J64" i="19"/>
  <c r="K64" i="19" s="1"/>
  <c r="L64" i="19" s="1"/>
  <c r="F64" i="19"/>
  <c r="E64" i="19"/>
  <c r="I63" i="19"/>
  <c r="J63" i="19" s="1"/>
  <c r="F63" i="19"/>
  <c r="E63" i="19"/>
  <c r="I62" i="19"/>
  <c r="J62" i="19" s="1"/>
  <c r="F62" i="19"/>
  <c r="K62" i="19" s="1"/>
  <c r="L62" i="19" s="1"/>
  <c r="E62" i="19"/>
  <c r="K61" i="19"/>
  <c r="L61" i="19" s="1"/>
  <c r="J61" i="19"/>
  <c r="E61" i="19"/>
  <c r="F61" i="19" s="1"/>
  <c r="J60" i="19"/>
  <c r="F60" i="19"/>
  <c r="K60" i="19" s="1"/>
  <c r="L60" i="19" s="1"/>
  <c r="E60" i="19"/>
  <c r="I59" i="19"/>
  <c r="J59" i="19" s="1"/>
  <c r="E59" i="19"/>
  <c r="F59" i="19" s="1"/>
  <c r="K59" i="19" s="1"/>
  <c r="L59" i="19" s="1"/>
  <c r="L58" i="19"/>
  <c r="J58" i="19"/>
  <c r="I58" i="19"/>
  <c r="E58" i="19"/>
  <c r="F58" i="19" s="1"/>
  <c r="K58" i="19" s="1"/>
  <c r="I57" i="19"/>
  <c r="J57" i="19" s="1"/>
  <c r="K57" i="19" s="1"/>
  <c r="L57" i="19" s="1"/>
  <c r="F57" i="19"/>
  <c r="E57" i="19"/>
  <c r="J56" i="19"/>
  <c r="E56" i="19"/>
  <c r="F56" i="19" s="1"/>
  <c r="K56" i="19" s="1"/>
  <c r="L56" i="19" s="1"/>
  <c r="I55" i="19"/>
  <c r="J55" i="19" s="1"/>
  <c r="E55" i="19"/>
  <c r="F55" i="19" s="1"/>
  <c r="K55" i="19" s="1"/>
  <c r="L55" i="19" s="1"/>
  <c r="J54" i="19"/>
  <c r="I54" i="19"/>
  <c r="E54" i="19"/>
  <c r="F54" i="19" s="1"/>
  <c r="K54" i="19" s="1"/>
  <c r="L54" i="19" s="1"/>
  <c r="I53" i="19"/>
  <c r="J53" i="19" s="1"/>
  <c r="K53" i="19" s="1"/>
  <c r="L53" i="19" s="1"/>
  <c r="F53" i="19"/>
  <c r="E53" i="19"/>
  <c r="I52" i="19"/>
  <c r="J52" i="19" s="1"/>
  <c r="E52" i="19"/>
  <c r="F52" i="19" s="1"/>
  <c r="K52" i="19" s="1"/>
  <c r="L52" i="19" s="1"/>
  <c r="L51" i="19"/>
  <c r="J51" i="19"/>
  <c r="E51" i="19"/>
  <c r="F51" i="19" s="1"/>
  <c r="K51" i="19" s="1"/>
  <c r="J50" i="19"/>
  <c r="F50" i="19"/>
  <c r="K50" i="19" s="1"/>
  <c r="L50" i="19" s="1"/>
  <c r="E50" i="19"/>
  <c r="I49" i="19"/>
  <c r="J49" i="19" s="1"/>
  <c r="F49" i="19"/>
  <c r="K49" i="19" s="1"/>
  <c r="L49" i="19" s="1"/>
  <c r="E49" i="19"/>
  <c r="J48" i="19"/>
  <c r="E48" i="19"/>
  <c r="F48" i="19" s="1"/>
  <c r="K48" i="19" s="1"/>
  <c r="L48" i="19" s="1"/>
  <c r="J47" i="19"/>
  <c r="F47" i="19"/>
  <c r="E47" i="19"/>
  <c r="J39" i="19"/>
  <c r="D39" i="19"/>
  <c r="E39" i="19" s="1"/>
  <c r="F39" i="19" s="1"/>
  <c r="K39" i="19" s="1"/>
  <c r="L39" i="19" s="1"/>
  <c r="I38" i="19"/>
  <c r="J38" i="19" s="1"/>
  <c r="K38" i="19" s="1"/>
  <c r="L38" i="19" s="1"/>
  <c r="F38" i="19"/>
  <c r="E38" i="19"/>
  <c r="I37" i="19"/>
  <c r="J37" i="19" s="1"/>
  <c r="E37" i="19"/>
  <c r="F37" i="19" s="1"/>
  <c r="K37" i="19" s="1"/>
  <c r="L37" i="19" s="1"/>
  <c r="L36" i="19"/>
  <c r="J36" i="19"/>
  <c r="E36" i="19"/>
  <c r="F36" i="19" s="1"/>
  <c r="K36" i="19" s="1"/>
  <c r="J35" i="19"/>
  <c r="K35" i="19" s="1"/>
  <c r="L35" i="19" s="1"/>
  <c r="I35" i="19"/>
  <c r="F35" i="19"/>
  <c r="E35" i="19"/>
  <c r="J34" i="19"/>
  <c r="I34" i="19"/>
  <c r="F34" i="19"/>
  <c r="E34" i="19"/>
  <c r="J33" i="19"/>
  <c r="E33" i="19"/>
  <c r="F33" i="19" s="1"/>
  <c r="K33" i="19" s="1"/>
  <c r="L33" i="19" s="1"/>
  <c r="J32" i="19"/>
  <c r="K32" i="19" s="1"/>
  <c r="L32" i="19" s="1"/>
  <c r="I32" i="19"/>
  <c r="E32" i="19"/>
  <c r="F32" i="19" s="1"/>
  <c r="J31" i="19"/>
  <c r="I31" i="19"/>
  <c r="F31" i="19"/>
  <c r="K31" i="19" s="1"/>
  <c r="L31" i="19" s="1"/>
  <c r="E31" i="19"/>
  <c r="J30" i="19"/>
  <c r="F30" i="19"/>
  <c r="K30" i="19" s="1"/>
  <c r="L30" i="19" s="1"/>
  <c r="E30" i="19"/>
  <c r="J29" i="19"/>
  <c r="I29" i="19"/>
  <c r="E29" i="19"/>
  <c r="F29" i="19" s="1"/>
  <c r="K29" i="19" s="1"/>
  <c r="L29" i="19" s="1"/>
  <c r="K28" i="19"/>
  <c r="L28" i="19" s="1"/>
  <c r="J28" i="19"/>
  <c r="I28" i="19"/>
  <c r="F28" i="19"/>
  <c r="E28" i="19"/>
  <c r="I27" i="19"/>
  <c r="J27" i="19" s="1"/>
  <c r="E27" i="19"/>
  <c r="F27" i="19" s="1"/>
  <c r="K27" i="19" s="1"/>
  <c r="L27" i="19" s="1"/>
  <c r="I26" i="19"/>
  <c r="J26" i="19" s="1"/>
  <c r="E26" i="19"/>
  <c r="F26" i="19" s="1"/>
  <c r="K26" i="19" s="1"/>
  <c r="L26" i="19" s="1"/>
  <c r="K25" i="19"/>
  <c r="L25" i="19" s="1"/>
  <c r="J25" i="19"/>
  <c r="I25" i="19"/>
  <c r="E25" i="19"/>
  <c r="F25" i="19" s="1"/>
  <c r="J24" i="19"/>
  <c r="F24" i="19"/>
  <c r="K24" i="19" s="1"/>
  <c r="L24" i="19" s="1"/>
  <c r="E24" i="19"/>
  <c r="J23" i="19"/>
  <c r="F23" i="19"/>
  <c r="K23" i="19" s="1"/>
  <c r="L23" i="19" s="1"/>
  <c r="E23" i="19"/>
  <c r="J22" i="19"/>
  <c r="E22" i="19"/>
  <c r="F22" i="19" s="1"/>
  <c r="K22" i="19" s="1"/>
  <c r="L22" i="19" s="1"/>
  <c r="J21" i="19"/>
  <c r="E21" i="19"/>
  <c r="F21" i="19" s="1"/>
  <c r="K21" i="19" s="1"/>
  <c r="L21" i="19" s="1"/>
  <c r="I20" i="19"/>
  <c r="J20" i="19" s="1"/>
  <c r="E20" i="19"/>
  <c r="F20" i="19" s="1"/>
  <c r="K20" i="19" s="1"/>
  <c r="L20" i="19" s="1"/>
  <c r="J19" i="19"/>
  <c r="I19" i="19"/>
  <c r="E19" i="19"/>
  <c r="F19" i="19" s="1"/>
  <c r="K19" i="19" s="1"/>
  <c r="L19" i="19" s="1"/>
  <c r="J18" i="19"/>
  <c r="K18" i="19" s="1"/>
  <c r="L18" i="19" s="1"/>
  <c r="I18" i="19"/>
  <c r="F18" i="19"/>
  <c r="E18" i="19"/>
  <c r="I17" i="19"/>
  <c r="J17" i="19" s="1"/>
  <c r="F17" i="19"/>
  <c r="E17" i="19"/>
  <c r="I16" i="19"/>
  <c r="J16" i="19" s="1"/>
  <c r="E16" i="19"/>
  <c r="F16" i="19" s="1"/>
  <c r="K16" i="19" s="1"/>
  <c r="L16" i="19" s="1"/>
  <c r="L15" i="19"/>
  <c r="K15" i="19"/>
  <c r="J15" i="19"/>
  <c r="I15" i="19"/>
  <c r="E15" i="19"/>
  <c r="F15" i="19" s="1"/>
  <c r="I14" i="19"/>
  <c r="J14" i="19" s="1"/>
  <c r="K14" i="19" s="1"/>
  <c r="L14" i="19" s="1"/>
  <c r="F14" i="19"/>
  <c r="E14" i="19"/>
  <c r="J13" i="19"/>
  <c r="I13" i="19"/>
  <c r="F13" i="19"/>
  <c r="K13" i="19" s="1"/>
  <c r="L13" i="19" s="1"/>
  <c r="E13" i="19"/>
  <c r="J12" i="19"/>
  <c r="E12" i="19"/>
  <c r="F12" i="19" s="1"/>
  <c r="K12" i="19" s="1"/>
  <c r="L12" i="19" s="1"/>
  <c r="L11" i="19"/>
  <c r="K11" i="19"/>
  <c r="J11" i="19"/>
  <c r="F11" i="19"/>
  <c r="E11" i="19"/>
  <c r="J10" i="19"/>
  <c r="E10" i="19"/>
  <c r="F10" i="19" s="1"/>
  <c r="K10" i="19" s="1"/>
  <c r="L10" i="19" s="1"/>
  <c r="I9" i="19"/>
  <c r="J9" i="19" s="1"/>
  <c r="E9" i="19"/>
  <c r="F9" i="19" s="1"/>
  <c r="K8" i="19"/>
  <c r="L8" i="19" s="1"/>
  <c r="J8" i="19"/>
  <c r="F8" i="19"/>
  <c r="E8" i="19"/>
  <c r="I7" i="19"/>
  <c r="J7" i="19" s="1"/>
  <c r="F7" i="19"/>
  <c r="E7" i="19"/>
  <c r="J6" i="19"/>
  <c r="E6" i="19"/>
  <c r="F6" i="19" s="1"/>
  <c r="K305" i="18"/>
  <c r="L305" i="18" s="1"/>
  <c r="J305" i="18"/>
  <c r="I305" i="18"/>
  <c r="E305" i="18"/>
  <c r="I304" i="18"/>
  <c r="J304" i="18" s="1"/>
  <c r="E304" i="18"/>
  <c r="K304" i="18" s="1"/>
  <c r="L304" i="18" s="1"/>
  <c r="K303" i="18"/>
  <c r="L303" i="18" s="1"/>
  <c r="J303" i="18"/>
  <c r="I303" i="18"/>
  <c r="E303" i="18"/>
  <c r="I302" i="18"/>
  <c r="J302" i="18" s="1"/>
  <c r="E302" i="18"/>
  <c r="K302" i="18" s="1"/>
  <c r="L302" i="18" s="1"/>
  <c r="K301" i="18"/>
  <c r="L301" i="18" s="1"/>
  <c r="I301" i="18"/>
  <c r="J301" i="18" s="1"/>
  <c r="E301" i="18"/>
  <c r="J300" i="18"/>
  <c r="E300" i="18"/>
  <c r="I299" i="18"/>
  <c r="J299" i="18" s="1"/>
  <c r="E299" i="18"/>
  <c r="J298" i="18"/>
  <c r="E298" i="18"/>
  <c r="K298" i="18" s="1"/>
  <c r="L298" i="18" s="1"/>
  <c r="I297" i="18"/>
  <c r="J297" i="18" s="1"/>
  <c r="E297" i="18"/>
  <c r="L296" i="18"/>
  <c r="K296" i="18"/>
  <c r="J296" i="18"/>
  <c r="E296" i="18"/>
  <c r="J295" i="18"/>
  <c r="E295" i="18"/>
  <c r="K295" i="18" s="1"/>
  <c r="L295" i="18" s="1"/>
  <c r="L294" i="18"/>
  <c r="K294" i="18"/>
  <c r="J294" i="18"/>
  <c r="E294" i="18"/>
  <c r="J293" i="18"/>
  <c r="E293" i="18"/>
  <c r="J292" i="18"/>
  <c r="K292" i="18" s="1"/>
  <c r="E292" i="18"/>
  <c r="J282" i="18"/>
  <c r="E282" i="18"/>
  <c r="F282" i="18" s="1"/>
  <c r="K282" i="18" s="1"/>
  <c r="L282" i="18" s="1"/>
  <c r="I281" i="18"/>
  <c r="J281" i="18" s="1"/>
  <c r="K281" i="18" s="1"/>
  <c r="L281" i="18" s="1"/>
  <c r="F281" i="18"/>
  <c r="E281" i="18"/>
  <c r="I280" i="18"/>
  <c r="J280" i="18" s="1"/>
  <c r="E280" i="18"/>
  <c r="F280" i="18" s="1"/>
  <c r="K280" i="18" s="1"/>
  <c r="L280" i="18" s="1"/>
  <c r="K279" i="18"/>
  <c r="L279" i="18" s="1"/>
  <c r="J279" i="18"/>
  <c r="E279" i="18"/>
  <c r="F279" i="18" s="1"/>
  <c r="J278" i="18"/>
  <c r="F278" i="18"/>
  <c r="K278" i="18" s="1"/>
  <c r="L278" i="18" s="1"/>
  <c r="E278" i="18"/>
  <c r="J277" i="18"/>
  <c r="F277" i="18"/>
  <c r="K277" i="18" s="1"/>
  <c r="L277" i="18" s="1"/>
  <c r="E277" i="18"/>
  <c r="J276" i="18"/>
  <c r="E276" i="18"/>
  <c r="F276" i="18" s="1"/>
  <c r="K276" i="18" s="1"/>
  <c r="L276" i="18" s="1"/>
  <c r="J275" i="18"/>
  <c r="K275" i="18" s="1"/>
  <c r="L275" i="18" s="1"/>
  <c r="F275" i="18"/>
  <c r="E275" i="18"/>
  <c r="J274" i="18"/>
  <c r="E274" i="18"/>
  <c r="F274" i="18" s="1"/>
  <c r="K274" i="18" s="1"/>
  <c r="L274" i="18" s="1"/>
  <c r="J273" i="18"/>
  <c r="F273" i="18"/>
  <c r="K273" i="18" s="1"/>
  <c r="E273" i="18"/>
  <c r="J264" i="18"/>
  <c r="I264" i="18"/>
  <c r="E264" i="18"/>
  <c r="F264" i="18" s="1"/>
  <c r="K264" i="18" s="1"/>
  <c r="L264" i="18" s="1"/>
  <c r="J263" i="18"/>
  <c r="E263" i="18"/>
  <c r="F263" i="18" s="1"/>
  <c r="K263" i="18" s="1"/>
  <c r="L263" i="18" s="1"/>
  <c r="J262" i="18"/>
  <c r="F262" i="18"/>
  <c r="K262" i="18" s="1"/>
  <c r="L262" i="18" s="1"/>
  <c r="E262" i="18"/>
  <c r="J261" i="18"/>
  <c r="E261" i="18"/>
  <c r="F261" i="18" s="1"/>
  <c r="K261" i="18" s="1"/>
  <c r="L261" i="18" s="1"/>
  <c r="J260" i="18"/>
  <c r="E260" i="18"/>
  <c r="E266" i="18" s="1"/>
  <c r="I251" i="18"/>
  <c r="J251" i="18" s="1"/>
  <c r="F251" i="18"/>
  <c r="E251" i="18"/>
  <c r="J250" i="18"/>
  <c r="I250" i="18"/>
  <c r="E250" i="18"/>
  <c r="F250" i="18" s="1"/>
  <c r="K250" i="18" s="1"/>
  <c r="L250" i="18" s="1"/>
  <c r="I249" i="18"/>
  <c r="J249" i="18" s="1"/>
  <c r="F249" i="18"/>
  <c r="K249" i="18" s="1"/>
  <c r="L249" i="18" s="1"/>
  <c r="E249" i="18"/>
  <c r="J248" i="18"/>
  <c r="E248" i="18"/>
  <c r="F248" i="18" s="1"/>
  <c r="K248" i="18" s="1"/>
  <c r="L248" i="18" s="1"/>
  <c r="J247" i="18"/>
  <c r="E247" i="18"/>
  <c r="F247" i="18" s="1"/>
  <c r="K247" i="18" s="1"/>
  <c r="L247" i="18" s="1"/>
  <c r="J246" i="18"/>
  <c r="E246" i="18"/>
  <c r="J245" i="18"/>
  <c r="F245" i="18"/>
  <c r="E245" i="18"/>
  <c r="J236" i="18"/>
  <c r="K236" i="18" s="1"/>
  <c r="L236" i="18" s="1"/>
  <c r="I236" i="18"/>
  <c r="E236" i="18"/>
  <c r="J235" i="18"/>
  <c r="E235" i="18"/>
  <c r="K235" i="18" s="1"/>
  <c r="L235" i="18" s="1"/>
  <c r="L234" i="18"/>
  <c r="K234" i="18"/>
  <c r="J234" i="18"/>
  <c r="I234" i="18"/>
  <c r="E234" i="18"/>
  <c r="K233" i="18"/>
  <c r="L233" i="18" s="1"/>
  <c r="J233" i="18"/>
  <c r="E233" i="18"/>
  <c r="L232" i="18"/>
  <c r="K232" i="18"/>
  <c r="J232" i="18"/>
  <c r="E232" i="18"/>
  <c r="J231" i="18"/>
  <c r="E231" i="18"/>
  <c r="K230" i="18"/>
  <c r="L230" i="18" s="1"/>
  <c r="I230" i="18"/>
  <c r="J230" i="18" s="1"/>
  <c r="E230" i="18"/>
  <c r="I229" i="18"/>
  <c r="J229" i="18" s="1"/>
  <c r="E229" i="18"/>
  <c r="J228" i="18"/>
  <c r="I228" i="18"/>
  <c r="E228" i="18"/>
  <c r="J227" i="18"/>
  <c r="K227" i="18" s="1"/>
  <c r="L227" i="18" s="1"/>
  <c r="E227" i="18"/>
  <c r="J226" i="18"/>
  <c r="K226" i="18" s="1"/>
  <c r="L226" i="18" s="1"/>
  <c r="E226" i="18"/>
  <c r="K225" i="18"/>
  <c r="L225" i="18" s="1"/>
  <c r="J225" i="18"/>
  <c r="E225" i="18"/>
  <c r="J224" i="18"/>
  <c r="E224" i="18"/>
  <c r="K224" i="18" s="1"/>
  <c r="L224" i="18" s="1"/>
  <c r="J223" i="18"/>
  <c r="K223" i="18" s="1"/>
  <c r="E223" i="18"/>
  <c r="J213" i="18"/>
  <c r="E213" i="18"/>
  <c r="F213" i="18" s="1"/>
  <c r="K213" i="18" s="1"/>
  <c r="L213" i="18" s="1"/>
  <c r="J212" i="18"/>
  <c r="K212" i="18" s="1"/>
  <c r="L212" i="18" s="1"/>
  <c r="F212" i="18"/>
  <c r="E212" i="18"/>
  <c r="I211" i="18"/>
  <c r="J211" i="18" s="1"/>
  <c r="F211" i="18"/>
  <c r="K211" i="18" s="1"/>
  <c r="L211" i="18" s="1"/>
  <c r="E211" i="18"/>
  <c r="J210" i="18"/>
  <c r="K210" i="18" s="1"/>
  <c r="L210" i="18" s="1"/>
  <c r="E210" i="18"/>
  <c r="F210" i="18" s="1"/>
  <c r="J209" i="18"/>
  <c r="E209" i="18"/>
  <c r="F209" i="18" s="1"/>
  <c r="K209" i="18" s="1"/>
  <c r="L209" i="18" s="1"/>
  <c r="I208" i="18"/>
  <c r="J208" i="18" s="1"/>
  <c r="F208" i="18"/>
  <c r="K208" i="18" s="1"/>
  <c r="L208" i="18" s="1"/>
  <c r="E208" i="18"/>
  <c r="J207" i="18"/>
  <c r="E207" i="18"/>
  <c r="F207" i="18" s="1"/>
  <c r="K207" i="18" s="1"/>
  <c r="L207" i="18" s="1"/>
  <c r="J206" i="18"/>
  <c r="K206" i="18" s="1"/>
  <c r="L206" i="18" s="1"/>
  <c r="F206" i="18"/>
  <c r="E206" i="18"/>
  <c r="I205" i="18"/>
  <c r="J205" i="18" s="1"/>
  <c r="F205" i="18"/>
  <c r="K205" i="18" s="1"/>
  <c r="L205" i="18" s="1"/>
  <c r="E205" i="18"/>
  <c r="K204" i="18"/>
  <c r="L204" i="18" s="1"/>
  <c r="J204" i="18"/>
  <c r="E204" i="18"/>
  <c r="F204" i="18" s="1"/>
  <c r="J203" i="18"/>
  <c r="E203" i="18"/>
  <c r="F203" i="18" s="1"/>
  <c r="K203" i="18" s="1"/>
  <c r="L203" i="18" s="1"/>
  <c r="L202" i="18"/>
  <c r="J202" i="18"/>
  <c r="E202" i="18"/>
  <c r="F202" i="18" s="1"/>
  <c r="K202" i="18" s="1"/>
  <c r="I201" i="18"/>
  <c r="J201" i="18" s="1"/>
  <c r="E201" i="18"/>
  <c r="F201" i="18" s="1"/>
  <c r="K201" i="18" s="1"/>
  <c r="L201" i="18" s="1"/>
  <c r="J200" i="18"/>
  <c r="I200" i="18"/>
  <c r="E200" i="18"/>
  <c r="F200" i="18" s="1"/>
  <c r="K200" i="18" s="1"/>
  <c r="L200" i="18" s="1"/>
  <c r="I199" i="18"/>
  <c r="J199" i="18" s="1"/>
  <c r="F199" i="18"/>
  <c r="E199" i="18"/>
  <c r="I198" i="18"/>
  <c r="J198" i="18" s="1"/>
  <c r="F198" i="18"/>
  <c r="E198" i="18"/>
  <c r="J197" i="18"/>
  <c r="F197" i="18"/>
  <c r="K197" i="18" s="1"/>
  <c r="L197" i="18" s="1"/>
  <c r="E197" i="18"/>
  <c r="J196" i="18"/>
  <c r="K196" i="18" s="1"/>
  <c r="L196" i="18" s="1"/>
  <c r="F196" i="18"/>
  <c r="F215" i="18" s="1"/>
  <c r="E196" i="18"/>
  <c r="J195" i="18"/>
  <c r="E195" i="18"/>
  <c r="F195" i="18" s="1"/>
  <c r="K195" i="18" s="1"/>
  <c r="L195" i="18" s="1"/>
  <c r="E188" i="18"/>
  <c r="J186" i="18"/>
  <c r="F186" i="18"/>
  <c r="K186" i="18" s="1"/>
  <c r="L186" i="18" s="1"/>
  <c r="E186" i="18"/>
  <c r="I185" i="18"/>
  <c r="J185" i="18" s="1"/>
  <c r="K185" i="18" s="1"/>
  <c r="L185" i="18" s="1"/>
  <c r="E185" i="18"/>
  <c r="F185" i="18" s="1"/>
  <c r="J184" i="18"/>
  <c r="E184" i="18"/>
  <c r="F184" i="18" s="1"/>
  <c r="K184" i="18" s="1"/>
  <c r="L184" i="18" s="1"/>
  <c r="L183" i="18"/>
  <c r="J183" i="18"/>
  <c r="F183" i="18"/>
  <c r="K183" i="18" s="1"/>
  <c r="E183" i="18"/>
  <c r="J182" i="18"/>
  <c r="F182" i="18"/>
  <c r="E182" i="18"/>
  <c r="K181" i="18"/>
  <c r="L181" i="18" s="1"/>
  <c r="J181" i="18"/>
  <c r="I181" i="18"/>
  <c r="F181" i="18"/>
  <c r="E181" i="18"/>
  <c r="I180" i="18"/>
  <c r="J180" i="18" s="1"/>
  <c r="E180" i="18"/>
  <c r="F180" i="18" s="1"/>
  <c r="K180" i="18" s="1"/>
  <c r="L180" i="18" s="1"/>
  <c r="J179" i="18"/>
  <c r="E179" i="18"/>
  <c r="F179" i="18" s="1"/>
  <c r="K179" i="18" s="1"/>
  <c r="L179" i="18" s="1"/>
  <c r="J178" i="18"/>
  <c r="K178" i="18" s="1"/>
  <c r="L178" i="18" s="1"/>
  <c r="F178" i="18"/>
  <c r="E178" i="18"/>
  <c r="J177" i="18"/>
  <c r="E177" i="18"/>
  <c r="F177" i="18" s="1"/>
  <c r="K177" i="18" s="1"/>
  <c r="L177" i="18" s="1"/>
  <c r="J176" i="18"/>
  <c r="K176" i="18" s="1"/>
  <c r="L176" i="18" s="1"/>
  <c r="I176" i="18"/>
  <c r="E176" i="18"/>
  <c r="F176" i="18" s="1"/>
  <c r="I175" i="18"/>
  <c r="J175" i="18" s="1"/>
  <c r="E175" i="18"/>
  <c r="F175" i="18" s="1"/>
  <c r="K175" i="18" s="1"/>
  <c r="L175" i="18" s="1"/>
  <c r="J174" i="18"/>
  <c r="I174" i="18"/>
  <c r="F174" i="18"/>
  <c r="K174" i="18" s="1"/>
  <c r="L174" i="18" s="1"/>
  <c r="E174" i="18"/>
  <c r="I173" i="18"/>
  <c r="J173" i="18" s="1"/>
  <c r="F173" i="18"/>
  <c r="K173" i="18" s="1"/>
  <c r="L173" i="18" s="1"/>
  <c r="E173" i="18"/>
  <c r="J172" i="18"/>
  <c r="F172" i="18"/>
  <c r="K172" i="18" s="1"/>
  <c r="L172" i="18" s="1"/>
  <c r="E172" i="18"/>
  <c r="J171" i="18"/>
  <c r="K171" i="18" s="1"/>
  <c r="F171" i="18"/>
  <c r="E171" i="18"/>
  <c r="J162" i="18"/>
  <c r="K162" i="18" s="1"/>
  <c r="L162" i="18" s="1"/>
  <c r="F162" i="18"/>
  <c r="E162" i="18"/>
  <c r="J161" i="18"/>
  <c r="E161" i="18"/>
  <c r="F161" i="18" s="1"/>
  <c r="K161" i="18" s="1"/>
  <c r="L161" i="18" s="1"/>
  <c r="J160" i="18"/>
  <c r="K160" i="18" s="1"/>
  <c r="L160" i="18" s="1"/>
  <c r="F160" i="18"/>
  <c r="E160" i="18"/>
  <c r="J159" i="18"/>
  <c r="E159" i="18"/>
  <c r="F159" i="18" s="1"/>
  <c r="K159" i="18" s="1"/>
  <c r="L159" i="18" s="1"/>
  <c r="K158" i="18"/>
  <c r="L158" i="18" s="1"/>
  <c r="J158" i="18"/>
  <c r="E158" i="18"/>
  <c r="F158" i="18" s="1"/>
  <c r="J157" i="18"/>
  <c r="E157" i="18"/>
  <c r="F157" i="18" s="1"/>
  <c r="K157" i="18" s="1"/>
  <c r="L157" i="18" s="1"/>
  <c r="J156" i="18"/>
  <c r="F156" i="18"/>
  <c r="E156" i="18"/>
  <c r="J155" i="18"/>
  <c r="E155" i="18"/>
  <c r="F155" i="18" s="1"/>
  <c r="K155" i="18" s="1"/>
  <c r="L155" i="18" s="1"/>
  <c r="J154" i="18"/>
  <c r="E154" i="18"/>
  <c r="F154" i="18" s="1"/>
  <c r="K154" i="18" s="1"/>
  <c r="L154" i="18" s="1"/>
  <c r="J153" i="18"/>
  <c r="E153" i="18"/>
  <c r="F153" i="18" s="1"/>
  <c r="K153" i="18" s="1"/>
  <c r="L153" i="18" s="1"/>
  <c r="L152" i="18"/>
  <c r="J152" i="18"/>
  <c r="F152" i="18"/>
  <c r="K152" i="18" s="1"/>
  <c r="E152" i="18"/>
  <c r="J151" i="18"/>
  <c r="E151" i="18"/>
  <c r="F151" i="18" s="1"/>
  <c r="K151" i="18" s="1"/>
  <c r="L151" i="18" s="1"/>
  <c r="J150" i="18"/>
  <c r="E150" i="18"/>
  <c r="F150" i="18" s="1"/>
  <c r="K150" i="18" s="1"/>
  <c r="L150" i="18" s="1"/>
  <c r="I149" i="18"/>
  <c r="J149" i="18" s="1"/>
  <c r="K149" i="18" s="1"/>
  <c r="L149" i="18" s="1"/>
  <c r="F149" i="18"/>
  <c r="E149" i="18"/>
  <c r="J148" i="18"/>
  <c r="F148" i="18"/>
  <c r="K148" i="18" s="1"/>
  <c r="L148" i="18" s="1"/>
  <c r="E148" i="18"/>
  <c r="K147" i="18"/>
  <c r="L147" i="18" s="1"/>
  <c r="J147" i="18"/>
  <c r="E147" i="18"/>
  <c r="F147" i="18" s="1"/>
  <c r="J146" i="18"/>
  <c r="F146" i="18"/>
  <c r="K146" i="18" s="1"/>
  <c r="L146" i="18" s="1"/>
  <c r="E146" i="18"/>
  <c r="J145" i="18"/>
  <c r="F145" i="18"/>
  <c r="E145" i="18"/>
  <c r="J144" i="18"/>
  <c r="E144" i="18"/>
  <c r="F144" i="18" s="1"/>
  <c r="K144" i="18" s="1"/>
  <c r="L144" i="18" s="1"/>
  <c r="K143" i="18"/>
  <c r="L143" i="18" s="1"/>
  <c r="J143" i="18"/>
  <c r="E143" i="18"/>
  <c r="F143" i="18" s="1"/>
  <c r="J142" i="18"/>
  <c r="E142" i="18"/>
  <c r="F142" i="18" s="1"/>
  <c r="K142" i="18" s="1"/>
  <c r="L142" i="18" s="1"/>
  <c r="J141" i="18"/>
  <c r="F141" i="18"/>
  <c r="K141" i="18" s="1"/>
  <c r="L141" i="18" s="1"/>
  <c r="E141" i="18"/>
  <c r="I140" i="18"/>
  <c r="J140" i="18" s="1"/>
  <c r="F140" i="18"/>
  <c r="K140" i="18" s="1"/>
  <c r="L140" i="18" s="1"/>
  <c r="E140" i="18"/>
  <c r="J139" i="18"/>
  <c r="E139" i="18"/>
  <c r="I130" i="18"/>
  <c r="J130" i="18" s="1"/>
  <c r="E130" i="18"/>
  <c r="K130" i="18" s="1"/>
  <c r="L130" i="18" s="1"/>
  <c r="J129" i="18"/>
  <c r="E129" i="18"/>
  <c r="K129" i="18" s="1"/>
  <c r="L129" i="18" s="1"/>
  <c r="J128" i="18"/>
  <c r="I128" i="18"/>
  <c r="E128" i="18"/>
  <c r="J127" i="18"/>
  <c r="K127" i="18" s="1"/>
  <c r="L127" i="18" s="1"/>
  <c r="I127" i="18"/>
  <c r="E127" i="18"/>
  <c r="I126" i="18"/>
  <c r="J126" i="18" s="1"/>
  <c r="E126" i="18"/>
  <c r="J125" i="18"/>
  <c r="E125" i="18"/>
  <c r="K125" i="18" s="1"/>
  <c r="L125" i="18" s="1"/>
  <c r="J124" i="18"/>
  <c r="E124" i="18"/>
  <c r="K124" i="18" s="1"/>
  <c r="L124" i="18" s="1"/>
  <c r="J123" i="18"/>
  <c r="E123" i="18"/>
  <c r="K123" i="18" s="1"/>
  <c r="L123" i="18" s="1"/>
  <c r="K122" i="18"/>
  <c r="L122" i="18" s="1"/>
  <c r="J122" i="18"/>
  <c r="E122" i="18"/>
  <c r="J121" i="18"/>
  <c r="E121" i="18"/>
  <c r="K121" i="18" s="1"/>
  <c r="L121" i="18" s="1"/>
  <c r="L120" i="18"/>
  <c r="K120" i="18"/>
  <c r="J120" i="18"/>
  <c r="E120" i="18"/>
  <c r="J119" i="18"/>
  <c r="E119" i="18"/>
  <c r="K119" i="18" s="1"/>
  <c r="L119" i="18" s="1"/>
  <c r="E113" i="18"/>
  <c r="L111" i="18"/>
  <c r="K111" i="18"/>
  <c r="J111" i="18"/>
  <c r="E111" i="18"/>
  <c r="J110" i="18"/>
  <c r="E110" i="18"/>
  <c r="K110" i="18" s="1"/>
  <c r="L110" i="18" s="1"/>
  <c r="L109" i="18"/>
  <c r="K109" i="18"/>
  <c r="J109" i="18"/>
  <c r="E109" i="18"/>
  <c r="I108" i="18"/>
  <c r="J108" i="18" s="1"/>
  <c r="E108" i="18"/>
  <c r="K108" i="18" s="1"/>
  <c r="L108" i="18" s="1"/>
  <c r="J107" i="18"/>
  <c r="E107" i="18"/>
  <c r="K107" i="18" s="1"/>
  <c r="L107" i="18" s="1"/>
  <c r="J106" i="18"/>
  <c r="E106" i="18"/>
  <c r="K106" i="18" s="1"/>
  <c r="L106" i="18" s="1"/>
  <c r="J105" i="18"/>
  <c r="E105" i="18"/>
  <c r="K105" i="18" s="1"/>
  <c r="L105" i="18" s="1"/>
  <c r="K104" i="18"/>
  <c r="L104" i="18" s="1"/>
  <c r="J104" i="18"/>
  <c r="I104" i="18"/>
  <c r="E104" i="18"/>
  <c r="J103" i="18"/>
  <c r="E103" i="18"/>
  <c r="K103" i="18" s="1"/>
  <c r="L103" i="18" s="1"/>
  <c r="J102" i="18"/>
  <c r="K102" i="18" s="1"/>
  <c r="L102" i="18" s="1"/>
  <c r="E102" i="18"/>
  <c r="J101" i="18"/>
  <c r="I101" i="18"/>
  <c r="E101" i="18"/>
  <c r="K101" i="18" s="1"/>
  <c r="L101" i="18" s="1"/>
  <c r="J100" i="18"/>
  <c r="K100" i="18" s="1"/>
  <c r="L100" i="18" s="1"/>
  <c r="I100" i="18"/>
  <c r="E100" i="18"/>
  <c r="I99" i="18"/>
  <c r="J99" i="18" s="1"/>
  <c r="E99" i="18"/>
  <c r="I98" i="18"/>
  <c r="J98" i="18" s="1"/>
  <c r="E98" i="18"/>
  <c r="K98" i="18" s="1"/>
  <c r="L98" i="18" s="1"/>
  <c r="L97" i="18"/>
  <c r="K97" i="18"/>
  <c r="J97" i="18"/>
  <c r="E97" i="18"/>
  <c r="J96" i="18"/>
  <c r="E96" i="18"/>
  <c r="K96" i="18" s="1"/>
  <c r="L96" i="18" s="1"/>
  <c r="L88" i="18"/>
  <c r="J88" i="18"/>
  <c r="E88" i="18"/>
  <c r="K88" i="18" s="1"/>
  <c r="I87" i="18"/>
  <c r="J87" i="18" s="1"/>
  <c r="E87" i="18"/>
  <c r="K87" i="18" s="1"/>
  <c r="L87" i="18" s="1"/>
  <c r="J86" i="18"/>
  <c r="I86" i="18"/>
  <c r="E86" i="18"/>
  <c r="K86" i="18" s="1"/>
  <c r="L86" i="18" s="1"/>
  <c r="J85" i="18"/>
  <c r="K85" i="18" s="1"/>
  <c r="L85" i="18" s="1"/>
  <c r="I85" i="18"/>
  <c r="E85" i="18"/>
  <c r="J84" i="18"/>
  <c r="I84" i="18"/>
  <c r="E84" i="18"/>
  <c r="I83" i="18"/>
  <c r="J83" i="18" s="1"/>
  <c r="E83" i="18"/>
  <c r="K83" i="18" s="1"/>
  <c r="L83" i="18" s="1"/>
  <c r="J82" i="18"/>
  <c r="K82" i="18" s="1"/>
  <c r="L82" i="18" s="1"/>
  <c r="E82" i="18"/>
  <c r="J81" i="18"/>
  <c r="E81" i="18"/>
  <c r="K81" i="18" s="1"/>
  <c r="L81" i="18" s="1"/>
  <c r="J80" i="18"/>
  <c r="E80" i="18"/>
  <c r="K80" i="18" s="1"/>
  <c r="L80" i="18" s="1"/>
  <c r="J79" i="18"/>
  <c r="I79" i="18"/>
  <c r="E79" i="18"/>
  <c r="K79" i="18" s="1"/>
  <c r="L79" i="18" s="1"/>
  <c r="J78" i="18"/>
  <c r="K78" i="18" s="1"/>
  <c r="L78" i="18" s="1"/>
  <c r="E78" i="18"/>
  <c r="J77" i="18"/>
  <c r="E77" i="18"/>
  <c r="K77" i="18" s="1"/>
  <c r="L77" i="18" s="1"/>
  <c r="J76" i="18"/>
  <c r="K76" i="18" s="1"/>
  <c r="L76" i="18" s="1"/>
  <c r="E76" i="18"/>
  <c r="J75" i="18"/>
  <c r="E75" i="18"/>
  <c r="K75" i="18" s="1"/>
  <c r="L75" i="18" s="1"/>
  <c r="K74" i="18"/>
  <c r="L74" i="18" s="1"/>
  <c r="J74" i="18"/>
  <c r="I74" i="18"/>
  <c r="E74" i="18"/>
  <c r="J73" i="18"/>
  <c r="E73" i="18"/>
  <c r="K73" i="18" s="1"/>
  <c r="L73" i="18" s="1"/>
  <c r="K72" i="18"/>
  <c r="J72" i="18"/>
  <c r="E72" i="18"/>
  <c r="J64" i="18"/>
  <c r="K64" i="18" s="1"/>
  <c r="L64" i="18" s="1"/>
  <c r="I64" i="18"/>
  <c r="E64" i="18"/>
  <c r="J63" i="18"/>
  <c r="E63" i="18"/>
  <c r="K62" i="18"/>
  <c r="L62" i="18" s="1"/>
  <c r="J62" i="18"/>
  <c r="E62" i="18"/>
  <c r="I61" i="18"/>
  <c r="J61" i="18" s="1"/>
  <c r="E61" i="18"/>
  <c r="L60" i="18"/>
  <c r="J60" i="18"/>
  <c r="E60" i="18"/>
  <c r="K60" i="18" s="1"/>
  <c r="I59" i="18"/>
  <c r="J59" i="18" s="1"/>
  <c r="E59" i="18"/>
  <c r="J58" i="18"/>
  <c r="I58" i="18"/>
  <c r="E58" i="18"/>
  <c r="K58" i="18" s="1"/>
  <c r="L58" i="18" s="1"/>
  <c r="J57" i="18"/>
  <c r="K57" i="18" s="1"/>
  <c r="L57" i="18" s="1"/>
  <c r="I57" i="18"/>
  <c r="E57" i="18"/>
  <c r="J56" i="18"/>
  <c r="I56" i="18"/>
  <c r="E56" i="18"/>
  <c r="J55" i="18"/>
  <c r="E55" i="18"/>
  <c r="K55" i="18" s="1"/>
  <c r="L55" i="18" s="1"/>
  <c r="J54" i="18"/>
  <c r="E54" i="18"/>
  <c r="K54" i="18" s="1"/>
  <c r="L54" i="18" s="1"/>
  <c r="L53" i="18"/>
  <c r="J53" i="18"/>
  <c r="E53" i="18"/>
  <c r="K53" i="18" s="1"/>
  <c r="J52" i="18"/>
  <c r="E52" i="18"/>
  <c r="K52" i="18" s="1"/>
  <c r="L52" i="18" s="1"/>
  <c r="L51" i="18"/>
  <c r="J51" i="18"/>
  <c r="E51" i="18"/>
  <c r="K51" i="18" s="1"/>
  <c r="I50" i="18"/>
  <c r="J50" i="18" s="1"/>
  <c r="E50" i="18"/>
  <c r="K50" i="18" s="1"/>
  <c r="L50" i="18" s="1"/>
  <c r="J49" i="18"/>
  <c r="E49" i="18"/>
  <c r="K49" i="18" s="1"/>
  <c r="L49" i="18" s="1"/>
  <c r="L48" i="18"/>
  <c r="K48" i="18"/>
  <c r="J48" i="18"/>
  <c r="E48" i="18"/>
  <c r="E66" i="18" s="1"/>
  <c r="J47" i="18"/>
  <c r="E47" i="18"/>
  <c r="K47" i="18" s="1"/>
  <c r="E40" i="18"/>
  <c r="L38" i="18"/>
  <c r="I38" i="18"/>
  <c r="J38" i="18" s="1"/>
  <c r="E38" i="18"/>
  <c r="K38" i="18" s="1"/>
  <c r="I37" i="18"/>
  <c r="J37" i="18" s="1"/>
  <c r="K37" i="18" s="1"/>
  <c r="L37" i="18" s="1"/>
  <c r="E37" i="18"/>
  <c r="I36" i="18"/>
  <c r="J36" i="18" s="1"/>
  <c r="E36" i="18"/>
  <c r="K35" i="18"/>
  <c r="L35" i="18" s="1"/>
  <c r="J35" i="18"/>
  <c r="I35" i="18"/>
  <c r="E35" i="18"/>
  <c r="K34" i="18"/>
  <c r="L34" i="18" s="1"/>
  <c r="J34" i="18"/>
  <c r="I34" i="18"/>
  <c r="E34" i="18"/>
  <c r="J33" i="18"/>
  <c r="I33" i="18"/>
  <c r="E33" i="18"/>
  <c r="K33" i="18" s="1"/>
  <c r="L33" i="18" s="1"/>
  <c r="K32" i="18"/>
  <c r="L32" i="18" s="1"/>
  <c r="J32" i="18"/>
  <c r="I32" i="18"/>
  <c r="E32" i="18"/>
  <c r="J31" i="18"/>
  <c r="E31" i="18"/>
  <c r="K31" i="18" s="1"/>
  <c r="L31" i="18" s="1"/>
  <c r="K30" i="18"/>
  <c r="L30" i="18" s="1"/>
  <c r="J30" i="18"/>
  <c r="E30" i="18"/>
  <c r="I29" i="18"/>
  <c r="J29" i="18" s="1"/>
  <c r="E29" i="18"/>
  <c r="I28" i="18"/>
  <c r="J28" i="18" s="1"/>
  <c r="E28" i="18"/>
  <c r="K28" i="18" s="1"/>
  <c r="I20" i="18"/>
  <c r="J20" i="18" s="1"/>
  <c r="E20" i="18"/>
  <c r="K20" i="18" s="1"/>
  <c r="L20" i="18" s="1"/>
  <c r="J19" i="18"/>
  <c r="K19" i="18" s="1"/>
  <c r="L19" i="18" s="1"/>
  <c r="E19" i="18"/>
  <c r="J18" i="18"/>
  <c r="E18" i="18"/>
  <c r="K18" i="18" s="1"/>
  <c r="L18" i="18" s="1"/>
  <c r="I17" i="18"/>
  <c r="J17" i="18" s="1"/>
  <c r="K17" i="18" s="1"/>
  <c r="L17" i="18" s="1"/>
  <c r="E17" i="18"/>
  <c r="J16" i="18"/>
  <c r="E16" i="18"/>
  <c r="K16" i="18" s="1"/>
  <c r="L16" i="18" s="1"/>
  <c r="J15" i="18"/>
  <c r="K15" i="18" s="1"/>
  <c r="L15" i="18" s="1"/>
  <c r="E15" i="18"/>
  <c r="I14" i="18"/>
  <c r="J14" i="18" s="1"/>
  <c r="E14" i="18"/>
  <c r="K14" i="18" s="1"/>
  <c r="L14" i="18" s="1"/>
  <c r="L13" i="18"/>
  <c r="K13" i="18"/>
  <c r="J13" i="18"/>
  <c r="I13" i="18"/>
  <c r="E13" i="18"/>
  <c r="I12" i="18"/>
  <c r="J12" i="18" s="1"/>
  <c r="K12" i="18" s="1"/>
  <c r="L12" i="18" s="1"/>
  <c r="E12" i="18"/>
  <c r="J11" i="18"/>
  <c r="I11" i="18"/>
  <c r="E11" i="18"/>
  <c r="K11" i="18" s="1"/>
  <c r="L11" i="18" s="1"/>
  <c r="J10" i="18"/>
  <c r="K10" i="18" s="1"/>
  <c r="L10" i="18" s="1"/>
  <c r="E10" i="18"/>
  <c r="J9" i="18"/>
  <c r="E9" i="18"/>
  <c r="K9" i="18" s="1"/>
  <c r="L9" i="18" s="1"/>
  <c r="J8" i="18"/>
  <c r="K8" i="18" s="1"/>
  <c r="L8" i="18" s="1"/>
  <c r="E8" i="18"/>
  <c r="J7" i="18"/>
  <c r="E7" i="18"/>
  <c r="K7" i="18" s="1"/>
  <c r="L7" i="18" s="1"/>
  <c r="J6" i="18"/>
  <c r="K6" i="18" s="1"/>
  <c r="L6" i="18" s="1"/>
  <c r="I6" i="18"/>
  <c r="E6" i="18"/>
  <c r="I5" i="18"/>
  <c r="J5" i="18" s="1"/>
  <c r="E5" i="18"/>
  <c r="J636" i="17"/>
  <c r="E636" i="17"/>
  <c r="F636" i="17" s="1"/>
  <c r="K636" i="17" s="1"/>
  <c r="L636" i="17" s="1"/>
  <c r="K635" i="17"/>
  <c r="L635" i="17" s="1"/>
  <c r="J635" i="17"/>
  <c r="F635" i="17"/>
  <c r="E635" i="17"/>
  <c r="J634" i="17"/>
  <c r="E634" i="17"/>
  <c r="F634" i="17" s="1"/>
  <c r="K634" i="17" s="1"/>
  <c r="L634" i="17" s="1"/>
  <c r="J633" i="17"/>
  <c r="E633" i="17"/>
  <c r="F633" i="17" s="1"/>
  <c r="K633" i="17" s="1"/>
  <c r="L633" i="17" s="1"/>
  <c r="J632" i="17"/>
  <c r="K632" i="17" s="1"/>
  <c r="L632" i="17" s="1"/>
  <c r="F632" i="17"/>
  <c r="E632" i="17"/>
  <c r="J631" i="17"/>
  <c r="E631" i="17"/>
  <c r="F631" i="17" s="1"/>
  <c r="K631" i="17" s="1"/>
  <c r="L631" i="17" s="1"/>
  <c r="L630" i="17"/>
  <c r="K630" i="17"/>
  <c r="J630" i="17"/>
  <c r="F630" i="17"/>
  <c r="E630" i="17"/>
  <c r="J629" i="17"/>
  <c r="F629" i="17"/>
  <c r="K629" i="17" s="1"/>
  <c r="L629" i="17" s="1"/>
  <c r="E629" i="17"/>
  <c r="J628" i="17"/>
  <c r="E628" i="17"/>
  <c r="F628" i="17" s="1"/>
  <c r="I620" i="17"/>
  <c r="J620" i="17" s="1"/>
  <c r="E620" i="17"/>
  <c r="F620" i="17" s="1"/>
  <c r="K620" i="17" s="1"/>
  <c r="L620" i="17" s="1"/>
  <c r="J619" i="17"/>
  <c r="I619" i="17"/>
  <c r="E619" i="17"/>
  <c r="F619" i="17" s="1"/>
  <c r="K619" i="17" s="1"/>
  <c r="L619" i="17" s="1"/>
  <c r="K618" i="17"/>
  <c r="L618" i="17" s="1"/>
  <c r="J618" i="17"/>
  <c r="I618" i="17"/>
  <c r="F618" i="17"/>
  <c r="E618" i="17"/>
  <c r="J617" i="17"/>
  <c r="F617" i="17"/>
  <c r="K617" i="17" s="1"/>
  <c r="L617" i="17" s="1"/>
  <c r="E617" i="17"/>
  <c r="J616" i="17"/>
  <c r="E616" i="17"/>
  <c r="F616" i="17" s="1"/>
  <c r="K616" i="17" s="1"/>
  <c r="L616" i="17" s="1"/>
  <c r="K615" i="17"/>
  <c r="L615" i="17" s="1"/>
  <c r="J615" i="17"/>
  <c r="I615" i="17"/>
  <c r="F615" i="17"/>
  <c r="E615" i="17"/>
  <c r="I614" i="17"/>
  <c r="J614" i="17" s="1"/>
  <c r="F614" i="17"/>
  <c r="K614" i="17" s="1"/>
  <c r="L614" i="17" s="1"/>
  <c r="E614" i="17"/>
  <c r="I613" i="17"/>
  <c r="J613" i="17" s="1"/>
  <c r="E613" i="17"/>
  <c r="F613" i="17" s="1"/>
  <c r="K613" i="17" s="1"/>
  <c r="L613" i="17" s="1"/>
  <c r="J612" i="17"/>
  <c r="E612" i="17"/>
  <c r="F612" i="17" s="1"/>
  <c r="K612" i="17" s="1"/>
  <c r="L612" i="17" s="1"/>
  <c r="J611" i="17"/>
  <c r="K611" i="17" s="1"/>
  <c r="L611" i="17" s="1"/>
  <c r="I611" i="17"/>
  <c r="F611" i="17"/>
  <c r="E611" i="17"/>
  <c r="J610" i="17"/>
  <c r="E610" i="17"/>
  <c r="F610" i="17" s="1"/>
  <c r="K610" i="17" s="1"/>
  <c r="L610" i="17" s="1"/>
  <c r="J609" i="17"/>
  <c r="I609" i="17"/>
  <c r="E609" i="17"/>
  <c r="F609" i="17" s="1"/>
  <c r="K609" i="17" s="1"/>
  <c r="L609" i="17" s="1"/>
  <c r="K608" i="17"/>
  <c r="L608" i="17" s="1"/>
  <c r="J608" i="17"/>
  <c r="F608" i="17"/>
  <c r="E608" i="17"/>
  <c r="I607" i="17"/>
  <c r="J607" i="17" s="1"/>
  <c r="F607" i="17"/>
  <c r="K607" i="17" s="1"/>
  <c r="L607" i="17" s="1"/>
  <c r="E607" i="17"/>
  <c r="J606" i="17"/>
  <c r="E606" i="17"/>
  <c r="F606" i="17" s="1"/>
  <c r="K606" i="17" s="1"/>
  <c r="L606" i="17" s="1"/>
  <c r="K605" i="17"/>
  <c r="L605" i="17" s="1"/>
  <c r="J605" i="17"/>
  <c r="F605" i="17"/>
  <c r="E605" i="17"/>
  <c r="I604" i="17"/>
  <c r="J604" i="17" s="1"/>
  <c r="F604" i="17"/>
  <c r="K604" i="17" s="1"/>
  <c r="L604" i="17" s="1"/>
  <c r="E604" i="17"/>
  <c r="J603" i="17"/>
  <c r="E603" i="17"/>
  <c r="F603" i="17" s="1"/>
  <c r="K603" i="17" s="1"/>
  <c r="L603" i="17" s="1"/>
  <c r="K602" i="17"/>
  <c r="L602" i="17" s="1"/>
  <c r="J602" i="17"/>
  <c r="F602" i="17"/>
  <c r="E602" i="17"/>
  <c r="J601" i="17"/>
  <c r="E601" i="17"/>
  <c r="F601" i="17" s="1"/>
  <c r="K601" i="17" s="1"/>
  <c r="L601" i="17" s="1"/>
  <c r="J600" i="17"/>
  <c r="E600" i="17"/>
  <c r="F600" i="17" s="1"/>
  <c r="K600" i="17" s="1"/>
  <c r="L600" i="17" s="1"/>
  <c r="J599" i="17"/>
  <c r="K599" i="17" s="1"/>
  <c r="L599" i="17" s="1"/>
  <c r="I599" i="17"/>
  <c r="F599" i="17"/>
  <c r="E599" i="17"/>
  <c r="J598" i="17"/>
  <c r="E598" i="17"/>
  <c r="J597" i="17"/>
  <c r="E597" i="17"/>
  <c r="F597" i="17" s="1"/>
  <c r="L589" i="17"/>
  <c r="K589" i="17"/>
  <c r="J589" i="17"/>
  <c r="E589" i="17"/>
  <c r="J588" i="17"/>
  <c r="E588" i="17"/>
  <c r="K588" i="17" s="1"/>
  <c r="L588" i="17" s="1"/>
  <c r="L587" i="17"/>
  <c r="K587" i="17"/>
  <c r="J587" i="17"/>
  <c r="E587" i="17"/>
  <c r="J586" i="17"/>
  <c r="E586" i="17"/>
  <c r="J577" i="17"/>
  <c r="E577" i="17"/>
  <c r="K577" i="17" s="1"/>
  <c r="L577" i="17" s="1"/>
  <c r="L576" i="17"/>
  <c r="K576" i="17"/>
  <c r="J576" i="17"/>
  <c r="E576" i="17"/>
  <c r="I575" i="17"/>
  <c r="J575" i="17" s="1"/>
  <c r="E575" i="17"/>
  <c r="K575" i="17" s="1"/>
  <c r="L575" i="17" s="1"/>
  <c r="L574" i="17"/>
  <c r="K574" i="17"/>
  <c r="J574" i="17"/>
  <c r="E574" i="17"/>
  <c r="J573" i="17"/>
  <c r="E573" i="17"/>
  <c r="K573" i="17" s="1"/>
  <c r="L573" i="17" s="1"/>
  <c r="L572" i="17"/>
  <c r="K572" i="17"/>
  <c r="J572" i="17"/>
  <c r="E572" i="17"/>
  <c r="I571" i="17"/>
  <c r="J571" i="17" s="1"/>
  <c r="E571" i="17"/>
  <c r="L570" i="17"/>
  <c r="K570" i="17"/>
  <c r="J570" i="17"/>
  <c r="E570" i="17"/>
  <c r="J569" i="17"/>
  <c r="K569" i="17" s="1"/>
  <c r="L569" i="17" s="1"/>
  <c r="I569" i="17"/>
  <c r="E569" i="17"/>
  <c r="I568" i="17"/>
  <c r="J568" i="17" s="1"/>
  <c r="E568" i="17"/>
  <c r="J567" i="17"/>
  <c r="K567" i="17" s="1"/>
  <c r="I567" i="17"/>
  <c r="E567" i="17"/>
  <c r="L559" i="17"/>
  <c r="J559" i="17"/>
  <c r="K559" i="17" s="1"/>
  <c r="I559" i="17"/>
  <c r="E559" i="17"/>
  <c r="J558" i="17"/>
  <c r="E558" i="17"/>
  <c r="K558" i="17" s="1"/>
  <c r="L558" i="17" s="1"/>
  <c r="K557" i="17"/>
  <c r="L557" i="17" s="1"/>
  <c r="J557" i="17"/>
  <c r="E557" i="17"/>
  <c r="I556" i="17"/>
  <c r="J556" i="17" s="1"/>
  <c r="K556" i="17" s="1"/>
  <c r="L556" i="17" s="1"/>
  <c r="E556" i="17"/>
  <c r="I555" i="17"/>
  <c r="J555" i="17" s="1"/>
  <c r="E555" i="17"/>
  <c r="K555" i="17" s="1"/>
  <c r="L555" i="17" s="1"/>
  <c r="K554" i="17"/>
  <c r="L554" i="17" s="1"/>
  <c r="J554" i="17"/>
  <c r="E554" i="17"/>
  <c r="I553" i="17"/>
  <c r="J553" i="17" s="1"/>
  <c r="E553" i="17"/>
  <c r="K553" i="17" s="1"/>
  <c r="L553" i="17" s="1"/>
  <c r="J552" i="17"/>
  <c r="K552" i="17" s="1"/>
  <c r="L552" i="17" s="1"/>
  <c r="I552" i="17"/>
  <c r="E552" i="17"/>
  <c r="K551" i="17"/>
  <c r="L551" i="17" s="1"/>
  <c r="J551" i="17"/>
  <c r="E551" i="17"/>
  <c r="K550" i="17"/>
  <c r="L550" i="17" s="1"/>
  <c r="J550" i="17"/>
  <c r="E550" i="17"/>
  <c r="K549" i="17"/>
  <c r="L549" i="17" s="1"/>
  <c r="I549" i="17"/>
  <c r="J549" i="17" s="1"/>
  <c r="E549" i="17"/>
  <c r="L548" i="17"/>
  <c r="K548" i="17"/>
  <c r="J548" i="17"/>
  <c r="E548" i="17"/>
  <c r="J547" i="17"/>
  <c r="K547" i="17" s="1"/>
  <c r="L547" i="17" s="1"/>
  <c r="E547" i="17"/>
  <c r="L546" i="17"/>
  <c r="K546" i="17"/>
  <c r="J546" i="17"/>
  <c r="E546" i="17"/>
  <c r="J545" i="17"/>
  <c r="K545" i="17" s="1"/>
  <c r="E545" i="17"/>
  <c r="E539" i="17"/>
  <c r="I537" i="17"/>
  <c r="J537" i="17" s="1"/>
  <c r="K537" i="17" s="1"/>
  <c r="L537" i="17" s="1"/>
  <c r="E537" i="17"/>
  <c r="J536" i="17"/>
  <c r="K536" i="17" s="1"/>
  <c r="L536" i="17" s="1"/>
  <c r="E536" i="17"/>
  <c r="J535" i="17"/>
  <c r="K535" i="17" s="1"/>
  <c r="E535" i="17"/>
  <c r="L527" i="17"/>
  <c r="J527" i="17"/>
  <c r="K527" i="17" s="1"/>
  <c r="I527" i="17"/>
  <c r="F527" i="17"/>
  <c r="E527" i="17"/>
  <c r="L526" i="17"/>
  <c r="J526" i="17"/>
  <c r="E526" i="17"/>
  <c r="F526" i="17" s="1"/>
  <c r="K526" i="17" s="1"/>
  <c r="I525" i="17"/>
  <c r="J525" i="17" s="1"/>
  <c r="E525" i="17"/>
  <c r="F525" i="17" s="1"/>
  <c r="K525" i="17" s="1"/>
  <c r="L525" i="17" s="1"/>
  <c r="K524" i="17"/>
  <c r="L524" i="17" s="1"/>
  <c r="J524" i="17"/>
  <c r="F524" i="17"/>
  <c r="E524" i="17"/>
  <c r="J523" i="17"/>
  <c r="E523" i="17"/>
  <c r="F523" i="17" s="1"/>
  <c r="K523" i="17" s="1"/>
  <c r="L523" i="17" s="1"/>
  <c r="J522" i="17"/>
  <c r="E522" i="17"/>
  <c r="J514" i="17"/>
  <c r="E514" i="17"/>
  <c r="K514" i="17" s="1"/>
  <c r="L514" i="17" s="1"/>
  <c r="L513" i="17"/>
  <c r="K513" i="17"/>
  <c r="I513" i="17"/>
  <c r="J513" i="17" s="1"/>
  <c r="E513" i="17"/>
  <c r="J512" i="17"/>
  <c r="I512" i="17"/>
  <c r="E512" i="17"/>
  <c r="K511" i="17"/>
  <c r="L511" i="17" s="1"/>
  <c r="J511" i="17"/>
  <c r="E511" i="17"/>
  <c r="J510" i="17"/>
  <c r="E510" i="17"/>
  <c r="K509" i="17"/>
  <c r="J509" i="17"/>
  <c r="E509" i="17"/>
  <c r="J500" i="17"/>
  <c r="K500" i="17" s="1"/>
  <c r="L500" i="17" s="1"/>
  <c r="E500" i="17"/>
  <c r="J499" i="17"/>
  <c r="E499" i="17"/>
  <c r="J498" i="17"/>
  <c r="K498" i="17" s="1"/>
  <c r="L498" i="17" s="1"/>
  <c r="E498" i="17"/>
  <c r="J497" i="17"/>
  <c r="E497" i="17"/>
  <c r="K497" i="17" s="1"/>
  <c r="L497" i="17" s="1"/>
  <c r="L496" i="17"/>
  <c r="J496" i="17"/>
  <c r="K496" i="17" s="1"/>
  <c r="E496" i="17"/>
  <c r="J495" i="17"/>
  <c r="E495" i="17"/>
  <c r="K495" i="17" s="1"/>
  <c r="L495" i="17" s="1"/>
  <c r="L494" i="17"/>
  <c r="J494" i="17"/>
  <c r="K494" i="17" s="1"/>
  <c r="E494" i="17"/>
  <c r="J493" i="17"/>
  <c r="E493" i="17"/>
  <c r="J492" i="17"/>
  <c r="K492" i="17" s="1"/>
  <c r="L492" i="17" s="1"/>
  <c r="E492" i="17"/>
  <c r="J491" i="17"/>
  <c r="E491" i="17"/>
  <c r="J490" i="17"/>
  <c r="K490" i="17" s="1"/>
  <c r="L490" i="17" s="1"/>
  <c r="E490" i="17"/>
  <c r="J489" i="17"/>
  <c r="E489" i="17"/>
  <c r="K489" i="17" s="1"/>
  <c r="L489" i="17" s="1"/>
  <c r="J488" i="17"/>
  <c r="K488" i="17" s="1"/>
  <c r="E488" i="17"/>
  <c r="J487" i="17"/>
  <c r="E487" i="17"/>
  <c r="K487" i="17" s="1"/>
  <c r="L487" i="17" s="1"/>
  <c r="J480" i="17"/>
  <c r="E480" i="17"/>
  <c r="K480" i="17" s="1"/>
  <c r="L480" i="17" s="1"/>
  <c r="I479" i="17"/>
  <c r="J479" i="17" s="1"/>
  <c r="K479" i="17" s="1"/>
  <c r="L479" i="17" s="1"/>
  <c r="E479" i="17"/>
  <c r="J478" i="17"/>
  <c r="E478" i="17"/>
  <c r="J477" i="17"/>
  <c r="K477" i="17" s="1"/>
  <c r="L477" i="17" s="1"/>
  <c r="I477" i="17"/>
  <c r="E477" i="17"/>
  <c r="J476" i="17"/>
  <c r="E476" i="17"/>
  <c r="K476" i="17" s="1"/>
  <c r="L476" i="17" s="1"/>
  <c r="K475" i="17"/>
  <c r="L475" i="17" s="1"/>
  <c r="J475" i="17"/>
  <c r="E475" i="17"/>
  <c r="J474" i="17"/>
  <c r="E474" i="17"/>
  <c r="K474" i="17" s="1"/>
  <c r="L474" i="17" s="1"/>
  <c r="K473" i="17"/>
  <c r="L473" i="17" s="1"/>
  <c r="J473" i="17"/>
  <c r="E473" i="17"/>
  <c r="J472" i="17"/>
  <c r="E472" i="17"/>
  <c r="K472" i="17" s="1"/>
  <c r="L472" i="17" s="1"/>
  <c r="K471" i="17"/>
  <c r="L471" i="17" s="1"/>
  <c r="J471" i="17"/>
  <c r="E471" i="17"/>
  <c r="K470" i="17"/>
  <c r="L470" i="17" s="1"/>
  <c r="J470" i="17"/>
  <c r="E470" i="17"/>
  <c r="K469" i="17"/>
  <c r="L469" i="17" s="1"/>
  <c r="J469" i="17"/>
  <c r="E469" i="17"/>
  <c r="I468" i="17"/>
  <c r="J468" i="17" s="1"/>
  <c r="K468" i="17" s="1"/>
  <c r="L468" i="17" s="1"/>
  <c r="E468" i="17"/>
  <c r="J467" i="17"/>
  <c r="I467" i="17"/>
  <c r="E467" i="17"/>
  <c r="K467" i="17" s="1"/>
  <c r="L467" i="17" s="1"/>
  <c r="L466" i="17"/>
  <c r="K466" i="17"/>
  <c r="J466" i="17"/>
  <c r="E466" i="17"/>
  <c r="J465" i="17"/>
  <c r="E465" i="17"/>
  <c r="K465" i="17" s="1"/>
  <c r="L465" i="17" s="1"/>
  <c r="K464" i="17"/>
  <c r="L464" i="17" s="1"/>
  <c r="J464" i="17"/>
  <c r="E464" i="17"/>
  <c r="J463" i="17"/>
  <c r="E463" i="17"/>
  <c r="K463" i="17" s="1"/>
  <c r="J455" i="17"/>
  <c r="F455" i="17"/>
  <c r="K455" i="17" s="1"/>
  <c r="L455" i="17" s="1"/>
  <c r="E455" i="17"/>
  <c r="L454" i="17"/>
  <c r="J454" i="17"/>
  <c r="F454" i="17"/>
  <c r="K454" i="17" s="1"/>
  <c r="E454" i="17"/>
  <c r="I453" i="17"/>
  <c r="J453" i="17" s="1"/>
  <c r="E453" i="17"/>
  <c r="F453" i="17" s="1"/>
  <c r="I452" i="17"/>
  <c r="J452" i="17" s="1"/>
  <c r="E452" i="17"/>
  <c r="F452" i="17" s="1"/>
  <c r="K452" i="17" s="1"/>
  <c r="L452" i="17" s="1"/>
  <c r="I451" i="17"/>
  <c r="J451" i="17" s="1"/>
  <c r="E451" i="17"/>
  <c r="F451" i="17" s="1"/>
  <c r="K451" i="17" s="1"/>
  <c r="L451" i="17" s="1"/>
  <c r="K450" i="17"/>
  <c r="L450" i="17" s="1"/>
  <c r="I450" i="17"/>
  <c r="J450" i="17" s="1"/>
  <c r="E450" i="17"/>
  <c r="F450" i="17" s="1"/>
  <c r="K449" i="17"/>
  <c r="L449" i="17" s="1"/>
  <c r="I449" i="17"/>
  <c r="J449" i="17" s="1"/>
  <c r="E449" i="17"/>
  <c r="F449" i="17" s="1"/>
  <c r="I448" i="17"/>
  <c r="J448" i="17" s="1"/>
  <c r="F448" i="17"/>
  <c r="K448" i="17" s="1"/>
  <c r="L448" i="17" s="1"/>
  <c r="E448" i="17"/>
  <c r="K447" i="17"/>
  <c r="L447" i="17" s="1"/>
  <c r="J447" i="17"/>
  <c r="F447" i="17"/>
  <c r="E447" i="17"/>
  <c r="K446" i="17"/>
  <c r="L446" i="17" s="1"/>
  <c r="J446" i="17"/>
  <c r="I446" i="17"/>
  <c r="F446" i="17"/>
  <c r="E446" i="17"/>
  <c r="J445" i="17"/>
  <c r="E445" i="17"/>
  <c r="F445" i="17" s="1"/>
  <c r="K445" i="17" s="1"/>
  <c r="L445" i="17" s="1"/>
  <c r="K444" i="17"/>
  <c r="L444" i="17" s="1"/>
  <c r="I444" i="17"/>
  <c r="J444" i="17" s="1"/>
  <c r="E444" i="17"/>
  <c r="F444" i="17" s="1"/>
  <c r="I443" i="17"/>
  <c r="J443" i="17" s="1"/>
  <c r="K443" i="17" s="1"/>
  <c r="L443" i="17" s="1"/>
  <c r="E443" i="17"/>
  <c r="F443" i="17" s="1"/>
  <c r="J442" i="17"/>
  <c r="F442" i="17"/>
  <c r="E442" i="17"/>
  <c r="J433" i="17"/>
  <c r="E433" i="17"/>
  <c r="K432" i="17"/>
  <c r="L432" i="17" s="1"/>
  <c r="J432" i="17"/>
  <c r="E432" i="17"/>
  <c r="I431" i="17"/>
  <c r="J431" i="17" s="1"/>
  <c r="K431" i="17" s="1"/>
  <c r="L431" i="17" s="1"/>
  <c r="E431" i="17"/>
  <c r="L430" i="17"/>
  <c r="J430" i="17"/>
  <c r="I430" i="17"/>
  <c r="E430" i="17"/>
  <c r="K430" i="17" s="1"/>
  <c r="I429" i="17"/>
  <c r="J429" i="17" s="1"/>
  <c r="K429" i="17" s="1"/>
  <c r="L429" i="17" s="1"/>
  <c r="E429" i="17"/>
  <c r="J428" i="17"/>
  <c r="E428" i="17"/>
  <c r="J418" i="17"/>
  <c r="E418" i="17"/>
  <c r="K418" i="17" s="1"/>
  <c r="L418" i="17" s="1"/>
  <c r="J417" i="17"/>
  <c r="E417" i="17"/>
  <c r="K417" i="17" s="1"/>
  <c r="L417" i="17" s="1"/>
  <c r="I416" i="17"/>
  <c r="J416" i="17" s="1"/>
  <c r="E416" i="17"/>
  <c r="J415" i="17"/>
  <c r="I415" i="17"/>
  <c r="E415" i="17"/>
  <c r="K415" i="17" s="1"/>
  <c r="L415" i="17" s="1"/>
  <c r="J414" i="17"/>
  <c r="K414" i="17" s="1"/>
  <c r="L414" i="17" s="1"/>
  <c r="I414" i="17"/>
  <c r="E414" i="17"/>
  <c r="J413" i="17"/>
  <c r="I413" i="17"/>
  <c r="E413" i="17"/>
  <c r="I412" i="17"/>
  <c r="J412" i="17" s="1"/>
  <c r="K412" i="17" s="1"/>
  <c r="L412" i="17" s="1"/>
  <c r="E412" i="17"/>
  <c r="J411" i="17"/>
  <c r="E411" i="17"/>
  <c r="J403" i="17"/>
  <c r="E403" i="17"/>
  <c r="K403" i="17" s="1"/>
  <c r="L403" i="17" s="1"/>
  <c r="L402" i="17"/>
  <c r="K402" i="17"/>
  <c r="J402" i="17"/>
  <c r="E402" i="17"/>
  <c r="J401" i="17"/>
  <c r="E401" i="17"/>
  <c r="K401" i="17" s="1"/>
  <c r="L401" i="17" s="1"/>
  <c r="K400" i="17"/>
  <c r="L400" i="17" s="1"/>
  <c r="J400" i="17"/>
  <c r="E400" i="17"/>
  <c r="I399" i="17"/>
  <c r="J399" i="17" s="1"/>
  <c r="E399" i="17"/>
  <c r="J398" i="17"/>
  <c r="E398" i="17"/>
  <c r="J397" i="17"/>
  <c r="E397" i="17"/>
  <c r="K397" i="17" s="1"/>
  <c r="L397" i="17" s="1"/>
  <c r="J396" i="17"/>
  <c r="E396" i="17"/>
  <c r="J395" i="17"/>
  <c r="E395" i="17"/>
  <c r="K395" i="17" s="1"/>
  <c r="L395" i="17" s="1"/>
  <c r="J394" i="17"/>
  <c r="I394" i="17"/>
  <c r="E394" i="17"/>
  <c r="I393" i="17"/>
  <c r="J393" i="17" s="1"/>
  <c r="K393" i="17" s="1"/>
  <c r="L393" i="17" s="1"/>
  <c r="E393" i="17"/>
  <c r="L392" i="17"/>
  <c r="J392" i="17"/>
  <c r="K392" i="17" s="1"/>
  <c r="E392" i="17"/>
  <c r="L391" i="17"/>
  <c r="J391" i="17"/>
  <c r="I391" i="17"/>
  <c r="E391" i="17"/>
  <c r="K391" i="17" s="1"/>
  <c r="J390" i="17"/>
  <c r="E390" i="17"/>
  <c r="K390" i="17" s="1"/>
  <c r="L390" i="17" s="1"/>
  <c r="K389" i="17"/>
  <c r="L389" i="17" s="1"/>
  <c r="J389" i="17"/>
  <c r="E389" i="17"/>
  <c r="J388" i="17"/>
  <c r="E388" i="17"/>
  <c r="K388" i="17" s="1"/>
  <c r="L388" i="17" s="1"/>
  <c r="L387" i="17"/>
  <c r="J387" i="17"/>
  <c r="E387" i="17"/>
  <c r="K387" i="17" s="1"/>
  <c r="J379" i="17"/>
  <c r="K379" i="17" s="1"/>
  <c r="L379" i="17" s="1"/>
  <c r="E379" i="17"/>
  <c r="L378" i="17"/>
  <c r="J378" i="17"/>
  <c r="K378" i="17" s="1"/>
  <c r="E378" i="17"/>
  <c r="K377" i="17"/>
  <c r="L377" i="17" s="1"/>
  <c r="J377" i="17"/>
  <c r="E377" i="17"/>
  <c r="J376" i="17"/>
  <c r="I376" i="17"/>
  <c r="E376" i="17"/>
  <c r="K376" i="17" s="1"/>
  <c r="L376" i="17" s="1"/>
  <c r="K375" i="17"/>
  <c r="L375" i="17" s="1"/>
  <c r="J375" i="17"/>
  <c r="E375" i="17"/>
  <c r="I374" i="17"/>
  <c r="J374" i="17" s="1"/>
  <c r="E374" i="17"/>
  <c r="K374" i="17" s="1"/>
  <c r="L374" i="17" s="1"/>
  <c r="J373" i="17"/>
  <c r="E373" i="17"/>
  <c r="K373" i="17" s="1"/>
  <c r="L373" i="17" s="1"/>
  <c r="J372" i="17"/>
  <c r="E372" i="17"/>
  <c r="J371" i="17"/>
  <c r="E371" i="17"/>
  <c r="E381" i="17" s="1"/>
  <c r="E365" i="17"/>
  <c r="K363" i="17"/>
  <c r="L363" i="17" s="1"/>
  <c r="J363" i="17"/>
  <c r="E363" i="17"/>
  <c r="I362" i="17"/>
  <c r="J362" i="17" s="1"/>
  <c r="E362" i="17"/>
  <c r="K362" i="17" s="1"/>
  <c r="L362" i="17" s="1"/>
  <c r="J361" i="17"/>
  <c r="K361" i="17" s="1"/>
  <c r="L361" i="17" s="1"/>
  <c r="E361" i="17"/>
  <c r="J360" i="17"/>
  <c r="I360" i="17"/>
  <c r="E360" i="17"/>
  <c r="K359" i="17"/>
  <c r="L359" i="17" s="1"/>
  <c r="J359" i="17"/>
  <c r="E359" i="17"/>
  <c r="K358" i="17"/>
  <c r="L358" i="17" s="1"/>
  <c r="J358" i="17"/>
  <c r="E358" i="17"/>
  <c r="K357" i="17"/>
  <c r="L357" i="17" s="1"/>
  <c r="J357" i="17"/>
  <c r="E357" i="17"/>
  <c r="J356" i="17"/>
  <c r="E356" i="17"/>
  <c r="K355" i="17"/>
  <c r="L355" i="17" s="1"/>
  <c r="J355" i="17"/>
  <c r="E355" i="17"/>
  <c r="J354" i="17"/>
  <c r="E354" i="17"/>
  <c r="K354" i="17" s="1"/>
  <c r="L354" i="17" s="1"/>
  <c r="K353" i="17"/>
  <c r="L353" i="17" s="1"/>
  <c r="J353" i="17"/>
  <c r="E353" i="17"/>
  <c r="J352" i="17"/>
  <c r="K352" i="17" s="1"/>
  <c r="L352" i="17" s="1"/>
  <c r="I352" i="17"/>
  <c r="E352" i="17"/>
  <c r="J351" i="17"/>
  <c r="K351" i="17" s="1"/>
  <c r="L351" i="17" s="1"/>
  <c r="E351" i="17"/>
  <c r="L350" i="17"/>
  <c r="J350" i="17"/>
  <c r="K350" i="17" s="1"/>
  <c r="E350" i="17"/>
  <c r="L349" i="17"/>
  <c r="K349" i="17"/>
  <c r="J349" i="17"/>
  <c r="E349" i="17"/>
  <c r="J348" i="17"/>
  <c r="K348" i="17" s="1"/>
  <c r="E348" i="17"/>
  <c r="J340" i="17"/>
  <c r="E340" i="17"/>
  <c r="F340" i="17" s="1"/>
  <c r="K340" i="17" s="1"/>
  <c r="L340" i="17" s="1"/>
  <c r="I339" i="17"/>
  <c r="J339" i="17" s="1"/>
  <c r="F339" i="17"/>
  <c r="K339" i="17" s="1"/>
  <c r="L339" i="17" s="1"/>
  <c r="E339" i="17"/>
  <c r="K338" i="17"/>
  <c r="L338" i="17" s="1"/>
  <c r="J338" i="17"/>
  <c r="F338" i="17"/>
  <c r="E338" i="17"/>
  <c r="J337" i="17"/>
  <c r="K337" i="17" s="1"/>
  <c r="L337" i="17" s="1"/>
  <c r="E337" i="17"/>
  <c r="F337" i="17" s="1"/>
  <c r="D337" i="17"/>
  <c r="J336" i="17"/>
  <c r="E336" i="17"/>
  <c r="F336" i="17" s="1"/>
  <c r="K336" i="17" s="1"/>
  <c r="L336" i="17" s="1"/>
  <c r="K335" i="17"/>
  <c r="L335" i="17" s="1"/>
  <c r="I335" i="17"/>
  <c r="J335" i="17" s="1"/>
  <c r="E335" i="17"/>
  <c r="F335" i="17" s="1"/>
  <c r="K334" i="17"/>
  <c r="L334" i="17" s="1"/>
  <c r="I334" i="17"/>
  <c r="J334" i="17" s="1"/>
  <c r="E334" i="17"/>
  <c r="F334" i="17" s="1"/>
  <c r="J333" i="17"/>
  <c r="F333" i="17"/>
  <c r="K333" i="17" s="1"/>
  <c r="L333" i="17" s="1"/>
  <c r="E333" i="17"/>
  <c r="J332" i="17"/>
  <c r="E332" i="17"/>
  <c r="F332" i="17" s="1"/>
  <c r="K332" i="17" s="1"/>
  <c r="L332" i="17" s="1"/>
  <c r="J331" i="17"/>
  <c r="F331" i="17"/>
  <c r="K331" i="17" s="1"/>
  <c r="L331" i="17" s="1"/>
  <c r="E331" i="17"/>
  <c r="J330" i="17"/>
  <c r="E330" i="17"/>
  <c r="F330" i="17" s="1"/>
  <c r="K330" i="17" s="1"/>
  <c r="L330" i="17" s="1"/>
  <c r="K329" i="17"/>
  <c r="L329" i="17" s="1"/>
  <c r="J329" i="17"/>
  <c r="F329" i="17"/>
  <c r="E329" i="17"/>
  <c r="J328" i="17"/>
  <c r="I328" i="17"/>
  <c r="F328" i="17"/>
  <c r="K328" i="17" s="1"/>
  <c r="L328" i="17" s="1"/>
  <c r="E328" i="17"/>
  <c r="I327" i="17"/>
  <c r="J327" i="17" s="1"/>
  <c r="F327" i="17"/>
  <c r="E327" i="17"/>
  <c r="J326" i="17"/>
  <c r="E326" i="17"/>
  <c r="F326" i="17" s="1"/>
  <c r="K326" i="17" s="1"/>
  <c r="L326" i="17" s="1"/>
  <c r="I325" i="17"/>
  <c r="J325" i="17" s="1"/>
  <c r="E325" i="17"/>
  <c r="F325" i="17" s="1"/>
  <c r="K325" i="17" s="1"/>
  <c r="L325" i="17" s="1"/>
  <c r="J324" i="17"/>
  <c r="F324" i="17"/>
  <c r="E324" i="17"/>
  <c r="L323" i="17"/>
  <c r="J323" i="17"/>
  <c r="E323" i="17"/>
  <c r="F323" i="17" s="1"/>
  <c r="K323" i="17" s="1"/>
  <c r="J322" i="17"/>
  <c r="F322" i="17"/>
  <c r="K322" i="17" s="1"/>
  <c r="L322" i="17" s="1"/>
  <c r="E322" i="17"/>
  <c r="J321" i="17"/>
  <c r="I321" i="17"/>
  <c r="F321" i="17"/>
  <c r="E321" i="17"/>
  <c r="J320" i="17"/>
  <c r="I320" i="17"/>
  <c r="F320" i="17"/>
  <c r="K320" i="17" s="1"/>
  <c r="L320" i="17" s="1"/>
  <c r="E320" i="17"/>
  <c r="J319" i="17"/>
  <c r="I319" i="17"/>
  <c r="F319" i="17"/>
  <c r="E319" i="17"/>
  <c r="J318" i="17"/>
  <c r="I318" i="17"/>
  <c r="F318" i="17"/>
  <c r="K318" i="17" s="1"/>
  <c r="L318" i="17" s="1"/>
  <c r="E318" i="17"/>
  <c r="I317" i="17"/>
  <c r="J317" i="17" s="1"/>
  <c r="F317" i="17"/>
  <c r="K317" i="17" s="1"/>
  <c r="L317" i="17" s="1"/>
  <c r="E317" i="17"/>
  <c r="J316" i="17"/>
  <c r="E316" i="17"/>
  <c r="F316" i="17" s="1"/>
  <c r="K316" i="17" s="1"/>
  <c r="L316" i="17" s="1"/>
  <c r="L315" i="17"/>
  <c r="J315" i="17"/>
  <c r="F315" i="17"/>
  <c r="K315" i="17" s="1"/>
  <c r="E315" i="17"/>
  <c r="J314" i="17"/>
  <c r="F314" i="17"/>
  <c r="E314" i="17"/>
  <c r="K313" i="17"/>
  <c r="L313" i="17" s="1"/>
  <c r="J313" i="17"/>
  <c r="F313" i="17"/>
  <c r="E313" i="17"/>
  <c r="J312" i="17"/>
  <c r="E312" i="17"/>
  <c r="F312" i="17" s="1"/>
  <c r="K312" i="17" s="1"/>
  <c r="L312" i="17" s="1"/>
  <c r="I311" i="17"/>
  <c r="J311" i="17" s="1"/>
  <c r="E311" i="17"/>
  <c r="F311" i="17" s="1"/>
  <c r="K311" i="17" s="1"/>
  <c r="L311" i="17" s="1"/>
  <c r="K310" i="17"/>
  <c r="L310" i="17" s="1"/>
  <c r="J310" i="17"/>
  <c r="F310" i="17"/>
  <c r="E310" i="17"/>
  <c r="J309" i="17"/>
  <c r="E309" i="17"/>
  <c r="I301" i="17"/>
  <c r="J301" i="17" s="1"/>
  <c r="E301" i="17"/>
  <c r="F301" i="17" s="1"/>
  <c r="K301" i="17" s="1"/>
  <c r="L301" i="17" s="1"/>
  <c r="I300" i="17"/>
  <c r="J300" i="17" s="1"/>
  <c r="F300" i="17"/>
  <c r="E300" i="17"/>
  <c r="J299" i="17"/>
  <c r="I299" i="17"/>
  <c r="E299" i="17"/>
  <c r="F299" i="17" s="1"/>
  <c r="J298" i="17"/>
  <c r="E298" i="17"/>
  <c r="F298" i="17" s="1"/>
  <c r="K298" i="17" s="1"/>
  <c r="L298" i="17" s="1"/>
  <c r="J297" i="17"/>
  <c r="F297" i="17"/>
  <c r="K297" i="17" s="1"/>
  <c r="L297" i="17" s="1"/>
  <c r="E297" i="17"/>
  <c r="J296" i="17"/>
  <c r="E296" i="17"/>
  <c r="F296" i="17" s="1"/>
  <c r="K296" i="17" s="1"/>
  <c r="L296" i="17" s="1"/>
  <c r="J295" i="17"/>
  <c r="F295" i="17"/>
  <c r="E295" i="17"/>
  <c r="I294" i="17"/>
  <c r="J294" i="17" s="1"/>
  <c r="F294" i="17"/>
  <c r="E294" i="17"/>
  <c r="J293" i="17"/>
  <c r="I293" i="17"/>
  <c r="E293" i="17"/>
  <c r="F293" i="17" s="1"/>
  <c r="K293" i="17" s="1"/>
  <c r="L293" i="17" s="1"/>
  <c r="L292" i="17"/>
  <c r="J292" i="17"/>
  <c r="K292" i="17" s="1"/>
  <c r="I292" i="17"/>
  <c r="F292" i="17"/>
  <c r="E292" i="17"/>
  <c r="K291" i="17"/>
  <c r="L291" i="17" s="1"/>
  <c r="J291" i="17"/>
  <c r="I291" i="17"/>
  <c r="F291" i="17"/>
  <c r="E291" i="17"/>
  <c r="J290" i="17"/>
  <c r="E290" i="17"/>
  <c r="F290" i="17" s="1"/>
  <c r="K290" i="17" s="1"/>
  <c r="L290" i="17" s="1"/>
  <c r="J289" i="17"/>
  <c r="F289" i="17"/>
  <c r="E289" i="17"/>
  <c r="J288" i="17"/>
  <c r="I288" i="17"/>
  <c r="E288" i="17"/>
  <c r="F288" i="17" s="1"/>
  <c r="I287" i="17"/>
  <c r="J287" i="17" s="1"/>
  <c r="E287" i="17"/>
  <c r="F287" i="17" s="1"/>
  <c r="J286" i="17"/>
  <c r="E286" i="17"/>
  <c r="F286" i="17" s="1"/>
  <c r="K286" i="17" s="1"/>
  <c r="L286" i="17" s="1"/>
  <c r="J285" i="17"/>
  <c r="E285" i="17"/>
  <c r="F285" i="17" s="1"/>
  <c r="K285" i="17" s="1"/>
  <c r="L285" i="17" s="1"/>
  <c r="J284" i="17"/>
  <c r="I284" i="17"/>
  <c r="E284" i="17"/>
  <c r="F284" i="17" s="1"/>
  <c r="K283" i="17"/>
  <c r="L283" i="17" s="1"/>
  <c r="J283" i="17"/>
  <c r="E283" i="17"/>
  <c r="F283" i="17" s="1"/>
  <c r="I282" i="17"/>
  <c r="J282" i="17" s="1"/>
  <c r="E282" i="17"/>
  <c r="F282" i="17" s="1"/>
  <c r="J281" i="17"/>
  <c r="F281" i="17"/>
  <c r="K281" i="17" s="1"/>
  <c r="L281" i="17" s="1"/>
  <c r="E281" i="17"/>
  <c r="J280" i="17"/>
  <c r="I280" i="17"/>
  <c r="F280" i="17"/>
  <c r="K280" i="17" s="1"/>
  <c r="L280" i="17" s="1"/>
  <c r="E280" i="17"/>
  <c r="K279" i="17"/>
  <c r="L279" i="17" s="1"/>
  <c r="J279" i="17"/>
  <c r="E279" i="17"/>
  <c r="F279" i="17" s="1"/>
  <c r="J278" i="17"/>
  <c r="E278" i="17"/>
  <c r="F278" i="17" s="1"/>
  <c r="K278" i="17" s="1"/>
  <c r="L278" i="17" s="1"/>
  <c r="J277" i="17"/>
  <c r="E277" i="17"/>
  <c r="F277" i="17" s="1"/>
  <c r="K277" i="17" s="1"/>
  <c r="L277" i="17" s="1"/>
  <c r="J276" i="17"/>
  <c r="E276" i="17"/>
  <c r="F276" i="17" s="1"/>
  <c r="K276" i="17" s="1"/>
  <c r="L276" i="17" s="1"/>
  <c r="J275" i="17"/>
  <c r="E275" i="17"/>
  <c r="F275" i="17" s="1"/>
  <c r="K275" i="17" s="1"/>
  <c r="L275" i="17" s="1"/>
  <c r="J274" i="17"/>
  <c r="K274" i="17" s="1"/>
  <c r="L274" i="17" s="1"/>
  <c r="I274" i="17"/>
  <c r="E274" i="17"/>
  <c r="F274" i="17" s="1"/>
  <c r="I273" i="17"/>
  <c r="J273" i="17" s="1"/>
  <c r="F273" i="17"/>
  <c r="E273" i="17"/>
  <c r="K272" i="17"/>
  <c r="L272" i="17" s="1"/>
  <c r="I272" i="17"/>
  <c r="J272" i="17" s="1"/>
  <c r="E272" i="17"/>
  <c r="F272" i="17" s="1"/>
  <c r="J271" i="17"/>
  <c r="F271" i="17"/>
  <c r="K271" i="17" s="1"/>
  <c r="L271" i="17" s="1"/>
  <c r="E271" i="17"/>
  <c r="I270" i="17"/>
  <c r="J270" i="17" s="1"/>
  <c r="F270" i="17"/>
  <c r="E270" i="17"/>
  <c r="J269" i="17"/>
  <c r="E269" i="17"/>
  <c r="F269" i="17" s="1"/>
  <c r="K269" i="17" s="1"/>
  <c r="L269" i="17" s="1"/>
  <c r="K268" i="17"/>
  <c r="L268" i="17" s="1"/>
  <c r="J268" i="17"/>
  <c r="F268" i="17"/>
  <c r="E268" i="17"/>
  <c r="J267" i="17"/>
  <c r="E267" i="17"/>
  <c r="J259" i="17"/>
  <c r="F259" i="17"/>
  <c r="E259" i="17"/>
  <c r="I258" i="17"/>
  <c r="J258" i="17" s="1"/>
  <c r="K258" i="17" s="1"/>
  <c r="L258" i="17" s="1"/>
  <c r="E258" i="17"/>
  <c r="F258" i="17" s="1"/>
  <c r="J257" i="17"/>
  <c r="F257" i="17"/>
  <c r="E257" i="17"/>
  <c r="I256" i="17"/>
  <c r="J256" i="17" s="1"/>
  <c r="E256" i="17"/>
  <c r="F256" i="17" s="1"/>
  <c r="K256" i="17" s="1"/>
  <c r="L256" i="17" s="1"/>
  <c r="L255" i="17"/>
  <c r="J255" i="17"/>
  <c r="E255" i="17"/>
  <c r="F255" i="17" s="1"/>
  <c r="K255" i="17" s="1"/>
  <c r="J254" i="17"/>
  <c r="I254" i="17"/>
  <c r="E254" i="17"/>
  <c r="F254" i="17" s="1"/>
  <c r="K254" i="17" s="1"/>
  <c r="L254" i="17" s="1"/>
  <c r="J253" i="17"/>
  <c r="I253" i="17"/>
  <c r="F253" i="17"/>
  <c r="K253" i="17" s="1"/>
  <c r="L253" i="17" s="1"/>
  <c r="E253" i="17"/>
  <c r="J252" i="17"/>
  <c r="E252" i="17"/>
  <c r="F252" i="17" s="1"/>
  <c r="I251" i="17"/>
  <c r="J251" i="17" s="1"/>
  <c r="F251" i="17"/>
  <c r="E251" i="17"/>
  <c r="I250" i="17"/>
  <c r="J250" i="17" s="1"/>
  <c r="E250" i="17"/>
  <c r="F250" i="17" s="1"/>
  <c r="K250" i="17" s="1"/>
  <c r="L250" i="17" s="1"/>
  <c r="L249" i="17"/>
  <c r="J249" i="17"/>
  <c r="K249" i="17" s="1"/>
  <c r="I249" i="17"/>
  <c r="E249" i="17"/>
  <c r="F249" i="17" s="1"/>
  <c r="I248" i="17"/>
  <c r="J248" i="17" s="1"/>
  <c r="E248" i="17"/>
  <c r="F248" i="17" s="1"/>
  <c r="K248" i="17" s="1"/>
  <c r="L248" i="17" s="1"/>
  <c r="J247" i="17"/>
  <c r="E247" i="17"/>
  <c r="F247" i="17" s="1"/>
  <c r="K247" i="17" s="1"/>
  <c r="L247" i="17" s="1"/>
  <c r="J246" i="17"/>
  <c r="E246" i="17"/>
  <c r="F246" i="17" s="1"/>
  <c r="K246" i="17" s="1"/>
  <c r="L246" i="17" s="1"/>
  <c r="J245" i="17"/>
  <c r="E245" i="17"/>
  <c r="F245" i="17" s="1"/>
  <c r="K245" i="17" s="1"/>
  <c r="L245" i="17" s="1"/>
  <c r="J244" i="17"/>
  <c r="E244" i="17"/>
  <c r="F244" i="17" s="1"/>
  <c r="K244" i="17" s="1"/>
  <c r="L244" i="17" s="1"/>
  <c r="J243" i="17"/>
  <c r="I243" i="17"/>
  <c r="E243" i="17"/>
  <c r="F243" i="17" s="1"/>
  <c r="J242" i="17"/>
  <c r="E242" i="17"/>
  <c r="F242" i="17" s="1"/>
  <c r="K242" i="17" s="1"/>
  <c r="L242" i="17" s="1"/>
  <c r="J241" i="17"/>
  <c r="E241" i="17"/>
  <c r="F241" i="17" s="1"/>
  <c r="K241" i="17" s="1"/>
  <c r="L241" i="17" s="1"/>
  <c r="L240" i="17"/>
  <c r="K240" i="17"/>
  <c r="J240" i="17"/>
  <c r="F240" i="17"/>
  <c r="E240" i="17"/>
  <c r="J239" i="17"/>
  <c r="F239" i="17"/>
  <c r="K239" i="17" s="1"/>
  <c r="L239" i="17" s="1"/>
  <c r="E239" i="17"/>
  <c r="J238" i="17"/>
  <c r="E238" i="17"/>
  <c r="F238" i="17" s="1"/>
  <c r="K238" i="17" s="1"/>
  <c r="L238" i="17" s="1"/>
  <c r="J237" i="17"/>
  <c r="K237" i="17" s="1"/>
  <c r="L237" i="17" s="1"/>
  <c r="I237" i="17"/>
  <c r="F237" i="17"/>
  <c r="E237" i="17"/>
  <c r="J236" i="17"/>
  <c r="E236" i="17"/>
  <c r="F236" i="17" s="1"/>
  <c r="K236" i="17" s="1"/>
  <c r="L236" i="17" s="1"/>
  <c r="J235" i="17"/>
  <c r="F235" i="17"/>
  <c r="K235" i="17" s="1"/>
  <c r="L235" i="17" s="1"/>
  <c r="E235" i="17"/>
  <c r="K234" i="17"/>
  <c r="L234" i="17" s="1"/>
  <c r="J234" i="17"/>
  <c r="I234" i="17"/>
  <c r="F234" i="17"/>
  <c r="E234" i="17"/>
  <c r="I233" i="17"/>
  <c r="J233" i="17" s="1"/>
  <c r="F233" i="17"/>
  <c r="E233" i="17"/>
  <c r="J232" i="17"/>
  <c r="F232" i="17"/>
  <c r="E232" i="17"/>
  <c r="J231" i="17"/>
  <c r="K231" i="17" s="1"/>
  <c r="L231" i="17" s="1"/>
  <c r="F231" i="17"/>
  <c r="E231" i="17"/>
  <c r="L230" i="17"/>
  <c r="K230" i="17"/>
  <c r="J230" i="17"/>
  <c r="I230" i="17"/>
  <c r="E230" i="17"/>
  <c r="F230" i="17" s="1"/>
  <c r="J229" i="17"/>
  <c r="E229" i="17"/>
  <c r="L228" i="17"/>
  <c r="J228" i="17"/>
  <c r="F228" i="17"/>
  <c r="K228" i="17" s="1"/>
  <c r="E228" i="17"/>
  <c r="L220" i="17"/>
  <c r="K220" i="17"/>
  <c r="J220" i="17"/>
  <c r="E220" i="17"/>
  <c r="F220" i="17" s="1"/>
  <c r="J219" i="17"/>
  <c r="I219" i="17"/>
  <c r="E219" i="17"/>
  <c r="F219" i="17" s="1"/>
  <c r="K219" i="17" s="1"/>
  <c r="L219" i="17" s="1"/>
  <c r="I218" i="17"/>
  <c r="J218" i="17" s="1"/>
  <c r="E218" i="17"/>
  <c r="F218" i="17" s="1"/>
  <c r="K218" i="17" s="1"/>
  <c r="L218" i="17" s="1"/>
  <c r="I217" i="17"/>
  <c r="J217" i="17" s="1"/>
  <c r="F217" i="17"/>
  <c r="K217" i="17" s="1"/>
  <c r="L217" i="17" s="1"/>
  <c r="E217" i="17"/>
  <c r="J216" i="17"/>
  <c r="F216" i="17"/>
  <c r="K216" i="17" s="1"/>
  <c r="L216" i="17" s="1"/>
  <c r="E216" i="17"/>
  <c r="K215" i="17"/>
  <c r="L215" i="17" s="1"/>
  <c r="J215" i="17"/>
  <c r="F215" i="17"/>
  <c r="E215" i="17"/>
  <c r="K214" i="17"/>
  <c r="L214" i="17" s="1"/>
  <c r="J214" i="17"/>
  <c r="E214" i="17"/>
  <c r="F214" i="17" s="1"/>
  <c r="J213" i="17"/>
  <c r="E213" i="17"/>
  <c r="F213" i="17" s="1"/>
  <c r="K213" i="17" s="1"/>
  <c r="L213" i="17" s="1"/>
  <c r="J212" i="17"/>
  <c r="K212" i="17" s="1"/>
  <c r="L212" i="17" s="1"/>
  <c r="F212" i="17"/>
  <c r="E212" i="17"/>
  <c r="J211" i="17"/>
  <c r="E211" i="17"/>
  <c r="F211" i="17" s="1"/>
  <c r="K211" i="17" s="1"/>
  <c r="L211" i="17" s="1"/>
  <c r="L210" i="17"/>
  <c r="J210" i="17"/>
  <c r="E210" i="17"/>
  <c r="F210" i="17" s="1"/>
  <c r="K210" i="17" s="1"/>
  <c r="J209" i="17"/>
  <c r="I209" i="17"/>
  <c r="E209" i="17"/>
  <c r="F209" i="17" s="1"/>
  <c r="K209" i="17" s="1"/>
  <c r="L209" i="17" s="1"/>
  <c r="L208" i="17"/>
  <c r="J208" i="17"/>
  <c r="I208" i="17"/>
  <c r="F208" i="17"/>
  <c r="K208" i="17" s="1"/>
  <c r="E208" i="17"/>
  <c r="J207" i="17"/>
  <c r="E207" i="17"/>
  <c r="F207" i="17" s="1"/>
  <c r="J206" i="17"/>
  <c r="K206" i="17" s="1"/>
  <c r="L206" i="17" s="1"/>
  <c r="I206" i="17"/>
  <c r="F206" i="17"/>
  <c r="E206" i="17"/>
  <c r="J205" i="17"/>
  <c r="F205" i="17"/>
  <c r="K205" i="17" s="1"/>
  <c r="L205" i="17" s="1"/>
  <c r="E205" i="17"/>
  <c r="K204" i="17"/>
  <c r="L204" i="17" s="1"/>
  <c r="J204" i="17"/>
  <c r="I204" i="17"/>
  <c r="F204" i="17"/>
  <c r="E204" i="17"/>
  <c r="J203" i="17"/>
  <c r="K203" i="17" s="1"/>
  <c r="L203" i="17" s="1"/>
  <c r="I203" i="17"/>
  <c r="F203" i="17"/>
  <c r="E203" i="17"/>
  <c r="J202" i="17"/>
  <c r="E202" i="17"/>
  <c r="F202" i="17" s="1"/>
  <c r="K202" i="17" s="1"/>
  <c r="L202" i="17" s="1"/>
  <c r="J201" i="17"/>
  <c r="K201" i="17" s="1"/>
  <c r="L201" i="17" s="1"/>
  <c r="I201" i="17"/>
  <c r="E201" i="17"/>
  <c r="F201" i="17" s="1"/>
  <c r="K200" i="17"/>
  <c r="L200" i="17" s="1"/>
  <c r="J200" i="17"/>
  <c r="I200" i="17"/>
  <c r="F200" i="17"/>
  <c r="E200" i="17"/>
  <c r="J199" i="17"/>
  <c r="E199" i="17"/>
  <c r="F199" i="17" s="1"/>
  <c r="J191" i="17"/>
  <c r="E191" i="17"/>
  <c r="F191" i="17" s="1"/>
  <c r="K191" i="17" s="1"/>
  <c r="L191" i="17" s="1"/>
  <c r="J190" i="17"/>
  <c r="F190" i="17"/>
  <c r="K190" i="17" s="1"/>
  <c r="L190" i="17" s="1"/>
  <c r="E190" i="17"/>
  <c r="I189" i="17"/>
  <c r="J189" i="17" s="1"/>
  <c r="F189" i="17"/>
  <c r="E189" i="17"/>
  <c r="L188" i="17"/>
  <c r="J188" i="17"/>
  <c r="E188" i="17"/>
  <c r="F188" i="17" s="1"/>
  <c r="K188" i="17" s="1"/>
  <c r="J187" i="17"/>
  <c r="E187" i="17"/>
  <c r="F187" i="17" s="1"/>
  <c r="K187" i="17" s="1"/>
  <c r="L187" i="17" s="1"/>
  <c r="I186" i="17"/>
  <c r="J186" i="17" s="1"/>
  <c r="F186" i="17"/>
  <c r="K186" i="17" s="1"/>
  <c r="L186" i="17" s="1"/>
  <c r="E186" i="17"/>
  <c r="K185" i="17"/>
  <c r="L185" i="17" s="1"/>
  <c r="J185" i="17"/>
  <c r="F185" i="17"/>
  <c r="E185" i="17"/>
  <c r="K184" i="17"/>
  <c r="L184" i="17" s="1"/>
  <c r="J184" i="17"/>
  <c r="E184" i="17"/>
  <c r="F184" i="17" s="1"/>
  <c r="J183" i="17"/>
  <c r="E183" i="17"/>
  <c r="F183" i="17" s="1"/>
  <c r="K183" i="17" s="1"/>
  <c r="L183" i="17" s="1"/>
  <c r="J182" i="17"/>
  <c r="K182" i="17" s="1"/>
  <c r="L182" i="17" s="1"/>
  <c r="I182" i="17"/>
  <c r="E182" i="17"/>
  <c r="F182" i="17" s="1"/>
  <c r="J181" i="17"/>
  <c r="E181" i="17"/>
  <c r="F181" i="17" s="1"/>
  <c r="K181" i="17" s="1"/>
  <c r="L181" i="17" s="1"/>
  <c r="J180" i="17"/>
  <c r="E180" i="17"/>
  <c r="F180" i="17" s="1"/>
  <c r="K180" i="17" s="1"/>
  <c r="L180" i="17" s="1"/>
  <c r="I179" i="17"/>
  <c r="J179" i="17" s="1"/>
  <c r="F179" i="17"/>
  <c r="K179" i="17" s="1"/>
  <c r="L179" i="17" s="1"/>
  <c r="E179" i="17"/>
  <c r="K178" i="17"/>
  <c r="L178" i="17" s="1"/>
  <c r="J178" i="17"/>
  <c r="F178" i="17"/>
  <c r="E178" i="17"/>
  <c r="K177" i="17"/>
  <c r="L177" i="17" s="1"/>
  <c r="I177" i="17"/>
  <c r="J177" i="17" s="1"/>
  <c r="F177" i="17"/>
  <c r="E177" i="17"/>
  <c r="L176" i="17"/>
  <c r="J176" i="17"/>
  <c r="F176" i="17"/>
  <c r="K176" i="17" s="1"/>
  <c r="E176" i="17"/>
  <c r="L175" i="17"/>
  <c r="J175" i="17"/>
  <c r="F175" i="17"/>
  <c r="K175" i="17" s="1"/>
  <c r="E175" i="17"/>
  <c r="I174" i="17"/>
  <c r="J174" i="17" s="1"/>
  <c r="F174" i="17"/>
  <c r="K174" i="17" s="1"/>
  <c r="L174" i="17" s="1"/>
  <c r="E174" i="17"/>
  <c r="K173" i="17"/>
  <c r="L173" i="17" s="1"/>
  <c r="J173" i="17"/>
  <c r="F173" i="17"/>
  <c r="E173" i="17"/>
  <c r="I172" i="17"/>
  <c r="J172" i="17" s="1"/>
  <c r="E172" i="17"/>
  <c r="F172" i="17" s="1"/>
  <c r="K172" i="17" s="1"/>
  <c r="L172" i="17" s="1"/>
  <c r="I171" i="17"/>
  <c r="J171" i="17" s="1"/>
  <c r="E171" i="17"/>
  <c r="F171" i="17" s="1"/>
  <c r="K171" i="17" s="1"/>
  <c r="L171" i="17" s="1"/>
  <c r="J170" i="17"/>
  <c r="F170" i="17"/>
  <c r="K170" i="17" s="1"/>
  <c r="L170" i="17" s="1"/>
  <c r="E170" i="17"/>
  <c r="I169" i="17"/>
  <c r="J169" i="17" s="1"/>
  <c r="F169" i="17"/>
  <c r="K169" i="17" s="1"/>
  <c r="L169" i="17" s="1"/>
  <c r="E169" i="17"/>
  <c r="J168" i="17"/>
  <c r="I168" i="17"/>
  <c r="E168" i="17"/>
  <c r="F168" i="17" s="1"/>
  <c r="K168" i="17" s="1"/>
  <c r="L168" i="17" s="1"/>
  <c r="K167" i="17"/>
  <c r="L167" i="17" s="1"/>
  <c r="J167" i="17"/>
  <c r="E167" i="17"/>
  <c r="F167" i="17" s="1"/>
  <c r="J166" i="17"/>
  <c r="E166" i="17"/>
  <c r="F166" i="17" s="1"/>
  <c r="K166" i="17" s="1"/>
  <c r="L166" i="17" s="1"/>
  <c r="J165" i="17"/>
  <c r="E165" i="17"/>
  <c r="F165" i="17" s="1"/>
  <c r="K165" i="17" s="1"/>
  <c r="L165" i="17" s="1"/>
  <c r="J164" i="17"/>
  <c r="I164" i="17"/>
  <c r="E164" i="17"/>
  <c r="K154" i="17"/>
  <c r="L154" i="17" s="1"/>
  <c r="J154" i="17"/>
  <c r="F154" i="17"/>
  <c r="E154" i="17"/>
  <c r="K153" i="17"/>
  <c r="L153" i="17" s="1"/>
  <c r="I153" i="17"/>
  <c r="J153" i="17" s="1"/>
  <c r="E153" i="17"/>
  <c r="F153" i="17" s="1"/>
  <c r="I152" i="17"/>
  <c r="J152" i="17" s="1"/>
  <c r="F152" i="17"/>
  <c r="E152" i="17"/>
  <c r="J151" i="17"/>
  <c r="K151" i="17" s="1"/>
  <c r="L151" i="17" s="1"/>
  <c r="E151" i="17"/>
  <c r="F151" i="17" s="1"/>
  <c r="J150" i="17"/>
  <c r="E150" i="17"/>
  <c r="F150" i="17" s="1"/>
  <c r="K150" i="17" s="1"/>
  <c r="L150" i="17" s="1"/>
  <c r="K149" i="17"/>
  <c r="L149" i="17" s="1"/>
  <c r="J149" i="17"/>
  <c r="F149" i="17"/>
  <c r="E149" i="17"/>
  <c r="J148" i="17"/>
  <c r="F148" i="17"/>
  <c r="K148" i="17" s="1"/>
  <c r="L148" i="17" s="1"/>
  <c r="E148" i="17"/>
  <c r="L147" i="17"/>
  <c r="K147" i="17"/>
  <c r="J147" i="17"/>
  <c r="F147" i="17"/>
  <c r="E147" i="17"/>
  <c r="I146" i="17"/>
  <c r="J146" i="17" s="1"/>
  <c r="F146" i="17"/>
  <c r="K146" i="17" s="1"/>
  <c r="L146" i="17" s="1"/>
  <c r="E146" i="17"/>
  <c r="J145" i="17"/>
  <c r="F145" i="17"/>
  <c r="K145" i="17" s="1"/>
  <c r="L145" i="17" s="1"/>
  <c r="E145" i="17"/>
  <c r="J144" i="17"/>
  <c r="K144" i="17" s="1"/>
  <c r="L144" i="17" s="1"/>
  <c r="I144" i="17"/>
  <c r="E144" i="17"/>
  <c r="F144" i="17" s="1"/>
  <c r="K143" i="17"/>
  <c r="L143" i="17" s="1"/>
  <c r="J143" i="17"/>
  <c r="I143" i="17"/>
  <c r="E143" i="17"/>
  <c r="F143" i="17" s="1"/>
  <c r="I142" i="17"/>
  <c r="J142" i="17" s="1"/>
  <c r="E142" i="17"/>
  <c r="F142" i="17" s="1"/>
  <c r="K142" i="17" s="1"/>
  <c r="L142" i="17" s="1"/>
  <c r="K141" i="17"/>
  <c r="L141" i="17" s="1"/>
  <c r="J141" i="17"/>
  <c r="F141" i="17"/>
  <c r="E141" i="17"/>
  <c r="K140" i="17"/>
  <c r="L140" i="17" s="1"/>
  <c r="J140" i="17"/>
  <c r="I140" i="17"/>
  <c r="F140" i="17"/>
  <c r="E140" i="17"/>
  <c r="J139" i="17"/>
  <c r="F139" i="17"/>
  <c r="K139" i="17" s="1"/>
  <c r="L139" i="17" s="1"/>
  <c r="E139" i="17"/>
  <c r="K138" i="17"/>
  <c r="L138" i="17" s="1"/>
  <c r="J138" i="17"/>
  <c r="F138" i="17"/>
  <c r="E138" i="17"/>
  <c r="K137" i="17"/>
  <c r="L137" i="17" s="1"/>
  <c r="J137" i="17"/>
  <c r="E137" i="17"/>
  <c r="F137" i="17" s="1"/>
  <c r="J136" i="17"/>
  <c r="E136" i="17"/>
  <c r="F136" i="17" s="1"/>
  <c r="K136" i="17" s="1"/>
  <c r="L136" i="17" s="1"/>
  <c r="K135" i="17"/>
  <c r="L135" i="17" s="1"/>
  <c r="J135" i="17"/>
  <c r="I135" i="17"/>
  <c r="F135" i="17"/>
  <c r="E135" i="17"/>
  <c r="I134" i="17"/>
  <c r="J134" i="17" s="1"/>
  <c r="K134" i="17" s="1"/>
  <c r="L134" i="17" s="1"/>
  <c r="F134" i="17"/>
  <c r="E134" i="17"/>
  <c r="L133" i="17"/>
  <c r="J133" i="17"/>
  <c r="E133" i="17"/>
  <c r="F133" i="17" s="1"/>
  <c r="K133" i="17" s="1"/>
  <c r="I132" i="17"/>
  <c r="J132" i="17" s="1"/>
  <c r="F132" i="17"/>
  <c r="E132" i="17"/>
  <c r="J131" i="17"/>
  <c r="K131" i="17" s="1"/>
  <c r="L131" i="17" s="1"/>
  <c r="I131" i="17"/>
  <c r="E131" i="17"/>
  <c r="F131" i="17" s="1"/>
  <c r="J130" i="17"/>
  <c r="I130" i="17"/>
  <c r="E130" i="17"/>
  <c r="F130" i="17" s="1"/>
  <c r="K130" i="17" s="1"/>
  <c r="L130" i="17" s="1"/>
  <c r="I129" i="17"/>
  <c r="J129" i="17" s="1"/>
  <c r="K129" i="17" s="1"/>
  <c r="L129" i="17" s="1"/>
  <c r="F129" i="17"/>
  <c r="E129" i="17"/>
  <c r="I128" i="17"/>
  <c r="J128" i="17" s="1"/>
  <c r="F128" i="17"/>
  <c r="K128" i="17" s="1"/>
  <c r="L128" i="17" s="1"/>
  <c r="E128" i="17"/>
  <c r="K127" i="17"/>
  <c r="L127" i="17" s="1"/>
  <c r="J127" i="17"/>
  <c r="I127" i="17"/>
  <c r="E127" i="17"/>
  <c r="F127" i="17" s="1"/>
  <c r="I126" i="17"/>
  <c r="J126" i="17" s="1"/>
  <c r="K126" i="17" s="1"/>
  <c r="L126" i="17" s="1"/>
  <c r="F126" i="17"/>
  <c r="E126" i="17"/>
  <c r="J125" i="17"/>
  <c r="E125" i="17"/>
  <c r="F125" i="17" s="1"/>
  <c r="K125" i="17" s="1"/>
  <c r="L125" i="17" s="1"/>
  <c r="J124" i="17"/>
  <c r="K124" i="17" s="1"/>
  <c r="L124" i="17" s="1"/>
  <c r="E124" i="17"/>
  <c r="F124" i="17" s="1"/>
  <c r="J123" i="17"/>
  <c r="F123" i="17"/>
  <c r="K123" i="17" s="1"/>
  <c r="L123" i="17" s="1"/>
  <c r="E123" i="17"/>
  <c r="J122" i="17"/>
  <c r="F122" i="17"/>
  <c r="E122" i="17"/>
  <c r="K121" i="17"/>
  <c r="L121" i="17" s="1"/>
  <c r="J121" i="17"/>
  <c r="F121" i="17"/>
  <c r="E121" i="17"/>
  <c r="J120" i="17"/>
  <c r="E120" i="17"/>
  <c r="F120" i="17" s="1"/>
  <c r="K120" i="17" s="1"/>
  <c r="L120" i="17" s="1"/>
  <c r="J119" i="17"/>
  <c r="F119" i="17"/>
  <c r="K119" i="17" s="1"/>
  <c r="L119" i="17" s="1"/>
  <c r="E119" i="17"/>
  <c r="J118" i="17"/>
  <c r="I118" i="17"/>
  <c r="F118" i="17"/>
  <c r="E118" i="17"/>
  <c r="E156" i="17" s="1"/>
  <c r="L110" i="17"/>
  <c r="J110" i="17"/>
  <c r="I110" i="17"/>
  <c r="F110" i="17"/>
  <c r="K110" i="17" s="1"/>
  <c r="E110" i="17"/>
  <c r="J109" i="17"/>
  <c r="F109" i="17"/>
  <c r="K109" i="17" s="1"/>
  <c r="L109" i="17" s="1"/>
  <c r="E109" i="17"/>
  <c r="K108" i="17"/>
  <c r="L108" i="17" s="1"/>
  <c r="J108" i="17"/>
  <c r="F108" i="17"/>
  <c r="E108" i="17"/>
  <c r="J107" i="17"/>
  <c r="K107" i="17" s="1"/>
  <c r="L107" i="17" s="1"/>
  <c r="I107" i="17"/>
  <c r="F107" i="17"/>
  <c r="E107" i="17"/>
  <c r="I106" i="17"/>
  <c r="J106" i="17" s="1"/>
  <c r="F106" i="17"/>
  <c r="E106" i="17"/>
  <c r="J105" i="17"/>
  <c r="E105" i="17"/>
  <c r="F105" i="17" s="1"/>
  <c r="K105" i="17" s="1"/>
  <c r="L105" i="17" s="1"/>
  <c r="K104" i="17"/>
  <c r="L104" i="17" s="1"/>
  <c r="J104" i="17"/>
  <c r="E104" i="17"/>
  <c r="F104" i="17" s="1"/>
  <c r="J103" i="17"/>
  <c r="F103" i="17"/>
  <c r="K103" i="17" s="1"/>
  <c r="L103" i="17" s="1"/>
  <c r="E103" i="17"/>
  <c r="J102" i="17"/>
  <c r="K102" i="17" s="1"/>
  <c r="L102" i="17" s="1"/>
  <c r="F102" i="17"/>
  <c r="E102" i="17"/>
  <c r="K101" i="17"/>
  <c r="L101" i="17" s="1"/>
  <c r="J101" i="17"/>
  <c r="E101" i="17"/>
  <c r="F101" i="17" s="1"/>
  <c r="K100" i="17"/>
  <c r="L100" i="17" s="1"/>
  <c r="J100" i="17"/>
  <c r="F100" i="17"/>
  <c r="E100" i="17"/>
  <c r="I99" i="17"/>
  <c r="J99" i="17" s="1"/>
  <c r="E99" i="17"/>
  <c r="F99" i="17" s="1"/>
  <c r="K99" i="17" s="1"/>
  <c r="L99" i="17" s="1"/>
  <c r="L98" i="17"/>
  <c r="J98" i="17"/>
  <c r="E98" i="17"/>
  <c r="F98" i="17" s="1"/>
  <c r="K98" i="17" s="1"/>
  <c r="L97" i="17"/>
  <c r="J97" i="17"/>
  <c r="I97" i="17"/>
  <c r="F97" i="17"/>
  <c r="K97" i="17" s="1"/>
  <c r="E97" i="17"/>
  <c r="I96" i="17"/>
  <c r="J96" i="17" s="1"/>
  <c r="F96" i="17"/>
  <c r="K96" i="17" s="1"/>
  <c r="L96" i="17" s="1"/>
  <c r="E96" i="17"/>
  <c r="I95" i="17"/>
  <c r="J95" i="17" s="1"/>
  <c r="E95" i="17"/>
  <c r="F95" i="17" s="1"/>
  <c r="K95" i="17" s="1"/>
  <c r="L95" i="17" s="1"/>
  <c r="J94" i="17"/>
  <c r="K94" i="17" s="1"/>
  <c r="L94" i="17" s="1"/>
  <c r="I94" i="17"/>
  <c r="E94" i="17"/>
  <c r="F94" i="17" s="1"/>
  <c r="J93" i="17"/>
  <c r="E93" i="17"/>
  <c r="F93" i="17" s="1"/>
  <c r="K93" i="17" s="1"/>
  <c r="L93" i="17" s="1"/>
  <c r="J92" i="17"/>
  <c r="F92" i="17"/>
  <c r="E92" i="17"/>
  <c r="J91" i="17"/>
  <c r="F91" i="17"/>
  <c r="K91" i="17" s="1"/>
  <c r="L91" i="17" s="1"/>
  <c r="E91" i="17"/>
  <c r="K90" i="17"/>
  <c r="L90" i="17" s="1"/>
  <c r="J90" i="17"/>
  <c r="I90" i="17"/>
  <c r="F90" i="17"/>
  <c r="E90" i="17"/>
  <c r="J89" i="17"/>
  <c r="I89" i="17"/>
  <c r="F89" i="17"/>
  <c r="E89" i="17"/>
  <c r="J88" i="17"/>
  <c r="E88" i="17"/>
  <c r="F88" i="17" s="1"/>
  <c r="K88" i="17" s="1"/>
  <c r="L88" i="17" s="1"/>
  <c r="K87" i="17"/>
  <c r="L87" i="17" s="1"/>
  <c r="J87" i="17"/>
  <c r="F87" i="17"/>
  <c r="E87" i="17"/>
  <c r="J86" i="17"/>
  <c r="I86" i="17"/>
  <c r="E86" i="17"/>
  <c r="F86" i="17" s="1"/>
  <c r="K86" i="17" s="1"/>
  <c r="L86" i="17" s="1"/>
  <c r="J85" i="17"/>
  <c r="I85" i="17"/>
  <c r="E85" i="17"/>
  <c r="F85" i="17" s="1"/>
  <c r="K85" i="17" s="1"/>
  <c r="L85" i="17" s="1"/>
  <c r="J84" i="17"/>
  <c r="K84" i="17" s="1"/>
  <c r="L84" i="17" s="1"/>
  <c r="F84" i="17"/>
  <c r="E84" i="17"/>
  <c r="I83" i="17"/>
  <c r="J83" i="17" s="1"/>
  <c r="E83" i="17"/>
  <c r="F83" i="17" s="1"/>
  <c r="K83" i="17" s="1"/>
  <c r="L83" i="17" s="1"/>
  <c r="J82" i="17"/>
  <c r="F82" i="17"/>
  <c r="K82" i="17" s="1"/>
  <c r="L82" i="17" s="1"/>
  <c r="E82" i="17"/>
  <c r="I81" i="17"/>
  <c r="J81" i="17" s="1"/>
  <c r="K81" i="17" s="1"/>
  <c r="L81" i="17" s="1"/>
  <c r="F81" i="17"/>
  <c r="E81" i="17"/>
  <c r="L80" i="17"/>
  <c r="K80" i="17"/>
  <c r="J80" i="17"/>
  <c r="F80" i="17"/>
  <c r="E80" i="17"/>
  <c r="J79" i="17"/>
  <c r="E79" i="17"/>
  <c r="F79" i="17" s="1"/>
  <c r="I71" i="17"/>
  <c r="J71" i="17" s="1"/>
  <c r="F71" i="17"/>
  <c r="E71" i="17"/>
  <c r="L70" i="17"/>
  <c r="K70" i="17"/>
  <c r="J70" i="17"/>
  <c r="I70" i="17"/>
  <c r="E70" i="17"/>
  <c r="F70" i="17" s="1"/>
  <c r="L69" i="17"/>
  <c r="K69" i="17"/>
  <c r="J69" i="17"/>
  <c r="I69" i="17"/>
  <c r="F69" i="17"/>
  <c r="E69" i="17"/>
  <c r="I68" i="17"/>
  <c r="J68" i="17" s="1"/>
  <c r="F68" i="17"/>
  <c r="K68" i="17" s="1"/>
  <c r="L68" i="17" s="1"/>
  <c r="E68" i="17"/>
  <c r="L67" i="17"/>
  <c r="J67" i="17"/>
  <c r="I67" i="17"/>
  <c r="F67" i="17"/>
  <c r="K67" i="17" s="1"/>
  <c r="E67" i="17"/>
  <c r="K66" i="17"/>
  <c r="L66" i="17" s="1"/>
  <c r="J66" i="17"/>
  <c r="E66" i="17"/>
  <c r="F66" i="17" s="1"/>
  <c r="J65" i="17"/>
  <c r="I65" i="17"/>
  <c r="F65" i="17"/>
  <c r="E65" i="17"/>
  <c r="J64" i="17"/>
  <c r="K64" i="17" s="1"/>
  <c r="L64" i="17" s="1"/>
  <c r="F64" i="17"/>
  <c r="E64" i="17"/>
  <c r="L63" i="17"/>
  <c r="J63" i="17"/>
  <c r="E63" i="17"/>
  <c r="F63" i="17" s="1"/>
  <c r="K63" i="17" s="1"/>
  <c r="J62" i="17"/>
  <c r="E62" i="17"/>
  <c r="F62" i="17" s="1"/>
  <c r="K62" i="17" s="1"/>
  <c r="L62" i="17" s="1"/>
  <c r="L61" i="17"/>
  <c r="J61" i="17"/>
  <c r="F61" i="17"/>
  <c r="K61" i="17" s="1"/>
  <c r="E61" i="17"/>
  <c r="L60" i="17"/>
  <c r="J60" i="17"/>
  <c r="F60" i="17"/>
  <c r="K60" i="17" s="1"/>
  <c r="E60" i="17"/>
  <c r="J59" i="17"/>
  <c r="F59" i="17"/>
  <c r="K59" i="17" s="1"/>
  <c r="L59" i="17" s="1"/>
  <c r="E59" i="17"/>
  <c r="I58" i="17"/>
  <c r="J58" i="17" s="1"/>
  <c r="E58" i="17"/>
  <c r="F58" i="17" s="1"/>
  <c r="K58" i="17" s="1"/>
  <c r="L58" i="17" s="1"/>
  <c r="J57" i="17"/>
  <c r="I57" i="17"/>
  <c r="E57" i="17"/>
  <c r="F57" i="17" s="1"/>
  <c r="K57" i="17" s="1"/>
  <c r="L57" i="17" s="1"/>
  <c r="J56" i="17"/>
  <c r="E56" i="17"/>
  <c r="F56" i="17" s="1"/>
  <c r="K56" i="17" s="1"/>
  <c r="L56" i="17" s="1"/>
  <c r="I55" i="17"/>
  <c r="J55" i="17" s="1"/>
  <c r="F55" i="17"/>
  <c r="K55" i="17" s="1"/>
  <c r="L55" i="17" s="1"/>
  <c r="E55" i="17"/>
  <c r="K54" i="17"/>
  <c r="L54" i="17" s="1"/>
  <c r="J54" i="17"/>
  <c r="E54" i="17"/>
  <c r="F54" i="17" s="1"/>
  <c r="I53" i="17"/>
  <c r="J53" i="17" s="1"/>
  <c r="F53" i="17"/>
  <c r="K53" i="17" s="1"/>
  <c r="L53" i="17" s="1"/>
  <c r="E53" i="17"/>
  <c r="K52" i="17"/>
  <c r="L52" i="17" s="1"/>
  <c r="J52" i="17"/>
  <c r="I52" i="17"/>
  <c r="F52" i="17"/>
  <c r="E52" i="17"/>
  <c r="I51" i="17"/>
  <c r="J51" i="17" s="1"/>
  <c r="F51" i="17"/>
  <c r="K51" i="17" s="1"/>
  <c r="L51" i="17" s="1"/>
  <c r="E51" i="17"/>
  <c r="J50" i="17"/>
  <c r="I50" i="17"/>
  <c r="E50" i="17"/>
  <c r="F50" i="17" s="1"/>
  <c r="K50" i="17" s="1"/>
  <c r="L50" i="17" s="1"/>
  <c r="J49" i="17"/>
  <c r="I49" i="17"/>
  <c r="E49" i="17"/>
  <c r="F49" i="17" s="1"/>
  <c r="K49" i="17" s="1"/>
  <c r="L49" i="17" s="1"/>
  <c r="J48" i="17"/>
  <c r="F48" i="17"/>
  <c r="K48" i="17" s="1"/>
  <c r="L48" i="17" s="1"/>
  <c r="E48" i="17"/>
  <c r="J47" i="17"/>
  <c r="E47" i="17"/>
  <c r="I37" i="17"/>
  <c r="J37" i="17" s="1"/>
  <c r="E37" i="17"/>
  <c r="F37" i="17" s="1"/>
  <c r="K37" i="17" s="1"/>
  <c r="L37" i="17" s="1"/>
  <c r="J36" i="17"/>
  <c r="K36" i="17" s="1"/>
  <c r="L36" i="17" s="1"/>
  <c r="I36" i="17"/>
  <c r="E36" i="17"/>
  <c r="F36" i="17" s="1"/>
  <c r="I35" i="17"/>
  <c r="J35" i="17" s="1"/>
  <c r="E35" i="17"/>
  <c r="F35" i="17" s="1"/>
  <c r="K35" i="17" s="1"/>
  <c r="L35" i="17" s="1"/>
  <c r="I34" i="17"/>
  <c r="J34" i="17" s="1"/>
  <c r="E34" i="17"/>
  <c r="F34" i="17" s="1"/>
  <c r="K34" i="17" s="1"/>
  <c r="L34" i="17" s="1"/>
  <c r="I33" i="17"/>
  <c r="J33" i="17" s="1"/>
  <c r="K33" i="17" s="1"/>
  <c r="L33" i="17" s="1"/>
  <c r="F33" i="17"/>
  <c r="E33" i="17"/>
  <c r="K32" i="17"/>
  <c r="L32" i="17" s="1"/>
  <c r="J32" i="17"/>
  <c r="I32" i="17"/>
  <c r="E32" i="17"/>
  <c r="F32" i="17" s="1"/>
  <c r="L31" i="17"/>
  <c r="J31" i="17"/>
  <c r="F31" i="17"/>
  <c r="K31" i="17" s="1"/>
  <c r="E31" i="17"/>
  <c r="J30" i="17"/>
  <c r="E30" i="17"/>
  <c r="F30" i="17" s="1"/>
  <c r="K30" i="17" s="1"/>
  <c r="L30" i="17" s="1"/>
  <c r="J29" i="17"/>
  <c r="I29" i="17"/>
  <c r="E29" i="17"/>
  <c r="F29" i="17" s="1"/>
  <c r="J28" i="17"/>
  <c r="K28" i="17" s="1"/>
  <c r="L28" i="17" s="1"/>
  <c r="F28" i="17"/>
  <c r="E28" i="17"/>
  <c r="I27" i="17"/>
  <c r="J27" i="17" s="1"/>
  <c r="E27" i="17"/>
  <c r="F27" i="17" s="1"/>
  <c r="J26" i="17"/>
  <c r="I26" i="17"/>
  <c r="F26" i="17"/>
  <c r="K26" i="17" s="1"/>
  <c r="L26" i="17" s="1"/>
  <c r="E26" i="17"/>
  <c r="J25" i="17"/>
  <c r="K25" i="17" s="1"/>
  <c r="L25" i="17" s="1"/>
  <c r="I25" i="17"/>
  <c r="F25" i="17"/>
  <c r="E25" i="17"/>
  <c r="L24" i="17"/>
  <c r="J24" i="17"/>
  <c r="I24" i="17"/>
  <c r="F24" i="17"/>
  <c r="K24" i="17" s="1"/>
  <c r="E24" i="17"/>
  <c r="J23" i="17"/>
  <c r="E23" i="17"/>
  <c r="F23" i="17" s="1"/>
  <c r="K23" i="17" s="1"/>
  <c r="L23" i="17" s="1"/>
  <c r="K22" i="17"/>
  <c r="L22" i="17" s="1"/>
  <c r="J22" i="17"/>
  <c r="F22" i="17"/>
  <c r="E22" i="17"/>
  <c r="K21" i="17"/>
  <c r="L21" i="17" s="1"/>
  <c r="J21" i="17"/>
  <c r="E21" i="17"/>
  <c r="F21" i="17" s="1"/>
  <c r="J20" i="17"/>
  <c r="F20" i="17"/>
  <c r="K20" i="17" s="1"/>
  <c r="L20" i="17" s="1"/>
  <c r="E20" i="17"/>
  <c r="L19" i="17"/>
  <c r="K19" i="17"/>
  <c r="J19" i="17"/>
  <c r="F19" i="17"/>
  <c r="E19" i="17"/>
  <c r="I18" i="17"/>
  <c r="J18" i="17" s="1"/>
  <c r="E18" i="17"/>
  <c r="F18" i="17" s="1"/>
  <c r="I17" i="17"/>
  <c r="J17" i="17" s="1"/>
  <c r="E17" i="17"/>
  <c r="F17" i="17" s="1"/>
  <c r="K17" i="17" s="1"/>
  <c r="L17" i="17" s="1"/>
  <c r="I16" i="17"/>
  <c r="J16" i="17" s="1"/>
  <c r="E16" i="17"/>
  <c r="F16" i="17" s="1"/>
  <c r="K16" i="17" s="1"/>
  <c r="L16" i="17" s="1"/>
  <c r="I15" i="17"/>
  <c r="J15" i="17" s="1"/>
  <c r="E15" i="17"/>
  <c r="F15" i="17" s="1"/>
  <c r="K14" i="17"/>
  <c r="L14" i="17" s="1"/>
  <c r="J14" i="17"/>
  <c r="I14" i="17"/>
  <c r="E14" i="17"/>
  <c r="F14" i="17" s="1"/>
  <c r="I13" i="17"/>
  <c r="J13" i="17" s="1"/>
  <c r="E13" i="17"/>
  <c r="F13" i="17" s="1"/>
  <c r="K13" i="17" s="1"/>
  <c r="L13" i="17" s="1"/>
  <c r="I12" i="17"/>
  <c r="J12" i="17" s="1"/>
  <c r="E12" i="17"/>
  <c r="F12" i="17" s="1"/>
  <c r="K11" i="17"/>
  <c r="L11" i="17" s="1"/>
  <c r="J11" i="17"/>
  <c r="F11" i="17"/>
  <c r="E11" i="17"/>
  <c r="I10" i="17"/>
  <c r="J10" i="17" s="1"/>
  <c r="E10" i="17"/>
  <c r="F10" i="17" s="1"/>
  <c r="K10" i="17" s="1"/>
  <c r="L10" i="17" s="1"/>
  <c r="J9" i="17"/>
  <c r="I9" i="17"/>
  <c r="E9" i="17"/>
  <c r="F9" i="17" s="1"/>
  <c r="K9" i="17" s="1"/>
  <c r="L9" i="17" s="1"/>
  <c r="J8" i="17"/>
  <c r="K8" i="17" s="1"/>
  <c r="L8" i="17" s="1"/>
  <c r="F8" i="17"/>
  <c r="E8" i="17"/>
  <c r="J7" i="17"/>
  <c r="F7" i="17"/>
  <c r="E7" i="17"/>
  <c r="K6" i="17"/>
  <c r="L6" i="17" s="1"/>
  <c r="J6" i="17"/>
  <c r="E6" i="17"/>
  <c r="F6" i="17" s="1"/>
  <c r="J293" i="16"/>
  <c r="F293" i="16"/>
  <c r="K293" i="16" s="1"/>
  <c r="L293" i="16" s="1"/>
  <c r="E293" i="16"/>
  <c r="K292" i="16"/>
  <c r="L292" i="16" s="1"/>
  <c r="J292" i="16"/>
  <c r="F292" i="16"/>
  <c r="E292" i="16"/>
  <c r="J291" i="16"/>
  <c r="E291" i="16"/>
  <c r="F291" i="16" s="1"/>
  <c r="K291" i="16" s="1"/>
  <c r="L291" i="16" s="1"/>
  <c r="K290" i="16"/>
  <c r="L290" i="16" s="1"/>
  <c r="J290" i="16"/>
  <c r="E290" i="16"/>
  <c r="F290" i="16" s="1"/>
  <c r="J289" i="16"/>
  <c r="K289" i="16" s="1"/>
  <c r="L289" i="16" s="1"/>
  <c r="E289" i="16"/>
  <c r="F289" i="16" s="1"/>
  <c r="L288" i="16"/>
  <c r="J288" i="16"/>
  <c r="E288" i="16"/>
  <c r="F288" i="16" s="1"/>
  <c r="K288" i="16" s="1"/>
  <c r="J287" i="16"/>
  <c r="F287" i="16"/>
  <c r="K287" i="16" s="1"/>
  <c r="L287" i="16" s="1"/>
  <c r="E287" i="16"/>
  <c r="J286" i="16"/>
  <c r="F286" i="16"/>
  <c r="E286" i="16"/>
  <c r="J285" i="16"/>
  <c r="K285" i="16" s="1"/>
  <c r="L285" i="16" s="1"/>
  <c r="I285" i="16"/>
  <c r="E285" i="16"/>
  <c r="F285" i="16" s="1"/>
  <c r="J284" i="16"/>
  <c r="E284" i="16"/>
  <c r="J275" i="16"/>
  <c r="E275" i="16"/>
  <c r="K274" i="16"/>
  <c r="L274" i="16" s="1"/>
  <c r="J274" i="16"/>
  <c r="E274" i="16"/>
  <c r="J273" i="16"/>
  <c r="E273" i="16"/>
  <c r="K273" i="16" s="1"/>
  <c r="L273" i="16" s="1"/>
  <c r="J272" i="16"/>
  <c r="E272" i="16"/>
  <c r="J271" i="16"/>
  <c r="E271" i="16"/>
  <c r="K271" i="16" s="1"/>
  <c r="L271" i="16" s="1"/>
  <c r="J270" i="16"/>
  <c r="E270" i="16"/>
  <c r="K270" i="16" s="1"/>
  <c r="L270" i="16" s="1"/>
  <c r="J269" i="16"/>
  <c r="E269" i="16"/>
  <c r="J268" i="16"/>
  <c r="K268" i="16" s="1"/>
  <c r="L268" i="16" s="1"/>
  <c r="E268" i="16"/>
  <c r="J267" i="16"/>
  <c r="E267" i="16"/>
  <c r="J266" i="16"/>
  <c r="E266" i="16"/>
  <c r="K266" i="16" s="1"/>
  <c r="L266" i="16" s="1"/>
  <c r="J265" i="16"/>
  <c r="E265" i="16"/>
  <c r="K265" i="16" s="1"/>
  <c r="L265" i="16" s="1"/>
  <c r="L264" i="16"/>
  <c r="J264" i="16"/>
  <c r="E264" i="16"/>
  <c r="K264" i="16" s="1"/>
  <c r="J263" i="16"/>
  <c r="E263" i="16"/>
  <c r="K263" i="16" s="1"/>
  <c r="L263" i="16" s="1"/>
  <c r="K262" i="16"/>
  <c r="L262" i="16" s="1"/>
  <c r="J262" i="16"/>
  <c r="E262" i="16"/>
  <c r="I261" i="16"/>
  <c r="J261" i="16" s="1"/>
  <c r="E261" i="16"/>
  <c r="K261" i="16" s="1"/>
  <c r="L261" i="16" s="1"/>
  <c r="K260" i="16"/>
  <c r="L260" i="16" s="1"/>
  <c r="J260" i="16"/>
  <c r="E260" i="16"/>
  <c r="J259" i="16"/>
  <c r="E259" i="16"/>
  <c r="K259" i="16" s="1"/>
  <c r="L259" i="16" s="1"/>
  <c r="L258" i="16"/>
  <c r="J258" i="16"/>
  <c r="K258" i="16" s="1"/>
  <c r="E258" i="16"/>
  <c r="E277" i="16" s="1"/>
  <c r="K250" i="16"/>
  <c r="L250" i="16" s="1"/>
  <c r="J250" i="16"/>
  <c r="I250" i="16"/>
  <c r="E250" i="16"/>
  <c r="J249" i="16"/>
  <c r="E249" i="16"/>
  <c r="J248" i="16"/>
  <c r="E248" i="16"/>
  <c r="K248" i="16" s="1"/>
  <c r="L248" i="16" s="1"/>
  <c r="J247" i="16"/>
  <c r="E247" i="16"/>
  <c r="K247" i="16" s="1"/>
  <c r="L247" i="16" s="1"/>
  <c r="I246" i="16"/>
  <c r="J246" i="16" s="1"/>
  <c r="K246" i="16" s="1"/>
  <c r="L246" i="16" s="1"/>
  <c r="E246" i="16"/>
  <c r="J245" i="16"/>
  <c r="E245" i="16"/>
  <c r="K237" i="16"/>
  <c r="L237" i="16" s="1"/>
  <c r="J237" i="16"/>
  <c r="E237" i="16"/>
  <c r="F237" i="16" s="1"/>
  <c r="J236" i="16"/>
  <c r="E236" i="16"/>
  <c r="F236" i="16" s="1"/>
  <c r="K236" i="16" s="1"/>
  <c r="L236" i="16" s="1"/>
  <c r="J235" i="16"/>
  <c r="F235" i="16"/>
  <c r="K235" i="16" s="1"/>
  <c r="L235" i="16" s="1"/>
  <c r="E235" i="16"/>
  <c r="J234" i="16"/>
  <c r="F234" i="16"/>
  <c r="K234" i="16" s="1"/>
  <c r="L234" i="16" s="1"/>
  <c r="E234" i="16"/>
  <c r="J233" i="16"/>
  <c r="K233" i="16" s="1"/>
  <c r="L233" i="16" s="1"/>
  <c r="E233" i="16"/>
  <c r="F233" i="16" s="1"/>
  <c r="J232" i="16"/>
  <c r="E232" i="16"/>
  <c r="F232" i="16" s="1"/>
  <c r="K232" i="16" s="1"/>
  <c r="L232" i="16" s="1"/>
  <c r="J231" i="16"/>
  <c r="F231" i="16"/>
  <c r="K231" i="16" s="1"/>
  <c r="L231" i="16" s="1"/>
  <c r="E231" i="16"/>
  <c r="J230" i="16"/>
  <c r="F230" i="16"/>
  <c r="K230" i="16" s="1"/>
  <c r="L230" i="16" s="1"/>
  <c r="E230" i="16"/>
  <c r="K229" i="16"/>
  <c r="L229" i="16" s="1"/>
  <c r="J229" i="16"/>
  <c r="F229" i="16"/>
  <c r="E229" i="16"/>
  <c r="K228" i="16"/>
  <c r="L228" i="16" s="1"/>
  <c r="J228" i="16"/>
  <c r="E228" i="16"/>
  <c r="F228" i="16" s="1"/>
  <c r="L227" i="16"/>
  <c r="J227" i="16"/>
  <c r="E227" i="16"/>
  <c r="F227" i="16" s="1"/>
  <c r="K227" i="16" s="1"/>
  <c r="J226" i="16"/>
  <c r="E226" i="16"/>
  <c r="J218" i="16"/>
  <c r="E218" i="16"/>
  <c r="K218" i="16" s="1"/>
  <c r="L218" i="16" s="1"/>
  <c r="K217" i="16"/>
  <c r="L217" i="16" s="1"/>
  <c r="J217" i="16"/>
  <c r="I217" i="16"/>
  <c r="E217" i="16"/>
  <c r="J216" i="16"/>
  <c r="I216" i="16"/>
  <c r="E216" i="16"/>
  <c r="K216" i="16" s="1"/>
  <c r="L216" i="16" s="1"/>
  <c r="L215" i="16"/>
  <c r="J215" i="16"/>
  <c r="E215" i="16"/>
  <c r="K215" i="16" s="1"/>
  <c r="I214" i="16"/>
  <c r="J214" i="16" s="1"/>
  <c r="K214" i="16" s="1"/>
  <c r="L214" i="16" s="1"/>
  <c r="E214" i="16"/>
  <c r="J213" i="16"/>
  <c r="E213" i="16"/>
  <c r="J212" i="16"/>
  <c r="E212" i="16"/>
  <c r="K212" i="16" s="1"/>
  <c r="L212" i="16" s="1"/>
  <c r="L211" i="16"/>
  <c r="J211" i="16"/>
  <c r="E211" i="16"/>
  <c r="K211" i="16" s="1"/>
  <c r="K210" i="16"/>
  <c r="L210" i="16" s="1"/>
  <c r="J210" i="16"/>
  <c r="E210" i="16"/>
  <c r="J209" i="16"/>
  <c r="E209" i="16"/>
  <c r="J208" i="16"/>
  <c r="E208" i="16"/>
  <c r="K208" i="16" s="1"/>
  <c r="L208" i="16" s="1"/>
  <c r="J207" i="16"/>
  <c r="I207" i="16"/>
  <c r="E207" i="16"/>
  <c r="J206" i="16"/>
  <c r="E206" i="16"/>
  <c r="K206" i="16" s="1"/>
  <c r="L206" i="16" s="1"/>
  <c r="J205" i="16"/>
  <c r="K205" i="16" s="1"/>
  <c r="L205" i="16" s="1"/>
  <c r="I205" i="16"/>
  <c r="E205" i="16"/>
  <c r="J204" i="16"/>
  <c r="K204" i="16" s="1"/>
  <c r="L204" i="16" s="1"/>
  <c r="E204" i="16"/>
  <c r="J203" i="16"/>
  <c r="K203" i="16" s="1"/>
  <c r="L203" i="16" s="1"/>
  <c r="I203" i="16"/>
  <c r="E203" i="16"/>
  <c r="I202" i="16"/>
  <c r="J202" i="16" s="1"/>
  <c r="K202" i="16" s="1"/>
  <c r="L202" i="16" s="1"/>
  <c r="E202" i="16"/>
  <c r="I201" i="16"/>
  <c r="J201" i="16" s="1"/>
  <c r="K201" i="16" s="1"/>
  <c r="L201" i="16" s="1"/>
  <c r="E201" i="16"/>
  <c r="J200" i="16"/>
  <c r="I200" i="16"/>
  <c r="E200" i="16"/>
  <c r="K200" i="16" s="1"/>
  <c r="L200" i="16" s="1"/>
  <c r="J199" i="16"/>
  <c r="K199" i="16" s="1"/>
  <c r="L199" i="16" s="1"/>
  <c r="E199" i="16"/>
  <c r="J198" i="16"/>
  <c r="E198" i="16"/>
  <c r="L197" i="16"/>
  <c r="J197" i="16"/>
  <c r="K197" i="16" s="1"/>
  <c r="E197" i="16"/>
  <c r="I189" i="16"/>
  <c r="J189" i="16" s="1"/>
  <c r="K189" i="16" s="1"/>
  <c r="L189" i="16" s="1"/>
  <c r="E189" i="16"/>
  <c r="J188" i="16"/>
  <c r="E188" i="16"/>
  <c r="K188" i="16" s="1"/>
  <c r="L188" i="16" s="1"/>
  <c r="L187" i="16"/>
  <c r="J187" i="16"/>
  <c r="K187" i="16" s="1"/>
  <c r="E187" i="16"/>
  <c r="J186" i="16"/>
  <c r="E186" i="16"/>
  <c r="J177" i="16"/>
  <c r="I177" i="16"/>
  <c r="E177" i="16"/>
  <c r="K177" i="16" s="1"/>
  <c r="L177" i="16" s="1"/>
  <c r="L176" i="16"/>
  <c r="K176" i="16"/>
  <c r="J176" i="16"/>
  <c r="I176" i="16"/>
  <c r="E176" i="16"/>
  <c r="J175" i="16"/>
  <c r="E175" i="16"/>
  <c r="K175" i="16" s="1"/>
  <c r="L175" i="16" s="1"/>
  <c r="J174" i="16"/>
  <c r="E174" i="16"/>
  <c r="K174" i="16" s="1"/>
  <c r="L174" i="16" s="1"/>
  <c r="J173" i="16"/>
  <c r="E173" i="16"/>
  <c r="K173" i="16" s="1"/>
  <c r="L173" i="16" s="1"/>
  <c r="L172" i="16"/>
  <c r="J172" i="16"/>
  <c r="E172" i="16"/>
  <c r="K172" i="16" s="1"/>
  <c r="K171" i="16"/>
  <c r="L171" i="16" s="1"/>
  <c r="J171" i="16"/>
  <c r="E171" i="16"/>
  <c r="L170" i="16"/>
  <c r="J170" i="16"/>
  <c r="E170" i="16"/>
  <c r="K170" i="16" s="1"/>
  <c r="J169" i="16"/>
  <c r="E169" i="16"/>
  <c r="K169" i="16" s="1"/>
  <c r="L169" i="16" s="1"/>
  <c r="J168" i="16"/>
  <c r="E168" i="16"/>
  <c r="K168" i="16" s="1"/>
  <c r="L168" i="16" s="1"/>
  <c r="J167" i="16"/>
  <c r="E167" i="16"/>
  <c r="K167" i="16" s="1"/>
  <c r="L167" i="16" s="1"/>
  <c r="J166" i="16"/>
  <c r="E166" i="16"/>
  <c r="K166" i="16" s="1"/>
  <c r="L166" i="16" s="1"/>
  <c r="J165" i="16"/>
  <c r="E165" i="16"/>
  <c r="K156" i="16"/>
  <c r="L156" i="16" s="1"/>
  <c r="J156" i="16"/>
  <c r="E156" i="16"/>
  <c r="F156" i="16" s="1"/>
  <c r="L155" i="16"/>
  <c r="I155" i="16"/>
  <c r="J155" i="16" s="1"/>
  <c r="E155" i="16"/>
  <c r="F155" i="16" s="1"/>
  <c r="K155" i="16" s="1"/>
  <c r="J154" i="16"/>
  <c r="I154" i="16"/>
  <c r="E154" i="16"/>
  <c r="F154" i="16" s="1"/>
  <c r="K153" i="16"/>
  <c r="L153" i="16" s="1"/>
  <c r="J153" i="16"/>
  <c r="E153" i="16"/>
  <c r="F153" i="16" s="1"/>
  <c r="K152" i="16"/>
  <c r="L152" i="16" s="1"/>
  <c r="J152" i="16"/>
  <c r="F152" i="16"/>
  <c r="E152" i="16"/>
  <c r="K151" i="16"/>
  <c r="L151" i="16" s="1"/>
  <c r="J151" i="16"/>
  <c r="I151" i="16"/>
  <c r="F151" i="16"/>
  <c r="E151" i="16"/>
  <c r="J150" i="16"/>
  <c r="F150" i="16"/>
  <c r="K150" i="16" s="1"/>
  <c r="L150" i="16" s="1"/>
  <c r="E150" i="16"/>
  <c r="K149" i="16"/>
  <c r="L149" i="16" s="1"/>
  <c r="J149" i="16"/>
  <c r="I149" i="16"/>
  <c r="F149" i="16"/>
  <c r="E149" i="16"/>
  <c r="J148" i="16"/>
  <c r="F148" i="16"/>
  <c r="K148" i="16" s="1"/>
  <c r="L148" i="16" s="1"/>
  <c r="E148" i="16"/>
  <c r="J147" i="16"/>
  <c r="E147" i="16"/>
  <c r="F147" i="16" s="1"/>
  <c r="K147" i="16" s="1"/>
  <c r="L147" i="16" s="1"/>
  <c r="J146" i="16"/>
  <c r="F146" i="16"/>
  <c r="E146" i="16"/>
  <c r="J145" i="16"/>
  <c r="I145" i="16"/>
  <c r="E145" i="16"/>
  <c r="F145" i="16" s="1"/>
  <c r="J144" i="16"/>
  <c r="E144" i="16"/>
  <c r="F144" i="16" s="1"/>
  <c r="K144" i="16" s="1"/>
  <c r="L144" i="16" s="1"/>
  <c r="K143" i="16"/>
  <c r="L143" i="16" s="1"/>
  <c r="I143" i="16"/>
  <c r="J143" i="16" s="1"/>
  <c r="F143" i="16"/>
  <c r="E143" i="16"/>
  <c r="I142" i="16"/>
  <c r="J142" i="16" s="1"/>
  <c r="F142" i="16"/>
  <c r="K142" i="16" s="1"/>
  <c r="L142" i="16" s="1"/>
  <c r="E142" i="16"/>
  <c r="K141" i="16"/>
  <c r="L141" i="16" s="1"/>
  <c r="I141" i="16"/>
  <c r="J141" i="16" s="1"/>
  <c r="E141" i="16"/>
  <c r="F141" i="16" s="1"/>
  <c r="I140" i="16"/>
  <c r="J140" i="16" s="1"/>
  <c r="F140" i="16"/>
  <c r="K140" i="16" s="1"/>
  <c r="L140" i="16" s="1"/>
  <c r="E140" i="16"/>
  <c r="I139" i="16"/>
  <c r="J139" i="16" s="1"/>
  <c r="F139" i="16"/>
  <c r="E139" i="16"/>
  <c r="L138" i="16"/>
  <c r="K138" i="16"/>
  <c r="I138" i="16"/>
  <c r="J138" i="16" s="1"/>
  <c r="F138" i="16"/>
  <c r="E138" i="16"/>
  <c r="L137" i="16"/>
  <c r="J137" i="16"/>
  <c r="F137" i="16"/>
  <c r="K137" i="16" s="1"/>
  <c r="E137" i="16"/>
  <c r="J136" i="16"/>
  <c r="E136" i="16"/>
  <c r="F136" i="16" s="1"/>
  <c r="K136" i="16" s="1"/>
  <c r="L136" i="16" s="1"/>
  <c r="J135" i="16"/>
  <c r="E135" i="16"/>
  <c r="F135" i="16" s="1"/>
  <c r="K135" i="16" s="1"/>
  <c r="L135" i="16" s="1"/>
  <c r="K134" i="16"/>
  <c r="L134" i="16" s="1"/>
  <c r="J134" i="16"/>
  <c r="E134" i="16"/>
  <c r="F134" i="16" s="1"/>
  <c r="K133" i="16"/>
  <c r="L133" i="16" s="1"/>
  <c r="J133" i="16"/>
  <c r="F133" i="16"/>
  <c r="E133" i="16"/>
  <c r="J132" i="16"/>
  <c r="E132" i="16"/>
  <c r="K123" i="16"/>
  <c r="L123" i="16" s="1"/>
  <c r="I123" i="16"/>
  <c r="J123" i="16" s="1"/>
  <c r="F123" i="16"/>
  <c r="E123" i="16"/>
  <c r="J122" i="16"/>
  <c r="F122" i="16"/>
  <c r="K122" i="16" s="1"/>
  <c r="L122" i="16" s="1"/>
  <c r="E122" i="16"/>
  <c r="K121" i="16"/>
  <c r="L121" i="16" s="1"/>
  <c r="J121" i="16"/>
  <c r="E121" i="16"/>
  <c r="F121" i="16" s="1"/>
  <c r="L120" i="16"/>
  <c r="J120" i="16"/>
  <c r="E120" i="16"/>
  <c r="F120" i="16" s="1"/>
  <c r="K120" i="16" s="1"/>
  <c r="I119" i="16"/>
  <c r="J119" i="16" s="1"/>
  <c r="F119" i="16"/>
  <c r="E119" i="16"/>
  <c r="J118" i="16"/>
  <c r="E118" i="16"/>
  <c r="F118" i="16" s="1"/>
  <c r="K118" i="16" s="1"/>
  <c r="L118" i="16" s="1"/>
  <c r="J117" i="16"/>
  <c r="E117" i="16"/>
  <c r="E125" i="16" s="1"/>
  <c r="J108" i="16"/>
  <c r="F108" i="16"/>
  <c r="K108" i="16" s="1"/>
  <c r="L108" i="16" s="1"/>
  <c r="E108" i="16"/>
  <c r="I107" i="16"/>
  <c r="J107" i="16" s="1"/>
  <c r="E107" i="16"/>
  <c r="F107" i="16" s="1"/>
  <c r="I106" i="16"/>
  <c r="J106" i="16" s="1"/>
  <c r="E106" i="16"/>
  <c r="F106" i="16" s="1"/>
  <c r="K106" i="16" s="1"/>
  <c r="L106" i="16" s="1"/>
  <c r="J105" i="16"/>
  <c r="I105" i="16"/>
  <c r="E105" i="16"/>
  <c r="F105" i="16" s="1"/>
  <c r="K105" i="16" s="1"/>
  <c r="L105" i="16" s="1"/>
  <c r="I104" i="16"/>
  <c r="J104" i="16" s="1"/>
  <c r="F104" i="16"/>
  <c r="K104" i="16" s="1"/>
  <c r="L104" i="16" s="1"/>
  <c r="E104" i="16"/>
  <c r="I103" i="16"/>
  <c r="J103" i="16" s="1"/>
  <c r="E103" i="16"/>
  <c r="F103" i="16" s="1"/>
  <c r="K103" i="16" s="1"/>
  <c r="L103" i="16" s="1"/>
  <c r="I102" i="16"/>
  <c r="J102" i="16" s="1"/>
  <c r="E102" i="16"/>
  <c r="F102" i="16" s="1"/>
  <c r="K102" i="16" s="1"/>
  <c r="L102" i="16" s="1"/>
  <c r="K101" i="16"/>
  <c r="L101" i="16" s="1"/>
  <c r="J101" i="16"/>
  <c r="I101" i="16"/>
  <c r="E101" i="16"/>
  <c r="F101" i="16" s="1"/>
  <c r="J100" i="16"/>
  <c r="F100" i="16"/>
  <c r="K100" i="16" s="1"/>
  <c r="L100" i="16" s="1"/>
  <c r="E100" i="16"/>
  <c r="I99" i="16"/>
  <c r="J99" i="16" s="1"/>
  <c r="F99" i="16"/>
  <c r="K99" i="16" s="1"/>
  <c r="L99" i="16" s="1"/>
  <c r="E99" i="16"/>
  <c r="I98" i="16"/>
  <c r="J98" i="16" s="1"/>
  <c r="E98" i="16"/>
  <c r="F98" i="16" s="1"/>
  <c r="K98" i="16" s="1"/>
  <c r="L98" i="16" s="1"/>
  <c r="I97" i="16"/>
  <c r="J97" i="16" s="1"/>
  <c r="E97" i="16"/>
  <c r="F97" i="16" s="1"/>
  <c r="I96" i="16"/>
  <c r="J96" i="16" s="1"/>
  <c r="F96" i="16"/>
  <c r="K96" i="16" s="1"/>
  <c r="L96" i="16" s="1"/>
  <c r="E96" i="16"/>
  <c r="I95" i="16"/>
  <c r="J95" i="16" s="1"/>
  <c r="E95" i="16"/>
  <c r="F95" i="16" s="1"/>
  <c r="K94" i="16"/>
  <c r="L94" i="16" s="1"/>
  <c r="I94" i="16"/>
  <c r="J94" i="16" s="1"/>
  <c r="E94" i="16"/>
  <c r="F94" i="16" s="1"/>
  <c r="I93" i="16"/>
  <c r="J93" i="16" s="1"/>
  <c r="E93" i="16"/>
  <c r="F93" i="16" s="1"/>
  <c r="J92" i="16"/>
  <c r="F92" i="16"/>
  <c r="K92" i="16" s="1"/>
  <c r="L92" i="16" s="1"/>
  <c r="E92" i="16"/>
  <c r="I91" i="16"/>
  <c r="J91" i="16" s="1"/>
  <c r="F91" i="16"/>
  <c r="K91" i="16" s="1"/>
  <c r="L91" i="16" s="1"/>
  <c r="E91" i="16"/>
  <c r="K90" i="16"/>
  <c r="L90" i="16" s="1"/>
  <c r="J90" i="16"/>
  <c r="E90" i="16"/>
  <c r="F90" i="16" s="1"/>
  <c r="J89" i="16"/>
  <c r="I89" i="16"/>
  <c r="F89" i="16"/>
  <c r="K89" i="16" s="1"/>
  <c r="L89" i="16" s="1"/>
  <c r="E89" i="16"/>
  <c r="J88" i="16"/>
  <c r="E88" i="16"/>
  <c r="F88" i="16" s="1"/>
  <c r="K88" i="16" s="1"/>
  <c r="L88" i="16" s="1"/>
  <c r="J87" i="16"/>
  <c r="E87" i="16"/>
  <c r="F87" i="16" s="1"/>
  <c r="J86" i="16"/>
  <c r="F86" i="16"/>
  <c r="K86" i="16" s="1"/>
  <c r="L86" i="16" s="1"/>
  <c r="E86" i="16"/>
  <c r="J85" i="16"/>
  <c r="F85" i="16"/>
  <c r="E85" i="16"/>
  <c r="J84" i="16"/>
  <c r="F84" i="16"/>
  <c r="E84" i="16"/>
  <c r="J83" i="16"/>
  <c r="E83" i="16"/>
  <c r="F83" i="16" s="1"/>
  <c r="K83" i="16" s="1"/>
  <c r="L83" i="16" s="1"/>
  <c r="I82" i="16"/>
  <c r="J82" i="16" s="1"/>
  <c r="E82" i="16"/>
  <c r="F82" i="16" s="1"/>
  <c r="K82" i="16" s="1"/>
  <c r="L82" i="16" s="1"/>
  <c r="J81" i="16"/>
  <c r="F81" i="16"/>
  <c r="K81" i="16" s="1"/>
  <c r="L81" i="16" s="1"/>
  <c r="E81" i="16"/>
  <c r="J80" i="16"/>
  <c r="I80" i="16"/>
  <c r="E80" i="16"/>
  <c r="F80" i="16" s="1"/>
  <c r="K80" i="16" s="1"/>
  <c r="L80" i="16" s="1"/>
  <c r="L79" i="16"/>
  <c r="J79" i="16"/>
  <c r="E79" i="16"/>
  <c r="F79" i="16" s="1"/>
  <c r="K79" i="16" s="1"/>
  <c r="J78" i="16"/>
  <c r="F78" i="16"/>
  <c r="K78" i="16" s="1"/>
  <c r="L78" i="16" s="1"/>
  <c r="E78" i="16"/>
  <c r="J77" i="16"/>
  <c r="F77" i="16"/>
  <c r="E77" i="16"/>
  <c r="J76" i="16"/>
  <c r="F76" i="16"/>
  <c r="E76" i="16"/>
  <c r="J66" i="16"/>
  <c r="I66" i="16"/>
  <c r="E66" i="16"/>
  <c r="F66" i="16" s="1"/>
  <c r="J65" i="16"/>
  <c r="I65" i="16"/>
  <c r="E65" i="16"/>
  <c r="F65" i="16" s="1"/>
  <c r="K65" i="16" s="1"/>
  <c r="L65" i="16" s="1"/>
  <c r="K64" i="16"/>
  <c r="L64" i="16" s="1"/>
  <c r="J64" i="16"/>
  <c r="I64" i="16"/>
  <c r="F64" i="16"/>
  <c r="E64" i="16"/>
  <c r="I63" i="16"/>
  <c r="J63" i="16" s="1"/>
  <c r="F63" i="16"/>
  <c r="K63" i="16" s="1"/>
  <c r="L63" i="16" s="1"/>
  <c r="E63" i="16"/>
  <c r="J62" i="16"/>
  <c r="E62" i="16"/>
  <c r="F62" i="16" s="1"/>
  <c r="K62" i="16" s="1"/>
  <c r="L62" i="16" s="1"/>
  <c r="K61" i="16"/>
  <c r="L61" i="16" s="1"/>
  <c r="J61" i="16"/>
  <c r="F61" i="16"/>
  <c r="E61" i="16"/>
  <c r="J60" i="16"/>
  <c r="E60" i="16"/>
  <c r="F60" i="16" s="1"/>
  <c r="K60" i="16" s="1"/>
  <c r="L60" i="16" s="1"/>
  <c r="L59" i="16"/>
  <c r="J59" i="16"/>
  <c r="E59" i="16"/>
  <c r="F59" i="16" s="1"/>
  <c r="K59" i="16" s="1"/>
  <c r="J58" i="16"/>
  <c r="F58" i="16"/>
  <c r="E58" i="16"/>
  <c r="J57" i="16"/>
  <c r="F57" i="16"/>
  <c r="K57" i="16" s="1"/>
  <c r="L57" i="16" s="1"/>
  <c r="E57" i="16"/>
  <c r="J56" i="16"/>
  <c r="K56" i="16" s="1"/>
  <c r="L56" i="16" s="1"/>
  <c r="I56" i="16"/>
  <c r="E56" i="16"/>
  <c r="F56" i="16" s="1"/>
  <c r="I55" i="16"/>
  <c r="J55" i="16" s="1"/>
  <c r="F55" i="16"/>
  <c r="K55" i="16" s="1"/>
  <c r="L55" i="16" s="1"/>
  <c r="E55" i="16"/>
  <c r="J54" i="16"/>
  <c r="F54" i="16"/>
  <c r="K54" i="16" s="1"/>
  <c r="E54" i="16"/>
  <c r="J53" i="16"/>
  <c r="E53" i="16"/>
  <c r="F53" i="16" s="1"/>
  <c r="K53" i="16" s="1"/>
  <c r="L53" i="16" s="1"/>
  <c r="I52" i="16"/>
  <c r="J52" i="16" s="1"/>
  <c r="K52" i="16" s="1"/>
  <c r="L52" i="16" s="1"/>
  <c r="F52" i="16"/>
  <c r="E52" i="16"/>
  <c r="I51" i="16"/>
  <c r="J51" i="16" s="1"/>
  <c r="E51" i="16"/>
  <c r="F51" i="16" s="1"/>
  <c r="I50" i="16"/>
  <c r="J50" i="16" s="1"/>
  <c r="E50" i="16"/>
  <c r="F50" i="16" s="1"/>
  <c r="K50" i="16" s="1"/>
  <c r="L50" i="16" s="1"/>
  <c r="J49" i="16"/>
  <c r="I49" i="16"/>
  <c r="E49" i="16"/>
  <c r="F49" i="16" s="1"/>
  <c r="K49" i="16" s="1"/>
  <c r="L49" i="16" s="1"/>
  <c r="J48" i="16"/>
  <c r="I48" i="16"/>
  <c r="F48" i="16"/>
  <c r="K48" i="16" s="1"/>
  <c r="L48" i="16" s="1"/>
  <c r="E48" i="16"/>
  <c r="I47" i="16"/>
  <c r="J47" i="16" s="1"/>
  <c r="F47" i="16"/>
  <c r="E47" i="16"/>
  <c r="J46" i="16"/>
  <c r="I46" i="16"/>
  <c r="E46" i="16"/>
  <c r="F46" i="16" s="1"/>
  <c r="K46" i="16" s="1"/>
  <c r="L46" i="16" s="1"/>
  <c r="J45" i="16"/>
  <c r="I45" i="16"/>
  <c r="F45" i="16"/>
  <c r="K45" i="16" s="1"/>
  <c r="L45" i="16" s="1"/>
  <c r="E45" i="16"/>
  <c r="J44" i="16"/>
  <c r="F44" i="16"/>
  <c r="K44" i="16" s="1"/>
  <c r="L44" i="16" s="1"/>
  <c r="E44" i="16"/>
  <c r="J43" i="16"/>
  <c r="E43" i="16"/>
  <c r="F43" i="16" s="1"/>
  <c r="J32" i="16"/>
  <c r="K32" i="16" s="1"/>
  <c r="L32" i="16" s="1"/>
  <c r="E32" i="16"/>
  <c r="F32" i="16" s="1"/>
  <c r="I31" i="16"/>
  <c r="J31" i="16" s="1"/>
  <c r="E31" i="16"/>
  <c r="F31" i="16" s="1"/>
  <c r="K31" i="16" s="1"/>
  <c r="L31" i="16" s="1"/>
  <c r="I30" i="16"/>
  <c r="J30" i="16" s="1"/>
  <c r="E30" i="16"/>
  <c r="F30" i="16" s="1"/>
  <c r="K30" i="16" s="1"/>
  <c r="L30" i="16" s="1"/>
  <c r="L29" i="16"/>
  <c r="J29" i="16"/>
  <c r="F29" i="16"/>
  <c r="K29" i="16" s="1"/>
  <c r="E29" i="16"/>
  <c r="J28" i="16"/>
  <c r="F28" i="16"/>
  <c r="K28" i="16" s="1"/>
  <c r="L28" i="16" s="1"/>
  <c r="E28" i="16"/>
  <c r="J27" i="16"/>
  <c r="K27" i="16" s="1"/>
  <c r="L27" i="16" s="1"/>
  <c r="I27" i="16"/>
  <c r="E27" i="16"/>
  <c r="F27" i="16" s="1"/>
  <c r="J26" i="16"/>
  <c r="I26" i="16"/>
  <c r="E26" i="16"/>
  <c r="F26" i="16" s="1"/>
  <c r="K26" i="16" s="1"/>
  <c r="L26" i="16" s="1"/>
  <c r="J25" i="16"/>
  <c r="E25" i="16"/>
  <c r="F25" i="16" s="1"/>
  <c r="K25" i="16" s="1"/>
  <c r="L25" i="16" s="1"/>
  <c r="J24" i="16"/>
  <c r="E24" i="16"/>
  <c r="F24" i="16" s="1"/>
  <c r="K24" i="16" s="1"/>
  <c r="L24" i="16" s="1"/>
  <c r="I23" i="16"/>
  <c r="J23" i="16" s="1"/>
  <c r="F23" i="16"/>
  <c r="E23" i="16"/>
  <c r="K22" i="16"/>
  <c r="L22" i="16" s="1"/>
  <c r="J22" i="16"/>
  <c r="E22" i="16"/>
  <c r="F22" i="16" s="1"/>
  <c r="J21" i="16"/>
  <c r="K21" i="16" s="1"/>
  <c r="L21" i="16" s="1"/>
  <c r="E21" i="16"/>
  <c r="F21" i="16" s="1"/>
  <c r="I20" i="16"/>
  <c r="J20" i="16" s="1"/>
  <c r="K20" i="16" s="1"/>
  <c r="L20" i="16" s="1"/>
  <c r="E20" i="16"/>
  <c r="F20" i="16" s="1"/>
  <c r="J19" i="16"/>
  <c r="F19" i="16"/>
  <c r="K19" i="16" s="1"/>
  <c r="L19" i="16" s="1"/>
  <c r="E19" i="16"/>
  <c r="J18" i="16"/>
  <c r="E18" i="16"/>
  <c r="F18" i="16" s="1"/>
  <c r="K18" i="16" s="1"/>
  <c r="L18" i="16" s="1"/>
  <c r="I17" i="16"/>
  <c r="J17" i="16" s="1"/>
  <c r="E17" i="16"/>
  <c r="F17" i="16" s="1"/>
  <c r="J16" i="16"/>
  <c r="F16" i="16"/>
  <c r="E16" i="16"/>
  <c r="K15" i="16"/>
  <c r="L15" i="16" s="1"/>
  <c r="J15" i="16"/>
  <c r="I15" i="16"/>
  <c r="E15" i="16"/>
  <c r="F15" i="16" s="1"/>
  <c r="L14" i="16"/>
  <c r="J14" i="16"/>
  <c r="K14" i="16" s="1"/>
  <c r="I14" i="16"/>
  <c r="F14" i="16"/>
  <c r="E14" i="16"/>
  <c r="J13" i="16"/>
  <c r="E13" i="16"/>
  <c r="F13" i="16" s="1"/>
  <c r="K13" i="16" s="1"/>
  <c r="L13" i="16" s="1"/>
  <c r="L12" i="16"/>
  <c r="J12" i="16"/>
  <c r="E12" i="16"/>
  <c r="F12" i="16" s="1"/>
  <c r="K12" i="16" s="1"/>
  <c r="J11" i="16"/>
  <c r="F11" i="16"/>
  <c r="E11" i="16"/>
  <c r="J10" i="16"/>
  <c r="F10" i="16"/>
  <c r="K10" i="16" s="1"/>
  <c r="L10" i="16" s="1"/>
  <c r="E10" i="16"/>
  <c r="J9" i="16"/>
  <c r="K9" i="16" s="1"/>
  <c r="L9" i="16" s="1"/>
  <c r="E9" i="16"/>
  <c r="F9" i="16" s="1"/>
  <c r="J8" i="16"/>
  <c r="F8" i="16"/>
  <c r="K8" i="16" s="1"/>
  <c r="L8" i="16" s="1"/>
  <c r="E8" i="16"/>
  <c r="J7" i="16"/>
  <c r="E7" i="16"/>
  <c r="F7" i="16" s="1"/>
  <c r="J6" i="16"/>
  <c r="K6" i="16" s="1"/>
  <c r="F6" i="16"/>
  <c r="E6" i="16"/>
  <c r="J303" i="15"/>
  <c r="K303" i="15" s="1"/>
  <c r="L303" i="15" s="1"/>
  <c r="I303" i="15"/>
  <c r="E303" i="15"/>
  <c r="F303" i="15" s="1"/>
  <c r="I302" i="15"/>
  <c r="J302" i="15" s="1"/>
  <c r="F302" i="15"/>
  <c r="K302" i="15" s="1"/>
  <c r="L302" i="15" s="1"/>
  <c r="E302" i="15"/>
  <c r="J301" i="15"/>
  <c r="F301" i="15"/>
  <c r="K301" i="15" s="1"/>
  <c r="L301" i="15" s="1"/>
  <c r="E301" i="15"/>
  <c r="J300" i="15"/>
  <c r="E300" i="15"/>
  <c r="F300" i="15" s="1"/>
  <c r="K300" i="15" s="1"/>
  <c r="L300" i="15" s="1"/>
  <c r="I299" i="15"/>
  <c r="J299" i="15" s="1"/>
  <c r="E299" i="15"/>
  <c r="F299" i="15" s="1"/>
  <c r="K299" i="15" s="1"/>
  <c r="L299" i="15" s="1"/>
  <c r="L298" i="15"/>
  <c r="I298" i="15"/>
  <c r="J298" i="15" s="1"/>
  <c r="E298" i="15"/>
  <c r="F298" i="15" s="1"/>
  <c r="K298" i="15" s="1"/>
  <c r="J297" i="15"/>
  <c r="F297" i="15"/>
  <c r="E297" i="15"/>
  <c r="J296" i="15"/>
  <c r="F296" i="15"/>
  <c r="K296" i="15" s="1"/>
  <c r="L296" i="15" s="1"/>
  <c r="E296" i="15"/>
  <c r="K295" i="15"/>
  <c r="L295" i="15" s="1"/>
  <c r="J295" i="15"/>
  <c r="F295" i="15"/>
  <c r="E295" i="15"/>
  <c r="J294" i="15"/>
  <c r="E294" i="15"/>
  <c r="F294" i="15" s="1"/>
  <c r="K294" i="15" s="1"/>
  <c r="L294" i="15" s="1"/>
  <c r="I293" i="15"/>
  <c r="J293" i="15" s="1"/>
  <c r="E293" i="15"/>
  <c r="F293" i="15" s="1"/>
  <c r="K293" i="15" s="1"/>
  <c r="L293" i="15" s="1"/>
  <c r="L292" i="15"/>
  <c r="J292" i="15"/>
  <c r="K292" i="15" s="1"/>
  <c r="I292" i="15"/>
  <c r="E292" i="15"/>
  <c r="F292" i="15" s="1"/>
  <c r="J291" i="15"/>
  <c r="F291" i="15"/>
  <c r="E291" i="15"/>
  <c r="J290" i="15"/>
  <c r="E290" i="15"/>
  <c r="F290" i="15" s="1"/>
  <c r="J289" i="15"/>
  <c r="K289" i="15" s="1"/>
  <c r="L289" i="15" s="1"/>
  <c r="I289" i="15"/>
  <c r="E289" i="15"/>
  <c r="F289" i="15" s="1"/>
  <c r="J288" i="15"/>
  <c r="E288" i="15"/>
  <c r="F288" i="15" s="1"/>
  <c r="K288" i="15" s="1"/>
  <c r="L288" i="15" s="1"/>
  <c r="I287" i="15"/>
  <c r="J287" i="15" s="1"/>
  <c r="F287" i="15"/>
  <c r="K287" i="15" s="1"/>
  <c r="L287" i="15" s="1"/>
  <c r="E287" i="15"/>
  <c r="J286" i="15"/>
  <c r="I286" i="15"/>
  <c r="E286" i="15"/>
  <c r="F286" i="15" s="1"/>
  <c r="K286" i="15" s="1"/>
  <c r="L286" i="15" s="1"/>
  <c r="I285" i="15"/>
  <c r="J285" i="15" s="1"/>
  <c r="F285" i="15"/>
  <c r="E285" i="15"/>
  <c r="K284" i="15"/>
  <c r="L284" i="15" s="1"/>
  <c r="J284" i="15"/>
  <c r="E284" i="15"/>
  <c r="F284" i="15" s="1"/>
  <c r="J283" i="15"/>
  <c r="E283" i="15"/>
  <c r="F283" i="15" s="1"/>
  <c r="K283" i="15" s="1"/>
  <c r="L283" i="15" s="1"/>
  <c r="I282" i="15"/>
  <c r="J282" i="15" s="1"/>
  <c r="F282" i="15"/>
  <c r="K282" i="15" s="1"/>
  <c r="L282" i="15" s="1"/>
  <c r="E282" i="15"/>
  <c r="J281" i="15"/>
  <c r="I281" i="15"/>
  <c r="E281" i="15"/>
  <c r="F281" i="15" s="1"/>
  <c r="K281" i="15" s="1"/>
  <c r="L281" i="15" s="1"/>
  <c r="J280" i="15"/>
  <c r="E280" i="15"/>
  <c r="F280" i="15" s="1"/>
  <c r="K280" i="15" s="1"/>
  <c r="L280" i="15" s="1"/>
  <c r="J279" i="15"/>
  <c r="F279" i="15"/>
  <c r="K279" i="15" s="1"/>
  <c r="L279" i="15" s="1"/>
  <c r="E279" i="15"/>
  <c r="I278" i="15"/>
  <c r="J278" i="15" s="1"/>
  <c r="E278" i="15"/>
  <c r="F278" i="15" s="1"/>
  <c r="J277" i="15"/>
  <c r="F277" i="15"/>
  <c r="K277" i="15" s="1"/>
  <c r="L277" i="15" s="1"/>
  <c r="E277" i="15"/>
  <c r="L276" i="15"/>
  <c r="K276" i="15"/>
  <c r="I276" i="15"/>
  <c r="J276" i="15" s="1"/>
  <c r="E276" i="15"/>
  <c r="F276" i="15" s="1"/>
  <c r="I275" i="15"/>
  <c r="J275" i="15" s="1"/>
  <c r="F275" i="15"/>
  <c r="K275" i="15" s="1"/>
  <c r="L275" i="15" s="1"/>
  <c r="E275" i="15"/>
  <c r="J274" i="15"/>
  <c r="E274" i="15"/>
  <c r="J266" i="15"/>
  <c r="E266" i="15"/>
  <c r="F266" i="15" s="1"/>
  <c r="K266" i="15" s="1"/>
  <c r="L266" i="15" s="1"/>
  <c r="K265" i="15"/>
  <c r="L265" i="15" s="1"/>
  <c r="I265" i="15"/>
  <c r="J265" i="15" s="1"/>
  <c r="E265" i="15"/>
  <c r="F265" i="15" s="1"/>
  <c r="K264" i="15"/>
  <c r="L264" i="15" s="1"/>
  <c r="J264" i="15"/>
  <c r="I264" i="15"/>
  <c r="E264" i="15"/>
  <c r="F264" i="15" s="1"/>
  <c r="I263" i="15"/>
  <c r="J263" i="15" s="1"/>
  <c r="E263" i="15"/>
  <c r="F263" i="15" s="1"/>
  <c r="K263" i="15" s="1"/>
  <c r="L263" i="15" s="1"/>
  <c r="J262" i="15"/>
  <c r="I262" i="15"/>
  <c r="E262" i="15"/>
  <c r="F262" i="15" s="1"/>
  <c r="J261" i="15"/>
  <c r="E261" i="15"/>
  <c r="F261" i="15" s="1"/>
  <c r="K261" i="15" s="1"/>
  <c r="L261" i="15" s="1"/>
  <c r="J260" i="15"/>
  <c r="E260" i="15"/>
  <c r="F260" i="15" s="1"/>
  <c r="K260" i="15" s="1"/>
  <c r="L260" i="15" s="1"/>
  <c r="I259" i="15"/>
  <c r="J259" i="15" s="1"/>
  <c r="F259" i="15"/>
  <c r="K259" i="15" s="1"/>
  <c r="L259" i="15" s="1"/>
  <c r="E259" i="15"/>
  <c r="I258" i="15"/>
  <c r="J258" i="15" s="1"/>
  <c r="F258" i="15"/>
  <c r="E258" i="15"/>
  <c r="L257" i="15"/>
  <c r="K257" i="15"/>
  <c r="J257" i="15"/>
  <c r="F257" i="15"/>
  <c r="E257" i="15"/>
  <c r="J256" i="15"/>
  <c r="F256" i="15"/>
  <c r="K256" i="15" s="1"/>
  <c r="L256" i="15" s="1"/>
  <c r="E256" i="15"/>
  <c r="I255" i="15"/>
  <c r="J255" i="15" s="1"/>
  <c r="E255" i="15"/>
  <c r="F255" i="15" s="1"/>
  <c r="K255" i="15" s="1"/>
  <c r="L255" i="15" s="1"/>
  <c r="K254" i="15"/>
  <c r="L254" i="15" s="1"/>
  <c r="J254" i="15"/>
  <c r="F254" i="15"/>
  <c r="E254" i="15"/>
  <c r="J253" i="15"/>
  <c r="I253" i="15"/>
  <c r="F253" i="15"/>
  <c r="K253" i="15" s="1"/>
  <c r="L253" i="15" s="1"/>
  <c r="E253" i="15"/>
  <c r="J252" i="15"/>
  <c r="E252" i="15"/>
  <c r="F252" i="15" s="1"/>
  <c r="K252" i="15" s="1"/>
  <c r="L252" i="15" s="1"/>
  <c r="L251" i="15"/>
  <c r="J251" i="15"/>
  <c r="F251" i="15"/>
  <c r="K251" i="15" s="1"/>
  <c r="E251" i="15"/>
  <c r="J250" i="15"/>
  <c r="F250" i="15"/>
  <c r="E250" i="15"/>
  <c r="K249" i="15"/>
  <c r="L249" i="15" s="1"/>
  <c r="J249" i="15"/>
  <c r="E249" i="15"/>
  <c r="F249" i="15" s="1"/>
  <c r="K248" i="15"/>
  <c r="L248" i="15" s="1"/>
  <c r="J248" i="15"/>
  <c r="E248" i="15"/>
  <c r="F248" i="15" s="1"/>
  <c r="I247" i="15"/>
  <c r="J247" i="15" s="1"/>
  <c r="E247" i="15"/>
  <c r="F247" i="15" s="1"/>
  <c r="J246" i="15"/>
  <c r="E246" i="15"/>
  <c r="F246" i="15" s="1"/>
  <c r="K246" i="15" s="1"/>
  <c r="L246" i="15" s="1"/>
  <c r="J245" i="15"/>
  <c r="E245" i="15"/>
  <c r="F245" i="15" s="1"/>
  <c r="K245" i="15" s="1"/>
  <c r="L245" i="15" s="1"/>
  <c r="I244" i="15"/>
  <c r="J244" i="15" s="1"/>
  <c r="E244" i="15"/>
  <c r="F244" i="15" s="1"/>
  <c r="K244" i="15" s="1"/>
  <c r="L244" i="15" s="1"/>
  <c r="L243" i="15"/>
  <c r="J243" i="15"/>
  <c r="F243" i="15"/>
  <c r="K243" i="15" s="1"/>
  <c r="E243" i="15"/>
  <c r="J242" i="15"/>
  <c r="F242" i="15"/>
  <c r="E242" i="15"/>
  <c r="J241" i="15"/>
  <c r="E241" i="15"/>
  <c r="F241" i="15" s="1"/>
  <c r="K241" i="15" s="1"/>
  <c r="L241" i="15" s="1"/>
  <c r="J240" i="15"/>
  <c r="I240" i="15"/>
  <c r="E240" i="15"/>
  <c r="F240" i="15" s="1"/>
  <c r="K240" i="15" s="1"/>
  <c r="L240" i="15" s="1"/>
  <c r="I239" i="15"/>
  <c r="J239" i="15" s="1"/>
  <c r="F239" i="15"/>
  <c r="K239" i="15" s="1"/>
  <c r="L239" i="15" s="1"/>
  <c r="E239" i="15"/>
  <c r="I238" i="15"/>
  <c r="J238" i="15" s="1"/>
  <c r="K238" i="15" s="1"/>
  <c r="L238" i="15" s="1"/>
  <c r="E238" i="15"/>
  <c r="F238" i="15" s="1"/>
  <c r="I237" i="15"/>
  <c r="J237" i="15" s="1"/>
  <c r="F237" i="15"/>
  <c r="K237" i="15" s="1"/>
  <c r="L237" i="15" s="1"/>
  <c r="E237" i="15"/>
  <c r="J236" i="15"/>
  <c r="E236" i="15"/>
  <c r="F236" i="15" s="1"/>
  <c r="K236" i="15" s="1"/>
  <c r="L236" i="15" s="1"/>
  <c r="J235" i="15"/>
  <c r="E235" i="15"/>
  <c r="J226" i="15"/>
  <c r="E226" i="15"/>
  <c r="J225" i="15"/>
  <c r="E225" i="15"/>
  <c r="K225" i="15" s="1"/>
  <c r="L225" i="15" s="1"/>
  <c r="J224" i="15"/>
  <c r="E224" i="15"/>
  <c r="J223" i="15"/>
  <c r="E223" i="15"/>
  <c r="K223" i="15" s="1"/>
  <c r="L223" i="15" s="1"/>
  <c r="J222" i="15"/>
  <c r="E222" i="15"/>
  <c r="K222" i="15" s="1"/>
  <c r="L222" i="15" s="1"/>
  <c r="J221" i="15"/>
  <c r="E221" i="15"/>
  <c r="K221" i="15" s="1"/>
  <c r="L221" i="15" s="1"/>
  <c r="J220" i="15"/>
  <c r="E220" i="15"/>
  <c r="J219" i="15"/>
  <c r="E219" i="15"/>
  <c r="K219" i="15" s="1"/>
  <c r="L219" i="15" s="1"/>
  <c r="L218" i="15"/>
  <c r="J218" i="15"/>
  <c r="E218" i="15"/>
  <c r="K218" i="15" s="1"/>
  <c r="J217" i="15"/>
  <c r="E217" i="15"/>
  <c r="K217" i="15" s="1"/>
  <c r="L217" i="15" s="1"/>
  <c r="L216" i="15"/>
  <c r="J216" i="15"/>
  <c r="E216" i="15"/>
  <c r="K216" i="15" s="1"/>
  <c r="K209" i="15"/>
  <c r="L209" i="15" s="1"/>
  <c r="J209" i="15"/>
  <c r="I209" i="15"/>
  <c r="E209" i="15"/>
  <c r="L208" i="15"/>
  <c r="I208" i="15"/>
  <c r="J208" i="15" s="1"/>
  <c r="E208" i="15"/>
  <c r="K208" i="15" s="1"/>
  <c r="K207" i="15"/>
  <c r="L207" i="15" s="1"/>
  <c r="J207" i="15"/>
  <c r="E207" i="15"/>
  <c r="L206" i="15"/>
  <c r="J206" i="15"/>
  <c r="E206" i="15"/>
  <c r="K206" i="15" s="1"/>
  <c r="J205" i="15"/>
  <c r="K205" i="15" s="1"/>
  <c r="L205" i="15" s="1"/>
  <c r="E205" i="15"/>
  <c r="J204" i="15"/>
  <c r="E204" i="15"/>
  <c r="J203" i="15"/>
  <c r="K203" i="15" s="1"/>
  <c r="I203" i="15"/>
  <c r="E203" i="15"/>
  <c r="I192" i="15"/>
  <c r="J192" i="15" s="1"/>
  <c r="K192" i="15" s="1"/>
  <c r="L192" i="15" s="1"/>
  <c r="E192" i="15"/>
  <c r="F192" i="15" s="1"/>
  <c r="K191" i="15"/>
  <c r="L191" i="15" s="1"/>
  <c r="I191" i="15"/>
  <c r="J191" i="15" s="1"/>
  <c r="E191" i="15"/>
  <c r="F191" i="15" s="1"/>
  <c r="K190" i="15"/>
  <c r="L190" i="15" s="1"/>
  <c r="I190" i="15"/>
  <c r="J190" i="15" s="1"/>
  <c r="F190" i="15"/>
  <c r="E190" i="15"/>
  <c r="I189" i="15"/>
  <c r="J189" i="15" s="1"/>
  <c r="F189" i="15"/>
  <c r="K189" i="15" s="1"/>
  <c r="L189" i="15" s="1"/>
  <c r="E189" i="15"/>
  <c r="K188" i="15"/>
  <c r="L188" i="15" s="1"/>
  <c r="I188" i="15"/>
  <c r="J188" i="15" s="1"/>
  <c r="E188" i="15"/>
  <c r="F188" i="15" s="1"/>
  <c r="I187" i="15"/>
  <c r="J187" i="15" s="1"/>
  <c r="K187" i="15" s="1"/>
  <c r="L187" i="15" s="1"/>
  <c r="F187" i="15"/>
  <c r="E187" i="15"/>
  <c r="J186" i="15"/>
  <c r="E186" i="15"/>
  <c r="F186" i="15" s="1"/>
  <c r="K186" i="15" s="1"/>
  <c r="L186" i="15" s="1"/>
  <c r="J185" i="15"/>
  <c r="I185" i="15"/>
  <c r="E185" i="15"/>
  <c r="F185" i="15" s="1"/>
  <c r="K184" i="15"/>
  <c r="L184" i="15" s="1"/>
  <c r="I184" i="15"/>
  <c r="J184" i="15" s="1"/>
  <c r="F184" i="15"/>
  <c r="E184" i="15"/>
  <c r="J183" i="15"/>
  <c r="F183" i="15"/>
  <c r="K183" i="15" s="1"/>
  <c r="L183" i="15" s="1"/>
  <c r="E183" i="15"/>
  <c r="K182" i="15"/>
  <c r="L182" i="15" s="1"/>
  <c r="J182" i="15"/>
  <c r="E182" i="15"/>
  <c r="F182" i="15" s="1"/>
  <c r="I181" i="15"/>
  <c r="J181" i="15" s="1"/>
  <c r="K181" i="15" s="1"/>
  <c r="L181" i="15" s="1"/>
  <c r="F181" i="15"/>
  <c r="E181" i="15"/>
  <c r="J180" i="15"/>
  <c r="I180" i="15"/>
  <c r="E180" i="15"/>
  <c r="F180" i="15" s="1"/>
  <c r="J179" i="15"/>
  <c r="E179" i="15"/>
  <c r="F179" i="15" s="1"/>
  <c r="K179" i="15" s="1"/>
  <c r="L179" i="15" s="1"/>
  <c r="I178" i="15"/>
  <c r="J178" i="15" s="1"/>
  <c r="K178" i="15" s="1"/>
  <c r="L178" i="15" s="1"/>
  <c r="E178" i="15"/>
  <c r="F178" i="15" s="1"/>
  <c r="J177" i="15"/>
  <c r="E177" i="15"/>
  <c r="F177" i="15" s="1"/>
  <c r="K177" i="15" s="1"/>
  <c r="L177" i="15" s="1"/>
  <c r="J176" i="15"/>
  <c r="I176" i="15"/>
  <c r="E176" i="15"/>
  <c r="F176" i="15" s="1"/>
  <c r="K175" i="15"/>
  <c r="J175" i="15"/>
  <c r="E175" i="15"/>
  <c r="F175" i="15" s="1"/>
  <c r="K167" i="15"/>
  <c r="L167" i="15" s="1"/>
  <c r="J167" i="15"/>
  <c r="E167" i="15"/>
  <c r="F167" i="15" s="1"/>
  <c r="L166" i="15"/>
  <c r="J166" i="15"/>
  <c r="E166" i="15"/>
  <c r="F166" i="15" s="1"/>
  <c r="K166" i="15" s="1"/>
  <c r="I165" i="15"/>
  <c r="J165" i="15" s="1"/>
  <c r="F165" i="15"/>
  <c r="K165" i="15" s="1"/>
  <c r="L165" i="15" s="1"/>
  <c r="E165" i="15"/>
  <c r="I164" i="15"/>
  <c r="J164" i="15" s="1"/>
  <c r="F164" i="15"/>
  <c r="K164" i="15" s="1"/>
  <c r="L164" i="15" s="1"/>
  <c r="E164" i="15"/>
  <c r="L163" i="15"/>
  <c r="K163" i="15"/>
  <c r="J163" i="15"/>
  <c r="F163" i="15"/>
  <c r="E163" i="15"/>
  <c r="K162" i="15"/>
  <c r="L162" i="15" s="1"/>
  <c r="I162" i="15"/>
  <c r="J162" i="15" s="1"/>
  <c r="F162" i="15"/>
  <c r="E162" i="15"/>
  <c r="I161" i="15"/>
  <c r="J161" i="15" s="1"/>
  <c r="F161" i="15"/>
  <c r="E161" i="15"/>
  <c r="K160" i="15"/>
  <c r="L160" i="15" s="1"/>
  <c r="J160" i="15"/>
  <c r="E160" i="15"/>
  <c r="F160" i="15" s="1"/>
  <c r="J159" i="15"/>
  <c r="E159" i="15"/>
  <c r="F159" i="15" s="1"/>
  <c r="K159" i="15" s="1"/>
  <c r="L159" i="15" s="1"/>
  <c r="I158" i="15"/>
  <c r="J158" i="15" s="1"/>
  <c r="E158" i="15"/>
  <c r="F158" i="15" s="1"/>
  <c r="K158" i="15" s="1"/>
  <c r="L158" i="15" s="1"/>
  <c r="J157" i="15"/>
  <c r="I157" i="15"/>
  <c r="E157" i="15"/>
  <c r="F157" i="15" s="1"/>
  <c r="K157" i="15" s="1"/>
  <c r="L157" i="15" s="1"/>
  <c r="J156" i="15"/>
  <c r="I156" i="15"/>
  <c r="F156" i="15"/>
  <c r="K156" i="15" s="1"/>
  <c r="L156" i="15" s="1"/>
  <c r="E156" i="15"/>
  <c r="J155" i="15"/>
  <c r="E155" i="15"/>
  <c r="F155" i="15" s="1"/>
  <c r="K155" i="15" s="1"/>
  <c r="L155" i="15" s="1"/>
  <c r="K154" i="15"/>
  <c r="L154" i="15" s="1"/>
  <c r="J154" i="15"/>
  <c r="E154" i="15"/>
  <c r="F154" i="15" s="1"/>
  <c r="K153" i="15"/>
  <c r="L153" i="15" s="1"/>
  <c r="J153" i="15"/>
  <c r="E153" i="15"/>
  <c r="F153" i="15" s="1"/>
  <c r="J152" i="15"/>
  <c r="E152" i="15"/>
  <c r="F152" i="15" s="1"/>
  <c r="K152" i="15" s="1"/>
  <c r="L152" i="15" s="1"/>
  <c r="K151" i="15"/>
  <c r="L151" i="15" s="1"/>
  <c r="J151" i="15"/>
  <c r="I151" i="15"/>
  <c r="F151" i="15"/>
  <c r="E151" i="15"/>
  <c r="J150" i="15"/>
  <c r="F150" i="15"/>
  <c r="K150" i="15" s="1"/>
  <c r="L150" i="15" s="1"/>
  <c r="E150" i="15"/>
  <c r="J149" i="15"/>
  <c r="K149" i="15" s="1"/>
  <c r="L149" i="15" s="1"/>
  <c r="E149" i="15"/>
  <c r="F149" i="15" s="1"/>
  <c r="K148" i="15"/>
  <c r="L148" i="15" s="1"/>
  <c r="J148" i="15"/>
  <c r="E148" i="15"/>
  <c r="F148" i="15" s="1"/>
  <c r="J147" i="15"/>
  <c r="E147" i="15"/>
  <c r="F147" i="15" s="1"/>
  <c r="K147" i="15" s="1"/>
  <c r="L147" i="15" s="1"/>
  <c r="J146" i="15"/>
  <c r="E146" i="15"/>
  <c r="F146" i="15" s="1"/>
  <c r="L145" i="15"/>
  <c r="J145" i="15"/>
  <c r="F145" i="15"/>
  <c r="K145" i="15" s="1"/>
  <c r="E145" i="15"/>
  <c r="L144" i="15"/>
  <c r="J144" i="15"/>
  <c r="F144" i="15"/>
  <c r="K144" i="15" s="1"/>
  <c r="E144" i="15"/>
  <c r="I143" i="15"/>
  <c r="J143" i="15" s="1"/>
  <c r="F143" i="15"/>
  <c r="K143" i="15" s="1"/>
  <c r="L143" i="15" s="1"/>
  <c r="E143" i="15"/>
  <c r="K142" i="15"/>
  <c r="L142" i="15" s="1"/>
  <c r="I142" i="15"/>
  <c r="J142" i="15" s="1"/>
  <c r="E142" i="15"/>
  <c r="F142" i="15" s="1"/>
  <c r="K141" i="15"/>
  <c r="L141" i="15" s="1"/>
  <c r="J141" i="15"/>
  <c r="E141" i="15"/>
  <c r="F141" i="15" s="1"/>
  <c r="J140" i="15"/>
  <c r="E140" i="15"/>
  <c r="F140" i="15" s="1"/>
  <c r="K140" i="15" s="1"/>
  <c r="L140" i="15" s="1"/>
  <c r="I139" i="15"/>
  <c r="J139" i="15" s="1"/>
  <c r="K139" i="15" s="1"/>
  <c r="L139" i="15" s="1"/>
  <c r="E139" i="15"/>
  <c r="F139" i="15" s="1"/>
  <c r="J138" i="15"/>
  <c r="F138" i="15"/>
  <c r="K138" i="15" s="1"/>
  <c r="L138" i="15" s="1"/>
  <c r="E138" i="15"/>
  <c r="J137" i="15"/>
  <c r="E137" i="15"/>
  <c r="F137" i="15" s="1"/>
  <c r="K136" i="15"/>
  <c r="L136" i="15" s="1"/>
  <c r="J136" i="15"/>
  <c r="I136" i="15"/>
  <c r="E136" i="15"/>
  <c r="F136" i="15" s="1"/>
  <c r="L135" i="15"/>
  <c r="J135" i="15"/>
  <c r="E135" i="15"/>
  <c r="F135" i="15" s="1"/>
  <c r="K135" i="15" s="1"/>
  <c r="J134" i="15"/>
  <c r="F134" i="15"/>
  <c r="K134" i="15" s="1"/>
  <c r="L134" i="15" s="1"/>
  <c r="E134" i="15"/>
  <c r="J133" i="15"/>
  <c r="F133" i="15"/>
  <c r="E133" i="15"/>
  <c r="J123" i="15"/>
  <c r="E123" i="15"/>
  <c r="F123" i="15" s="1"/>
  <c r="J122" i="15"/>
  <c r="K122" i="15" s="1"/>
  <c r="L122" i="15" s="1"/>
  <c r="I122" i="15"/>
  <c r="E122" i="15"/>
  <c r="F122" i="15" s="1"/>
  <c r="J121" i="15"/>
  <c r="I121" i="15"/>
  <c r="F121" i="15"/>
  <c r="K121" i="15" s="1"/>
  <c r="L121" i="15" s="1"/>
  <c r="E121" i="15"/>
  <c r="I120" i="15"/>
  <c r="J120" i="15" s="1"/>
  <c r="F120" i="15"/>
  <c r="K120" i="15" s="1"/>
  <c r="L120" i="15" s="1"/>
  <c r="E120" i="15"/>
  <c r="K119" i="15"/>
  <c r="L119" i="15" s="1"/>
  <c r="J119" i="15"/>
  <c r="I119" i="15"/>
  <c r="E119" i="15"/>
  <c r="F119" i="15" s="1"/>
  <c r="J118" i="15"/>
  <c r="E118" i="15"/>
  <c r="F118" i="15" s="1"/>
  <c r="K118" i="15" s="1"/>
  <c r="L118" i="15" s="1"/>
  <c r="I117" i="15"/>
  <c r="J117" i="15" s="1"/>
  <c r="E117" i="15"/>
  <c r="F117" i="15" s="1"/>
  <c r="J116" i="15"/>
  <c r="I116" i="15"/>
  <c r="E116" i="15"/>
  <c r="F116" i="15" s="1"/>
  <c r="K115" i="15"/>
  <c r="L115" i="15" s="1"/>
  <c r="J115" i="15"/>
  <c r="I115" i="15"/>
  <c r="F115" i="15"/>
  <c r="E115" i="15"/>
  <c r="J114" i="15"/>
  <c r="E114" i="15"/>
  <c r="F114" i="15" s="1"/>
  <c r="K114" i="15" s="1"/>
  <c r="L114" i="15" s="1"/>
  <c r="K113" i="15"/>
  <c r="L113" i="15" s="1"/>
  <c r="J113" i="15"/>
  <c r="E113" i="15"/>
  <c r="F113" i="15" s="1"/>
  <c r="J112" i="15"/>
  <c r="E112" i="15"/>
  <c r="F112" i="15" s="1"/>
  <c r="K112" i="15" s="1"/>
  <c r="L112" i="15" s="1"/>
  <c r="I111" i="15"/>
  <c r="J111" i="15" s="1"/>
  <c r="E111" i="15"/>
  <c r="F111" i="15" s="1"/>
  <c r="K111" i="15" s="1"/>
  <c r="L111" i="15" s="1"/>
  <c r="J110" i="15"/>
  <c r="F110" i="15"/>
  <c r="K110" i="15" s="1"/>
  <c r="L110" i="15" s="1"/>
  <c r="E110" i="15"/>
  <c r="J109" i="15"/>
  <c r="K109" i="15" s="1"/>
  <c r="L109" i="15" s="1"/>
  <c r="I109" i="15"/>
  <c r="F109" i="15"/>
  <c r="E109" i="15"/>
  <c r="J108" i="15"/>
  <c r="E108" i="15"/>
  <c r="F108" i="15" s="1"/>
  <c r="K108" i="15" s="1"/>
  <c r="L108" i="15" s="1"/>
  <c r="L107" i="15"/>
  <c r="J107" i="15"/>
  <c r="F107" i="15"/>
  <c r="K107" i="15" s="1"/>
  <c r="E107" i="15"/>
  <c r="J106" i="15"/>
  <c r="F106" i="15"/>
  <c r="E106" i="15"/>
  <c r="J105" i="15"/>
  <c r="E105" i="15"/>
  <c r="F105" i="15" s="1"/>
  <c r="J104" i="15"/>
  <c r="I104" i="15"/>
  <c r="E104" i="15"/>
  <c r="F104" i="15" s="1"/>
  <c r="K104" i="15" s="1"/>
  <c r="L104" i="15" s="1"/>
  <c r="J103" i="15"/>
  <c r="E103" i="15"/>
  <c r="F103" i="15" s="1"/>
  <c r="K103" i="15" s="1"/>
  <c r="L103" i="15" s="1"/>
  <c r="J102" i="15"/>
  <c r="F102" i="15"/>
  <c r="K102" i="15" s="1"/>
  <c r="L102" i="15" s="1"/>
  <c r="E102" i="15"/>
  <c r="J101" i="15"/>
  <c r="E101" i="15"/>
  <c r="F101" i="15" s="1"/>
  <c r="K101" i="15" s="1"/>
  <c r="L101" i="15" s="1"/>
  <c r="J100" i="15"/>
  <c r="E100" i="15"/>
  <c r="F100" i="15" s="1"/>
  <c r="J99" i="15"/>
  <c r="F99" i="15"/>
  <c r="K99" i="15" s="1"/>
  <c r="L99" i="15" s="1"/>
  <c r="E99" i="15"/>
  <c r="K98" i="15"/>
  <c r="L98" i="15" s="1"/>
  <c r="J98" i="15"/>
  <c r="F98" i="15"/>
  <c r="E98" i="15"/>
  <c r="J97" i="15"/>
  <c r="E97" i="15"/>
  <c r="F97" i="15" s="1"/>
  <c r="K97" i="15" s="1"/>
  <c r="L97" i="15" s="1"/>
  <c r="I96" i="15"/>
  <c r="J96" i="15" s="1"/>
  <c r="E96" i="15"/>
  <c r="F96" i="15" s="1"/>
  <c r="K96" i="15" s="1"/>
  <c r="L96" i="15" s="1"/>
  <c r="J95" i="15"/>
  <c r="K95" i="15" s="1"/>
  <c r="L95" i="15" s="1"/>
  <c r="I95" i="15"/>
  <c r="E95" i="15"/>
  <c r="F95" i="15" s="1"/>
  <c r="J94" i="15"/>
  <c r="I94" i="15"/>
  <c r="F94" i="15"/>
  <c r="E94" i="15"/>
  <c r="K84" i="15"/>
  <c r="L84" i="15" s="1"/>
  <c r="J84" i="15"/>
  <c r="F84" i="15"/>
  <c r="E84" i="15"/>
  <c r="J83" i="15"/>
  <c r="F83" i="15"/>
  <c r="K83" i="15" s="1"/>
  <c r="L83" i="15" s="1"/>
  <c r="E83" i="15"/>
  <c r="I82" i="15"/>
  <c r="J82" i="15" s="1"/>
  <c r="K82" i="15" s="1"/>
  <c r="L82" i="15" s="1"/>
  <c r="E82" i="15"/>
  <c r="F82" i="15" s="1"/>
  <c r="J81" i="15"/>
  <c r="I81" i="15"/>
  <c r="E81" i="15"/>
  <c r="F81" i="15" s="1"/>
  <c r="K81" i="15" s="1"/>
  <c r="L81" i="15" s="1"/>
  <c r="I80" i="15"/>
  <c r="J80" i="15" s="1"/>
  <c r="F80" i="15"/>
  <c r="K80" i="15" s="1"/>
  <c r="L80" i="15" s="1"/>
  <c r="E80" i="15"/>
  <c r="J79" i="15"/>
  <c r="F79" i="15"/>
  <c r="E79" i="15"/>
  <c r="J78" i="15"/>
  <c r="E78" i="15"/>
  <c r="F78" i="15" s="1"/>
  <c r="J77" i="15"/>
  <c r="K77" i="15" s="1"/>
  <c r="L77" i="15" s="1"/>
  <c r="I77" i="15"/>
  <c r="E77" i="15"/>
  <c r="F77" i="15" s="1"/>
  <c r="J76" i="15"/>
  <c r="E76" i="15"/>
  <c r="F76" i="15" s="1"/>
  <c r="K76" i="15" s="1"/>
  <c r="L76" i="15" s="1"/>
  <c r="J75" i="15"/>
  <c r="I75" i="15"/>
  <c r="E75" i="15"/>
  <c r="F75" i="15" s="1"/>
  <c r="K75" i="15" s="1"/>
  <c r="L75" i="15" s="1"/>
  <c r="J74" i="15"/>
  <c r="K74" i="15" s="1"/>
  <c r="L74" i="15" s="1"/>
  <c r="I74" i="15"/>
  <c r="F74" i="15"/>
  <c r="E74" i="15"/>
  <c r="J73" i="15"/>
  <c r="E73" i="15"/>
  <c r="F73" i="15" s="1"/>
  <c r="K73" i="15" s="1"/>
  <c r="L73" i="15" s="1"/>
  <c r="J72" i="15"/>
  <c r="E72" i="15"/>
  <c r="F72" i="15" s="1"/>
  <c r="K72" i="15" s="1"/>
  <c r="L72" i="15" s="1"/>
  <c r="K71" i="15"/>
  <c r="L71" i="15" s="1"/>
  <c r="J71" i="15"/>
  <c r="E71" i="15"/>
  <c r="F71" i="15" s="1"/>
  <c r="I70" i="15"/>
  <c r="J70" i="15" s="1"/>
  <c r="E70" i="15"/>
  <c r="F70" i="15" s="1"/>
  <c r="J69" i="15"/>
  <c r="E69" i="15"/>
  <c r="F69" i="15" s="1"/>
  <c r="K69" i="15" s="1"/>
  <c r="L69" i="15" s="1"/>
  <c r="J68" i="15"/>
  <c r="K68" i="15" s="1"/>
  <c r="L68" i="15" s="1"/>
  <c r="I68" i="15"/>
  <c r="F68" i="15"/>
  <c r="E68" i="15"/>
  <c r="J67" i="15"/>
  <c r="I67" i="15"/>
  <c r="E67" i="15"/>
  <c r="F67" i="15" s="1"/>
  <c r="K67" i="15" s="1"/>
  <c r="L67" i="15" s="1"/>
  <c r="I66" i="15"/>
  <c r="J66" i="15" s="1"/>
  <c r="E66" i="15"/>
  <c r="F66" i="15" s="1"/>
  <c r="K66" i="15" s="1"/>
  <c r="L66" i="15" s="1"/>
  <c r="J65" i="15"/>
  <c r="K65" i="15" s="1"/>
  <c r="L65" i="15" s="1"/>
  <c r="I65" i="15"/>
  <c r="E65" i="15"/>
  <c r="F65" i="15" s="1"/>
  <c r="J64" i="15"/>
  <c r="F64" i="15"/>
  <c r="K64" i="15" s="1"/>
  <c r="L64" i="15" s="1"/>
  <c r="E64" i="15"/>
  <c r="I63" i="15"/>
  <c r="J63" i="15" s="1"/>
  <c r="F63" i="15"/>
  <c r="K63" i="15" s="1"/>
  <c r="L63" i="15" s="1"/>
  <c r="E63" i="15"/>
  <c r="J62" i="15"/>
  <c r="E62" i="15"/>
  <c r="F62" i="15" s="1"/>
  <c r="K62" i="15" s="1"/>
  <c r="L62" i="15" s="1"/>
  <c r="K61" i="15"/>
  <c r="L61" i="15" s="1"/>
  <c r="J61" i="15"/>
  <c r="E61" i="15"/>
  <c r="F61" i="15" s="1"/>
  <c r="L60" i="15"/>
  <c r="I60" i="15"/>
  <c r="J60" i="15" s="1"/>
  <c r="F60" i="15"/>
  <c r="K60" i="15" s="1"/>
  <c r="E60" i="15"/>
  <c r="K59" i="15"/>
  <c r="L59" i="15" s="1"/>
  <c r="J59" i="15"/>
  <c r="I59" i="15"/>
  <c r="E59" i="15"/>
  <c r="F59" i="15" s="1"/>
  <c r="I58" i="15"/>
  <c r="J58" i="15" s="1"/>
  <c r="F58" i="15"/>
  <c r="K58" i="15" s="1"/>
  <c r="L58" i="15" s="1"/>
  <c r="E58" i="15"/>
  <c r="J57" i="15"/>
  <c r="F57" i="15"/>
  <c r="E57" i="15"/>
  <c r="J56" i="15"/>
  <c r="E56" i="15"/>
  <c r="F56" i="15" s="1"/>
  <c r="K56" i="15" s="1"/>
  <c r="L56" i="15" s="1"/>
  <c r="J55" i="15"/>
  <c r="E55" i="15"/>
  <c r="F55" i="15" s="1"/>
  <c r="K55" i="15" s="1"/>
  <c r="L55" i="15" s="1"/>
  <c r="I54" i="15"/>
  <c r="J54" i="15" s="1"/>
  <c r="F54" i="15"/>
  <c r="K54" i="15" s="1"/>
  <c r="L54" i="15" s="1"/>
  <c r="E54" i="15"/>
  <c r="L53" i="15"/>
  <c r="K53" i="15"/>
  <c r="J53" i="15"/>
  <c r="E53" i="15"/>
  <c r="F53" i="15" s="1"/>
  <c r="I52" i="15"/>
  <c r="J52" i="15" s="1"/>
  <c r="F52" i="15"/>
  <c r="K52" i="15" s="1"/>
  <c r="L52" i="15" s="1"/>
  <c r="E52" i="15"/>
  <c r="J51" i="15"/>
  <c r="F51" i="15"/>
  <c r="E51" i="15"/>
  <c r="J50" i="15"/>
  <c r="E50" i="15"/>
  <c r="F50" i="15" s="1"/>
  <c r="K50" i="15" s="1"/>
  <c r="L50" i="15" s="1"/>
  <c r="J49" i="15"/>
  <c r="E49" i="15"/>
  <c r="F49" i="15" s="1"/>
  <c r="K49" i="15" s="1"/>
  <c r="L49" i="15" s="1"/>
  <c r="J48" i="15"/>
  <c r="F48" i="15"/>
  <c r="E48" i="15"/>
  <c r="I40" i="15"/>
  <c r="J40" i="15" s="1"/>
  <c r="E40" i="15"/>
  <c r="F40" i="15" s="1"/>
  <c r="K40" i="15" s="1"/>
  <c r="L40" i="15" s="1"/>
  <c r="I39" i="15"/>
  <c r="J39" i="15" s="1"/>
  <c r="E39" i="15"/>
  <c r="F39" i="15" s="1"/>
  <c r="K39" i="15" s="1"/>
  <c r="L39" i="15" s="1"/>
  <c r="J38" i="15"/>
  <c r="I38" i="15"/>
  <c r="E38" i="15"/>
  <c r="F38" i="15" s="1"/>
  <c r="K38" i="15" s="1"/>
  <c r="L38" i="15" s="1"/>
  <c r="J37" i="15"/>
  <c r="F37" i="15"/>
  <c r="K37" i="15" s="1"/>
  <c r="L37" i="15" s="1"/>
  <c r="E37" i="15"/>
  <c r="I36" i="15"/>
  <c r="J36" i="15" s="1"/>
  <c r="F36" i="15"/>
  <c r="K36" i="15" s="1"/>
  <c r="L36" i="15" s="1"/>
  <c r="E36" i="15"/>
  <c r="I35" i="15"/>
  <c r="J35" i="15" s="1"/>
  <c r="E35" i="15"/>
  <c r="F35" i="15" s="1"/>
  <c r="K35" i="15" s="1"/>
  <c r="L35" i="15" s="1"/>
  <c r="I34" i="15"/>
  <c r="J34" i="15" s="1"/>
  <c r="E34" i="15"/>
  <c r="F34" i="15" s="1"/>
  <c r="J33" i="15"/>
  <c r="I33" i="15"/>
  <c r="E33" i="15"/>
  <c r="F33" i="15" s="1"/>
  <c r="K33" i="15" s="1"/>
  <c r="L33" i="15" s="1"/>
  <c r="I32" i="15"/>
  <c r="J32" i="15" s="1"/>
  <c r="F32" i="15"/>
  <c r="K32" i="15" s="1"/>
  <c r="L32" i="15" s="1"/>
  <c r="E32" i="15"/>
  <c r="I31" i="15"/>
  <c r="J31" i="15" s="1"/>
  <c r="E31" i="15"/>
  <c r="F31" i="15" s="1"/>
  <c r="K31" i="15" s="1"/>
  <c r="L31" i="15" s="1"/>
  <c r="L30" i="15"/>
  <c r="J30" i="15"/>
  <c r="F30" i="15"/>
  <c r="K30" i="15" s="1"/>
  <c r="E30" i="15"/>
  <c r="J29" i="15"/>
  <c r="F29" i="15"/>
  <c r="K29" i="15" s="1"/>
  <c r="L29" i="15" s="1"/>
  <c r="E29" i="15"/>
  <c r="K28" i="15"/>
  <c r="L28" i="15" s="1"/>
  <c r="J28" i="15"/>
  <c r="E28" i="15"/>
  <c r="F28" i="15" s="1"/>
  <c r="I27" i="15"/>
  <c r="J27" i="15" s="1"/>
  <c r="F27" i="15"/>
  <c r="K27" i="15" s="1"/>
  <c r="L27" i="15" s="1"/>
  <c r="E27" i="15"/>
  <c r="J26" i="15"/>
  <c r="F26" i="15"/>
  <c r="E26" i="15"/>
  <c r="L25" i="15"/>
  <c r="I25" i="15"/>
  <c r="J25" i="15" s="1"/>
  <c r="E25" i="15"/>
  <c r="F25" i="15" s="1"/>
  <c r="K25" i="15" s="1"/>
  <c r="J24" i="15"/>
  <c r="I24" i="15"/>
  <c r="E24" i="15"/>
  <c r="F24" i="15" s="1"/>
  <c r="K23" i="15"/>
  <c r="L23" i="15" s="1"/>
  <c r="J23" i="15"/>
  <c r="E23" i="15"/>
  <c r="F23" i="15" s="1"/>
  <c r="J22" i="15"/>
  <c r="E22" i="15"/>
  <c r="F22" i="15" s="1"/>
  <c r="K22" i="15" s="1"/>
  <c r="L22" i="15" s="1"/>
  <c r="J21" i="15"/>
  <c r="F21" i="15"/>
  <c r="K21" i="15" s="1"/>
  <c r="L21" i="15" s="1"/>
  <c r="E21" i="15"/>
  <c r="I20" i="15"/>
  <c r="J20" i="15" s="1"/>
  <c r="E20" i="15"/>
  <c r="F20" i="15" s="1"/>
  <c r="K20" i="15" s="1"/>
  <c r="L20" i="15" s="1"/>
  <c r="L19" i="15"/>
  <c r="J19" i="15"/>
  <c r="E19" i="15"/>
  <c r="F19" i="15" s="1"/>
  <c r="K19" i="15" s="1"/>
  <c r="L18" i="15"/>
  <c r="J18" i="15"/>
  <c r="F18" i="15"/>
  <c r="K18" i="15" s="1"/>
  <c r="E18" i="15"/>
  <c r="J17" i="15"/>
  <c r="F17" i="15"/>
  <c r="K17" i="15" s="1"/>
  <c r="L17" i="15" s="1"/>
  <c r="E17" i="15"/>
  <c r="K16" i="15"/>
  <c r="L16" i="15" s="1"/>
  <c r="I16" i="15"/>
  <c r="J16" i="15" s="1"/>
  <c r="E16" i="15"/>
  <c r="F16" i="15" s="1"/>
  <c r="J15" i="15"/>
  <c r="I15" i="15"/>
  <c r="E15" i="15"/>
  <c r="F15" i="15" s="1"/>
  <c r="J14" i="15"/>
  <c r="K14" i="15" s="1"/>
  <c r="L14" i="15" s="1"/>
  <c r="I14" i="15"/>
  <c r="F14" i="15"/>
  <c r="E14" i="15"/>
  <c r="I13" i="15"/>
  <c r="J13" i="15" s="1"/>
  <c r="F13" i="15"/>
  <c r="K13" i="15" s="1"/>
  <c r="L13" i="15" s="1"/>
  <c r="E13" i="15"/>
  <c r="K12" i="15"/>
  <c r="L12" i="15" s="1"/>
  <c r="J12" i="15"/>
  <c r="E12" i="15"/>
  <c r="F12" i="15" s="1"/>
  <c r="K11" i="15"/>
  <c r="L11" i="15" s="1"/>
  <c r="I11" i="15"/>
  <c r="J11" i="15" s="1"/>
  <c r="F11" i="15"/>
  <c r="E11" i="15"/>
  <c r="J10" i="15"/>
  <c r="F10" i="15"/>
  <c r="E10" i="15"/>
  <c r="I9" i="15"/>
  <c r="J9" i="15" s="1"/>
  <c r="K9" i="15" s="1"/>
  <c r="L9" i="15" s="1"/>
  <c r="E9" i="15"/>
  <c r="F9" i="15" s="1"/>
  <c r="J8" i="15"/>
  <c r="F8" i="15"/>
  <c r="E8" i="15"/>
  <c r="J7" i="15"/>
  <c r="F7" i="15"/>
  <c r="K7" i="15" s="1"/>
  <c r="L7" i="15" s="1"/>
  <c r="E7" i="15"/>
  <c r="J6" i="15"/>
  <c r="E6" i="15"/>
  <c r="J314" i="14"/>
  <c r="E314" i="14"/>
  <c r="K314" i="14" s="1"/>
  <c r="L314" i="14" s="1"/>
  <c r="K313" i="14"/>
  <c r="L313" i="14" s="1"/>
  <c r="J313" i="14"/>
  <c r="I313" i="14"/>
  <c r="E313" i="14"/>
  <c r="J312" i="14"/>
  <c r="K312" i="14" s="1"/>
  <c r="L312" i="14" s="1"/>
  <c r="I312" i="14"/>
  <c r="E312" i="14"/>
  <c r="L311" i="14"/>
  <c r="I311" i="14"/>
  <c r="J311" i="14" s="1"/>
  <c r="E311" i="14"/>
  <c r="K311" i="14" s="1"/>
  <c r="J310" i="14"/>
  <c r="K310" i="14" s="1"/>
  <c r="L310" i="14" s="1"/>
  <c r="I310" i="14"/>
  <c r="E310" i="14"/>
  <c r="J309" i="14"/>
  <c r="K309" i="14" s="1"/>
  <c r="L309" i="14" s="1"/>
  <c r="I309" i="14"/>
  <c r="E309" i="14"/>
  <c r="I308" i="14"/>
  <c r="J308" i="14" s="1"/>
  <c r="K308" i="14" s="1"/>
  <c r="L308" i="14" s="1"/>
  <c r="E308" i="14"/>
  <c r="K307" i="14"/>
  <c r="L307" i="14" s="1"/>
  <c r="I307" i="14"/>
  <c r="J307" i="14" s="1"/>
  <c r="E307" i="14"/>
  <c r="I306" i="14"/>
  <c r="J306" i="14" s="1"/>
  <c r="E306" i="14"/>
  <c r="K306" i="14" s="1"/>
  <c r="L306" i="14" s="1"/>
  <c r="J305" i="14"/>
  <c r="K305" i="14" s="1"/>
  <c r="L305" i="14" s="1"/>
  <c r="I305" i="14"/>
  <c r="E305" i="14"/>
  <c r="J304" i="14"/>
  <c r="K304" i="14" s="1"/>
  <c r="L304" i="14" s="1"/>
  <c r="E304" i="14"/>
  <c r="K303" i="14"/>
  <c r="L303" i="14" s="1"/>
  <c r="J303" i="14"/>
  <c r="E303" i="14"/>
  <c r="J302" i="14"/>
  <c r="K302" i="14" s="1"/>
  <c r="L302" i="14" s="1"/>
  <c r="E302" i="14"/>
  <c r="K301" i="14"/>
  <c r="L301" i="14" s="1"/>
  <c r="J301" i="14"/>
  <c r="E301" i="14"/>
  <c r="J300" i="14"/>
  <c r="K300" i="14" s="1"/>
  <c r="L300" i="14" s="1"/>
  <c r="E300" i="14"/>
  <c r="K299" i="14"/>
  <c r="L299" i="14" s="1"/>
  <c r="J299" i="14"/>
  <c r="E299" i="14"/>
  <c r="J298" i="14"/>
  <c r="K298" i="14" s="1"/>
  <c r="L298" i="14" s="1"/>
  <c r="E298" i="14"/>
  <c r="K289" i="14"/>
  <c r="L289" i="14" s="1"/>
  <c r="J289" i="14"/>
  <c r="E289" i="14"/>
  <c r="J288" i="14"/>
  <c r="K288" i="14" s="1"/>
  <c r="L288" i="14" s="1"/>
  <c r="I288" i="14"/>
  <c r="E288" i="14"/>
  <c r="K287" i="14"/>
  <c r="J287" i="14"/>
  <c r="E287" i="14"/>
  <c r="E291" i="14" s="1"/>
  <c r="K279" i="14"/>
  <c r="L279" i="14" s="1"/>
  <c r="J279" i="14"/>
  <c r="E279" i="14"/>
  <c r="K278" i="14"/>
  <c r="L278" i="14" s="1"/>
  <c r="J278" i="14"/>
  <c r="E278" i="14"/>
  <c r="J277" i="14"/>
  <c r="E277" i="14"/>
  <c r="J276" i="14"/>
  <c r="K276" i="14" s="1"/>
  <c r="L276" i="14" s="1"/>
  <c r="E276" i="14"/>
  <c r="J275" i="14"/>
  <c r="E275" i="14"/>
  <c r="K275" i="14" s="1"/>
  <c r="L275" i="14" s="1"/>
  <c r="K274" i="14"/>
  <c r="L274" i="14" s="1"/>
  <c r="J274" i="14"/>
  <c r="E274" i="14"/>
  <c r="J273" i="14"/>
  <c r="K273" i="14" s="1"/>
  <c r="L273" i="14" s="1"/>
  <c r="E273" i="14"/>
  <c r="K272" i="14"/>
  <c r="L272" i="14" s="1"/>
  <c r="J272" i="14"/>
  <c r="I272" i="14"/>
  <c r="E272" i="14"/>
  <c r="J271" i="14"/>
  <c r="K271" i="14" s="1"/>
  <c r="L271" i="14" s="1"/>
  <c r="I271" i="14"/>
  <c r="E271" i="14"/>
  <c r="I270" i="14"/>
  <c r="J270" i="14" s="1"/>
  <c r="E270" i="14"/>
  <c r="K270" i="14" s="1"/>
  <c r="L270" i="14" s="1"/>
  <c r="J269" i="14"/>
  <c r="E269" i="14"/>
  <c r="K269" i="14" s="1"/>
  <c r="L269" i="14" s="1"/>
  <c r="J268" i="14"/>
  <c r="E268" i="14"/>
  <c r="K268" i="14" s="1"/>
  <c r="L268" i="14" s="1"/>
  <c r="J267" i="14"/>
  <c r="E267" i="14"/>
  <c r="J266" i="14"/>
  <c r="E266" i="14"/>
  <c r="K266" i="14" s="1"/>
  <c r="L266" i="14" s="1"/>
  <c r="J265" i="14"/>
  <c r="E265" i="14"/>
  <c r="L256" i="14"/>
  <c r="K256" i="14"/>
  <c r="I256" i="14"/>
  <c r="J256" i="14" s="1"/>
  <c r="E256" i="14"/>
  <c r="K255" i="14"/>
  <c r="L255" i="14" s="1"/>
  <c r="I255" i="14"/>
  <c r="J255" i="14" s="1"/>
  <c r="E255" i="14"/>
  <c r="J254" i="14"/>
  <c r="I254" i="14"/>
  <c r="E254" i="14"/>
  <c r="K254" i="14" s="1"/>
  <c r="L254" i="14" s="1"/>
  <c r="J253" i="14"/>
  <c r="E253" i="14"/>
  <c r="K253" i="14" s="1"/>
  <c r="L253" i="14" s="1"/>
  <c r="L252" i="14"/>
  <c r="J252" i="14"/>
  <c r="E252" i="14"/>
  <c r="K252" i="14" s="1"/>
  <c r="J251" i="14"/>
  <c r="E251" i="14"/>
  <c r="K251" i="14" s="1"/>
  <c r="L251" i="14" s="1"/>
  <c r="L250" i="14"/>
  <c r="J250" i="14"/>
  <c r="E250" i="14"/>
  <c r="K250" i="14" s="1"/>
  <c r="I249" i="14"/>
  <c r="J249" i="14" s="1"/>
  <c r="E249" i="14"/>
  <c r="J248" i="14"/>
  <c r="K248" i="14" s="1"/>
  <c r="L248" i="14" s="1"/>
  <c r="E248" i="14"/>
  <c r="J247" i="14"/>
  <c r="E247" i="14"/>
  <c r="J246" i="14"/>
  <c r="K246" i="14" s="1"/>
  <c r="E246" i="14"/>
  <c r="J237" i="14"/>
  <c r="K237" i="14" s="1"/>
  <c r="L237" i="14" s="1"/>
  <c r="I237" i="14"/>
  <c r="F237" i="14"/>
  <c r="E237" i="14"/>
  <c r="J236" i="14"/>
  <c r="E236" i="14"/>
  <c r="F236" i="14" s="1"/>
  <c r="K236" i="14" s="1"/>
  <c r="L236" i="14" s="1"/>
  <c r="J235" i="14"/>
  <c r="F235" i="14"/>
  <c r="K235" i="14" s="1"/>
  <c r="L235" i="14" s="1"/>
  <c r="E235" i="14"/>
  <c r="J234" i="14"/>
  <c r="E234" i="14"/>
  <c r="F234" i="14" s="1"/>
  <c r="K234" i="14" s="1"/>
  <c r="L234" i="14" s="1"/>
  <c r="J233" i="14"/>
  <c r="K233" i="14" s="1"/>
  <c r="L233" i="14" s="1"/>
  <c r="I233" i="14"/>
  <c r="E233" i="14"/>
  <c r="F233" i="14" s="1"/>
  <c r="I232" i="14"/>
  <c r="J232" i="14" s="1"/>
  <c r="F232" i="14"/>
  <c r="E232" i="14"/>
  <c r="K231" i="14"/>
  <c r="L231" i="14" s="1"/>
  <c r="J231" i="14"/>
  <c r="F231" i="14"/>
  <c r="E231" i="14"/>
  <c r="J230" i="14"/>
  <c r="E230" i="14"/>
  <c r="F230" i="14" s="1"/>
  <c r="K230" i="14" s="1"/>
  <c r="L230" i="14" s="1"/>
  <c r="J229" i="14"/>
  <c r="E229" i="14"/>
  <c r="F229" i="14" s="1"/>
  <c r="J220" i="14"/>
  <c r="E220" i="14"/>
  <c r="K220" i="14" s="1"/>
  <c r="L220" i="14" s="1"/>
  <c r="I219" i="14"/>
  <c r="J219" i="14" s="1"/>
  <c r="K219" i="14" s="1"/>
  <c r="L219" i="14" s="1"/>
  <c r="E219" i="14"/>
  <c r="J218" i="14"/>
  <c r="E218" i="14"/>
  <c r="K218" i="14" s="1"/>
  <c r="L218" i="14" s="1"/>
  <c r="J217" i="14"/>
  <c r="K217" i="14" s="1"/>
  <c r="L217" i="14" s="1"/>
  <c r="E217" i="14"/>
  <c r="J216" i="14"/>
  <c r="E216" i="14"/>
  <c r="J215" i="14"/>
  <c r="K215" i="14" s="1"/>
  <c r="L215" i="14" s="1"/>
  <c r="I215" i="14"/>
  <c r="E215" i="14"/>
  <c r="K214" i="14"/>
  <c r="L214" i="14" s="1"/>
  <c r="J214" i="14"/>
  <c r="E214" i="14"/>
  <c r="K213" i="14"/>
  <c r="L213" i="14" s="1"/>
  <c r="I213" i="14"/>
  <c r="J213" i="14" s="1"/>
  <c r="E213" i="14"/>
  <c r="L212" i="14"/>
  <c r="K212" i="14"/>
  <c r="J212" i="14"/>
  <c r="E212" i="14"/>
  <c r="L211" i="14"/>
  <c r="J211" i="14"/>
  <c r="E211" i="14"/>
  <c r="K211" i="14" s="1"/>
  <c r="K210" i="14"/>
  <c r="L210" i="14" s="1"/>
  <c r="J210" i="14"/>
  <c r="E210" i="14"/>
  <c r="L209" i="14"/>
  <c r="J209" i="14"/>
  <c r="E209" i="14"/>
  <c r="K209" i="14" s="1"/>
  <c r="K208" i="14"/>
  <c r="L208" i="14" s="1"/>
  <c r="J208" i="14"/>
  <c r="E208" i="14"/>
  <c r="L207" i="14"/>
  <c r="J207" i="14"/>
  <c r="E207" i="14"/>
  <c r="K207" i="14" s="1"/>
  <c r="L206" i="14"/>
  <c r="K206" i="14"/>
  <c r="J206" i="14"/>
  <c r="E206" i="14"/>
  <c r="L196" i="14"/>
  <c r="K196" i="14"/>
  <c r="I196" i="14"/>
  <c r="J196" i="14" s="1"/>
  <c r="F196" i="14"/>
  <c r="E196" i="14"/>
  <c r="J195" i="14"/>
  <c r="F195" i="14"/>
  <c r="K195" i="14" s="1"/>
  <c r="L195" i="14" s="1"/>
  <c r="E195" i="14"/>
  <c r="K194" i="14"/>
  <c r="L194" i="14" s="1"/>
  <c r="J194" i="14"/>
  <c r="E194" i="14"/>
  <c r="F194" i="14" s="1"/>
  <c r="J193" i="14"/>
  <c r="E193" i="14"/>
  <c r="F193" i="14" s="1"/>
  <c r="K193" i="14" s="1"/>
  <c r="L193" i="14" s="1"/>
  <c r="J192" i="14"/>
  <c r="F192" i="14"/>
  <c r="K192" i="14" s="1"/>
  <c r="L192" i="14" s="1"/>
  <c r="E192" i="14"/>
  <c r="J191" i="14"/>
  <c r="E191" i="14"/>
  <c r="F191" i="14" s="1"/>
  <c r="J190" i="14"/>
  <c r="I190" i="14"/>
  <c r="E190" i="14"/>
  <c r="F190" i="14" s="1"/>
  <c r="K190" i="14" s="1"/>
  <c r="L190" i="14" s="1"/>
  <c r="J189" i="14"/>
  <c r="F189" i="14"/>
  <c r="K189" i="14" s="1"/>
  <c r="L189" i="14" s="1"/>
  <c r="E189" i="14"/>
  <c r="J188" i="14"/>
  <c r="E188" i="14"/>
  <c r="F188" i="14" s="1"/>
  <c r="J187" i="14"/>
  <c r="K187" i="14" s="1"/>
  <c r="L187" i="14" s="1"/>
  <c r="E187" i="14"/>
  <c r="F187" i="14" s="1"/>
  <c r="L186" i="14"/>
  <c r="J186" i="14"/>
  <c r="I186" i="14"/>
  <c r="F186" i="14"/>
  <c r="K186" i="14" s="1"/>
  <c r="E186" i="14"/>
  <c r="J185" i="14"/>
  <c r="K185" i="14" s="1"/>
  <c r="L185" i="14" s="1"/>
  <c r="I185" i="14"/>
  <c r="F185" i="14"/>
  <c r="E185" i="14"/>
  <c r="L184" i="14"/>
  <c r="K184" i="14"/>
  <c r="I184" i="14"/>
  <c r="J184" i="14" s="1"/>
  <c r="F184" i="14"/>
  <c r="E184" i="14"/>
  <c r="J183" i="14"/>
  <c r="I183" i="14"/>
  <c r="E183" i="14"/>
  <c r="F183" i="14" s="1"/>
  <c r="K183" i="14" s="1"/>
  <c r="L183" i="14" s="1"/>
  <c r="J182" i="14"/>
  <c r="E182" i="14"/>
  <c r="J181" i="14"/>
  <c r="F181" i="14"/>
  <c r="E181" i="14"/>
  <c r="J172" i="14"/>
  <c r="I172" i="14"/>
  <c r="E172" i="14"/>
  <c r="F172" i="14" s="1"/>
  <c r="J171" i="14"/>
  <c r="E171" i="14"/>
  <c r="F171" i="14" s="1"/>
  <c r="K171" i="14" s="1"/>
  <c r="L171" i="14" s="1"/>
  <c r="I170" i="14"/>
  <c r="J170" i="14" s="1"/>
  <c r="F170" i="14"/>
  <c r="E170" i="14"/>
  <c r="J169" i="14"/>
  <c r="E169" i="14"/>
  <c r="F169" i="14" s="1"/>
  <c r="K169" i="14" s="1"/>
  <c r="L169" i="14" s="1"/>
  <c r="K168" i="14"/>
  <c r="L168" i="14" s="1"/>
  <c r="J168" i="14"/>
  <c r="E168" i="14"/>
  <c r="F168" i="14" s="1"/>
  <c r="J167" i="14"/>
  <c r="E167" i="14"/>
  <c r="F167" i="14" s="1"/>
  <c r="K167" i="14" s="1"/>
  <c r="L167" i="14" s="1"/>
  <c r="J166" i="14"/>
  <c r="E166" i="14"/>
  <c r="F166" i="14" s="1"/>
  <c r="K165" i="14"/>
  <c r="L165" i="14" s="1"/>
  <c r="J165" i="14"/>
  <c r="E165" i="14"/>
  <c r="F165" i="14" s="1"/>
  <c r="I164" i="14"/>
  <c r="J164" i="14" s="1"/>
  <c r="E164" i="14"/>
  <c r="F164" i="14" s="1"/>
  <c r="J163" i="14"/>
  <c r="I163" i="14"/>
  <c r="E163" i="14"/>
  <c r="F163" i="14" s="1"/>
  <c r="K163" i="14" s="1"/>
  <c r="L163" i="14" s="1"/>
  <c r="I162" i="14"/>
  <c r="J162" i="14" s="1"/>
  <c r="F162" i="14"/>
  <c r="K162" i="14" s="1"/>
  <c r="L162" i="14" s="1"/>
  <c r="E162" i="14"/>
  <c r="I161" i="14"/>
  <c r="J161" i="14" s="1"/>
  <c r="E161" i="14"/>
  <c r="F161" i="14" s="1"/>
  <c r="L160" i="14"/>
  <c r="J160" i="14"/>
  <c r="E160" i="14"/>
  <c r="F160" i="14" s="1"/>
  <c r="K160" i="14" s="1"/>
  <c r="E153" i="14"/>
  <c r="J151" i="14"/>
  <c r="F151" i="14"/>
  <c r="K151" i="14" s="1"/>
  <c r="L151" i="14" s="1"/>
  <c r="E151" i="14"/>
  <c r="J150" i="14"/>
  <c r="E150" i="14"/>
  <c r="F150" i="14" s="1"/>
  <c r="K150" i="14" s="1"/>
  <c r="L150" i="14" s="1"/>
  <c r="J149" i="14"/>
  <c r="E149" i="14"/>
  <c r="F149" i="14" s="1"/>
  <c r="K149" i="14" s="1"/>
  <c r="L149" i="14" s="1"/>
  <c r="J148" i="14"/>
  <c r="E148" i="14"/>
  <c r="F148" i="14" s="1"/>
  <c r="K148" i="14" s="1"/>
  <c r="L148" i="14" s="1"/>
  <c r="L147" i="14"/>
  <c r="J147" i="14"/>
  <c r="F147" i="14"/>
  <c r="K147" i="14" s="1"/>
  <c r="E147" i="14"/>
  <c r="J146" i="14"/>
  <c r="F146" i="14"/>
  <c r="E146" i="14"/>
  <c r="K145" i="14"/>
  <c r="L145" i="14" s="1"/>
  <c r="J145" i="14"/>
  <c r="E145" i="14"/>
  <c r="F145" i="14" s="1"/>
  <c r="K144" i="14"/>
  <c r="L144" i="14" s="1"/>
  <c r="J144" i="14"/>
  <c r="E144" i="14"/>
  <c r="F144" i="14" s="1"/>
  <c r="J143" i="14"/>
  <c r="F143" i="14"/>
  <c r="K143" i="14" s="1"/>
  <c r="L143" i="14" s="1"/>
  <c r="E143" i="14"/>
  <c r="J142" i="14"/>
  <c r="E142" i="14"/>
  <c r="F142" i="14" s="1"/>
  <c r="J141" i="14"/>
  <c r="K141" i="14" s="1"/>
  <c r="L141" i="14" s="1"/>
  <c r="E141" i="14"/>
  <c r="F141" i="14" s="1"/>
  <c r="L140" i="14"/>
  <c r="J140" i="14"/>
  <c r="E140" i="14"/>
  <c r="F140" i="14" s="1"/>
  <c r="K140" i="14" s="1"/>
  <c r="J139" i="14"/>
  <c r="F139" i="14"/>
  <c r="K139" i="14" s="1"/>
  <c r="L139" i="14" s="1"/>
  <c r="E139" i="14"/>
  <c r="J138" i="14"/>
  <c r="F138" i="14"/>
  <c r="E138" i="14"/>
  <c r="K137" i="14"/>
  <c r="J137" i="14"/>
  <c r="F137" i="14"/>
  <c r="E137" i="14"/>
  <c r="K128" i="14"/>
  <c r="L128" i="14" s="1"/>
  <c r="J128" i="14"/>
  <c r="E128" i="14"/>
  <c r="K127" i="14"/>
  <c r="L127" i="14" s="1"/>
  <c r="J127" i="14"/>
  <c r="E127" i="14"/>
  <c r="L126" i="14"/>
  <c r="K126" i="14"/>
  <c r="J126" i="14"/>
  <c r="E126" i="14"/>
  <c r="J125" i="14"/>
  <c r="K125" i="14" s="1"/>
  <c r="L125" i="14" s="1"/>
  <c r="E125" i="14"/>
  <c r="K124" i="14"/>
  <c r="L124" i="14" s="1"/>
  <c r="J124" i="14"/>
  <c r="E124" i="14"/>
  <c r="K123" i="14"/>
  <c r="L123" i="14" s="1"/>
  <c r="J123" i="14"/>
  <c r="E123" i="14"/>
  <c r="I122" i="14"/>
  <c r="J122" i="14" s="1"/>
  <c r="K122" i="14" s="1"/>
  <c r="L122" i="14" s="1"/>
  <c r="E122" i="14"/>
  <c r="L121" i="14"/>
  <c r="K121" i="14"/>
  <c r="J121" i="14"/>
  <c r="E121" i="14"/>
  <c r="J120" i="14"/>
  <c r="E120" i="14"/>
  <c r="K120" i="14" s="1"/>
  <c r="L120" i="14" s="1"/>
  <c r="K119" i="14"/>
  <c r="L119" i="14" s="1"/>
  <c r="I119" i="14"/>
  <c r="J119" i="14" s="1"/>
  <c r="E119" i="14"/>
  <c r="I118" i="14"/>
  <c r="J118" i="14" s="1"/>
  <c r="E118" i="14"/>
  <c r="J117" i="14"/>
  <c r="K117" i="14" s="1"/>
  <c r="L117" i="14" s="1"/>
  <c r="E117" i="14"/>
  <c r="J116" i="14"/>
  <c r="E116" i="14"/>
  <c r="J115" i="14"/>
  <c r="K115" i="14" s="1"/>
  <c r="L115" i="14" s="1"/>
  <c r="E115" i="14"/>
  <c r="J114" i="14"/>
  <c r="E114" i="14"/>
  <c r="K114" i="14" s="1"/>
  <c r="L114" i="14" s="1"/>
  <c r="J113" i="14"/>
  <c r="K113" i="14" s="1"/>
  <c r="L113" i="14" s="1"/>
  <c r="E113" i="14"/>
  <c r="J112" i="14"/>
  <c r="E112" i="14"/>
  <c r="K112" i="14" s="1"/>
  <c r="L112" i="14" s="1"/>
  <c r="J111" i="14"/>
  <c r="K111" i="14" s="1"/>
  <c r="L111" i="14" s="1"/>
  <c r="E111" i="14"/>
  <c r="J110" i="14"/>
  <c r="E110" i="14"/>
  <c r="K109" i="14"/>
  <c r="L109" i="14" s="1"/>
  <c r="J109" i="14"/>
  <c r="E109" i="14"/>
  <c r="J101" i="14"/>
  <c r="K101" i="14" s="1"/>
  <c r="L101" i="14" s="1"/>
  <c r="I101" i="14"/>
  <c r="E101" i="14"/>
  <c r="J100" i="14"/>
  <c r="E100" i="14"/>
  <c r="K99" i="14"/>
  <c r="L99" i="14" s="1"/>
  <c r="J99" i="14"/>
  <c r="I99" i="14"/>
  <c r="E99" i="14"/>
  <c r="J98" i="14"/>
  <c r="K98" i="14" s="1"/>
  <c r="L98" i="14" s="1"/>
  <c r="E98" i="14"/>
  <c r="K97" i="14"/>
  <c r="L97" i="14" s="1"/>
  <c r="I97" i="14"/>
  <c r="J97" i="14" s="1"/>
  <c r="E97" i="14"/>
  <c r="I96" i="14"/>
  <c r="J96" i="14" s="1"/>
  <c r="E96" i="14"/>
  <c r="K96" i="14" s="1"/>
  <c r="L96" i="14" s="1"/>
  <c r="I95" i="14"/>
  <c r="J95" i="14" s="1"/>
  <c r="E95" i="14"/>
  <c r="K95" i="14" s="1"/>
  <c r="L95" i="14" s="1"/>
  <c r="J94" i="14"/>
  <c r="K94" i="14" s="1"/>
  <c r="L94" i="14" s="1"/>
  <c r="I94" i="14"/>
  <c r="E94" i="14"/>
  <c r="K93" i="14"/>
  <c r="L93" i="14" s="1"/>
  <c r="J93" i="14"/>
  <c r="E93" i="14"/>
  <c r="L92" i="14"/>
  <c r="K92" i="14"/>
  <c r="J92" i="14"/>
  <c r="E92" i="14"/>
  <c r="J91" i="14"/>
  <c r="K91" i="14" s="1"/>
  <c r="L91" i="14" s="1"/>
  <c r="E91" i="14"/>
  <c r="K90" i="14"/>
  <c r="L90" i="14" s="1"/>
  <c r="I90" i="14"/>
  <c r="J90" i="14" s="1"/>
  <c r="E90" i="14"/>
  <c r="I89" i="14"/>
  <c r="J89" i="14" s="1"/>
  <c r="E89" i="14"/>
  <c r="K89" i="14" s="1"/>
  <c r="L89" i="14" s="1"/>
  <c r="J88" i="14"/>
  <c r="E88" i="14"/>
  <c r="K88" i="14" s="1"/>
  <c r="L88" i="14" s="1"/>
  <c r="J87" i="14"/>
  <c r="E87" i="14"/>
  <c r="K87" i="14" s="1"/>
  <c r="K79" i="14"/>
  <c r="L79" i="14" s="1"/>
  <c r="J79" i="14"/>
  <c r="E79" i="14"/>
  <c r="J78" i="14"/>
  <c r="E78" i="14"/>
  <c r="K78" i="14" s="1"/>
  <c r="L78" i="14" s="1"/>
  <c r="J77" i="14"/>
  <c r="E77" i="14"/>
  <c r="K77" i="14" s="1"/>
  <c r="L77" i="14" s="1"/>
  <c r="L76" i="14"/>
  <c r="J76" i="14"/>
  <c r="E76" i="14"/>
  <c r="K76" i="14" s="1"/>
  <c r="J75" i="14"/>
  <c r="E75" i="14"/>
  <c r="K75" i="14" s="1"/>
  <c r="L75" i="14" s="1"/>
  <c r="L74" i="14"/>
  <c r="I74" i="14"/>
  <c r="J74" i="14" s="1"/>
  <c r="E74" i="14"/>
  <c r="K74" i="14" s="1"/>
  <c r="I73" i="14"/>
  <c r="J73" i="14" s="1"/>
  <c r="K73" i="14" s="1"/>
  <c r="L73" i="14" s="1"/>
  <c r="E73" i="14"/>
  <c r="J72" i="14"/>
  <c r="K72" i="14" s="1"/>
  <c r="L72" i="14" s="1"/>
  <c r="I72" i="14"/>
  <c r="E72" i="14"/>
  <c r="I71" i="14"/>
  <c r="J71" i="14" s="1"/>
  <c r="K71" i="14" s="1"/>
  <c r="L71" i="14" s="1"/>
  <c r="E71" i="14"/>
  <c r="K70" i="14"/>
  <c r="L70" i="14" s="1"/>
  <c r="I70" i="14"/>
  <c r="J70" i="14" s="1"/>
  <c r="E70" i="14"/>
  <c r="J69" i="14"/>
  <c r="E69" i="14"/>
  <c r="K69" i="14" s="1"/>
  <c r="L69" i="14" s="1"/>
  <c r="J68" i="14"/>
  <c r="E68" i="14"/>
  <c r="J67" i="14"/>
  <c r="E67" i="14"/>
  <c r="K67" i="14" s="1"/>
  <c r="L67" i="14" s="1"/>
  <c r="J66" i="14"/>
  <c r="K66" i="14" s="1"/>
  <c r="L66" i="14" s="1"/>
  <c r="I66" i="14"/>
  <c r="E66" i="14"/>
  <c r="J65" i="14"/>
  <c r="E65" i="14"/>
  <c r="J57" i="14"/>
  <c r="E57" i="14"/>
  <c r="K57" i="14" s="1"/>
  <c r="L57" i="14" s="1"/>
  <c r="I56" i="14"/>
  <c r="J56" i="14" s="1"/>
  <c r="K56" i="14" s="1"/>
  <c r="L56" i="14" s="1"/>
  <c r="E56" i="14"/>
  <c r="J55" i="14"/>
  <c r="K55" i="14" s="1"/>
  <c r="L55" i="14" s="1"/>
  <c r="I55" i="14"/>
  <c r="E55" i="14"/>
  <c r="I54" i="14"/>
  <c r="J54" i="14" s="1"/>
  <c r="K54" i="14" s="1"/>
  <c r="L54" i="14" s="1"/>
  <c r="E54" i="14"/>
  <c r="K53" i="14"/>
  <c r="L53" i="14" s="1"/>
  <c r="I53" i="14"/>
  <c r="J53" i="14" s="1"/>
  <c r="E53" i="14"/>
  <c r="I52" i="14"/>
  <c r="J52" i="14" s="1"/>
  <c r="E52" i="14"/>
  <c r="J51" i="14"/>
  <c r="K51" i="14" s="1"/>
  <c r="L51" i="14" s="1"/>
  <c r="I51" i="14"/>
  <c r="E51" i="14"/>
  <c r="K50" i="14"/>
  <c r="L50" i="14" s="1"/>
  <c r="J50" i="14"/>
  <c r="E50" i="14"/>
  <c r="K49" i="14"/>
  <c r="L49" i="14" s="1"/>
  <c r="J49" i="14"/>
  <c r="E49" i="14"/>
  <c r="K48" i="14"/>
  <c r="L48" i="14" s="1"/>
  <c r="J48" i="14"/>
  <c r="E48" i="14"/>
  <c r="I47" i="14"/>
  <c r="J47" i="14" s="1"/>
  <c r="K47" i="14" s="1"/>
  <c r="L47" i="14" s="1"/>
  <c r="E47" i="14"/>
  <c r="K46" i="14"/>
  <c r="L46" i="14" s="1"/>
  <c r="J46" i="14"/>
  <c r="E46" i="14"/>
  <c r="I45" i="14"/>
  <c r="J45" i="14" s="1"/>
  <c r="E45" i="14"/>
  <c r="K45" i="14" s="1"/>
  <c r="L45" i="14" s="1"/>
  <c r="I44" i="14"/>
  <c r="J44" i="14" s="1"/>
  <c r="K44" i="14" s="1"/>
  <c r="E44" i="14"/>
  <c r="J43" i="14"/>
  <c r="K43" i="14" s="1"/>
  <c r="L43" i="14" s="1"/>
  <c r="I43" i="14"/>
  <c r="E43" i="14"/>
  <c r="I34" i="14"/>
  <c r="J34" i="14" s="1"/>
  <c r="K34" i="14" s="1"/>
  <c r="L34" i="14" s="1"/>
  <c r="E34" i="14"/>
  <c r="L33" i="14"/>
  <c r="K33" i="14"/>
  <c r="J33" i="14"/>
  <c r="E33" i="14"/>
  <c r="K32" i="14"/>
  <c r="L32" i="14" s="1"/>
  <c r="J32" i="14"/>
  <c r="E32" i="14"/>
  <c r="L31" i="14"/>
  <c r="K31" i="14"/>
  <c r="I31" i="14"/>
  <c r="J31" i="14" s="1"/>
  <c r="E31" i="14"/>
  <c r="I30" i="14"/>
  <c r="J30" i="14" s="1"/>
  <c r="E30" i="14"/>
  <c r="K30" i="14" s="1"/>
  <c r="L30" i="14" s="1"/>
  <c r="I29" i="14"/>
  <c r="J29" i="14" s="1"/>
  <c r="E29" i="14"/>
  <c r="I21" i="14"/>
  <c r="J21" i="14" s="1"/>
  <c r="E21" i="14"/>
  <c r="K21" i="14" s="1"/>
  <c r="L21" i="14" s="1"/>
  <c r="J20" i="14"/>
  <c r="K20" i="14" s="1"/>
  <c r="L20" i="14" s="1"/>
  <c r="I20" i="14"/>
  <c r="E20" i="14"/>
  <c r="J19" i="14"/>
  <c r="I19" i="14"/>
  <c r="E19" i="14"/>
  <c r="K19" i="14" s="1"/>
  <c r="L19" i="14" s="1"/>
  <c r="J18" i="14"/>
  <c r="E18" i="14"/>
  <c r="K18" i="14" s="1"/>
  <c r="L18" i="14" s="1"/>
  <c r="J17" i="14"/>
  <c r="E17" i="14"/>
  <c r="K17" i="14" s="1"/>
  <c r="L17" i="14" s="1"/>
  <c r="I16" i="14"/>
  <c r="J16" i="14" s="1"/>
  <c r="E16" i="14"/>
  <c r="K16" i="14" s="1"/>
  <c r="L16" i="14" s="1"/>
  <c r="J15" i="14"/>
  <c r="E15" i="14"/>
  <c r="J14" i="14"/>
  <c r="E14" i="14"/>
  <c r="K14" i="14" s="1"/>
  <c r="L14" i="14" s="1"/>
  <c r="J13" i="14"/>
  <c r="E13" i="14"/>
  <c r="K13" i="14" s="1"/>
  <c r="L13" i="14" s="1"/>
  <c r="J12" i="14"/>
  <c r="E12" i="14"/>
  <c r="K12" i="14" s="1"/>
  <c r="L12" i="14" s="1"/>
  <c r="J11" i="14"/>
  <c r="E11" i="14"/>
  <c r="K11" i="14" s="1"/>
  <c r="L11" i="14" s="1"/>
  <c r="J10" i="14"/>
  <c r="E10" i="14"/>
  <c r="K10" i="14" s="1"/>
  <c r="L10" i="14" s="1"/>
  <c r="L9" i="14"/>
  <c r="J9" i="14"/>
  <c r="K9" i="14" s="1"/>
  <c r="I9" i="14"/>
  <c r="E9" i="14"/>
  <c r="I8" i="14"/>
  <c r="J8" i="14" s="1"/>
  <c r="K8" i="14" s="1"/>
  <c r="L8" i="14" s="1"/>
  <c r="E8" i="14"/>
  <c r="K7" i="14"/>
  <c r="I7" i="14"/>
  <c r="J7" i="14" s="1"/>
  <c r="E7" i="14"/>
  <c r="B64" i="9"/>
  <c r="B60" i="9"/>
  <c r="B63" i="9" s="1"/>
  <c r="D59" i="9"/>
  <c r="K62" i="6"/>
  <c r="L62" i="6" s="1"/>
  <c r="J62" i="6"/>
  <c r="E62" i="6"/>
  <c r="K61" i="6"/>
  <c r="L61" i="6" s="1"/>
  <c r="J61" i="6"/>
  <c r="E61" i="6"/>
  <c r="K60" i="6"/>
  <c r="L60" i="6" s="1"/>
  <c r="J60" i="6"/>
  <c r="E60" i="6"/>
  <c r="J59" i="6"/>
  <c r="K59" i="6" s="1"/>
  <c r="L59" i="6" s="1"/>
  <c r="E59" i="6"/>
  <c r="K58" i="6"/>
  <c r="L58" i="6" s="1"/>
  <c r="J58" i="6"/>
  <c r="E58" i="6"/>
  <c r="J57" i="6"/>
  <c r="K57" i="6" s="1"/>
  <c r="L57" i="6" s="1"/>
  <c r="E57" i="6"/>
  <c r="K56" i="6"/>
  <c r="J56" i="6"/>
  <c r="E56" i="6"/>
  <c r="K55" i="6"/>
  <c r="L55" i="6" s="1"/>
  <c r="J55" i="6"/>
  <c r="E55" i="6"/>
  <c r="E65" i="6" s="1"/>
  <c r="K47" i="6"/>
  <c r="L47" i="6" s="1"/>
  <c r="J47" i="6"/>
  <c r="E47" i="6"/>
  <c r="F47" i="6" s="1"/>
  <c r="J46" i="6"/>
  <c r="F46" i="6"/>
  <c r="E46" i="6"/>
  <c r="E49" i="6" s="1"/>
  <c r="J38" i="6"/>
  <c r="E38" i="6"/>
  <c r="F38" i="6" s="1"/>
  <c r="K38" i="6" s="1"/>
  <c r="L38" i="6" s="1"/>
  <c r="J37" i="6"/>
  <c r="E37" i="6"/>
  <c r="F37" i="6" s="1"/>
  <c r="K37" i="6" s="1"/>
  <c r="L37" i="6" s="1"/>
  <c r="K36" i="6"/>
  <c r="L36" i="6" s="1"/>
  <c r="J36" i="6"/>
  <c r="E36" i="6"/>
  <c r="F36" i="6" s="1"/>
  <c r="J35" i="6"/>
  <c r="E35" i="6"/>
  <c r="F35" i="6" s="1"/>
  <c r="K35" i="6" s="1"/>
  <c r="L35" i="6" s="1"/>
  <c r="L34" i="6"/>
  <c r="J34" i="6"/>
  <c r="F34" i="6"/>
  <c r="K34" i="6" s="1"/>
  <c r="E34" i="6"/>
  <c r="J33" i="6"/>
  <c r="I33" i="6"/>
  <c r="E33" i="6"/>
  <c r="F33" i="6" s="1"/>
  <c r="K33" i="6" s="1"/>
  <c r="L33" i="6" s="1"/>
  <c r="I32" i="6"/>
  <c r="J32" i="6" s="1"/>
  <c r="F32" i="6"/>
  <c r="E32" i="6"/>
  <c r="J31" i="6"/>
  <c r="F31" i="6"/>
  <c r="K31" i="6" s="1"/>
  <c r="L31" i="6" s="1"/>
  <c r="E31" i="6"/>
  <c r="J30" i="6"/>
  <c r="E30" i="6"/>
  <c r="F30" i="6" s="1"/>
  <c r="K30" i="6" s="1"/>
  <c r="L30" i="6" s="1"/>
  <c r="J29" i="6"/>
  <c r="F29" i="6"/>
  <c r="E29" i="6"/>
  <c r="J18" i="6"/>
  <c r="F18" i="6"/>
  <c r="K18" i="6" s="1"/>
  <c r="L18" i="6" s="1"/>
  <c r="E18" i="6"/>
  <c r="J17" i="6"/>
  <c r="F17" i="6"/>
  <c r="K17" i="6" s="1"/>
  <c r="L17" i="6" s="1"/>
  <c r="E17" i="6"/>
  <c r="J16" i="6"/>
  <c r="E16" i="6"/>
  <c r="F16" i="6" s="1"/>
  <c r="K16" i="6" s="1"/>
  <c r="L16" i="6" s="1"/>
  <c r="L15" i="6"/>
  <c r="J15" i="6"/>
  <c r="F15" i="6"/>
  <c r="K15" i="6" s="1"/>
  <c r="E15" i="6"/>
  <c r="J14" i="6"/>
  <c r="F14" i="6"/>
  <c r="K14" i="6" s="1"/>
  <c r="L14" i="6" s="1"/>
  <c r="E14" i="6"/>
  <c r="K13" i="6"/>
  <c r="L13" i="6" s="1"/>
  <c r="J13" i="6"/>
  <c r="F13" i="6"/>
  <c r="E13" i="6"/>
  <c r="J12" i="6"/>
  <c r="E12" i="6"/>
  <c r="F12" i="6" s="1"/>
  <c r="K12" i="6" s="1"/>
  <c r="L12" i="6" s="1"/>
  <c r="L11" i="6"/>
  <c r="K11" i="6"/>
  <c r="J11" i="6"/>
  <c r="E11" i="6"/>
  <c r="F11" i="6" s="1"/>
  <c r="J10" i="6"/>
  <c r="E10" i="6"/>
  <c r="F10" i="6" s="1"/>
  <c r="K10" i="6" s="1"/>
  <c r="L10" i="6" s="1"/>
  <c r="J9" i="6"/>
  <c r="F9" i="6"/>
  <c r="K9" i="6" s="1"/>
  <c r="L9" i="6" s="1"/>
  <c r="E9" i="6"/>
  <c r="J8" i="6"/>
  <c r="E8" i="6"/>
  <c r="F8" i="6" s="1"/>
  <c r="K8" i="6" s="1"/>
  <c r="L8" i="6" s="1"/>
  <c r="L7" i="6"/>
  <c r="J7" i="6"/>
  <c r="F7" i="6"/>
  <c r="K7" i="6" s="1"/>
  <c r="E7" i="6"/>
  <c r="J6" i="6"/>
  <c r="F6" i="6"/>
  <c r="E6" i="6"/>
  <c r="L206" i="5"/>
  <c r="J206" i="5"/>
  <c r="E206" i="5"/>
  <c r="K206" i="5" s="1"/>
  <c r="I205" i="5"/>
  <c r="J205" i="5" s="1"/>
  <c r="E205" i="5"/>
  <c r="J204" i="5"/>
  <c r="E204" i="5"/>
  <c r="I203" i="5"/>
  <c r="J203" i="5" s="1"/>
  <c r="E203" i="5"/>
  <c r="J202" i="5"/>
  <c r="E202" i="5"/>
  <c r="K202" i="5" s="1"/>
  <c r="L202" i="5" s="1"/>
  <c r="J201" i="5"/>
  <c r="E201" i="5"/>
  <c r="J200" i="5"/>
  <c r="E200" i="5"/>
  <c r="K200" i="5" s="1"/>
  <c r="L200" i="5" s="1"/>
  <c r="J199" i="5"/>
  <c r="E199" i="5"/>
  <c r="K199" i="5" s="1"/>
  <c r="L199" i="5" s="1"/>
  <c r="J198" i="5"/>
  <c r="K198" i="5" s="1"/>
  <c r="L198" i="5" s="1"/>
  <c r="E198" i="5"/>
  <c r="J197" i="5"/>
  <c r="E197" i="5"/>
  <c r="K197" i="5" s="1"/>
  <c r="L197" i="5" s="1"/>
  <c r="I196" i="5"/>
  <c r="J196" i="5" s="1"/>
  <c r="K196" i="5" s="1"/>
  <c r="L196" i="5" s="1"/>
  <c r="E196" i="5"/>
  <c r="K195" i="5"/>
  <c r="L195" i="5" s="1"/>
  <c r="I195" i="5"/>
  <c r="J195" i="5" s="1"/>
  <c r="E195" i="5"/>
  <c r="I194" i="5"/>
  <c r="J194" i="5" s="1"/>
  <c r="E194" i="5"/>
  <c r="I193" i="5"/>
  <c r="J193" i="5" s="1"/>
  <c r="E193" i="5"/>
  <c r="J192" i="5"/>
  <c r="I192" i="5"/>
  <c r="E192" i="5"/>
  <c r="K192" i="5" s="1"/>
  <c r="L192" i="5" s="1"/>
  <c r="J191" i="5"/>
  <c r="K191" i="5" s="1"/>
  <c r="L191" i="5" s="1"/>
  <c r="I191" i="5"/>
  <c r="E191" i="5"/>
  <c r="I190" i="5"/>
  <c r="J190" i="5" s="1"/>
  <c r="E190" i="5"/>
  <c r="I189" i="5"/>
  <c r="J189" i="5" s="1"/>
  <c r="E189" i="5"/>
  <c r="K188" i="5"/>
  <c r="L188" i="5" s="1"/>
  <c r="J188" i="5"/>
  <c r="I188" i="5"/>
  <c r="E188" i="5"/>
  <c r="I187" i="5"/>
  <c r="J187" i="5" s="1"/>
  <c r="E187" i="5"/>
  <c r="K187" i="5" s="1"/>
  <c r="L187" i="5" s="1"/>
  <c r="L186" i="5"/>
  <c r="K186" i="5"/>
  <c r="J186" i="5"/>
  <c r="E186" i="5"/>
  <c r="I185" i="5"/>
  <c r="J185" i="5" s="1"/>
  <c r="E185" i="5"/>
  <c r="I177" i="5"/>
  <c r="J177" i="5" s="1"/>
  <c r="E177" i="5"/>
  <c r="J176" i="5"/>
  <c r="E176" i="5"/>
  <c r="K176" i="5" s="1"/>
  <c r="L176" i="5" s="1"/>
  <c r="J175" i="5"/>
  <c r="I175" i="5"/>
  <c r="E175" i="5"/>
  <c r="J174" i="5"/>
  <c r="E174" i="5"/>
  <c r="J173" i="5"/>
  <c r="K173" i="5" s="1"/>
  <c r="I173" i="5"/>
  <c r="E173" i="5"/>
  <c r="K164" i="5"/>
  <c r="L164" i="5" s="1"/>
  <c r="J164" i="5"/>
  <c r="E164" i="5"/>
  <c r="J163" i="5"/>
  <c r="E163" i="5"/>
  <c r="K163" i="5" s="1"/>
  <c r="L163" i="5" s="1"/>
  <c r="J162" i="5"/>
  <c r="E162" i="5"/>
  <c r="K162" i="5" s="1"/>
  <c r="L162" i="5" s="1"/>
  <c r="J161" i="5"/>
  <c r="E161" i="5"/>
  <c r="K160" i="5"/>
  <c r="L160" i="5" s="1"/>
  <c r="J160" i="5"/>
  <c r="E160" i="5"/>
  <c r="J159" i="5"/>
  <c r="E159" i="5"/>
  <c r="K159" i="5" s="1"/>
  <c r="L159" i="5" s="1"/>
  <c r="J158" i="5"/>
  <c r="E158" i="5"/>
  <c r="J157" i="5"/>
  <c r="E157" i="5"/>
  <c r="J156" i="5"/>
  <c r="E156" i="5"/>
  <c r="K156" i="5" s="1"/>
  <c r="L156" i="5" s="1"/>
  <c r="J155" i="5"/>
  <c r="I155" i="5"/>
  <c r="E155" i="5"/>
  <c r="K155" i="5" s="1"/>
  <c r="L155" i="5" s="1"/>
  <c r="J154" i="5"/>
  <c r="K154" i="5" s="1"/>
  <c r="L154" i="5" s="1"/>
  <c r="E154" i="5"/>
  <c r="K153" i="5"/>
  <c r="L153" i="5" s="1"/>
  <c r="J153" i="5"/>
  <c r="E153" i="5"/>
  <c r="L152" i="5"/>
  <c r="K152" i="5"/>
  <c r="J152" i="5"/>
  <c r="E152" i="5"/>
  <c r="K151" i="5"/>
  <c r="L151" i="5" s="1"/>
  <c r="J151" i="5"/>
  <c r="E151" i="5"/>
  <c r="J142" i="5"/>
  <c r="E142" i="5"/>
  <c r="F142" i="5" s="1"/>
  <c r="K142" i="5" s="1"/>
  <c r="L142" i="5" s="1"/>
  <c r="K141" i="5"/>
  <c r="L141" i="5" s="1"/>
  <c r="I141" i="5"/>
  <c r="J141" i="5" s="1"/>
  <c r="F141" i="5"/>
  <c r="E141" i="5"/>
  <c r="I140" i="5"/>
  <c r="J140" i="5" s="1"/>
  <c r="E140" i="5"/>
  <c r="F140" i="5" s="1"/>
  <c r="K140" i="5" s="1"/>
  <c r="L140" i="5" s="1"/>
  <c r="I139" i="5"/>
  <c r="J139" i="5" s="1"/>
  <c r="F139" i="5"/>
  <c r="K139" i="5" s="1"/>
  <c r="L139" i="5" s="1"/>
  <c r="E139" i="5"/>
  <c r="J138" i="5"/>
  <c r="I138" i="5"/>
  <c r="E138" i="5"/>
  <c r="F138" i="5" s="1"/>
  <c r="K138" i="5" s="1"/>
  <c r="L138" i="5" s="1"/>
  <c r="K137" i="5"/>
  <c r="L137" i="5" s="1"/>
  <c r="J137" i="5"/>
  <c r="E137" i="5"/>
  <c r="F137" i="5" s="1"/>
  <c r="J136" i="5"/>
  <c r="I136" i="5"/>
  <c r="F136" i="5"/>
  <c r="E136" i="5"/>
  <c r="J135" i="5"/>
  <c r="I135" i="5"/>
  <c r="F135" i="5"/>
  <c r="K135" i="5" s="1"/>
  <c r="L135" i="5" s="1"/>
  <c r="E135" i="5"/>
  <c r="I134" i="5"/>
  <c r="J134" i="5" s="1"/>
  <c r="F134" i="5"/>
  <c r="K134" i="5" s="1"/>
  <c r="L134" i="5" s="1"/>
  <c r="E134" i="5"/>
  <c r="J133" i="5"/>
  <c r="K133" i="5" s="1"/>
  <c r="L133" i="5" s="1"/>
  <c r="I133" i="5"/>
  <c r="E133" i="5"/>
  <c r="F133" i="5" s="1"/>
  <c r="J132" i="5"/>
  <c r="E132" i="5"/>
  <c r="F132" i="5" s="1"/>
  <c r="K132" i="5" s="1"/>
  <c r="L132" i="5" s="1"/>
  <c r="J131" i="5"/>
  <c r="I131" i="5"/>
  <c r="E131" i="5"/>
  <c r="F131" i="5" s="1"/>
  <c r="K131" i="5" s="1"/>
  <c r="L131" i="5" s="1"/>
  <c r="I130" i="5"/>
  <c r="J130" i="5" s="1"/>
  <c r="F130" i="5"/>
  <c r="K130" i="5" s="1"/>
  <c r="L130" i="5" s="1"/>
  <c r="E130" i="5"/>
  <c r="I129" i="5"/>
  <c r="J129" i="5" s="1"/>
  <c r="K129" i="5" s="1"/>
  <c r="L129" i="5" s="1"/>
  <c r="E129" i="5"/>
  <c r="F129" i="5" s="1"/>
  <c r="I128" i="5"/>
  <c r="J128" i="5" s="1"/>
  <c r="E128" i="5"/>
  <c r="F128" i="5" s="1"/>
  <c r="K128" i="5" s="1"/>
  <c r="L128" i="5" s="1"/>
  <c r="J127" i="5"/>
  <c r="I127" i="5"/>
  <c r="E127" i="5"/>
  <c r="F127" i="5" s="1"/>
  <c r="J126" i="5"/>
  <c r="E126" i="5"/>
  <c r="F126" i="5" s="1"/>
  <c r="K126" i="5" s="1"/>
  <c r="L126" i="5" s="1"/>
  <c r="J125" i="5"/>
  <c r="F125" i="5"/>
  <c r="K125" i="5" s="1"/>
  <c r="L125" i="5" s="1"/>
  <c r="E125" i="5"/>
  <c r="J124" i="5"/>
  <c r="I124" i="5"/>
  <c r="E124" i="5"/>
  <c r="F124" i="5" s="1"/>
  <c r="I123" i="5"/>
  <c r="J123" i="5" s="1"/>
  <c r="F123" i="5"/>
  <c r="K123" i="5" s="1"/>
  <c r="L123" i="5" s="1"/>
  <c r="E123" i="5"/>
  <c r="K122" i="5"/>
  <c r="L122" i="5" s="1"/>
  <c r="J122" i="5"/>
  <c r="F122" i="5"/>
  <c r="E122" i="5"/>
  <c r="J121" i="5"/>
  <c r="E121" i="5"/>
  <c r="F121" i="5" s="1"/>
  <c r="K121" i="5" s="1"/>
  <c r="L121" i="5" s="1"/>
  <c r="J120" i="5"/>
  <c r="E120" i="5"/>
  <c r="I111" i="5"/>
  <c r="J111" i="5" s="1"/>
  <c r="F111" i="5"/>
  <c r="E111" i="5"/>
  <c r="J110" i="5"/>
  <c r="I110" i="5"/>
  <c r="E110" i="5"/>
  <c r="F110" i="5" s="1"/>
  <c r="K110" i="5" s="1"/>
  <c r="L110" i="5" s="1"/>
  <c r="J109" i="5"/>
  <c r="I109" i="5"/>
  <c r="F109" i="5"/>
  <c r="E109" i="5"/>
  <c r="J108" i="5"/>
  <c r="E108" i="5"/>
  <c r="F108" i="5" s="1"/>
  <c r="K108" i="5" s="1"/>
  <c r="L108" i="5" s="1"/>
  <c r="K107" i="5"/>
  <c r="L107" i="5" s="1"/>
  <c r="J107" i="5"/>
  <c r="E107" i="5"/>
  <c r="F107" i="5" s="1"/>
  <c r="J106" i="5"/>
  <c r="E106" i="5"/>
  <c r="F106" i="5" s="1"/>
  <c r="K106" i="5" s="1"/>
  <c r="L106" i="5" s="1"/>
  <c r="J105" i="5"/>
  <c r="I105" i="5"/>
  <c r="E105" i="5"/>
  <c r="J96" i="5"/>
  <c r="E96" i="5"/>
  <c r="F96" i="5" s="1"/>
  <c r="K96" i="5" s="1"/>
  <c r="L96" i="5" s="1"/>
  <c r="L95" i="5"/>
  <c r="J95" i="5"/>
  <c r="F95" i="5"/>
  <c r="K95" i="5" s="1"/>
  <c r="E95" i="5"/>
  <c r="K94" i="5"/>
  <c r="L94" i="5" s="1"/>
  <c r="J94" i="5"/>
  <c r="F94" i="5"/>
  <c r="E94" i="5"/>
  <c r="K93" i="5"/>
  <c r="L93" i="5" s="1"/>
  <c r="J93" i="5"/>
  <c r="I93" i="5"/>
  <c r="F93" i="5"/>
  <c r="E93" i="5"/>
  <c r="I92" i="5"/>
  <c r="J92" i="5" s="1"/>
  <c r="F92" i="5"/>
  <c r="E92" i="5"/>
  <c r="J91" i="5"/>
  <c r="K91" i="5" s="1"/>
  <c r="L91" i="5" s="1"/>
  <c r="I91" i="5"/>
  <c r="E91" i="5"/>
  <c r="F91" i="5" s="1"/>
  <c r="J90" i="5"/>
  <c r="I90" i="5"/>
  <c r="F90" i="5"/>
  <c r="K90" i="5" s="1"/>
  <c r="L90" i="5" s="1"/>
  <c r="E90" i="5"/>
  <c r="J89" i="5"/>
  <c r="I89" i="5"/>
  <c r="E89" i="5"/>
  <c r="F89" i="5" s="1"/>
  <c r="K89" i="5" s="1"/>
  <c r="L89" i="5" s="1"/>
  <c r="J88" i="5"/>
  <c r="F88" i="5"/>
  <c r="K88" i="5" s="1"/>
  <c r="L88" i="5" s="1"/>
  <c r="E88" i="5"/>
  <c r="K87" i="5"/>
  <c r="L87" i="5" s="1"/>
  <c r="J87" i="5"/>
  <c r="F87" i="5"/>
  <c r="E87" i="5"/>
  <c r="J86" i="5"/>
  <c r="I86" i="5"/>
  <c r="E86" i="5"/>
  <c r="F86" i="5" s="1"/>
  <c r="K86" i="5" s="1"/>
  <c r="L86" i="5" s="1"/>
  <c r="L85" i="5"/>
  <c r="I85" i="5"/>
  <c r="J85" i="5" s="1"/>
  <c r="F85" i="5"/>
  <c r="K85" i="5" s="1"/>
  <c r="E85" i="5"/>
  <c r="K84" i="5"/>
  <c r="L84" i="5" s="1"/>
  <c r="J84" i="5"/>
  <c r="I84" i="5"/>
  <c r="E84" i="5"/>
  <c r="F84" i="5" s="1"/>
  <c r="I83" i="5"/>
  <c r="J83" i="5" s="1"/>
  <c r="F83" i="5"/>
  <c r="E83" i="5"/>
  <c r="I82" i="5"/>
  <c r="J82" i="5" s="1"/>
  <c r="F82" i="5"/>
  <c r="K82" i="5" s="1"/>
  <c r="L82" i="5" s="1"/>
  <c r="E82" i="5"/>
  <c r="J81" i="5"/>
  <c r="F81" i="5"/>
  <c r="K81" i="5" s="1"/>
  <c r="L81" i="5" s="1"/>
  <c r="E81" i="5"/>
  <c r="I80" i="5"/>
  <c r="J80" i="5" s="1"/>
  <c r="K80" i="5" s="1"/>
  <c r="L80" i="5" s="1"/>
  <c r="E80" i="5"/>
  <c r="F80" i="5" s="1"/>
  <c r="I79" i="5"/>
  <c r="J79" i="5" s="1"/>
  <c r="E79" i="5"/>
  <c r="F79" i="5" s="1"/>
  <c r="K79" i="5" s="1"/>
  <c r="L79" i="5" s="1"/>
  <c r="J78" i="5"/>
  <c r="E78" i="5"/>
  <c r="F78" i="5" s="1"/>
  <c r="K78" i="5" s="1"/>
  <c r="L78" i="5" s="1"/>
  <c r="L77" i="5"/>
  <c r="K77" i="5"/>
  <c r="J77" i="5"/>
  <c r="E77" i="5"/>
  <c r="F77" i="5" s="1"/>
  <c r="I76" i="5"/>
  <c r="J76" i="5" s="1"/>
  <c r="F76" i="5"/>
  <c r="K76" i="5" s="1"/>
  <c r="L76" i="5" s="1"/>
  <c r="E76" i="5"/>
  <c r="J75" i="5"/>
  <c r="I75" i="5"/>
  <c r="E75" i="5"/>
  <c r="F75" i="5" s="1"/>
  <c r="I74" i="5"/>
  <c r="J74" i="5" s="1"/>
  <c r="F74" i="5"/>
  <c r="K74" i="5" s="1"/>
  <c r="L74" i="5" s="1"/>
  <c r="E74" i="5"/>
  <c r="K73" i="5"/>
  <c r="L73" i="5" s="1"/>
  <c r="J73" i="5"/>
  <c r="F73" i="5"/>
  <c r="E73" i="5"/>
  <c r="J72" i="5"/>
  <c r="E72" i="5"/>
  <c r="F72" i="5" s="1"/>
  <c r="K72" i="5" s="1"/>
  <c r="L72" i="5" s="1"/>
  <c r="K71" i="5"/>
  <c r="L71" i="5" s="1"/>
  <c r="J71" i="5"/>
  <c r="E71" i="5"/>
  <c r="F71" i="5" s="1"/>
  <c r="J70" i="5"/>
  <c r="E70" i="5"/>
  <c r="F70" i="5" s="1"/>
  <c r="K70" i="5" s="1"/>
  <c r="L70" i="5" s="1"/>
  <c r="J69" i="5"/>
  <c r="I69" i="5"/>
  <c r="E69" i="5"/>
  <c r="I59" i="5"/>
  <c r="J59" i="5" s="1"/>
  <c r="F59" i="5"/>
  <c r="K59" i="5" s="1"/>
  <c r="L59" i="5" s="1"/>
  <c r="E59" i="5"/>
  <c r="J58" i="5"/>
  <c r="I58" i="5"/>
  <c r="E58" i="5"/>
  <c r="F58" i="5" s="1"/>
  <c r="I57" i="5"/>
  <c r="J57" i="5" s="1"/>
  <c r="F57" i="5"/>
  <c r="K57" i="5" s="1"/>
  <c r="L57" i="5" s="1"/>
  <c r="E57" i="5"/>
  <c r="K56" i="5"/>
  <c r="L56" i="5" s="1"/>
  <c r="J56" i="5"/>
  <c r="F56" i="5"/>
  <c r="E56" i="5"/>
  <c r="J55" i="5"/>
  <c r="I55" i="5"/>
  <c r="E55" i="5"/>
  <c r="F55" i="5" s="1"/>
  <c r="K55" i="5" s="1"/>
  <c r="L55" i="5" s="1"/>
  <c r="L54" i="5"/>
  <c r="I54" i="5"/>
  <c r="J54" i="5" s="1"/>
  <c r="E54" i="5"/>
  <c r="F54" i="5" s="1"/>
  <c r="K54" i="5" s="1"/>
  <c r="J53" i="5"/>
  <c r="K53" i="5" s="1"/>
  <c r="L53" i="5" s="1"/>
  <c r="F53" i="5"/>
  <c r="E53" i="5"/>
  <c r="J52" i="5"/>
  <c r="E52" i="5"/>
  <c r="F52" i="5" s="1"/>
  <c r="K52" i="5" s="1"/>
  <c r="L52" i="5" s="1"/>
  <c r="I51" i="5"/>
  <c r="J51" i="5" s="1"/>
  <c r="F51" i="5"/>
  <c r="E51" i="5"/>
  <c r="J50" i="5"/>
  <c r="I50" i="5"/>
  <c r="E50" i="5"/>
  <c r="F50" i="5" s="1"/>
  <c r="K50" i="5" s="1"/>
  <c r="L50" i="5" s="1"/>
  <c r="L49" i="5"/>
  <c r="K49" i="5"/>
  <c r="J49" i="5"/>
  <c r="I49" i="5"/>
  <c r="F49" i="5"/>
  <c r="E49" i="5"/>
  <c r="I48" i="5"/>
  <c r="J48" i="5" s="1"/>
  <c r="K48" i="5" s="1"/>
  <c r="L48" i="5" s="1"/>
  <c r="F48" i="5"/>
  <c r="E48" i="5"/>
  <c r="I47" i="5"/>
  <c r="J47" i="5" s="1"/>
  <c r="E47" i="5"/>
  <c r="F47" i="5" s="1"/>
  <c r="K47" i="5" s="1"/>
  <c r="L47" i="5" s="1"/>
  <c r="J46" i="5"/>
  <c r="K46" i="5" s="1"/>
  <c r="L46" i="5" s="1"/>
  <c r="I46" i="5"/>
  <c r="E46" i="5"/>
  <c r="F46" i="5" s="1"/>
  <c r="I45" i="5"/>
  <c r="J45" i="5" s="1"/>
  <c r="F45" i="5"/>
  <c r="E45" i="5"/>
  <c r="J34" i="5"/>
  <c r="E34" i="5"/>
  <c r="F34" i="5" s="1"/>
  <c r="K34" i="5" s="1"/>
  <c r="L34" i="5" s="1"/>
  <c r="I33" i="5"/>
  <c r="J33" i="5" s="1"/>
  <c r="E33" i="5"/>
  <c r="F33" i="5" s="1"/>
  <c r="K33" i="5" s="1"/>
  <c r="L33" i="5" s="1"/>
  <c r="J32" i="5"/>
  <c r="I32" i="5"/>
  <c r="F32" i="5"/>
  <c r="E32" i="5"/>
  <c r="I31" i="5"/>
  <c r="J31" i="5" s="1"/>
  <c r="E31" i="5"/>
  <c r="F31" i="5" s="1"/>
  <c r="K31" i="5" s="1"/>
  <c r="L31" i="5" s="1"/>
  <c r="K30" i="5"/>
  <c r="L30" i="5" s="1"/>
  <c r="J30" i="5"/>
  <c r="F30" i="5"/>
  <c r="E30" i="5"/>
  <c r="K29" i="5"/>
  <c r="L29" i="5" s="1"/>
  <c r="J29" i="5"/>
  <c r="E29" i="5"/>
  <c r="F29" i="5" s="1"/>
  <c r="J28" i="5"/>
  <c r="E28" i="5"/>
  <c r="F28" i="5" s="1"/>
  <c r="K28" i="5" s="1"/>
  <c r="L28" i="5" s="1"/>
  <c r="L27" i="5"/>
  <c r="K27" i="5"/>
  <c r="J27" i="5"/>
  <c r="I27" i="5"/>
  <c r="E27" i="5"/>
  <c r="F27" i="5" s="1"/>
  <c r="J26" i="5"/>
  <c r="E26" i="5"/>
  <c r="F26" i="5" s="1"/>
  <c r="K26" i="5" s="1"/>
  <c r="L26" i="5" s="1"/>
  <c r="J25" i="5"/>
  <c r="E25" i="5"/>
  <c r="F25" i="5" s="1"/>
  <c r="K25" i="5" s="1"/>
  <c r="L25" i="5" s="1"/>
  <c r="J24" i="5"/>
  <c r="I24" i="5"/>
  <c r="E24" i="5"/>
  <c r="F24" i="5" s="1"/>
  <c r="K24" i="5" s="1"/>
  <c r="L24" i="5" s="1"/>
  <c r="I23" i="5"/>
  <c r="J23" i="5" s="1"/>
  <c r="K23" i="5" s="1"/>
  <c r="L23" i="5" s="1"/>
  <c r="F23" i="5"/>
  <c r="E23" i="5"/>
  <c r="I22" i="5"/>
  <c r="J22" i="5" s="1"/>
  <c r="F22" i="5"/>
  <c r="K22" i="5" s="1"/>
  <c r="L22" i="5" s="1"/>
  <c r="E22" i="5"/>
  <c r="J21" i="5"/>
  <c r="E21" i="5"/>
  <c r="F21" i="5" s="1"/>
  <c r="K21" i="5" s="1"/>
  <c r="L21" i="5" s="1"/>
  <c r="J20" i="5"/>
  <c r="F20" i="5"/>
  <c r="K20" i="5" s="1"/>
  <c r="L20" i="5" s="1"/>
  <c r="E20" i="5"/>
  <c r="J19" i="5"/>
  <c r="E19" i="5"/>
  <c r="F19" i="5" s="1"/>
  <c r="K19" i="5" s="1"/>
  <c r="L19" i="5" s="1"/>
  <c r="J18" i="5"/>
  <c r="I18" i="5"/>
  <c r="E18" i="5"/>
  <c r="F18" i="5" s="1"/>
  <c r="K18" i="5" s="1"/>
  <c r="L18" i="5" s="1"/>
  <c r="K17" i="5"/>
  <c r="L17" i="5" s="1"/>
  <c r="J17" i="5"/>
  <c r="F17" i="5"/>
  <c r="E17" i="5"/>
  <c r="I16" i="5"/>
  <c r="J16" i="5" s="1"/>
  <c r="F16" i="5"/>
  <c r="K16" i="5" s="1"/>
  <c r="L16" i="5" s="1"/>
  <c r="E16" i="5"/>
  <c r="I15" i="5"/>
  <c r="J15" i="5" s="1"/>
  <c r="E15" i="5"/>
  <c r="F15" i="5" s="1"/>
  <c r="J14" i="5"/>
  <c r="I14" i="5"/>
  <c r="E14" i="5"/>
  <c r="F14" i="5" s="1"/>
  <c r="K14" i="5" s="1"/>
  <c r="L14" i="5" s="1"/>
  <c r="I13" i="5"/>
  <c r="J13" i="5" s="1"/>
  <c r="K13" i="5" s="1"/>
  <c r="L13" i="5" s="1"/>
  <c r="F13" i="5"/>
  <c r="E13" i="5"/>
  <c r="I12" i="5"/>
  <c r="J12" i="5" s="1"/>
  <c r="E12" i="5"/>
  <c r="F12" i="5" s="1"/>
  <c r="K12" i="5" s="1"/>
  <c r="L12" i="5" s="1"/>
  <c r="L11" i="5"/>
  <c r="J11" i="5"/>
  <c r="E11" i="5"/>
  <c r="F11" i="5" s="1"/>
  <c r="K11" i="5" s="1"/>
  <c r="J10" i="5"/>
  <c r="F10" i="5"/>
  <c r="K10" i="5" s="1"/>
  <c r="L10" i="5" s="1"/>
  <c r="E10" i="5"/>
  <c r="J9" i="5"/>
  <c r="E9" i="5"/>
  <c r="F9" i="5" s="1"/>
  <c r="K9" i="5" s="1"/>
  <c r="L9" i="5" s="1"/>
  <c r="J8" i="5"/>
  <c r="E8" i="5"/>
  <c r="F8" i="5" s="1"/>
  <c r="K8" i="5" s="1"/>
  <c r="L8" i="5" s="1"/>
  <c r="J7" i="5"/>
  <c r="E7" i="5"/>
  <c r="F7" i="5" s="1"/>
  <c r="K7" i="5" s="1"/>
  <c r="L7" i="5" s="1"/>
  <c r="J6" i="5"/>
  <c r="E6" i="5"/>
  <c r="K260" i="4"/>
  <c r="J260" i="4"/>
  <c r="E260" i="4"/>
  <c r="E262" i="4" s="1"/>
  <c r="J251" i="4"/>
  <c r="E251" i="4"/>
  <c r="J250" i="4"/>
  <c r="E250" i="4"/>
  <c r="L249" i="4"/>
  <c r="J249" i="4"/>
  <c r="K249" i="4" s="1"/>
  <c r="F249" i="4"/>
  <c r="E249" i="4"/>
  <c r="I248" i="4"/>
  <c r="J248" i="4" s="1"/>
  <c r="F248" i="4"/>
  <c r="E248" i="4"/>
  <c r="K248" i="4" s="1"/>
  <c r="L248" i="4" s="1"/>
  <c r="J247" i="4"/>
  <c r="I247" i="4"/>
  <c r="E247" i="4"/>
  <c r="K246" i="4"/>
  <c r="J246" i="4"/>
  <c r="E246" i="4"/>
  <c r="F246" i="4" s="1"/>
  <c r="K237" i="4"/>
  <c r="L237" i="4" s="1"/>
  <c r="J237" i="4"/>
  <c r="E237" i="4"/>
  <c r="J236" i="4"/>
  <c r="E236" i="4"/>
  <c r="K236" i="4" s="1"/>
  <c r="L236" i="4" s="1"/>
  <c r="K235" i="4"/>
  <c r="L235" i="4" s="1"/>
  <c r="J235" i="4"/>
  <c r="E235" i="4"/>
  <c r="J234" i="4"/>
  <c r="E234" i="4"/>
  <c r="L233" i="4"/>
  <c r="K233" i="4"/>
  <c r="J233" i="4"/>
  <c r="E233" i="4"/>
  <c r="J232" i="4"/>
  <c r="E232" i="4"/>
  <c r="J223" i="4"/>
  <c r="E223" i="4"/>
  <c r="K223" i="4" s="1"/>
  <c r="L223" i="4" s="1"/>
  <c r="K222" i="4"/>
  <c r="L222" i="4" s="1"/>
  <c r="J222" i="4"/>
  <c r="I222" i="4"/>
  <c r="E222" i="4"/>
  <c r="J221" i="4"/>
  <c r="E221" i="4"/>
  <c r="L220" i="4"/>
  <c r="K220" i="4"/>
  <c r="J220" i="4"/>
  <c r="E220" i="4"/>
  <c r="J219" i="4"/>
  <c r="E219" i="4"/>
  <c r="K219" i="4" s="1"/>
  <c r="L219" i="4" s="1"/>
  <c r="L218" i="4"/>
  <c r="K218" i="4"/>
  <c r="J218" i="4"/>
  <c r="E218" i="4"/>
  <c r="J217" i="4"/>
  <c r="I217" i="4"/>
  <c r="E217" i="4"/>
  <c r="K217" i="4" s="1"/>
  <c r="L217" i="4" s="1"/>
  <c r="L216" i="4"/>
  <c r="K216" i="4"/>
  <c r="J216" i="4"/>
  <c r="E216" i="4"/>
  <c r="J215" i="4"/>
  <c r="E215" i="4"/>
  <c r="K215" i="4" s="1"/>
  <c r="L215" i="4" s="1"/>
  <c r="L214" i="4"/>
  <c r="K214" i="4"/>
  <c r="J214" i="4"/>
  <c r="E214" i="4"/>
  <c r="K213" i="4"/>
  <c r="J213" i="4"/>
  <c r="E213" i="4"/>
  <c r="J205" i="4"/>
  <c r="E205" i="4"/>
  <c r="J196" i="4"/>
  <c r="E196" i="4"/>
  <c r="K196" i="4" s="1"/>
  <c r="L196" i="4" s="1"/>
  <c r="J195" i="4"/>
  <c r="K195" i="4" s="1"/>
  <c r="L195" i="4" s="1"/>
  <c r="I195" i="4"/>
  <c r="E195" i="4"/>
  <c r="J194" i="4"/>
  <c r="E194" i="4"/>
  <c r="K194" i="4" s="1"/>
  <c r="L194" i="4" s="1"/>
  <c r="K193" i="4"/>
  <c r="L193" i="4" s="1"/>
  <c r="J193" i="4"/>
  <c r="E193" i="4"/>
  <c r="J192" i="4"/>
  <c r="E192" i="4"/>
  <c r="K191" i="4"/>
  <c r="L191" i="4" s="1"/>
  <c r="J191" i="4"/>
  <c r="E191" i="4"/>
  <c r="J190" i="4"/>
  <c r="E190" i="4"/>
  <c r="K190" i="4" s="1"/>
  <c r="L190" i="4" s="1"/>
  <c r="L189" i="4"/>
  <c r="K189" i="4"/>
  <c r="J189" i="4"/>
  <c r="I189" i="4"/>
  <c r="E189" i="4"/>
  <c r="J188" i="4"/>
  <c r="E188" i="4"/>
  <c r="L187" i="4"/>
  <c r="K187" i="4"/>
  <c r="J187" i="4"/>
  <c r="E187" i="4"/>
  <c r="E178" i="4"/>
  <c r="K176" i="4"/>
  <c r="J176" i="4"/>
  <c r="E176" i="4"/>
  <c r="J167" i="4"/>
  <c r="E167" i="4"/>
  <c r="F167" i="4" s="1"/>
  <c r="K167" i="4" s="1"/>
  <c r="L167" i="4" s="1"/>
  <c r="J166" i="4"/>
  <c r="F166" i="4"/>
  <c r="E166" i="4"/>
  <c r="I165" i="4"/>
  <c r="J165" i="4" s="1"/>
  <c r="F165" i="4"/>
  <c r="K165" i="4" s="1"/>
  <c r="L165" i="4" s="1"/>
  <c r="E165" i="4"/>
  <c r="J164" i="4"/>
  <c r="I164" i="4"/>
  <c r="E164" i="4"/>
  <c r="F164" i="4" s="1"/>
  <c r="I163" i="4"/>
  <c r="J163" i="4" s="1"/>
  <c r="F163" i="4"/>
  <c r="E163" i="4"/>
  <c r="I162" i="4"/>
  <c r="J162" i="4" s="1"/>
  <c r="E162" i="4"/>
  <c r="F162" i="4" s="1"/>
  <c r="K162" i="4" s="1"/>
  <c r="L162" i="4" s="1"/>
  <c r="J161" i="4"/>
  <c r="I161" i="4"/>
  <c r="F161" i="4"/>
  <c r="K161" i="4" s="1"/>
  <c r="L161" i="4" s="1"/>
  <c r="E161" i="4"/>
  <c r="J160" i="4"/>
  <c r="E160" i="4"/>
  <c r="F160" i="4" s="1"/>
  <c r="K160" i="4" s="1"/>
  <c r="L160" i="4" s="1"/>
  <c r="I159" i="4"/>
  <c r="J159" i="4" s="1"/>
  <c r="F159" i="4"/>
  <c r="E159" i="4"/>
  <c r="I158" i="4"/>
  <c r="J158" i="4" s="1"/>
  <c r="F158" i="4"/>
  <c r="K158" i="4" s="1"/>
  <c r="L158" i="4" s="1"/>
  <c r="E158" i="4"/>
  <c r="J157" i="4"/>
  <c r="E157" i="4"/>
  <c r="F157" i="4" s="1"/>
  <c r="K157" i="4" s="1"/>
  <c r="L157" i="4" s="1"/>
  <c r="L156" i="4"/>
  <c r="J156" i="4"/>
  <c r="E156" i="4"/>
  <c r="F156" i="4" s="1"/>
  <c r="K156" i="4" s="1"/>
  <c r="I155" i="4"/>
  <c r="J155" i="4" s="1"/>
  <c r="E155" i="4"/>
  <c r="L154" i="4"/>
  <c r="I154" i="4"/>
  <c r="J154" i="4" s="1"/>
  <c r="E154" i="4"/>
  <c r="F154" i="4" s="1"/>
  <c r="K154" i="4" s="1"/>
  <c r="I153" i="4"/>
  <c r="J153" i="4" s="1"/>
  <c r="K153" i="4" s="1"/>
  <c r="L153" i="4" s="1"/>
  <c r="F153" i="4"/>
  <c r="E153" i="4"/>
  <c r="I152" i="4"/>
  <c r="J152" i="4" s="1"/>
  <c r="F152" i="4"/>
  <c r="E152" i="4"/>
  <c r="I151" i="4"/>
  <c r="J151" i="4" s="1"/>
  <c r="F151" i="4"/>
  <c r="K151" i="4" s="1"/>
  <c r="L151" i="4" s="1"/>
  <c r="E151" i="4"/>
  <c r="J150" i="4"/>
  <c r="E150" i="4"/>
  <c r="F150" i="4" s="1"/>
  <c r="K150" i="4" s="1"/>
  <c r="I142" i="4"/>
  <c r="J142" i="4" s="1"/>
  <c r="E142" i="4"/>
  <c r="F142" i="4" s="1"/>
  <c r="K142" i="4" s="1"/>
  <c r="L142" i="4" s="1"/>
  <c r="K141" i="4"/>
  <c r="L141" i="4" s="1"/>
  <c r="J141" i="4"/>
  <c r="E141" i="4"/>
  <c r="F141" i="4" s="1"/>
  <c r="J140" i="4"/>
  <c r="E140" i="4"/>
  <c r="F140" i="4" s="1"/>
  <c r="K140" i="4" s="1"/>
  <c r="L140" i="4" s="1"/>
  <c r="J139" i="4"/>
  <c r="E139" i="4"/>
  <c r="F139" i="4" s="1"/>
  <c r="K139" i="4" s="1"/>
  <c r="L139" i="4" s="1"/>
  <c r="J138" i="4"/>
  <c r="F138" i="4"/>
  <c r="K138" i="4" s="1"/>
  <c r="L138" i="4" s="1"/>
  <c r="E138" i="4"/>
  <c r="I137" i="4"/>
  <c r="J137" i="4" s="1"/>
  <c r="F137" i="4"/>
  <c r="K137" i="4" s="1"/>
  <c r="L137" i="4" s="1"/>
  <c r="E137" i="4"/>
  <c r="J136" i="4"/>
  <c r="E136" i="4"/>
  <c r="J135" i="4"/>
  <c r="F135" i="4"/>
  <c r="E135" i="4"/>
  <c r="J125" i="4"/>
  <c r="K125" i="4" s="1"/>
  <c r="L125" i="4" s="1"/>
  <c r="I125" i="4"/>
  <c r="E125" i="4"/>
  <c r="F125" i="4" s="1"/>
  <c r="I124" i="4"/>
  <c r="J124" i="4" s="1"/>
  <c r="F124" i="4"/>
  <c r="K124" i="4" s="1"/>
  <c r="L124" i="4" s="1"/>
  <c r="E124" i="4"/>
  <c r="I123" i="4"/>
  <c r="J123" i="4" s="1"/>
  <c r="E123" i="4"/>
  <c r="F123" i="4" s="1"/>
  <c r="K123" i="4" s="1"/>
  <c r="L123" i="4" s="1"/>
  <c r="J122" i="4"/>
  <c r="E122" i="4"/>
  <c r="F122" i="4" s="1"/>
  <c r="K122" i="4" s="1"/>
  <c r="L122" i="4" s="1"/>
  <c r="J121" i="4"/>
  <c r="K121" i="4" s="1"/>
  <c r="L121" i="4" s="1"/>
  <c r="I121" i="4"/>
  <c r="F121" i="4"/>
  <c r="E121" i="4"/>
  <c r="I120" i="4"/>
  <c r="J120" i="4" s="1"/>
  <c r="E120" i="4"/>
  <c r="F120" i="4" s="1"/>
  <c r="K120" i="4" s="1"/>
  <c r="L120" i="4" s="1"/>
  <c r="I119" i="4"/>
  <c r="J119" i="4" s="1"/>
  <c r="E119" i="4"/>
  <c r="F119" i="4" s="1"/>
  <c r="L118" i="4"/>
  <c r="K118" i="4"/>
  <c r="I118" i="4"/>
  <c r="J118" i="4" s="1"/>
  <c r="F118" i="4"/>
  <c r="E118" i="4"/>
  <c r="J117" i="4"/>
  <c r="I117" i="4"/>
  <c r="F117" i="4"/>
  <c r="E117" i="4"/>
  <c r="J116" i="4"/>
  <c r="I116" i="4"/>
  <c r="E116" i="4"/>
  <c r="F116" i="4" s="1"/>
  <c r="K116" i="4" s="1"/>
  <c r="L116" i="4" s="1"/>
  <c r="J115" i="4"/>
  <c r="K115" i="4" s="1"/>
  <c r="L115" i="4" s="1"/>
  <c r="E115" i="4"/>
  <c r="F115" i="4" s="1"/>
  <c r="J114" i="4"/>
  <c r="E114" i="4"/>
  <c r="F114" i="4" s="1"/>
  <c r="K114" i="4" s="1"/>
  <c r="L114" i="4" s="1"/>
  <c r="J113" i="4"/>
  <c r="E113" i="4"/>
  <c r="F113" i="4" s="1"/>
  <c r="K113" i="4" s="1"/>
  <c r="L113" i="4" s="1"/>
  <c r="J112" i="4"/>
  <c r="F112" i="4"/>
  <c r="K112" i="4" s="1"/>
  <c r="L112" i="4" s="1"/>
  <c r="E112" i="4"/>
  <c r="J111" i="4"/>
  <c r="F111" i="4"/>
  <c r="E111" i="4"/>
  <c r="I110" i="4"/>
  <c r="J110" i="4" s="1"/>
  <c r="E110" i="4"/>
  <c r="F110" i="4" s="1"/>
  <c r="K110" i="4" s="1"/>
  <c r="L110" i="4" s="1"/>
  <c r="I109" i="4"/>
  <c r="J109" i="4" s="1"/>
  <c r="K109" i="4" s="1"/>
  <c r="L109" i="4" s="1"/>
  <c r="E109" i="4"/>
  <c r="F109" i="4" s="1"/>
  <c r="I108" i="4"/>
  <c r="J108" i="4" s="1"/>
  <c r="E108" i="4"/>
  <c r="F108" i="4" s="1"/>
  <c r="K108" i="4" s="1"/>
  <c r="L108" i="4" s="1"/>
  <c r="I107" i="4"/>
  <c r="J107" i="4" s="1"/>
  <c r="F107" i="4"/>
  <c r="K107" i="4" s="1"/>
  <c r="L107" i="4" s="1"/>
  <c r="E107" i="4"/>
  <c r="I106" i="4"/>
  <c r="J106" i="4" s="1"/>
  <c r="E106" i="4"/>
  <c r="F106" i="4" s="1"/>
  <c r="K106" i="4" s="1"/>
  <c r="L106" i="4" s="1"/>
  <c r="J105" i="4"/>
  <c r="K105" i="4" s="1"/>
  <c r="L105" i="4" s="1"/>
  <c r="F105" i="4"/>
  <c r="E105" i="4"/>
  <c r="I104" i="4"/>
  <c r="J104" i="4" s="1"/>
  <c r="F104" i="4"/>
  <c r="K104" i="4" s="1"/>
  <c r="L104" i="4" s="1"/>
  <c r="E104" i="4"/>
  <c r="L103" i="4"/>
  <c r="J103" i="4"/>
  <c r="E103" i="4"/>
  <c r="F103" i="4" s="1"/>
  <c r="K103" i="4" s="1"/>
  <c r="I102" i="4"/>
  <c r="J102" i="4" s="1"/>
  <c r="E102" i="4"/>
  <c r="F102" i="4" s="1"/>
  <c r="K102" i="4" s="1"/>
  <c r="L102" i="4" s="1"/>
  <c r="J101" i="4"/>
  <c r="K101" i="4" s="1"/>
  <c r="L101" i="4" s="1"/>
  <c r="F101" i="4"/>
  <c r="E101" i="4"/>
  <c r="J100" i="4"/>
  <c r="I100" i="4"/>
  <c r="E100" i="4"/>
  <c r="F100" i="4" s="1"/>
  <c r="K100" i="4" s="1"/>
  <c r="L100" i="4" s="1"/>
  <c r="L99" i="4"/>
  <c r="K99" i="4"/>
  <c r="J99" i="4"/>
  <c r="I99" i="4"/>
  <c r="F99" i="4"/>
  <c r="E99" i="4"/>
  <c r="J98" i="4"/>
  <c r="K98" i="4" s="1"/>
  <c r="L98" i="4" s="1"/>
  <c r="F98" i="4"/>
  <c r="E98" i="4"/>
  <c r="I97" i="4"/>
  <c r="J97" i="4" s="1"/>
  <c r="E97" i="4"/>
  <c r="J87" i="4"/>
  <c r="E87" i="4"/>
  <c r="F87" i="4" s="1"/>
  <c r="K87" i="4" s="1"/>
  <c r="L87" i="4" s="1"/>
  <c r="J86" i="4"/>
  <c r="I86" i="4"/>
  <c r="E86" i="4"/>
  <c r="F86" i="4" s="1"/>
  <c r="K86" i="4" s="1"/>
  <c r="L86" i="4" s="1"/>
  <c r="J85" i="4"/>
  <c r="K85" i="4" s="1"/>
  <c r="L85" i="4" s="1"/>
  <c r="I85" i="4"/>
  <c r="F85" i="4"/>
  <c r="E85" i="4"/>
  <c r="L84" i="4"/>
  <c r="K84" i="4"/>
  <c r="J84" i="4"/>
  <c r="I84" i="4"/>
  <c r="F84" i="4"/>
  <c r="E84" i="4"/>
  <c r="I83" i="4"/>
  <c r="J83" i="4" s="1"/>
  <c r="F83" i="4"/>
  <c r="E83" i="4"/>
  <c r="J82" i="4"/>
  <c r="I82" i="4"/>
  <c r="E82" i="4"/>
  <c r="F82" i="4" s="1"/>
  <c r="K82" i="4" s="1"/>
  <c r="L82" i="4" s="1"/>
  <c r="J81" i="4"/>
  <c r="K81" i="4" s="1"/>
  <c r="L81" i="4" s="1"/>
  <c r="E81" i="4"/>
  <c r="F81" i="4" s="1"/>
  <c r="J80" i="4"/>
  <c r="E80" i="4"/>
  <c r="F80" i="4" s="1"/>
  <c r="K80" i="4" s="1"/>
  <c r="L80" i="4" s="1"/>
  <c r="L79" i="4"/>
  <c r="J79" i="4"/>
  <c r="I79" i="4"/>
  <c r="F79" i="4"/>
  <c r="K79" i="4" s="1"/>
  <c r="E79" i="4"/>
  <c r="J78" i="4"/>
  <c r="K78" i="4" s="1"/>
  <c r="L78" i="4" s="1"/>
  <c r="I78" i="4"/>
  <c r="F78" i="4"/>
  <c r="E78" i="4"/>
  <c r="J77" i="4"/>
  <c r="E77" i="4"/>
  <c r="F77" i="4" s="1"/>
  <c r="K77" i="4" s="1"/>
  <c r="L77" i="4" s="1"/>
  <c r="J76" i="4"/>
  <c r="F76" i="4"/>
  <c r="K76" i="4" s="1"/>
  <c r="L76" i="4" s="1"/>
  <c r="E76" i="4"/>
  <c r="J75" i="4"/>
  <c r="K75" i="4" s="1"/>
  <c r="L75" i="4" s="1"/>
  <c r="I75" i="4"/>
  <c r="F75" i="4"/>
  <c r="E75" i="4"/>
  <c r="L74" i="4"/>
  <c r="K74" i="4"/>
  <c r="J74" i="4"/>
  <c r="I74" i="4"/>
  <c r="F74" i="4"/>
  <c r="E74" i="4"/>
  <c r="I73" i="4"/>
  <c r="J73" i="4" s="1"/>
  <c r="F73" i="4"/>
  <c r="K73" i="4" s="1"/>
  <c r="L73" i="4" s="1"/>
  <c r="E73" i="4"/>
  <c r="J72" i="4"/>
  <c r="I72" i="4"/>
  <c r="E72" i="4"/>
  <c r="F72" i="4" s="1"/>
  <c r="K72" i="4" s="1"/>
  <c r="L72" i="4" s="1"/>
  <c r="J71" i="4"/>
  <c r="K71" i="4" s="1"/>
  <c r="L71" i="4" s="1"/>
  <c r="I71" i="4"/>
  <c r="F71" i="4"/>
  <c r="E71" i="4"/>
  <c r="I70" i="4"/>
  <c r="J70" i="4" s="1"/>
  <c r="K70" i="4" s="1"/>
  <c r="L70" i="4" s="1"/>
  <c r="F70" i="4"/>
  <c r="E70" i="4"/>
  <c r="J69" i="4"/>
  <c r="E69" i="4"/>
  <c r="F69" i="4" s="1"/>
  <c r="K69" i="4" s="1"/>
  <c r="L69" i="4" s="1"/>
  <c r="L68" i="4"/>
  <c r="K68" i="4"/>
  <c r="J68" i="4"/>
  <c r="F68" i="4"/>
  <c r="E68" i="4"/>
  <c r="J67" i="4"/>
  <c r="E67" i="4"/>
  <c r="F67" i="4" s="1"/>
  <c r="K67" i="4" s="1"/>
  <c r="L67" i="4" s="1"/>
  <c r="J66" i="4"/>
  <c r="F66" i="4"/>
  <c r="K66" i="4" s="1"/>
  <c r="L66" i="4" s="1"/>
  <c r="E66" i="4"/>
  <c r="J65" i="4"/>
  <c r="E65" i="4"/>
  <c r="F65" i="4" s="1"/>
  <c r="K65" i="4" s="1"/>
  <c r="L65" i="4" s="1"/>
  <c r="J64" i="4"/>
  <c r="F64" i="4"/>
  <c r="K64" i="4" s="1"/>
  <c r="L64" i="4" s="1"/>
  <c r="E64" i="4"/>
  <c r="J63" i="4"/>
  <c r="I63" i="4"/>
  <c r="E63" i="4"/>
  <c r="F63" i="4" s="1"/>
  <c r="K63" i="4" s="1"/>
  <c r="L63" i="4" s="1"/>
  <c r="K62" i="4"/>
  <c r="L62" i="4" s="1"/>
  <c r="J62" i="4"/>
  <c r="I62" i="4"/>
  <c r="F62" i="4"/>
  <c r="E62" i="4"/>
  <c r="J61" i="4"/>
  <c r="K61" i="4" s="1"/>
  <c r="L61" i="4" s="1"/>
  <c r="I61" i="4"/>
  <c r="F61" i="4"/>
  <c r="E61" i="4"/>
  <c r="J60" i="4"/>
  <c r="E60" i="4"/>
  <c r="F60" i="4" s="1"/>
  <c r="K60" i="4" s="1"/>
  <c r="L60" i="4" s="1"/>
  <c r="K59" i="4"/>
  <c r="L59" i="4" s="1"/>
  <c r="J59" i="4"/>
  <c r="F59" i="4"/>
  <c r="E59" i="4"/>
  <c r="J58" i="4"/>
  <c r="I58" i="4"/>
  <c r="F58" i="4"/>
  <c r="E58" i="4"/>
  <c r="J57" i="4"/>
  <c r="I57" i="4"/>
  <c r="E57" i="4"/>
  <c r="F57" i="4" s="1"/>
  <c r="K57" i="4" s="1"/>
  <c r="L57" i="4" s="1"/>
  <c r="L56" i="4"/>
  <c r="J56" i="4"/>
  <c r="E56" i="4"/>
  <c r="F56" i="4" s="1"/>
  <c r="K56" i="4" s="1"/>
  <c r="I55" i="4"/>
  <c r="J55" i="4" s="1"/>
  <c r="K55" i="4" s="1"/>
  <c r="L55" i="4" s="1"/>
  <c r="E55" i="4"/>
  <c r="F55" i="4" s="1"/>
  <c r="K54" i="4"/>
  <c r="L54" i="4" s="1"/>
  <c r="J54" i="4"/>
  <c r="I54" i="4"/>
  <c r="F54" i="4"/>
  <c r="E54" i="4"/>
  <c r="J53" i="4"/>
  <c r="E53" i="4"/>
  <c r="F53" i="4" s="1"/>
  <c r="K53" i="4" s="1"/>
  <c r="L53" i="4" s="1"/>
  <c r="J52" i="4"/>
  <c r="E52" i="4"/>
  <c r="F52" i="4" s="1"/>
  <c r="K52" i="4" s="1"/>
  <c r="L52" i="4" s="1"/>
  <c r="J51" i="4"/>
  <c r="E51" i="4"/>
  <c r="J43" i="4"/>
  <c r="K43" i="4" s="1"/>
  <c r="L43" i="4" s="1"/>
  <c r="F43" i="4"/>
  <c r="E43" i="4"/>
  <c r="I42" i="4"/>
  <c r="J42" i="4" s="1"/>
  <c r="E42" i="4"/>
  <c r="F42" i="4" s="1"/>
  <c r="K42" i="4" s="1"/>
  <c r="L42" i="4" s="1"/>
  <c r="I41" i="4"/>
  <c r="J41" i="4" s="1"/>
  <c r="K41" i="4" s="1"/>
  <c r="L41" i="4" s="1"/>
  <c r="E41" i="4"/>
  <c r="F41" i="4" s="1"/>
  <c r="I40" i="4"/>
  <c r="J40" i="4" s="1"/>
  <c r="E40" i="4"/>
  <c r="F40" i="4" s="1"/>
  <c r="K39" i="4"/>
  <c r="L39" i="4" s="1"/>
  <c r="J39" i="4"/>
  <c r="F39" i="4"/>
  <c r="E39" i="4"/>
  <c r="J38" i="4"/>
  <c r="I38" i="4"/>
  <c r="F38" i="4"/>
  <c r="K38" i="4" s="1"/>
  <c r="L38" i="4" s="1"/>
  <c r="E38" i="4"/>
  <c r="L37" i="4"/>
  <c r="K37" i="4"/>
  <c r="J37" i="4"/>
  <c r="I37" i="4"/>
  <c r="F37" i="4"/>
  <c r="E37" i="4"/>
  <c r="J36" i="4"/>
  <c r="K36" i="4" s="1"/>
  <c r="L36" i="4" s="1"/>
  <c r="F36" i="4"/>
  <c r="E36" i="4"/>
  <c r="J35" i="4"/>
  <c r="E35" i="4"/>
  <c r="F35" i="4" s="1"/>
  <c r="K35" i="4" s="1"/>
  <c r="L35" i="4" s="1"/>
  <c r="L34" i="4"/>
  <c r="K34" i="4"/>
  <c r="J34" i="4"/>
  <c r="I34" i="4"/>
  <c r="F34" i="4"/>
  <c r="E34" i="4"/>
  <c r="J33" i="4"/>
  <c r="K33" i="4" s="1"/>
  <c r="L33" i="4" s="1"/>
  <c r="I33" i="4"/>
  <c r="F33" i="4"/>
  <c r="E33" i="4"/>
  <c r="I32" i="4"/>
  <c r="J32" i="4" s="1"/>
  <c r="E32" i="4"/>
  <c r="F32" i="4" s="1"/>
  <c r="K32" i="4" s="1"/>
  <c r="L32" i="4" s="1"/>
  <c r="I31" i="4"/>
  <c r="J31" i="4" s="1"/>
  <c r="E31" i="4"/>
  <c r="F31" i="4" s="1"/>
  <c r="K31" i="4" s="1"/>
  <c r="L31" i="4" s="1"/>
  <c r="L30" i="4"/>
  <c r="K30" i="4"/>
  <c r="J30" i="4"/>
  <c r="I30" i="4"/>
  <c r="E30" i="4"/>
  <c r="F30" i="4" s="1"/>
  <c r="I29" i="4"/>
  <c r="J29" i="4" s="1"/>
  <c r="F29" i="4"/>
  <c r="K29" i="4" s="1"/>
  <c r="L29" i="4" s="1"/>
  <c r="E29" i="4"/>
  <c r="I28" i="4"/>
  <c r="J28" i="4" s="1"/>
  <c r="E28" i="4"/>
  <c r="F28" i="4" s="1"/>
  <c r="K28" i="4" s="1"/>
  <c r="L28" i="4" s="1"/>
  <c r="J27" i="4"/>
  <c r="I27" i="4"/>
  <c r="E27" i="4"/>
  <c r="F27" i="4" s="1"/>
  <c r="K27" i="4" s="1"/>
  <c r="L27" i="4" s="1"/>
  <c r="J26" i="4"/>
  <c r="K26" i="4" s="1"/>
  <c r="L26" i="4" s="1"/>
  <c r="I26" i="4"/>
  <c r="F26" i="4"/>
  <c r="E26" i="4"/>
  <c r="I25" i="4"/>
  <c r="J25" i="4" s="1"/>
  <c r="F25" i="4"/>
  <c r="E25" i="4"/>
  <c r="J24" i="4"/>
  <c r="E24" i="4"/>
  <c r="F24" i="4" s="1"/>
  <c r="K24" i="4" s="1"/>
  <c r="L24" i="4" s="1"/>
  <c r="L23" i="4"/>
  <c r="K23" i="4"/>
  <c r="J23" i="4"/>
  <c r="F23" i="4"/>
  <c r="E23" i="4"/>
  <c r="J22" i="4"/>
  <c r="E22" i="4"/>
  <c r="F22" i="4" s="1"/>
  <c r="K22" i="4" s="1"/>
  <c r="L22" i="4" s="1"/>
  <c r="K21" i="4"/>
  <c r="L21" i="4" s="1"/>
  <c r="J21" i="4"/>
  <c r="E21" i="4"/>
  <c r="F21" i="4" s="1"/>
  <c r="K20" i="4"/>
  <c r="L20" i="4" s="1"/>
  <c r="J20" i="4"/>
  <c r="E20" i="4"/>
  <c r="F20" i="4" s="1"/>
  <c r="I19" i="4"/>
  <c r="J19" i="4" s="1"/>
  <c r="E19" i="4"/>
  <c r="F19" i="4" s="1"/>
  <c r="K19" i="4" s="1"/>
  <c r="L19" i="4" s="1"/>
  <c r="K18" i="4"/>
  <c r="L18" i="4" s="1"/>
  <c r="J18" i="4"/>
  <c r="I18" i="4"/>
  <c r="F18" i="4"/>
  <c r="E18" i="4"/>
  <c r="I17" i="4"/>
  <c r="J17" i="4" s="1"/>
  <c r="E17" i="4"/>
  <c r="F17" i="4" s="1"/>
  <c r="K17" i="4" s="1"/>
  <c r="L17" i="4" s="1"/>
  <c r="L16" i="4"/>
  <c r="J16" i="4"/>
  <c r="E16" i="4"/>
  <c r="F16" i="4" s="1"/>
  <c r="K16" i="4" s="1"/>
  <c r="J15" i="4"/>
  <c r="F15" i="4"/>
  <c r="K15" i="4" s="1"/>
  <c r="L15" i="4" s="1"/>
  <c r="E15" i="4"/>
  <c r="J14" i="4"/>
  <c r="F14" i="4"/>
  <c r="K14" i="4" s="1"/>
  <c r="L14" i="4" s="1"/>
  <c r="E14" i="4"/>
  <c r="J13" i="4"/>
  <c r="I13" i="4"/>
  <c r="E13" i="4"/>
  <c r="F13" i="4" s="1"/>
  <c r="K13" i="4" s="1"/>
  <c r="L13" i="4" s="1"/>
  <c r="J12" i="4"/>
  <c r="K12" i="4" s="1"/>
  <c r="L12" i="4" s="1"/>
  <c r="F12" i="4"/>
  <c r="E12" i="4"/>
  <c r="I11" i="4"/>
  <c r="J11" i="4" s="1"/>
  <c r="E11" i="4"/>
  <c r="F11" i="4" s="1"/>
  <c r="K11" i="4" s="1"/>
  <c r="L11" i="4" s="1"/>
  <c r="J10" i="4"/>
  <c r="E10" i="4"/>
  <c r="F10" i="4" s="1"/>
  <c r="K10" i="4" s="1"/>
  <c r="L10" i="4" s="1"/>
  <c r="J9" i="4"/>
  <c r="F9" i="4"/>
  <c r="K9" i="4" s="1"/>
  <c r="L9" i="4" s="1"/>
  <c r="E9" i="4"/>
  <c r="J8" i="4"/>
  <c r="F8" i="4"/>
  <c r="K8" i="4" s="1"/>
  <c r="L8" i="4" s="1"/>
  <c r="E8" i="4"/>
  <c r="J7" i="4"/>
  <c r="I7" i="4"/>
  <c r="E7" i="4"/>
  <c r="F7" i="4" s="1"/>
  <c r="K7" i="4" s="1"/>
  <c r="L7" i="4" s="1"/>
  <c r="J6" i="4"/>
  <c r="K6" i="4" s="1"/>
  <c r="F6" i="4"/>
  <c r="E6" i="4"/>
  <c r="I655" i="3"/>
  <c r="J655" i="3" s="1"/>
  <c r="K655" i="3" s="1"/>
  <c r="L655" i="3" s="1"/>
  <c r="E655" i="3"/>
  <c r="I654" i="3"/>
  <c r="J654" i="3" s="1"/>
  <c r="K654" i="3" s="1"/>
  <c r="L654" i="3" s="1"/>
  <c r="E654" i="3"/>
  <c r="I653" i="3"/>
  <c r="J653" i="3" s="1"/>
  <c r="E653" i="3"/>
  <c r="L652" i="3"/>
  <c r="K652" i="3"/>
  <c r="J652" i="3"/>
  <c r="I652" i="3"/>
  <c r="E652" i="3"/>
  <c r="K651" i="3"/>
  <c r="L651" i="3" s="1"/>
  <c r="J651" i="3"/>
  <c r="I651" i="3"/>
  <c r="E651" i="3"/>
  <c r="E657" i="3" s="1"/>
  <c r="L650" i="3"/>
  <c r="I650" i="3"/>
  <c r="J650" i="3" s="1"/>
  <c r="E650" i="3"/>
  <c r="K650" i="3" s="1"/>
  <c r="K649" i="3"/>
  <c r="L649" i="3" s="1"/>
  <c r="J649" i="3"/>
  <c r="I649" i="3"/>
  <c r="E649" i="3"/>
  <c r="J648" i="3"/>
  <c r="I648" i="3"/>
  <c r="E648" i="3"/>
  <c r="K647" i="3"/>
  <c r="L647" i="3" s="1"/>
  <c r="J647" i="3"/>
  <c r="E647" i="3"/>
  <c r="K646" i="3"/>
  <c r="J646" i="3"/>
  <c r="E646" i="3"/>
  <c r="I637" i="3"/>
  <c r="J637" i="3" s="1"/>
  <c r="E637" i="3"/>
  <c r="L636" i="3"/>
  <c r="K636" i="3"/>
  <c r="J636" i="3"/>
  <c r="E636" i="3"/>
  <c r="J635" i="3"/>
  <c r="E635" i="3"/>
  <c r="K635" i="3" s="1"/>
  <c r="L635" i="3" s="1"/>
  <c r="K634" i="3"/>
  <c r="L634" i="3" s="1"/>
  <c r="J634" i="3"/>
  <c r="E634" i="3"/>
  <c r="I633" i="3"/>
  <c r="J633" i="3" s="1"/>
  <c r="E633" i="3"/>
  <c r="L632" i="3"/>
  <c r="J632" i="3"/>
  <c r="E632" i="3"/>
  <c r="K632" i="3" s="1"/>
  <c r="J631" i="3"/>
  <c r="E631" i="3"/>
  <c r="K631" i="3" s="1"/>
  <c r="L631" i="3" s="1"/>
  <c r="L630" i="3"/>
  <c r="J630" i="3"/>
  <c r="E630" i="3"/>
  <c r="K630" i="3" s="1"/>
  <c r="J629" i="3"/>
  <c r="E629" i="3"/>
  <c r="K629" i="3" s="1"/>
  <c r="L629" i="3" s="1"/>
  <c r="J628" i="3"/>
  <c r="E628" i="3"/>
  <c r="E639" i="3" s="1"/>
  <c r="K621" i="3"/>
  <c r="L621" i="3" s="1"/>
  <c r="J621" i="3"/>
  <c r="E621" i="3"/>
  <c r="J620" i="3"/>
  <c r="K620" i="3" s="1"/>
  <c r="L620" i="3" s="1"/>
  <c r="E620" i="3"/>
  <c r="K619" i="3"/>
  <c r="L619" i="3" s="1"/>
  <c r="J619" i="3"/>
  <c r="E619" i="3"/>
  <c r="J618" i="3"/>
  <c r="E618" i="3"/>
  <c r="E623" i="3" s="1"/>
  <c r="I609" i="3"/>
  <c r="J609" i="3" s="1"/>
  <c r="E609" i="3"/>
  <c r="K609" i="3" s="1"/>
  <c r="L609" i="3" s="1"/>
  <c r="L608" i="3"/>
  <c r="K608" i="3"/>
  <c r="J608" i="3"/>
  <c r="E608" i="3"/>
  <c r="I607" i="3"/>
  <c r="J607" i="3" s="1"/>
  <c r="E607" i="3"/>
  <c r="K607" i="3" s="1"/>
  <c r="L607" i="3" s="1"/>
  <c r="L606" i="3"/>
  <c r="J606" i="3"/>
  <c r="I606" i="3"/>
  <c r="E606" i="3"/>
  <c r="K606" i="3" s="1"/>
  <c r="J605" i="3"/>
  <c r="E605" i="3"/>
  <c r="K605" i="3" s="1"/>
  <c r="L605" i="3" s="1"/>
  <c r="I604" i="3"/>
  <c r="J604" i="3" s="1"/>
  <c r="E604" i="3"/>
  <c r="K604" i="3" s="1"/>
  <c r="L604" i="3" s="1"/>
  <c r="L603" i="3"/>
  <c r="K603" i="3"/>
  <c r="J603" i="3"/>
  <c r="E603" i="3"/>
  <c r="J602" i="3"/>
  <c r="E602" i="3"/>
  <c r="J593" i="3"/>
  <c r="E593" i="3"/>
  <c r="F593" i="3" s="1"/>
  <c r="K593" i="3" s="1"/>
  <c r="L593" i="3" s="1"/>
  <c r="K592" i="3"/>
  <c r="L592" i="3" s="1"/>
  <c r="J592" i="3"/>
  <c r="E592" i="3"/>
  <c r="F592" i="3" s="1"/>
  <c r="J591" i="3"/>
  <c r="E591" i="3"/>
  <c r="F591" i="3" s="1"/>
  <c r="K591" i="3" s="1"/>
  <c r="L591" i="3" s="1"/>
  <c r="I590" i="3"/>
  <c r="J590" i="3" s="1"/>
  <c r="E590" i="3"/>
  <c r="F590" i="3" s="1"/>
  <c r="K590" i="3" s="1"/>
  <c r="L590" i="3" s="1"/>
  <c r="L589" i="3"/>
  <c r="K589" i="3"/>
  <c r="J589" i="3"/>
  <c r="E589" i="3"/>
  <c r="F589" i="3" s="1"/>
  <c r="J588" i="3"/>
  <c r="I588" i="3"/>
  <c r="F588" i="3"/>
  <c r="E588" i="3"/>
  <c r="J579" i="3"/>
  <c r="E579" i="3"/>
  <c r="K579" i="3" s="1"/>
  <c r="L579" i="3" s="1"/>
  <c r="I578" i="3"/>
  <c r="J578" i="3" s="1"/>
  <c r="E578" i="3"/>
  <c r="K578" i="3" s="1"/>
  <c r="L578" i="3" s="1"/>
  <c r="J577" i="3"/>
  <c r="K577" i="3" s="1"/>
  <c r="L577" i="3" s="1"/>
  <c r="E577" i="3"/>
  <c r="J576" i="3"/>
  <c r="E576" i="3"/>
  <c r="K575" i="3"/>
  <c r="L575" i="3" s="1"/>
  <c r="J575" i="3"/>
  <c r="E575" i="3"/>
  <c r="J574" i="3"/>
  <c r="E574" i="3"/>
  <c r="K574" i="3" s="1"/>
  <c r="L574" i="3" s="1"/>
  <c r="L573" i="3"/>
  <c r="K573" i="3"/>
  <c r="J573" i="3"/>
  <c r="I573" i="3"/>
  <c r="E573" i="3"/>
  <c r="J572" i="3"/>
  <c r="E572" i="3"/>
  <c r="K572" i="3" s="1"/>
  <c r="L572" i="3" s="1"/>
  <c r="L571" i="3"/>
  <c r="K571" i="3"/>
  <c r="J571" i="3"/>
  <c r="I571" i="3"/>
  <c r="E571" i="3"/>
  <c r="J570" i="3"/>
  <c r="E570" i="3"/>
  <c r="K570" i="3" s="1"/>
  <c r="L570" i="3" s="1"/>
  <c r="L569" i="3"/>
  <c r="K569" i="3"/>
  <c r="J569" i="3"/>
  <c r="E569" i="3"/>
  <c r="J568" i="3"/>
  <c r="E568" i="3"/>
  <c r="K568" i="3" s="1"/>
  <c r="L568" i="3" s="1"/>
  <c r="L567" i="3"/>
  <c r="K567" i="3"/>
  <c r="J567" i="3"/>
  <c r="E567" i="3"/>
  <c r="J566" i="3"/>
  <c r="E566" i="3"/>
  <c r="K566" i="3" s="1"/>
  <c r="L566" i="3" s="1"/>
  <c r="J565" i="3"/>
  <c r="E565" i="3"/>
  <c r="K565" i="3" s="1"/>
  <c r="L565" i="3" s="1"/>
  <c r="J564" i="3"/>
  <c r="E564" i="3"/>
  <c r="E581" i="3" s="1"/>
  <c r="L563" i="3"/>
  <c r="J563" i="3"/>
  <c r="E563" i="3"/>
  <c r="K563" i="3" s="1"/>
  <c r="J553" i="3"/>
  <c r="E553" i="3"/>
  <c r="F553" i="3" s="1"/>
  <c r="K553" i="3" s="1"/>
  <c r="L553" i="3" s="1"/>
  <c r="L552" i="3"/>
  <c r="K552" i="3"/>
  <c r="J552" i="3"/>
  <c r="I552" i="3"/>
  <c r="F552" i="3"/>
  <c r="E552" i="3"/>
  <c r="J551" i="3"/>
  <c r="F551" i="3"/>
  <c r="K551" i="3" s="1"/>
  <c r="L551" i="3" s="1"/>
  <c r="E551" i="3"/>
  <c r="L550" i="3"/>
  <c r="J550" i="3"/>
  <c r="E550" i="3"/>
  <c r="F550" i="3" s="1"/>
  <c r="K550" i="3" s="1"/>
  <c r="J549" i="3"/>
  <c r="F549" i="3"/>
  <c r="K549" i="3" s="1"/>
  <c r="L549" i="3" s="1"/>
  <c r="E549" i="3"/>
  <c r="J548" i="3"/>
  <c r="E548" i="3"/>
  <c r="F548" i="3" s="1"/>
  <c r="K548" i="3" s="1"/>
  <c r="L548" i="3" s="1"/>
  <c r="K547" i="3"/>
  <c r="L547" i="3" s="1"/>
  <c r="J547" i="3"/>
  <c r="I547" i="3"/>
  <c r="E547" i="3"/>
  <c r="F547" i="3" s="1"/>
  <c r="J546" i="3"/>
  <c r="F546" i="3"/>
  <c r="K546" i="3" s="1"/>
  <c r="L546" i="3" s="1"/>
  <c r="E546" i="3"/>
  <c r="J545" i="3"/>
  <c r="F545" i="3"/>
  <c r="E545" i="3"/>
  <c r="J544" i="3"/>
  <c r="E544" i="3"/>
  <c r="F544" i="3" s="1"/>
  <c r="K544" i="3" s="1"/>
  <c r="L544" i="3" s="1"/>
  <c r="J543" i="3"/>
  <c r="F543" i="3"/>
  <c r="K543" i="3" s="1"/>
  <c r="L543" i="3" s="1"/>
  <c r="E543" i="3"/>
  <c r="J542" i="3"/>
  <c r="E542" i="3"/>
  <c r="F542" i="3" s="1"/>
  <c r="K542" i="3" s="1"/>
  <c r="L542" i="3" s="1"/>
  <c r="J541" i="3"/>
  <c r="K541" i="3" s="1"/>
  <c r="L541" i="3" s="1"/>
  <c r="I541" i="3"/>
  <c r="E541" i="3"/>
  <c r="F541" i="3" s="1"/>
  <c r="I540" i="3"/>
  <c r="J540" i="3" s="1"/>
  <c r="F540" i="3"/>
  <c r="E540" i="3"/>
  <c r="J539" i="3"/>
  <c r="F539" i="3"/>
  <c r="E539" i="3"/>
  <c r="J538" i="3"/>
  <c r="I538" i="3"/>
  <c r="E538" i="3"/>
  <c r="F538" i="3" s="1"/>
  <c r="K538" i="3" s="1"/>
  <c r="L538" i="3" s="1"/>
  <c r="L537" i="3"/>
  <c r="K537" i="3"/>
  <c r="J537" i="3"/>
  <c r="F537" i="3"/>
  <c r="E537" i="3"/>
  <c r="J536" i="3"/>
  <c r="E536" i="3"/>
  <c r="F536" i="3" s="1"/>
  <c r="K536" i="3" s="1"/>
  <c r="L536" i="3" s="1"/>
  <c r="L535" i="3"/>
  <c r="K535" i="3"/>
  <c r="J535" i="3"/>
  <c r="I535" i="3"/>
  <c r="E535" i="3"/>
  <c r="F535" i="3" s="1"/>
  <c r="J534" i="3"/>
  <c r="K534" i="3" s="1"/>
  <c r="L534" i="3" s="1"/>
  <c r="F534" i="3"/>
  <c r="E534" i="3"/>
  <c r="J533" i="3"/>
  <c r="E533" i="3"/>
  <c r="J532" i="3"/>
  <c r="E532" i="3"/>
  <c r="F532" i="3" s="1"/>
  <c r="I523" i="3"/>
  <c r="J523" i="3" s="1"/>
  <c r="E523" i="3"/>
  <c r="F523" i="3" s="1"/>
  <c r="K523" i="3" s="1"/>
  <c r="L523" i="3" s="1"/>
  <c r="J522" i="3"/>
  <c r="I522" i="3"/>
  <c r="E522" i="3"/>
  <c r="F522" i="3" s="1"/>
  <c r="K522" i="3" s="1"/>
  <c r="L522" i="3" s="1"/>
  <c r="L521" i="3"/>
  <c r="K521" i="3"/>
  <c r="J521" i="3"/>
  <c r="F521" i="3"/>
  <c r="E521" i="3"/>
  <c r="J520" i="3"/>
  <c r="E520" i="3"/>
  <c r="F520" i="3" s="1"/>
  <c r="K520" i="3" s="1"/>
  <c r="L520" i="3" s="1"/>
  <c r="L519" i="3"/>
  <c r="K519" i="3"/>
  <c r="J519" i="3"/>
  <c r="F519" i="3"/>
  <c r="E519" i="3"/>
  <c r="J518" i="3"/>
  <c r="E518" i="3"/>
  <c r="F518" i="3" s="1"/>
  <c r="K518" i="3" s="1"/>
  <c r="L518" i="3" s="1"/>
  <c r="L517" i="3"/>
  <c r="J517" i="3"/>
  <c r="E517" i="3"/>
  <c r="F517" i="3" s="1"/>
  <c r="K517" i="3" s="1"/>
  <c r="J516" i="3"/>
  <c r="F516" i="3"/>
  <c r="K516" i="3" s="1"/>
  <c r="L516" i="3" s="1"/>
  <c r="E516" i="3"/>
  <c r="J515" i="3"/>
  <c r="E515" i="3"/>
  <c r="F515" i="3" s="1"/>
  <c r="K515" i="3" s="1"/>
  <c r="L515" i="3" s="1"/>
  <c r="J514" i="3"/>
  <c r="I514" i="3"/>
  <c r="E514" i="3"/>
  <c r="F514" i="3" s="1"/>
  <c r="K514" i="3" s="1"/>
  <c r="L514" i="3" s="1"/>
  <c r="J513" i="3"/>
  <c r="F513" i="3"/>
  <c r="K513" i="3" s="1"/>
  <c r="L513" i="3" s="1"/>
  <c r="E513" i="3"/>
  <c r="I512" i="3"/>
  <c r="J512" i="3" s="1"/>
  <c r="E512" i="3"/>
  <c r="F512" i="3" s="1"/>
  <c r="K512" i="3" s="1"/>
  <c r="L512" i="3" s="1"/>
  <c r="K511" i="3"/>
  <c r="L511" i="3" s="1"/>
  <c r="I511" i="3"/>
  <c r="J511" i="3" s="1"/>
  <c r="F511" i="3"/>
  <c r="E511" i="3"/>
  <c r="J510" i="3"/>
  <c r="F510" i="3"/>
  <c r="E510" i="3"/>
  <c r="J509" i="3"/>
  <c r="E509" i="3"/>
  <c r="F509" i="3" s="1"/>
  <c r="K509" i="3" s="1"/>
  <c r="L509" i="3" s="1"/>
  <c r="K508" i="3"/>
  <c r="L508" i="3" s="1"/>
  <c r="J508" i="3"/>
  <c r="F508" i="3"/>
  <c r="E508" i="3"/>
  <c r="J507" i="3"/>
  <c r="F507" i="3"/>
  <c r="K507" i="3" s="1"/>
  <c r="L507" i="3" s="1"/>
  <c r="E507" i="3"/>
  <c r="J506" i="3"/>
  <c r="K506" i="3" s="1"/>
  <c r="L506" i="3" s="1"/>
  <c r="F506" i="3"/>
  <c r="E506" i="3"/>
  <c r="J505" i="3"/>
  <c r="I505" i="3"/>
  <c r="F505" i="3"/>
  <c r="K505" i="3" s="1"/>
  <c r="L505" i="3" s="1"/>
  <c r="E505" i="3"/>
  <c r="J504" i="3"/>
  <c r="E504" i="3"/>
  <c r="J495" i="3"/>
  <c r="F495" i="3"/>
  <c r="K495" i="3" s="1"/>
  <c r="L495" i="3" s="1"/>
  <c r="E495" i="3"/>
  <c r="L494" i="3"/>
  <c r="K494" i="3"/>
  <c r="J494" i="3"/>
  <c r="F494" i="3"/>
  <c r="E494" i="3"/>
  <c r="J493" i="3"/>
  <c r="F493" i="3"/>
  <c r="K493" i="3" s="1"/>
  <c r="L493" i="3" s="1"/>
  <c r="E493" i="3"/>
  <c r="L492" i="3"/>
  <c r="J492" i="3"/>
  <c r="E492" i="3"/>
  <c r="F492" i="3" s="1"/>
  <c r="K492" i="3" s="1"/>
  <c r="J491" i="3"/>
  <c r="E491" i="3"/>
  <c r="F491" i="3" s="1"/>
  <c r="K491" i="3" s="1"/>
  <c r="L491" i="3" s="1"/>
  <c r="J490" i="3"/>
  <c r="E490" i="3"/>
  <c r="F490" i="3" s="1"/>
  <c r="K490" i="3" s="1"/>
  <c r="L490" i="3" s="1"/>
  <c r="L489" i="3"/>
  <c r="K489" i="3"/>
  <c r="J489" i="3"/>
  <c r="F489" i="3"/>
  <c r="E489" i="3"/>
  <c r="J488" i="3"/>
  <c r="E488" i="3"/>
  <c r="F488" i="3" s="1"/>
  <c r="K488" i="3" s="1"/>
  <c r="L488" i="3" s="1"/>
  <c r="L487" i="3"/>
  <c r="K487" i="3"/>
  <c r="J487" i="3"/>
  <c r="F487" i="3"/>
  <c r="E487" i="3"/>
  <c r="J486" i="3"/>
  <c r="E486" i="3"/>
  <c r="F486" i="3" s="1"/>
  <c r="K486" i="3" s="1"/>
  <c r="L486" i="3" s="1"/>
  <c r="L485" i="3"/>
  <c r="I485" i="3"/>
  <c r="J485" i="3" s="1"/>
  <c r="E485" i="3"/>
  <c r="F485" i="3" s="1"/>
  <c r="K485" i="3" s="1"/>
  <c r="J484" i="3"/>
  <c r="F484" i="3"/>
  <c r="K484" i="3" s="1"/>
  <c r="L484" i="3" s="1"/>
  <c r="E484" i="3"/>
  <c r="J483" i="3"/>
  <c r="F483" i="3"/>
  <c r="K483" i="3" s="1"/>
  <c r="L483" i="3" s="1"/>
  <c r="E483" i="3"/>
  <c r="J482" i="3"/>
  <c r="E482" i="3"/>
  <c r="F482" i="3" s="1"/>
  <c r="K482" i="3" s="1"/>
  <c r="L482" i="3" s="1"/>
  <c r="K481" i="3"/>
  <c r="L481" i="3" s="1"/>
  <c r="J481" i="3"/>
  <c r="F481" i="3"/>
  <c r="E481" i="3"/>
  <c r="J480" i="3"/>
  <c r="E480" i="3"/>
  <c r="F480" i="3" s="1"/>
  <c r="K480" i="3" s="1"/>
  <c r="L480" i="3" s="1"/>
  <c r="J479" i="3"/>
  <c r="K479" i="3" s="1"/>
  <c r="L479" i="3" s="1"/>
  <c r="F479" i="3"/>
  <c r="E479" i="3"/>
  <c r="J478" i="3"/>
  <c r="E478" i="3"/>
  <c r="F478" i="3" s="1"/>
  <c r="K478" i="3" s="1"/>
  <c r="L478" i="3" s="1"/>
  <c r="K477" i="3"/>
  <c r="L477" i="3" s="1"/>
  <c r="J477" i="3"/>
  <c r="E477" i="3"/>
  <c r="F477" i="3" s="1"/>
  <c r="K476" i="3"/>
  <c r="L476" i="3" s="1"/>
  <c r="J476" i="3"/>
  <c r="I476" i="3"/>
  <c r="F476" i="3"/>
  <c r="E476" i="3"/>
  <c r="J475" i="3"/>
  <c r="F475" i="3"/>
  <c r="E475" i="3"/>
  <c r="I466" i="3"/>
  <c r="J466" i="3" s="1"/>
  <c r="E466" i="3"/>
  <c r="K466" i="3" s="1"/>
  <c r="L466" i="3" s="1"/>
  <c r="K465" i="3"/>
  <c r="L465" i="3" s="1"/>
  <c r="J465" i="3"/>
  <c r="E465" i="3"/>
  <c r="J464" i="3"/>
  <c r="E464" i="3"/>
  <c r="K463" i="3"/>
  <c r="L463" i="3" s="1"/>
  <c r="J463" i="3"/>
  <c r="I463" i="3"/>
  <c r="E463" i="3"/>
  <c r="J462" i="3"/>
  <c r="K462" i="3" s="1"/>
  <c r="L462" i="3" s="1"/>
  <c r="I462" i="3"/>
  <c r="E462" i="3"/>
  <c r="J461" i="3"/>
  <c r="E461" i="3"/>
  <c r="K461" i="3" s="1"/>
  <c r="L461" i="3" s="1"/>
  <c r="J460" i="3"/>
  <c r="E460" i="3"/>
  <c r="K460" i="3" s="1"/>
  <c r="L460" i="3" s="1"/>
  <c r="J459" i="3"/>
  <c r="E459" i="3"/>
  <c r="K459" i="3" s="1"/>
  <c r="L459" i="3" s="1"/>
  <c r="J458" i="3"/>
  <c r="E458" i="3"/>
  <c r="J457" i="3"/>
  <c r="E457" i="3"/>
  <c r="K457" i="3" s="1"/>
  <c r="L457" i="3" s="1"/>
  <c r="J456" i="3"/>
  <c r="E456" i="3"/>
  <c r="K456" i="3" s="1"/>
  <c r="L456" i="3" s="1"/>
  <c r="J455" i="3"/>
  <c r="E455" i="3"/>
  <c r="K455" i="3" s="1"/>
  <c r="L455" i="3" s="1"/>
  <c r="L454" i="3"/>
  <c r="K454" i="3"/>
  <c r="J454" i="3"/>
  <c r="E454" i="3"/>
  <c r="I446" i="3"/>
  <c r="J446" i="3" s="1"/>
  <c r="E446" i="3"/>
  <c r="K446" i="3" s="1"/>
  <c r="L446" i="3" s="1"/>
  <c r="J445" i="3"/>
  <c r="E445" i="3"/>
  <c r="K445" i="3" s="1"/>
  <c r="L445" i="3" s="1"/>
  <c r="J444" i="3"/>
  <c r="E444" i="3"/>
  <c r="K444" i="3" s="1"/>
  <c r="L444" i="3" s="1"/>
  <c r="J443" i="3"/>
  <c r="E443" i="3"/>
  <c r="K443" i="3" s="1"/>
  <c r="L443" i="3" s="1"/>
  <c r="K442" i="3"/>
  <c r="L442" i="3" s="1"/>
  <c r="J442" i="3"/>
  <c r="E442" i="3"/>
  <c r="J441" i="3"/>
  <c r="E441" i="3"/>
  <c r="K441" i="3" s="1"/>
  <c r="L441" i="3" s="1"/>
  <c r="I440" i="3"/>
  <c r="J440" i="3" s="1"/>
  <c r="K440" i="3" s="1"/>
  <c r="L440" i="3" s="1"/>
  <c r="E440" i="3"/>
  <c r="J439" i="3"/>
  <c r="E439" i="3"/>
  <c r="K439" i="3" s="1"/>
  <c r="L439" i="3" s="1"/>
  <c r="K438" i="3"/>
  <c r="L438" i="3" s="1"/>
  <c r="J438" i="3"/>
  <c r="E438" i="3"/>
  <c r="J437" i="3"/>
  <c r="E437" i="3"/>
  <c r="K437" i="3" s="1"/>
  <c r="L437" i="3" s="1"/>
  <c r="J436" i="3"/>
  <c r="K436" i="3" s="1"/>
  <c r="L436" i="3" s="1"/>
  <c r="E436" i="3"/>
  <c r="J435" i="3"/>
  <c r="E435" i="3"/>
  <c r="K435" i="3" s="1"/>
  <c r="L435" i="3" s="1"/>
  <c r="L434" i="3"/>
  <c r="K434" i="3"/>
  <c r="J434" i="3"/>
  <c r="I434" i="3"/>
  <c r="E434" i="3"/>
  <c r="J433" i="3"/>
  <c r="I433" i="3"/>
  <c r="E433" i="3"/>
  <c r="L432" i="3"/>
  <c r="K432" i="3"/>
  <c r="J432" i="3"/>
  <c r="E432" i="3"/>
  <c r="J431" i="3"/>
  <c r="E431" i="3"/>
  <c r="L430" i="3"/>
  <c r="K430" i="3"/>
  <c r="J430" i="3"/>
  <c r="E430" i="3"/>
  <c r="J429" i="3"/>
  <c r="E429" i="3"/>
  <c r="K429" i="3" s="1"/>
  <c r="L429" i="3" s="1"/>
  <c r="L428" i="3"/>
  <c r="K428" i="3"/>
  <c r="J428" i="3"/>
  <c r="E428" i="3"/>
  <c r="K420" i="3"/>
  <c r="L420" i="3" s="1"/>
  <c r="J420" i="3"/>
  <c r="E420" i="3"/>
  <c r="J419" i="3"/>
  <c r="E419" i="3"/>
  <c r="K418" i="3"/>
  <c r="L418" i="3" s="1"/>
  <c r="J418" i="3"/>
  <c r="E418" i="3"/>
  <c r="J417" i="3"/>
  <c r="E417" i="3"/>
  <c r="L416" i="3"/>
  <c r="K416" i="3"/>
  <c r="J416" i="3"/>
  <c r="E416" i="3"/>
  <c r="I415" i="3"/>
  <c r="J415" i="3" s="1"/>
  <c r="E415" i="3"/>
  <c r="L414" i="3"/>
  <c r="K414" i="3"/>
  <c r="J414" i="3"/>
  <c r="E414" i="3"/>
  <c r="J413" i="3"/>
  <c r="E413" i="3"/>
  <c r="K413" i="3" s="1"/>
  <c r="L413" i="3" s="1"/>
  <c r="L412" i="3"/>
  <c r="K412" i="3"/>
  <c r="J412" i="3"/>
  <c r="E412" i="3"/>
  <c r="J411" i="3"/>
  <c r="E411" i="3"/>
  <c r="K411" i="3" s="1"/>
  <c r="L411" i="3" s="1"/>
  <c r="L410" i="3"/>
  <c r="K410" i="3"/>
  <c r="J410" i="3"/>
  <c r="E410" i="3"/>
  <c r="K409" i="3"/>
  <c r="L409" i="3" s="1"/>
  <c r="J409" i="3"/>
  <c r="E409" i="3"/>
  <c r="L408" i="3"/>
  <c r="K408" i="3"/>
  <c r="J408" i="3"/>
  <c r="E408" i="3"/>
  <c r="K407" i="3"/>
  <c r="L407" i="3" s="1"/>
  <c r="J407" i="3"/>
  <c r="E407" i="3"/>
  <c r="L406" i="3"/>
  <c r="K406" i="3"/>
  <c r="J406" i="3"/>
  <c r="E406" i="3"/>
  <c r="K405" i="3"/>
  <c r="L405" i="3" s="1"/>
  <c r="J405" i="3"/>
  <c r="E405" i="3"/>
  <c r="I404" i="3"/>
  <c r="J404" i="3" s="1"/>
  <c r="K404" i="3" s="1"/>
  <c r="L404" i="3" s="1"/>
  <c r="E404" i="3"/>
  <c r="K403" i="3"/>
  <c r="L403" i="3" s="1"/>
  <c r="J403" i="3"/>
  <c r="I403" i="3"/>
  <c r="E403" i="3"/>
  <c r="I402" i="3"/>
  <c r="J402" i="3" s="1"/>
  <c r="E402" i="3"/>
  <c r="K402" i="3" s="1"/>
  <c r="L402" i="3" s="1"/>
  <c r="K401" i="3"/>
  <c r="L401" i="3" s="1"/>
  <c r="J401" i="3"/>
  <c r="E401" i="3"/>
  <c r="J400" i="3"/>
  <c r="E400" i="3"/>
  <c r="K399" i="3"/>
  <c r="L399" i="3" s="1"/>
  <c r="J399" i="3"/>
  <c r="E399" i="3"/>
  <c r="J398" i="3"/>
  <c r="E398" i="3"/>
  <c r="K398" i="3" s="1"/>
  <c r="L398" i="3" s="1"/>
  <c r="L397" i="3"/>
  <c r="K397" i="3"/>
  <c r="J397" i="3"/>
  <c r="I397" i="3"/>
  <c r="E397" i="3"/>
  <c r="J396" i="3"/>
  <c r="E396" i="3"/>
  <c r="L395" i="3"/>
  <c r="K395" i="3"/>
  <c r="J395" i="3"/>
  <c r="E395" i="3"/>
  <c r="K387" i="3"/>
  <c r="L387" i="3" s="1"/>
  <c r="J387" i="3"/>
  <c r="E387" i="3"/>
  <c r="J386" i="3"/>
  <c r="E386" i="3"/>
  <c r="K386" i="3" s="1"/>
  <c r="L386" i="3" s="1"/>
  <c r="K385" i="3"/>
  <c r="L385" i="3" s="1"/>
  <c r="J385" i="3"/>
  <c r="E385" i="3"/>
  <c r="J384" i="3"/>
  <c r="E384" i="3"/>
  <c r="K383" i="3"/>
  <c r="L383" i="3" s="1"/>
  <c r="J383" i="3"/>
  <c r="E383" i="3"/>
  <c r="J382" i="3"/>
  <c r="I382" i="3"/>
  <c r="E382" i="3"/>
  <c r="L381" i="3"/>
  <c r="I381" i="3"/>
  <c r="J381" i="3" s="1"/>
  <c r="K381" i="3" s="1"/>
  <c r="E381" i="3"/>
  <c r="J380" i="3"/>
  <c r="K380" i="3" s="1"/>
  <c r="L380" i="3" s="1"/>
  <c r="I380" i="3"/>
  <c r="E380" i="3"/>
  <c r="I379" i="3"/>
  <c r="J379" i="3" s="1"/>
  <c r="E379" i="3"/>
  <c r="K378" i="3"/>
  <c r="L378" i="3" s="1"/>
  <c r="J378" i="3"/>
  <c r="E378" i="3"/>
  <c r="J377" i="3"/>
  <c r="E377" i="3"/>
  <c r="L376" i="3"/>
  <c r="K376" i="3"/>
  <c r="J376" i="3"/>
  <c r="E376" i="3"/>
  <c r="J375" i="3"/>
  <c r="E375" i="3"/>
  <c r="L374" i="3"/>
  <c r="K374" i="3"/>
  <c r="J374" i="3"/>
  <c r="E374" i="3"/>
  <c r="J373" i="3"/>
  <c r="E373" i="3"/>
  <c r="K373" i="3" s="1"/>
  <c r="L373" i="3" s="1"/>
  <c r="K372" i="3"/>
  <c r="L372" i="3" s="1"/>
  <c r="J372" i="3"/>
  <c r="E372" i="3"/>
  <c r="J371" i="3"/>
  <c r="E371" i="3"/>
  <c r="K370" i="3"/>
  <c r="L370" i="3" s="1"/>
  <c r="J370" i="3"/>
  <c r="E370" i="3"/>
  <c r="I369" i="3"/>
  <c r="J369" i="3" s="1"/>
  <c r="E369" i="3"/>
  <c r="L368" i="3"/>
  <c r="K368" i="3"/>
  <c r="J368" i="3"/>
  <c r="E368" i="3"/>
  <c r="I367" i="3"/>
  <c r="J367" i="3" s="1"/>
  <c r="K367" i="3" s="1"/>
  <c r="E367" i="3"/>
  <c r="J366" i="3"/>
  <c r="E366" i="3"/>
  <c r="K366" i="3" s="1"/>
  <c r="L366" i="3" s="1"/>
  <c r="L357" i="3"/>
  <c r="K357" i="3"/>
  <c r="J357" i="3"/>
  <c r="E357" i="3"/>
  <c r="J356" i="3"/>
  <c r="E356" i="3"/>
  <c r="K356" i="3" s="1"/>
  <c r="L356" i="3" s="1"/>
  <c r="L355" i="3"/>
  <c r="K355" i="3"/>
  <c r="J355" i="3"/>
  <c r="E355" i="3"/>
  <c r="I354" i="3"/>
  <c r="J354" i="3" s="1"/>
  <c r="E354" i="3"/>
  <c r="J353" i="3"/>
  <c r="E353" i="3"/>
  <c r="K353" i="3" s="1"/>
  <c r="L353" i="3" s="1"/>
  <c r="I352" i="3"/>
  <c r="J352" i="3" s="1"/>
  <c r="K352" i="3" s="1"/>
  <c r="L352" i="3" s="1"/>
  <c r="E352" i="3"/>
  <c r="I351" i="3"/>
  <c r="J351" i="3" s="1"/>
  <c r="E351" i="3"/>
  <c r="K351" i="3" s="1"/>
  <c r="L351" i="3" s="1"/>
  <c r="L350" i="3"/>
  <c r="K350" i="3"/>
  <c r="J350" i="3"/>
  <c r="I350" i="3"/>
  <c r="E350" i="3"/>
  <c r="J349" i="3"/>
  <c r="E349" i="3"/>
  <c r="L348" i="3"/>
  <c r="K348" i="3"/>
  <c r="J348" i="3"/>
  <c r="E348" i="3"/>
  <c r="J347" i="3"/>
  <c r="E347" i="3"/>
  <c r="K347" i="3" s="1"/>
  <c r="L347" i="3" s="1"/>
  <c r="L346" i="3"/>
  <c r="K346" i="3"/>
  <c r="J346" i="3"/>
  <c r="E346" i="3"/>
  <c r="I345" i="3"/>
  <c r="J345" i="3" s="1"/>
  <c r="E345" i="3"/>
  <c r="I344" i="3"/>
  <c r="J344" i="3" s="1"/>
  <c r="E344" i="3"/>
  <c r="K344" i="3" s="1"/>
  <c r="L344" i="3" s="1"/>
  <c r="L343" i="3"/>
  <c r="K343" i="3"/>
  <c r="J343" i="3"/>
  <c r="I343" i="3"/>
  <c r="E343" i="3"/>
  <c r="I342" i="3"/>
  <c r="J342" i="3" s="1"/>
  <c r="E342" i="3"/>
  <c r="L341" i="3"/>
  <c r="K341" i="3"/>
  <c r="J341" i="3"/>
  <c r="E341" i="3"/>
  <c r="K333" i="3"/>
  <c r="L333" i="3" s="1"/>
  <c r="J333" i="3"/>
  <c r="E333" i="3"/>
  <c r="J332" i="3"/>
  <c r="E332" i="3"/>
  <c r="K332" i="3" s="1"/>
  <c r="L332" i="3" s="1"/>
  <c r="K331" i="3"/>
  <c r="L331" i="3" s="1"/>
  <c r="J331" i="3"/>
  <c r="E331" i="3"/>
  <c r="J330" i="3"/>
  <c r="I330" i="3"/>
  <c r="E330" i="3"/>
  <c r="L329" i="3"/>
  <c r="K329" i="3"/>
  <c r="J329" i="3"/>
  <c r="E329" i="3"/>
  <c r="J328" i="3"/>
  <c r="K328" i="3" s="1"/>
  <c r="L328" i="3" s="1"/>
  <c r="E328" i="3"/>
  <c r="I327" i="3"/>
  <c r="J327" i="3" s="1"/>
  <c r="K327" i="3" s="1"/>
  <c r="L327" i="3" s="1"/>
  <c r="E327" i="3"/>
  <c r="L326" i="3"/>
  <c r="K326" i="3"/>
  <c r="J326" i="3"/>
  <c r="E326" i="3"/>
  <c r="J325" i="3"/>
  <c r="E325" i="3"/>
  <c r="K325" i="3" s="1"/>
  <c r="L325" i="3" s="1"/>
  <c r="J324" i="3"/>
  <c r="E324" i="3"/>
  <c r="K324" i="3" s="1"/>
  <c r="L324" i="3" s="1"/>
  <c r="I323" i="3"/>
  <c r="J323" i="3" s="1"/>
  <c r="E323" i="3"/>
  <c r="J322" i="3"/>
  <c r="K322" i="3" s="1"/>
  <c r="L322" i="3" s="1"/>
  <c r="E322" i="3"/>
  <c r="I321" i="3"/>
  <c r="J321" i="3" s="1"/>
  <c r="E321" i="3"/>
  <c r="K320" i="3"/>
  <c r="J320" i="3"/>
  <c r="E320" i="3"/>
  <c r="J311" i="3"/>
  <c r="E311" i="3"/>
  <c r="F311" i="3" s="1"/>
  <c r="K311" i="3" s="1"/>
  <c r="L311" i="3" s="1"/>
  <c r="I310" i="3"/>
  <c r="J310" i="3" s="1"/>
  <c r="K310" i="3" s="1"/>
  <c r="L310" i="3" s="1"/>
  <c r="F310" i="3"/>
  <c r="E310" i="3"/>
  <c r="J309" i="3"/>
  <c r="F309" i="3"/>
  <c r="K309" i="3" s="1"/>
  <c r="L309" i="3" s="1"/>
  <c r="E309" i="3"/>
  <c r="J308" i="3"/>
  <c r="E308" i="3"/>
  <c r="F308" i="3" s="1"/>
  <c r="K308" i="3" s="1"/>
  <c r="L308" i="3" s="1"/>
  <c r="I307" i="3"/>
  <c r="J307" i="3" s="1"/>
  <c r="K307" i="3" s="1"/>
  <c r="L307" i="3" s="1"/>
  <c r="F307" i="3"/>
  <c r="E307" i="3"/>
  <c r="J306" i="3"/>
  <c r="E306" i="3"/>
  <c r="F306" i="3" s="1"/>
  <c r="K306" i="3" s="1"/>
  <c r="L306" i="3" s="1"/>
  <c r="J305" i="3"/>
  <c r="E305" i="3"/>
  <c r="F305" i="3" s="1"/>
  <c r="K305" i="3" s="1"/>
  <c r="L305" i="3" s="1"/>
  <c r="J304" i="3"/>
  <c r="E304" i="3"/>
  <c r="F304" i="3" s="1"/>
  <c r="K304" i="3" s="1"/>
  <c r="L304" i="3" s="1"/>
  <c r="J303" i="3"/>
  <c r="E303" i="3"/>
  <c r="F303" i="3" s="1"/>
  <c r="K303" i="3" s="1"/>
  <c r="L303" i="3" s="1"/>
  <c r="K302" i="3"/>
  <c r="L302" i="3" s="1"/>
  <c r="J302" i="3"/>
  <c r="F302" i="3"/>
  <c r="E302" i="3"/>
  <c r="I301" i="3"/>
  <c r="J301" i="3" s="1"/>
  <c r="E301" i="3"/>
  <c r="F301" i="3" s="1"/>
  <c r="K301" i="3" s="1"/>
  <c r="L301" i="3" s="1"/>
  <c r="J300" i="3"/>
  <c r="E300" i="3"/>
  <c r="F300" i="3" s="1"/>
  <c r="K300" i="3" s="1"/>
  <c r="L300" i="3" s="1"/>
  <c r="J299" i="3"/>
  <c r="K299" i="3" s="1"/>
  <c r="L299" i="3" s="1"/>
  <c r="F299" i="3"/>
  <c r="E299" i="3"/>
  <c r="J298" i="3"/>
  <c r="F298" i="3"/>
  <c r="E298" i="3"/>
  <c r="J297" i="3"/>
  <c r="E297" i="3"/>
  <c r="F297" i="3" s="1"/>
  <c r="K297" i="3" s="1"/>
  <c r="L297" i="3" s="1"/>
  <c r="K296" i="3"/>
  <c r="L296" i="3" s="1"/>
  <c r="J296" i="3"/>
  <c r="I296" i="3"/>
  <c r="F296" i="3"/>
  <c r="E296" i="3"/>
  <c r="I295" i="3"/>
  <c r="J295" i="3" s="1"/>
  <c r="E295" i="3"/>
  <c r="F295" i="3" s="1"/>
  <c r="K295" i="3" s="1"/>
  <c r="L295" i="3" s="1"/>
  <c r="I294" i="3"/>
  <c r="J294" i="3" s="1"/>
  <c r="F294" i="3"/>
  <c r="E294" i="3"/>
  <c r="J293" i="3"/>
  <c r="E293" i="3"/>
  <c r="F293" i="3" s="1"/>
  <c r="K293" i="3" s="1"/>
  <c r="L293" i="3" s="1"/>
  <c r="J292" i="3"/>
  <c r="F292" i="3"/>
  <c r="K292" i="3" s="1"/>
  <c r="L292" i="3" s="1"/>
  <c r="E292" i="3"/>
  <c r="J291" i="3"/>
  <c r="E291" i="3"/>
  <c r="F291" i="3" s="1"/>
  <c r="K291" i="3" s="1"/>
  <c r="L291" i="3" s="1"/>
  <c r="J290" i="3"/>
  <c r="K290" i="3" s="1"/>
  <c r="L290" i="3" s="1"/>
  <c r="F290" i="3"/>
  <c r="E290" i="3"/>
  <c r="J289" i="3"/>
  <c r="E289" i="3"/>
  <c r="F289" i="3" s="1"/>
  <c r="K289" i="3" s="1"/>
  <c r="L289" i="3" s="1"/>
  <c r="J288" i="3"/>
  <c r="E288" i="3"/>
  <c r="F288" i="3" s="1"/>
  <c r="K288" i="3" s="1"/>
  <c r="L288" i="3" s="1"/>
  <c r="K287" i="3"/>
  <c r="L287" i="3" s="1"/>
  <c r="J287" i="3"/>
  <c r="F287" i="3"/>
  <c r="E287" i="3"/>
  <c r="I286" i="3"/>
  <c r="J286" i="3" s="1"/>
  <c r="F286" i="3"/>
  <c r="K286" i="3" s="1"/>
  <c r="L286" i="3" s="1"/>
  <c r="E286" i="3"/>
  <c r="I285" i="3"/>
  <c r="J285" i="3" s="1"/>
  <c r="E285" i="3"/>
  <c r="F285" i="3" s="1"/>
  <c r="J284" i="3"/>
  <c r="K284" i="3" s="1"/>
  <c r="F284" i="3"/>
  <c r="E284" i="3"/>
  <c r="J275" i="3"/>
  <c r="E275" i="3"/>
  <c r="F275" i="3" s="1"/>
  <c r="K275" i="3" s="1"/>
  <c r="L275" i="3" s="1"/>
  <c r="J274" i="3"/>
  <c r="F274" i="3"/>
  <c r="K274" i="3" s="1"/>
  <c r="L274" i="3" s="1"/>
  <c r="E274" i="3"/>
  <c r="J273" i="3"/>
  <c r="E273" i="3"/>
  <c r="F273" i="3" s="1"/>
  <c r="K273" i="3" s="1"/>
  <c r="L273" i="3" s="1"/>
  <c r="J272" i="3"/>
  <c r="I272" i="3"/>
  <c r="E272" i="3"/>
  <c r="F272" i="3" s="1"/>
  <c r="K272" i="3" s="1"/>
  <c r="L272" i="3" s="1"/>
  <c r="K271" i="3"/>
  <c r="L271" i="3" s="1"/>
  <c r="J271" i="3"/>
  <c r="I271" i="3"/>
  <c r="F271" i="3"/>
  <c r="E271" i="3"/>
  <c r="J270" i="3"/>
  <c r="E270" i="3"/>
  <c r="F270" i="3" s="1"/>
  <c r="K270" i="3" s="1"/>
  <c r="L270" i="3" s="1"/>
  <c r="L269" i="3"/>
  <c r="K269" i="3"/>
  <c r="J269" i="3"/>
  <c r="E269" i="3"/>
  <c r="F269" i="3" s="1"/>
  <c r="J268" i="3"/>
  <c r="I268" i="3"/>
  <c r="F268" i="3"/>
  <c r="K268" i="3" s="1"/>
  <c r="L268" i="3" s="1"/>
  <c r="E268" i="3"/>
  <c r="I267" i="3"/>
  <c r="J267" i="3" s="1"/>
  <c r="E267" i="3"/>
  <c r="F267" i="3" s="1"/>
  <c r="K267" i="3" s="1"/>
  <c r="L267" i="3" s="1"/>
  <c r="J266" i="3"/>
  <c r="E266" i="3"/>
  <c r="F266" i="3" s="1"/>
  <c r="K266" i="3" s="1"/>
  <c r="L266" i="3" s="1"/>
  <c r="L265" i="3"/>
  <c r="K265" i="3"/>
  <c r="J265" i="3"/>
  <c r="I265" i="3"/>
  <c r="F265" i="3"/>
  <c r="E265" i="3"/>
  <c r="J264" i="3"/>
  <c r="I264" i="3"/>
  <c r="F264" i="3"/>
  <c r="E264" i="3"/>
  <c r="I263" i="3"/>
  <c r="J263" i="3" s="1"/>
  <c r="E263" i="3"/>
  <c r="F263" i="3" s="1"/>
  <c r="K263" i="3" s="1"/>
  <c r="L263" i="3" s="1"/>
  <c r="K262" i="3"/>
  <c r="L262" i="3" s="1"/>
  <c r="J262" i="3"/>
  <c r="I262" i="3"/>
  <c r="E262" i="3"/>
  <c r="F262" i="3" s="1"/>
  <c r="I261" i="3"/>
  <c r="J261" i="3" s="1"/>
  <c r="K261" i="3" s="1"/>
  <c r="L261" i="3" s="1"/>
  <c r="F261" i="3"/>
  <c r="E261" i="3"/>
  <c r="J260" i="3"/>
  <c r="F260" i="3"/>
  <c r="K260" i="3" s="1"/>
  <c r="L260" i="3" s="1"/>
  <c r="E260" i="3"/>
  <c r="I259" i="3"/>
  <c r="J259" i="3" s="1"/>
  <c r="E259" i="3"/>
  <c r="F259" i="3" s="1"/>
  <c r="K259" i="3" s="1"/>
  <c r="L259" i="3" s="1"/>
  <c r="J258" i="3"/>
  <c r="K258" i="3" s="1"/>
  <c r="L258" i="3" s="1"/>
  <c r="I258" i="3"/>
  <c r="E258" i="3"/>
  <c r="F258" i="3" s="1"/>
  <c r="J257" i="3"/>
  <c r="E257" i="3"/>
  <c r="F257" i="3" s="1"/>
  <c r="K257" i="3" s="1"/>
  <c r="L257" i="3" s="1"/>
  <c r="J256" i="3"/>
  <c r="E256" i="3"/>
  <c r="F256" i="3" s="1"/>
  <c r="K256" i="3" s="1"/>
  <c r="L256" i="3" s="1"/>
  <c r="L255" i="3"/>
  <c r="K255" i="3"/>
  <c r="J255" i="3"/>
  <c r="F255" i="3"/>
  <c r="E255" i="3"/>
  <c r="J254" i="3"/>
  <c r="F254" i="3"/>
  <c r="E254" i="3"/>
  <c r="E277" i="3" s="1"/>
  <c r="L253" i="3"/>
  <c r="J253" i="3"/>
  <c r="E253" i="3"/>
  <c r="F253" i="3" s="1"/>
  <c r="K253" i="3" s="1"/>
  <c r="J252" i="3"/>
  <c r="F252" i="3"/>
  <c r="K252" i="3" s="1"/>
  <c r="L252" i="3" s="1"/>
  <c r="E252" i="3"/>
  <c r="J251" i="3"/>
  <c r="F251" i="3"/>
  <c r="K251" i="3" s="1"/>
  <c r="L251" i="3" s="1"/>
  <c r="E251" i="3"/>
  <c r="J250" i="3"/>
  <c r="E250" i="3"/>
  <c r="F250" i="3" s="1"/>
  <c r="J249" i="3"/>
  <c r="K249" i="3" s="1"/>
  <c r="L249" i="3" s="1"/>
  <c r="F249" i="3"/>
  <c r="E249" i="3"/>
  <c r="I248" i="3"/>
  <c r="J248" i="3" s="1"/>
  <c r="E248" i="3"/>
  <c r="F248" i="3" s="1"/>
  <c r="K248" i="3" s="1"/>
  <c r="J240" i="3"/>
  <c r="F240" i="3"/>
  <c r="E240" i="3"/>
  <c r="I239" i="3"/>
  <c r="J239" i="3" s="1"/>
  <c r="E239" i="3"/>
  <c r="F239" i="3" s="1"/>
  <c r="K239" i="3" s="1"/>
  <c r="L239" i="3" s="1"/>
  <c r="J238" i="3"/>
  <c r="K238" i="3" s="1"/>
  <c r="L238" i="3" s="1"/>
  <c r="F238" i="3"/>
  <c r="E238" i="3"/>
  <c r="I237" i="3"/>
  <c r="J237" i="3" s="1"/>
  <c r="F237" i="3"/>
  <c r="E237" i="3"/>
  <c r="J236" i="3"/>
  <c r="E236" i="3"/>
  <c r="F236" i="3" s="1"/>
  <c r="K236" i="3" s="1"/>
  <c r="L236" i="3" s="1"/>
  <c r="J235" i="3"/>
  <c r="I235" i="3"/>
  <c r="E235" i="3"/>
  <c r="F235" i="3" s="1"/>
  <c r="K235" i="3" s="1"/>
  <c r="L235" i="3" s="1"/>
  <c r="K234" i="3"/>
  <c r="L234" i="3" s="1"/>
  <c r="J234" i="3"/>
  <c r="F234" i="3"/>
  <c r="E234" i="3"/>
  <c r="J233" i="3"/>
  <c r="E233" i="3"/>
  <c r="F233" i="3" s="1"/>
  <c r="K233" i="3" s="1"/>
  <c r="L233" i="3" s="1"/>
  <c r="K232" i="3"/>
  <c r="L232" i="3" s="1"/>
  <c r="J232" i="3"/>
  <c r="I232" i="3"/>
  <c r="E232" i="3"/>
  <c r="F232" i="3" s="1"/>
  <c r="I231" i="3"/>
  <c r="J231" i="3" s="1"/>
  <c r="K231" i="3" s="1"/>
  <c r="L231" i="3" s="1"/>
  <c r="F231" i="3"/>
  <c r="E231" i="3"/>
  <c r="J230" i="3"/>
  <c r="F230" i="3"/>
  <c r="K230" i="3" s="1"/>
  <c r="L230" i="3" s="1"/>
  <c r="E230" i="3"/>
  <c r="J229" i="3"/>
  <c r="E229" i="3"/>
  <c r="F229" i="3" s="1"/>
  <c r="K229" i="3" s="1"/>
  <c r="L229" i="3" s="1"/>
  <c r="J228" i="3"/>
  <c r="E228" i="3"/>
  <c r="F228" i="3" s="1"/>
  <c r="K228" i="3" s="1"/>
  <c r="L228" i="3" s="1"/>
  <c r="J227" i="3"/>
  <c r="E227" i="3"/>
  <c r="F227" i="3" s="1"/>
  <c r="K227" i="3" s="1"/>
  <c r="L227" i="3" s="1"/>
  <c r="J226" i="3"/>
  <c r="K226" i="3" s="1"/>
  <c r="L226" i="3" s="1"/>
  <c r="F226" i="3"/>
  <c r="E226" i="3"/>
  <c r="J225" i="3"/>
  <c r="I225" i="3"/>
  <c r="E225" i="3"/>
  <c r="F225" i="3" s="1"/>
  <c r="K225" i="3" s="1"/>
  <c r="L225" i="3" s="1"/>
  <c r="J224" i="3"/>
  <c r="E224" i="3"/>
  <c r="F224" i="3" s="1"/>
  <c r="K224" i="3" s="1"/>
  <c r="L224" i="3" s="1"/>
  <c r="L223" i="3"/>
  <c r="K223" i="3"/>
  <c r="J223" i="3"/>
  <c r="F223" i="3"/>
  <c r="E223" i="3"/>
  <c r="J222" i="3"/>
  <c r="E222" i="3"/>
  <c r="F222" i="3" s="1"/>
  <c r="K222" i="3" s="1"/>
  <c r="L222" i="3" s="1"/>
  <c r="L221" i="3"/>
  <c r="J221" i="3"/>
  <c r="E221" i="3"/>
  <c r="F221" i="3" s="1"/>
  <c r="K221" i="3" s="1"/>
  <c r="J220" i="3"/>
  <c r="F220" i="3"/>
  <c r="K220" i="3" s="1"/>
  <c r="L220" i="3" s="1"/>
  <c r="E220" i="3"/>
  <c r="J219" i="3"/>
  <c r="E219" i="3"/>
  <c r="F219" i="3" s="1"/>
  <c r="K219" i="3" s="1"/>
  <c r="L219" i="3" s="1"/>
  <c r="L218" i="3"/>
  <c r="K218" i="3"/>
  <c r="J218" i="3"/>
  <c r="F218" i="3"/>
  <c r="E218" i="3"/>
  <c r="I217" i="3"/>
  <c r="J217" i="3" s="1"/>
  <c r="K217" i="3" s="1"/>
  <c r="L217" i="3" s="1"/>
  <c r="F217" i="3"/>
  <c r="E217" i="3"/>
  <c r="I216" i="3"/>
  <c r="J216" i="3" s="1"/>
  <c r="E216" i="3"/>
  <c r="F216" i="3" s="1"/>
  <c r="K216" i="3" s="1"/>
  <c r="L216" i="3" s="1"/>
  <c r="J215" i="3"/>
  <c r="E215" i="3"/>
  <c r="F215" i="3" s="1"/>
  <c r="K215" i="3" s="1"/>
  <c r="L215" i="3" s="1"/>
  <c r="J214" i="3"/>
  <c r="F214" i="3"/>
  <c r="K214" i="3" s="1"/>
  <c r="L214" i="3" s="1"/>
  <c r="E214" i="3"/>
  <c r="J213" i="3"/>
  <c r="E213" i="3"/>
  <c r="F213" i="3" s="1"/>
  <c r="K213" i="3" s="1"/>
  <c r="L213" i="3" s="1"/>
  <c r="J212" i="3"/>
  <c r="I212" i="3"/>
  <c r="E212" i="3"/>
  <c r="F212" i="3" s="1"/>
  <c r="K212" i="3" s="1"/>
  <c r="L212" i="3" s="1"/>
  <c r="L211" i="3"/>
  <c r="K211" i="3"/>
  <c r="J211" i="3"/>
  <c r="F211" i="3"/>
  <c r="E211" i="3"/>
  <c r="I210" i="3"/>
  <c r="J210" i="3" s="1"/>
  <c r="E210" i="3"/>
  <c r="F210" i="3" s="1"/>
  <c r="K210" i="3" s="1"/>
  <c r="L210" i="3" s="1"/>
  <c r="L209" i="3"/>
  <c r="J209" i="3"/>
  <c r="E209" i="3"/>
  <c r="F209" i="3" s="1"/>
  <c r="K209" i="3" s="1"/>
  <c r="J208" i="3"/>
  <c r="F208" i="3"/>
  <c r="E208" i="3"/>
  <c r="K200" i="3"/>
  <c r="L200" i="3" s="1"/>
  <c r="J200" i="3"/>
  <c r="I200" i="3"/>
  <c r="E200" i="3"/>
  <c r="F200" i="3" s="1"/>
  <c r="I199" i="3"/>
  <c r="J199" i="3" s="1"/>
  <c r="F199" i="3"/>
  <c r="K199" i="3" s="1"/>
  <c r="L199" i="3" s="1"/>
  <c r="E199" i="3"/>
  <c r="I198" i="3"/>
  <c r="J198" i="3" s="1"/>
  <c r="E198" i="3"/>
  <c r="F198" i="3" s="1"/>
  <c r="K198" i="3" s="1"/>
  <c r="L198" i="3" s="1"/>
  <c r="J197" i="3"/>
  <c r="E197" i="3"/>
  <c r="F197" i="3" s="1"/>
  <c r="K197" i="3" s="1"/>
  <c r="L197" i="3" s="1"/>
  <c r="K196" i="3"/>
  <c r="L196" i="3" s="1"/>
  <c r="J196" i="3"/>
  <c r="I196" i="3"/>
  <c r="F196" i="3"/>
  <c r="E196" i="3"/>
  <c r="J195" i="3"/>
  <c r="F195" i="3"/>
  <c r="E195" i="3"/>
  <c r="L194" i="3"/>
  <c r="J194" i="3"/>
  <c r="E194" i="3"/>
  <c r="F194" i="3" s="1"/>
  <c r="K194" i="3" s="1"/>
  <c r="J193" i="3"/>
  <c r="F193" i="3"/>
  <c r="K193" i="3" s="1"/>
  <c r="L193" i="3" s="1"/>
  <c r="E193" i="3"/>
  <c r="J192" i="3"/>
  <c r="F192" i="3"/>
  <c r="K192" i="3" s="1"/>
  <c r="L192" i="3" s="1"/>
  <c r="E192" i="3"/>
  <c r="J191" i="3"/>
  <c r="E191" i="3"/>
  <c r="F191" i="3" s="1"/>
  <c r="K191" i="3" s="1"/>
  <c r="L191" i="3" s="1"/>
  <c r="J190" i="3"/>
  <c r="K190" i="3" s="1"/>
  <c r="L190" i="3" s="1"/>
  <c r="F190" i="3"/>
  <c r="E190" i="3"/>
  <c r="J189" i="3"/>
  <c r="E189" i="3"/>
  <c r="F189" i="3" s="1"/>
  <c r="K189" i="3" s="1"/>
  <c r="L189" i="3" s="1"/>
  <c r="K188" i="3"/>
  <c r="L188" i="3" s="1"/>
  <c r="J188" i="3"/>
  <c r="F188" i="3"/>
  <c r="E188" i="3"/>
  <c r="J187" i="3"/>
  <c r="E187" i="3"/>
  <c r="F187" i="3" s="1"/>
  <c r="K187" i="3" s="1"/>
  <c r="L187" i="3" s="1"/>
  <c r="J186" i="3"/>
  <c r="E186" i="3"/>
  <c r="F186" i="3" s="1"/>
  <c r="K186" i="3" s="1"/>
  <c r="L186" i="3" s="1"/>
  <c r="L185" i="3"/>
  <c r="K185" i="3"/>
  <c r="J185" i="3"/>
  <c r="F185" i="3"/>
  <c r="E185" i="3"/>
  <c r="J184" i="3"/>
  <c r="F184" i="3"/>
  <c r="K184" i="3" s="1"/>
  <c r="L184" i="3" s="1"/>
  <c r="E184" i="3"/>
  <c r="L183" i="3"/>
  <c r="K183" i="3"/>
  <c r="J183" i="3"/>
  <c r="E183" i="3"/>
  <c r="F183" i="3" s="1"/>
  <c r="I182" i="3"/>
  <c r="J182" i="3" s="1"/>
  <c r="F182" i="3"/>
  <c r="K182" i="3" s="1"/>
  <c r="L182" i="3" s="1"/>
  <c r="E182" i="3"/>
  <c r="J181" i="3"/>
  <c r="E181" i="3"/>
  <c r="F181" i="3" s="1"/>
  <c r="K181" i="3" s="1"/>
  <c r="L181" i="3" s="1"/>
  <c r="K180" i="3"/>
  <c r="L180" i="3" s="1"/>
  <c r="J180" i="3"/>
  <c r="E180" i="3"/>
  <c r="F180" i="3" s="1"/>
  <c r="K179" i="3"/>
  <c r="L179" i="3" s="1"/>
  <c r="J179" i="3"/>
  <c r="I179" i="3"/>
  <c r="F179" i="3"/>
  <c r="E179" i="3"/>
  <c r="J178" i="3"/>
  <c r="F178" i="3"/>
  <c r="K178" i="3" s="1"/>
  <c r="L178" i="3" s="1"/>
  <c r="E178" i="3"/>
  <c r="L177" i="3"/>
  <c r="K177" i="3"/>
  <c r="J177" i="3"/>
  <c r="I177" i="3"/>
  <c r="E177" i="3"/>
  <c r="F177" i="3" s="1"/>
  <c r="I176" i="3"/>
  <c r="J176" i="3" s="1"/>
  <c r="K176" i="3" s="1"/>
  <c r="L176" i="3" s="1"/>
  <c r="F176" i="3"/>
  <c r="E176" i="3"/>
  <c r="I175" i="3"/>
  <c r="J175" i="3" s="1"/>
  <c r="F175" i="3"/>
  <c r="K175" i="3" s="1"/>
  <c r="L175" i="3" s="1"/>
  <c r="E175" i="3"/>
  <c r="I174" i="3"/>
  <c r="J174" i="3" s="1"/>
  <c r="F174" i="3"/>
  <c r="E174" i="3"/>
  <c r="J173" i="3"/>
  <c r="I173" i="3"/>
  <c r="E173" i="3"/>
  <c r="F173" i="3" s="1"/>
  <c r="K173" i="3" s="1"/>
  <c r="L173" i="3" s="1"/>
  <c r="L172" i="3"/>
  <c r="K172" i="3"/>
  <c r="J172" i="3"/>
  <c r="F172" i="3"/>
  <c r="E172" i="3"/>
  <c r="I171" i="3"/>
  <c r="J171" i="3" s="1"/>
  <c r="F171" i="3"/>
  <c r="K171" i="3" s="1"/>
  <c r="L171" i="3" s="1"/>
  <c r="E171" i="3"/>
  <c r="E202" i="3" s="1"/>
  <c r="L170" i="3"/>
  <c r="J170" i="3"/>
  <c r="E170" i="3"/>
  <c r="F170" i="3" s="1"/>
  <c r="K170" i="3" s="1"/>
  <c r="J169" i="3"/>
  <c r="F169" i="3"/>
  <c r="K169" i="3" s="1"/>
  <c r="L169" i="3" s="1"/>
  <c r="E169" i="3"/>
  <c r="J168" i="3"/>
  <c r="F168" i="3"/>
  <c r="K168" i="3" s="1"/>
  <c r="L168" i="3" s="1"/>
  <c r="E168" i="3"/>
  <c r="J167" i="3"/>
  <c r="E167" i="3"/>
  <c r="F167" i="3" s="1"/>
  <c r="K167" i="3" s="1"/>
  <c r="L167" i="3" s="1"/>
  <c r="J166" i="3"/>
  <c r="F166" i="3"/>
  <c r="E166" i="3"/>
  <c r="J158" i="3"/>
  <c r="F158" i="3"/>
  <c r="K158" i="3" s="1"/>
  <c r="L158" i="3" s="1"/>
  <c r="E158" i="3"/>
  <c r="J157" i="3"/>
  <c r="F157" i="3"/>
  <c r="K157" i="3" s="1"/>
  <c r="L157" i="3" s="1"/>
  <c r="E157" i="3"/>
  <c r="J156" i="3"/>
  <c r="E156" i="3"/>
  <c r="F156" i="3" s="1"/>
  <c r="K156" i="3" s="1"/>
  <c r="L156" i="3" s="1"/>
  <c r="J155" i="3"/>
  <c r="K155" i="3" s="1"/>
  <c r="L155" i="3" s="1"/>
  <c r="F155" i="3"/>
  <c r="E155" i="3"/>
  <c r="I154" i="3"/>
  <c r="J154" i="3" s="1"/>
  <c r="E154" i="3"/>
  <c r="F154" i="3" s="1"/>
  <c r="K154" i="3" s="1"/>
  <c r="L154" i="3" s="1"/>
  <c r="J153" i="3"/>
  <c r="E153" i="3"/>
  <c r="F153" i="3" s="1"/>
  <c r="K153" i="3" s="1"/>
  <c r="L153" i="3" s="1"/>
  <c r="J152" i="3"/>
  <c r="E152" i="3"/>
  <c r="F152" i="3" s="1"/>
  <c r="K152" i="3" s="1"/>
  <c r="L152" i="3" s="1"/>
  <c r="J151" i="3"/>
  <c r="E151" i="3"/>
  <c r="F151" i="3" s="1"/>
  <c r="K151" i="3" s="1"/>
  <c r="L151" i="3" s="1"/>
  <c r="L150" i="3"/>
  <c r="K150" i="3"/>
  <c r="J150" i="3"/>
  <c r="F150" i="3"/>
  <c r="E150" i="3"/>
  <c r="I149" i="3"/>
  <c r="J149" i="3" s="1"/>
  <c r="E149" i="3"/>
  <c r="F149" i="3" s="1"/>
  <c r="K149" i="3" s="1"/>
  <c r="L149" i="3" s="1"/>
  <c r="I148" i="3"/>
  <c r="J148" i="3" s="1"/>
  <c r="E148" i="3"/>
  <c r="F148" i="3" s="1"/>
  <c r="K148" i="3" s="1"/>
  <c r="L148" i="3" s="1"/>
  <c r="I147" i="3"/>
  <c r="J147" i="3" s="1"/>
  <c r="K147" i="3" s="1"/>
  <c r="L147" i="3" s="1"/>
  <c r="E147" i="3"/>
  <c r="F147" i="3" s="1"/>
  <c r="J146" i="3"/>
  <c r="F146" i="3"/>
  <c r="K146" i="3" s="1"/>
  <c r="L146" i="3" s="1"/>
  <c r="E146" i="3"/>
  <c r="J145" i="3"/>
  <c r="I145" i="3"/>
  <c r="E145" i="3"/>
  <c r="J135" i="3"/>
  <c r="E135" i="3"/>
  <c r="F135" i="3" s="1"/>
  <c r="K135" i="3" s="1"/>
  <c r="L135" i="3" s="1"/>
  <c r="K134" i="3"/>
  <c r="L134" i="3" s="1"/>
  <c r="J134" i="3"/>
  <c r="F134" i="3"/>
  <c r="E134" i="3"/>
  <c r="J133" i="3"/>
  <c r="I133" i="3"/>
  <c r="E133" i="3"/>
  <c r="F133" i="3" s="1"/>
  <c r="K133" i="3" s="1"/>
  <c r="L133" i="3" s="1"/>
  <c r="I132" i="3"/>
  <c r="J132" i="3" s="1"/>
  <c r="F132" i="3"/>
  <c r="K132" i="3" s="1"/>
  <c r="L132" i="3" s="1"/>
  <c r="E132" i="3"/>
  <c r="L131" i="3"/>
  <c r="K131" i="3"/>
  <c r="J131" i="3"/>
  <c r="E131" i="3"/>
  <c r="F131" i="3" s="1"/>
  <c r="J130" i="3"/>
  <c r="E130" i="3"/>
  <c r="F130" i="3" s="1"/>
  <c r="K130" i="3" s="1"/>
  <c r="L130" i="3" s="1"/>
  <c r="J129" i="3"/>
  <c r="E129" i="3"/>
  <c r="F129" i="3" s="1"/>
  <c r="K129" i="3" s="1"/>
  <c r="L129" i="3" s="1"/>
  <c r="J128" i="3"/>
  <c r="I128" i="3"/>
  <c r="E128" i="3"/>
  <c r="F128" i="3" s="1"/>
  <c r="K128" i="3" s="1"/>
  <c r="L128" i="3" s="1"/>
  <c r="K127" i="3"/>
  <c r="L127" i="3" s="1"/>
  <c r="J127" i="3"/>
  <c r="I127" i="3"/>
  <c r="F127" i="3"/>
  <c r="E127" i="3"/>
  <c r="J126" i="3"/>
  <c r="E126" i="3"/>
  <c r="F126" i="3" s="1"/>
  <c r="K126" i="3" s="1"/>
  <c r="L126" i="3" s="1"/>
  <c r="L125" i="3"/>
  <c r="K125" i="3"/>
  <c r="J125" i="3"/>
  <c r="E125" i="3"/>
  <c r="F125" i="3" s="1"/>
  <c r="J124" i="3"/>
  <c r="F124" i="3"/>
  <c r="K124" i="3" s="1"/>
  <c r="L124" i="3" s="1"/>
  <c r="E124" i="3"/>
  <c r="I123" i="3"/>
  <c r="J123" i="3" s="1"/>
  <c r="F123" i="3"/>
  <c r="E123" i="3"/>
  <c r="J122" i="3"/>
  <c r="E122" i="3"/>
  <c r="F122" i="3" s="1"/>
  <c r="K122" i="3" s="1"/>
  <c r="L122" i="3" s="1"/>
  <c r="J121" i="3"/>
  <c r="F121" i="3"/>
  <c r="K121" i="3" s="1"/>
  <c r="L121" i="3" s="1"/>
  <c r="E121" i="3"/>
  <c r="J120" i="3"/>
  <c r="E120" i="3"/>
  <c r="F120" i="3" s="1"/>
  <c r="K120" i="3" s="1"/>
  <c r="L120" i="3" s="1"/>
  <c r="K119" i="3"/>
  <c r="L119" i="3" s="1"/>
  <c r="J119" i="3"/>
  <c r="F119" i="3"/>
  <c r="E119" i="3"/>
  <c r="J118" i="3"/>
  <c r="F118" i="3"/>
  <c r="E118" i="3"/>
  <c r="J117" i="3"/>
  <c r="E117" i="3"/>
  <c r="F117" i="3" s="1"/>
  <c r="K117" i="3" s="1"/>
  <c r="L117" i="3" s="1"/>
  <c r="K116" i="3"/>
  <c r="L116" i="3" s="1"/>
  <c r="J116" i="3"/>
  <c r="F116" i="3"/>
  <c r="E116" i="3"/>
  <c r="J115" i="3"/>
  <c r="E115" i="3"/>
  <c r="F115" i="3" s="1"/>
  <c r="K115" i="3" s="1"/>
  <c r="L115" i="3" s="1"/>
  <c r="K114" i="3"/>
  <c r="L114" i="3" s="1"/>
  <c r="J114" i="3"/>
  <c r="I114" i="3"/>
  <c r="E114" i="3"/>
  <c r="F114" i="3" s="1"/>
  <c r="I113" i="3"/>
  <c r="J113" i="3" s="1"/>
  <c r="K113" i="3" s="1"/>
  <c r="L113" i="3" s="1"/>
  <c r="F113" i="3"/>
  <c r="E113" i="3"/>
  <c r="J112" i="3"/>
  <c r="I112" i="3"/>
  <c r="E112" i="3"/>
  <c r="F112" i="3" s="1"/>
  <c r="K112" i="3" s="1"/>
  <c r="L112" i="3" s="1"/>
  <c r="I111" i="3"/>
  <c r="J111" i="3" s="1"/>
  <c r="E111" i="3"/>
  <c r="F111" i="3" s="1"/>
  <c r="K111" i="3" s="1"/>
  <c r="L111" i="3" s="1"/>
  <c r="J110" i="3"/>
  <c r="I110" i="3"/>
  <c r="E110" i="3"/>
  <c r="F110" i="3" s="1"/>
  <c r="K110" i="3" s="1"/>
  <c r="L110" i="3" s="1"/>
  <c r="K109" i="3"/>
  <c r="L109" i="3" s="1"/>
  <c r="J109" i="3"/>
  <c r="I109" i="3"/>
  <c r="F109" i="3"/>
  <c r="E109" i="3"/>
  <c r="J108" i="3"/>
  <c r="E108" i="3"/>
  <c r="F108" i="3" s="1"/>
  <c r="L107" i="3"/>
  <c r="J107" i="3"/>
  <c r="E107" i="3"/>
  <c r="F107" i="3" s="1"/>
  <c r="K107" i="3" s="1"/>
  <c r="J106" i="3"/>
  <c r="F106" i="3"/>
  <c r="K106" i="3" s="1"/>
  <c r="L106" i="3" s="1"/>
  <c r="E106" i="3"/>
  <c r="J105" i="3"/>
  <c r="F105" i="3"/>
  <c r="K105" i="3" s="1"/>
  <c r="L105" i="3" s="1"/>
  <c r="E105" i="3"/>
  <c r="J104" i="3"/>
  <c r="E104" i="3"/>
  <c r="F104" i="3" s="1"/>
  <c r="K104" i="3" s="1"/>
  <c r="L104" i="3" s="1"/>
  <c r="J103" i="3"/>
  <c r="F103" i="3"/>
  <c r="K103" i="3" s="1"/>
  <c r="L103" i="3" s="1"/>
  <c r="E103" i="3"/>
  <c r="J102" i="3"/>
  <c r="E102" i="3"/>
  <c r="F102" i="3" s="1"/>
  <c r="K102" i="3" s="1"/>
  <c r="L102" i="3" s="1"/>
  <c r="K101" i="3"/>
  <c r="L101" i="3" s="1"/>
  <c r="J101" i="3"/>
  <c r="F101" i="3"/>
  <c r="E101" i="3"/>
  <c r="J100" i="3"/>
  <c r="F100" i="3"/>
  <c r="E100" i="3"/>
  <c r="J92" i="3"/>
  <c r="E92" i="3"/>
  <c r="F92" i="3" s="1"/>
  <c r="K92" i="3" s="1"/>
  <c r="L92" i="3" s="1"/>
  <c r="J91" i="3"/>
  <c r="E91" i="3"/>
  <c r="F91" i="3" s="1"/>
  <c r="K91" i="3" s="1"/>
  <c r="L91" i="3" s="1"/>
  <c r="J90" i="3"/>
  <c r="I90" i="3"/>
  <c r="E90" i="3"/>
  <c r="F90" i="3" s="1"/>
  <c r="K90" i="3" s="1"/>
  <c r="L90" i="3" s="1"/>
  <c r="K89" i="3"/>
  <c r="L89" i="3" s="1"/>
  <c r="J89" i="3"/>
  <c r="I89" i="3"/>
  <c r="F89" i="3"/>
  <c r="E89" i="3"/>
  <c r="I88" i="3"/>
  <c r="J88" i="3" s="1"/>
  <c r="E88" i="3"/>
  <c r="F88" i="3" s="1"/>
  <c r="K88" i="3" s="1"/>
  <c r="L88" i="3" s="1"/>
  <c r="I87" i="3"/>
  <c r="J87" i="3" s="1"/>
  <c r="E87" i="3"/>
  <c r="F87" i="3" s="1"/>
  <c r="J86" i="3"/>
  <c r="K86" i="3" s="1"/>
  <c r="L86" i="3" s="1"/>
  <c r="F86" i="3"/>
  <c r="E86" i="3"/>
  <c r="J85" i="3"/>
  <c r="F85" i="3"/>
  <c r="E85" i="3"/>
  <c r="J84" i="3"/>
  <c r="E84" i="3"/>
  <c r="F84" i="3" s="1"/>
  <c r="K84" i="3" s="1"/>
  <c r="L84" i="3" s="1"/>
  <c r="J83" i="3"/>
  <c r="K83" i="3" s="1"/>
  <c r="L83" i="3" s="1"/>
  <c r="F83" i="3"/>
  <c r="E83" i="3"/>
  <c r="J82" i="3"/>
  <c r="E82" i="3"/>
  <c r="F82" i="3" s="1"/>
  <c r="K82" i="3" s="1"/>
  <c r="L82" i="3" s="1"/>
  <c r="L81" i="3"/>
  <c r="K81" i="3"/>
  <c r="J81" i="3"/>
  <c r="I81" i="3"/>
  <c r="E81" i="3"/>
  <c r="F81" i="3" s="1"/>
  <c r="J80" i="3"/>
  <c r="F80" i="3"/>
  <c r="E80" i="3"/>
  <c r="J79" i="3"/>
  <c r="F79" i="3"/>
  <c r="K79" i="3" s="1"/>
  <c r="L79" i="3" s="1"/>
  <c r="E79" i="3"/>
  <c r="J78" i="3"/>
  <c r="I78" i="3"/>
  <c r="E78" i="3"/>
  <c r="F78" i="3" s="1"/>
  <c r="K78" i="3" s="1"/>
  <c r="L78" i="3" s="1"/>
  <c r="L77" i="3"/>
  <c r="K77" i="3"/>
  <c r="J77" i="3"/>
  <c r="I77" i="3"/>
  <c r="F77" i="3"/>
  <c r="E77" i="3"/>
  <c r="J76" i="3"/>
  <c r="F76" i="3"/>
  <c r="K76" i="3" s="1"/>
  <c r="L76" i="3" s="1"/>
  <c r="E76" i="3"/>
  <c r="L75" i="3"/>
  <c r="J75" i="3"/>
  <c r="E75" i="3"/>
  <c r="F75" i="3" s="1"/>
  <c r="K75" i="3" s="1"/>
  <c r="J74" i="3"/>
  <c r="F74" i="3"/>
  <c r="K74" i="3" s="1"/>
  <c r="L74" i="3" s="1"/>
  <c r="E74" i="3"/>
  <c r="J73" i="3"/>
  <c r="F73" i="3"/>
  <c r="K73" i="3" s="1"/>
  <c r="L73" i="3" s="1"/>
  <c r="E73" i="3"/>
  <c r="J72" i="3"/>
  <c r="I72" i="3"/>
  <c r="E72" i="3"/>
  <c r="F72" i="3" s="1"/>
  <c r="K72" i="3" s="1"/>
  <c r="L72" i="3" s="1"/>
  <c r="L71" i="3"/>
  <c r="K71" i="3"/>
  <c r="J71" i="3"/>
  <c r="F71" i="3"/>
  <c r="E71" i="3"/>
  <c r="J70" i="3"/>
  <c r="E70" i="3"/>
  <c r="F70" i="3" s="1"/>
  <c r="K70" i="3" s="1"/>
  <c r="L70" i="3" s="1"/>
  <c r="L69" i="3"/>
  <c r="K69" i="3"/>
  <c r="J69" i="3"/>
  <c r="E69" i="3"/>
  <c r="F69" i="3" s="1"/>
  <c r="J68" i="3"/>
  <c r="E68" i="3"/>
  <c r="F68" i="3" s="1"/>
  <c r="K68" i="3" s="1"/>
  <c r="L68" i="3" s="1"/>
  <c r="J67" i="3"/>
  <c r="E67" i="3"/>
  <c r="F67" i="3" s="1"/>
  <c r="K67" i="3" s="1"/>
  <c r="L67" i="3" s="1"/>
  <c r="J66" i="3"/>
  <c r="I66" i="3"/>
  <c r="E66" i="3"/>
  <c r="F66" i="3" s="1"/>
  <c r="K65" i="3"/>
  <c r="L65" i="3" s="1"/>
  <c r="J65" i="3"/>
  <c r="F65" i="3"/>
  <c r="E65" i="3"/>
  <c r="I64" i="3"/>
  <c r="J64" i="3" s="1"/>
  <c r="E64" i="3"/>
  <c r="J56" i="3"/>
  <c r="F56" i="3"/>
  <c r="E56" i="3"/>
  <c r="I55" i="3"/>
  <c r="J55" i="3" s="1"/>
  <c r="E55" i="3"/>
  <c r="F55" i="3" s="1"/>
  <c r="L54" i="3"/>
  <c r="K54" i="3"/>
  <c r="J54" i="3"/>
  <c r="F54" i="3"/>
  <c r="E54" i="3"/>
  <c r="J53" i="3"/>
  <c r="F53" i="3"/>
  <c r="K53" i="3" s="1"/>
  <c r="L53" i="3" s="1"/>
  <c r="E53" i="3"/>
  <c r="I52" i="3"/>
  <c r="J52" i="3" s="1"/>
  <c r="E52" i="3"/>
  <c r="F52" i="3" s="1"/>
  <c r="J51" i="3"/>
  <c r="I51" i="3"/>
  <c r="E51" i="3"/>
  <c r="F51" i="3" s="1"/>
  <c r="K51" i="3" s="1"/>
  <c r="L51" i="3" s="1"/>
  <c r="K50" i="3"/>
  <c r="L50" i="3" s="1"/>
  <c r="J50" i="3"/>
  <c r="I50" i="3"/>
  <c r="F50" i="3"/>
  <c r="E50" i="3"/>
  <c r="I49" i="3"/>
  <c r="J49" i="3" s="1"/>
  <c r="E49" i="3"/>
  <c r="F49" i="3" s="1"/>
  <c r="K49" i="3" s="1"/>
  <c r="L49" i="3" s="1"/>
  <c r="L48" i="3"/>
  <c r="J48" i="3"/>
  <c r="E48" i="3"/>
  <c r="F48" i="3" s="1"/>
  <c r="K48" i="3" s="1"/>
  <c r="J47" i="3"/>
  <c r="F47" i="3"/>
  <c r="K47" i="3" s="1"/>
  <c r="L47" i="3" s="1"/>
  <c r="E47" i="3"/>
  <c r="J46" i="3"/>
  <c r="F46" i="3"/>
  <c r="K46" i="3" s="1"/>
  <c r="L46" i="3" s="1"/>
  <c r="E46" i="3"/>
  <c r="J45" i="3"/>
  <c r="E45" i="3"/>
  <c r="F45" i="3" s="1"/>
  <c r="K45" i="3" s="1"/>
  <c r="L45" i="3" s="1"/>
  <c r="I44" i="3"/>
  <c r="J44" i="3" s="1"/>
  <c r="K44" i="3" s="1"/>
  <c r="L44" i="3" s="1"/>
  <c r="F44" i="3"/>
  <c r="E44" i="3"/>
  <c r="J43" i="3"/>
  <c r="E43" i="3"/>
  <c r="F43" i="3" s="1"/>
  <c r="K43" i="3" s="1"/>
  <c r="L43" i="3" s="1"/>
  <c r="L42" i="3"/>
  <c r="K42" i="3"/>
  <c r="J42" i="3"/>
  <c r="E42" i="3"/>
  <c r="F42" i="3" s="1"/>
  <c r="J41" i="3"/>
  <c r="E41" i="3"/>
  <c r="F41" i="3" s="1"/>
  <c r="K41" i="3" s="1"/>
  <c r="L41" i="3" s="1"/>
  <c r="J40" i="3"/>
  <c r="E40" i="3"/>
  <c r="F40" i="3" s="1"/>
  <c r="K40" i="3" s="1"/>
  <c r="L40" i="3" s="1"/>
  <c r="L39" i="3"/>
  <c r="K39" i="3"/>
  <c r="J39" i="3"/>
  <c r="F39" i="3"/>
  <c r="E39" i="3"/>
  <c r="J38" i="3"/>
  <c r="I38" i="3"/>
  <c r="E38" i="3"/>
  <c r="F38" i="3" s="1"/>
  <c r="K38" i="3" s="1"/>
  <c r="L38" i="3" s="1"/>
  <c r="J37" i="3"/>
  <c r="E37" i="3"/>
  <c r="F37" i="3" s="1"/>
  <c r="K37" i="3" s="1"/>
  <c r="L37" i="3" s="1"/>
  <c r="J36" i="3"/>
  <c r="K36" i="3" s="1"/>
  <c r="L36" i="3" s="1"/>
  <c r="F36" i="3"/>
  <c r="E36" i="3"/>
  <c r="J35" i="3"/>
  <c r="F35" i="3"/>
  <c r="E35" i="3"/>
  <c r="J34" i="3"/>
  <c r="E34" i="3"/>
  <c r="F34" i="3" s="1"/>
  <c r="K34" i="3" s="1"/>
  <c r="L34" i="3" s="1"/>
  <c r="J33" i="3"/>
  <c r="K33" i="3" s="1"/>
  <c r="L33" i="3" s="1"/>
  <c r="I33" i="3"/>
  <c r="F33" i="3"/>
  <c r="E33" i="3"/>
  <c r="I32" i="3"/>
  <c r="J32" i="3" s="1"/>
  <c r="E32" i="3"/>
  <c r="F32" i="3" s="1"/>
  <c r="K32" i="3" s="1"/>
  <c r="L32" i="3" s="1"/>
  <c r="I31" i="3"/>
  <c r="J31" i="3" s="1"/>
  <c r="F31" i="3"/>
  <c r="E31" i="3"/>
  <c r="J30" i="3"/>
  <c r="I30" i="3"/>
  <c r="E30" i="3"/>
  <c r="F30" i="3" s="1"/>
  <c r="K30" i="3" s="1"/>
  <c r="L30" i="3" s="1"/>
  <c r="L29" i="3"/>
  <c r="K29" i="3"/>
  <c r="J29" i="3"/>
  <c r="F29" i="3"/>
  <c r="E29" i="3"/>
  <c r="J28" i="3"/>
  <c r="F28" i="3"/>
  <c r="K28" i="3" s="1"/>
  <c r="L28" i="3" s="1"/>
  <c r="E28" i="3"/>
  <c r="L27" i="3"/>
  <c r="K27" i="3"/>
  <c r="J27" i="3"/>
  <c r="I27" i="3"/>
  <c r="E27" i="3"/>
  <c r="F27" i="3" s="1"/>
  <c r="I26" i="3"/>
  <c r="J26" i="3" s="1"/>
  <c r="K26" i="3" s="1"/>
  <c r="L26" i="3" s="1"/>
  <c r="F26" i="3"/>
  <c r="E26" i="3"/>
  <c r="J25" i="3"/>
  <c r="E25" i="3"/>
  <c r="F25" i="3" s="1"/>
  <c r="K25" i="3" s="1"/>
  <c r="L25" i="3" s="1"/>
  <c r="L24" i="3"/>
  <c r="J24" i="3"/>
  <c r="E24" i="3"/>
  <c r="F24" i="3" s="1"/>
  <c r="K24" i="3" s="1"/>
  <c r="L23" i="3"/>
  <c r="K23" i="3"/>
  <c r="J23" i="3"/>
  <c r="F23" i="3"/>
  <c r="E23" i="3"/>
  <c r="J22" i="3"/>
  <c r="F22" i="3"/>
  <c r="K22" i="3" s="1"/>
  <c r="L22" i="3" s="1"/>
  <c r="E22" i="3"/>
  <c r="J21" i="3"/>
  <c r="E21" i="3"/>
  <c r="I11" i="3"/>
  <c r="J11" i="3" s="1"/>
  <c r="E11" i="3"/>
  <c r="F11" i="3" s="1"/>
  <c r="J10" i="3"/>
  <c r="I10" i="3"/>
  <c r="E10" i="3"/>
  <c r="F10" i="3" s="1"/>
  <c r="K10" i="3" s="1"/>
  <c r="L10" i="3" s="1"/>
  <c r="K9" i="3"/>
  <c r="L9" i="3" s="1"/>
  <c r="J9" i="3"/>
  <c r="I9" i="3"/>
  <c r="F9" i="3"/>
  <c r="E9" i="3"/>
  <c r="J8" i="3"/>
  <c r="E8" i="3"/>
  <c r="F8" i="3" s="1"/>
  <c r="K8" i="3" s="1"/>
  <c r="L8" i="3" s="1"/>
  <c r="L7" i="3"/>
  <c r="K7" i="3"/>
  <c r="J7" i="3"/>
  <c r="I7" i="3"/>
  <c r="E7" i="3"/>
  <c r="F7" i="3" s="1"/>
  <c r="J6" i="3"/>
  <c r="F6" i="3"/>
  <c r="F13" i="3" s="1"/>
  <c r="E6" i="3"/>
  <c r="J140" i="2"/>
  <c r="E140" i="2"/>
  <c r="J139" i="2"/>
  <c r="K139" i="2" s="1"/>
  <c r="L139" i="2" s="1"/>
  <c r="F139" i="2"/>
  <c r="E139" i="2"/>
  <c r="J138" i="2"/>
  <c r="E138" i="2"/>
  <c r="L137" i="2"/>
  <c r="K137" i="2"/>
  <c r="J137" i="2"/>
  <c r="F137" i="2"/>
  <c r="E137" i="2"/>
  <c r="L129" i="2"/>
  <c r="K129" i="2"/>
  <c r="J129" i="2"/>
  <c r="E129" i="2"/>
  <c r="J128" i="2"/>
  <c r="E128" i="2"/>
  <c r="L127" i="2"/>
  <c r="K127" i="2"/>
  <c r="J127" i="2"/>
  <c r="E127" i="2"/>
  <c r="J126" i="2"/>
  <c r="E126" i="2"/>
  <c r="K126" i="2" s="1"/>
  <c r="L126" i="2" s="1"/>
  <c r="L125" i="2"/>
  <c r="K125" i="2"/>
  <c r="J125" i="2"/>
  <c r="E125" i="2"/>
  <c r="K124" i="2"/>
  <c r="L124" i="2" s="1"/>
  <c r="J124" i="2"/>
  <c r="E124" i="2"/>
  <c r="L123" i="2"/>
  <c r="K123" i="2"/>
  <c r="J123" i="2"/>
  <c r="E123" i="2"/>
  <c r="J122" i="2"/>
  <c r="K122" i="2" s="1"/>
  <c r="L122" i="2" s="1"/>
  <c r="E122" i="2"/>
  <c r="L121" i="2"/>
  <c r="K121" i="2"/>
  <c r="J121" i="2"/>
  <c r="E121" i="2"/>
  <c r="K120" i="2"/>
  <c r="L120" i="2" s="1"/>
  <c r="J120" i="2"/>
  <c r="E120" i="2"/>
  <c r="L119" i="2"/>
  <c r="K119" i="2"/>
  <c r="J119" i="2"/>
  <c r="E119" i="2"/>
  <c r="K118" i="2"/>
  <c r="L118" i="2" s="1"/>
  <c r="J118" i="2"/>
  <c r="E118" i="2"/>
  <c r="L117" i="2"/>
  <c r="K117" i="2"/>
  <c r="J117" i="2"/>
  <c r="E117" i="2"/>
  <c r="J116" i="2"/>
  <c r="K116" i="2" s="1"/>
  <c r="L116" i="2" s="1"/>
  <c r="E116" i="2"/>
  <c r="L115" i="2"/>
  <c r="K115" i="2"/>
  <c r="J115" i="2"/>
  <c r="E115" i="2"/>
  <c r="J114" i="2"/>
  <c r="E114" i="2"/>
  <c r="K114" i="2" s="1"/>
  <c r="L114" i="2" s="1"/>
  <c r="L113" i="2"/>
  <c r="I113" i="2"/>
  <c r="J113" i="2" s="1"/>
  <c r="K113" i="2" s="1"/>
  <c r="E113" i="2"/>
  <c r="J112" i="2"/>
  <c r="E112" i="2"/>
  <c r="K112" i="2" s="1"/>
  <c r="L112" i="2" s="1"/>
  <c r="K103" i="2"/>
  <c r="L103" i="2" s="1"/>
  <c r="J103" i="2"/>
  <c r="F103" i="2"/>
  <c r="E103" i="2"/>
  <c r="J102" i="2"/>
  <c r="E102" i="2"/>
  <c r="F102" i="2" s="1"/>
  <c r="K102" i="2" s="1"/>
  <c r="L102" i="2" s="1"/>
  <c r="K101" i="2"/>
  <c r="L101" i="2" s="1"/>
  <c r="J101" i="2"/>
  <c r="E101" i="2"/>
  <c r="F101" i="2" s="1"/>
  <c r="J100" i="2"/>
  <c r="F100" i="2"/>
  <c r="K100" i="2" s="1"/>
  <c r="L100" i="2" s="1"/>
  <c r="E100" i="2"/>
  <c r="J99" i="2"/>
  <c r="E99" i="2"/>
  <c r="J91" i="2"/>
  <c r="E91" i="2"/>
  <c r="K91" i="2" s="1"/>
  <c r="L91" i="2" s="1"/>
  <c r="K90" i="2"/>
  <c r="L90" i="2" s="1"/>
  <c r="J90" i="2"/>
  <c r="E90" i="2"/>
  <c r="J89" i="2"/>
  <c r="E89" i="2"/>
  <c r="K89" i="2" s="1"/>
  <c r="L89" i="2" s="1"/>
  <c r="K88" i="2"/>
  <c r="L88" i="2" s="1"/>
  <c r="J88" i="2"/>
  <c r="E88" i="2"/>
  <c r="J87" i="2"/>
  <c r="E87" i="2"/>
  <c r="K87" i="2" s="1"/>
  <c r="L87" i="2" s="1"/>
  <c r="J86" i="2"/>
  <c r="E86" i="2"/>
  <c r="K86" i="2" s="1"/>
  <c r="L86" i="2" s="1"/>
  <c r="J85" i="2"/>
  <c r="I85" i="2"/>
  <c r="E85" i="2"/>
  <c r="K84" i="2"/>
  <c r="L84" i="2" s="1"/>
  <c r="J84" i="2"/>
  <c r="E84" i="2"/>
  <c r="J76" i="2"/>
  <c r="K76" i="2" s="1"/>
  <c r="L76" i="2" s="1"/>
  <c r="E76" i="2"/>
  <c r="J75" i="2"/>
  <c r="I75" i="2"/>
  <c r="E75" i="2"/>
  <c r="K75" i="2" s="1"/>
  <c r="L75" i="2" s="1"/>
  <c r="J74" i="2"/>
  <c r="K74" i="2" s="1"/>
  <c r="L74" i="2" s="1"/>
  <c r="E74" i="2"/>
  <c r="J73" i="2"/>
  <c r="E73" i="2"/>
  <c r="K73" i="2" s="1"/>
  <c r="L73" i="2" s="1"/>
  <c r="J72" i="2"/>
  <c r="K72" i="2" s="1"/>
  <c r="E72" i="2"/>
  <c r="J63" i="2"/>
  <c r="K63" i="2" s="1"/>
  <c r="L63" i="2" s="1"/>
  <c r="E63" i="2"/>
  <c r="J62" i="2"/>
  <c r="E62" i="2"/>
  <c r="K62" i="2" s="1"/>
  <c r="L62" i="2" s="1"/>
  <c r="J61" i="2"/>
  <c r="E61" i="2"/>
  <c r="K61" i="2" s="1"/>
  <c r="L61" i="2" s="1"/>
  <c r="J60" i="2"/>
  <c r="I60" i="2"/>
  <c r="E60" i="2"/>
  <c r="J59" i="2"/>
  <c r="K59" i="2" s="1"/>
  <c r="I59" i="2"/>
  <c r="E59" i="2"/>
  <c r="K51" i="2"/>
  <c r="L51" i="2" s="1"/>
  <c r="J51" i="2"/>
  <c r="E51" i="2"/>
  <c r="J50" i="2"/>
  <c r="E50" i="2"/>
  <c r="K50" i="2" s="1"/>
  <c r="L50" i="2" s="1"/>
  <c r="K49" i="2"/>
  <c r="L49" i="2" s="1"/>
  <c r="J49" i="2"/>
  <c r="I49" i="2"/>
  <c r="E49" i="2"/>
  <c r="I48" i="2"/>
  <c r="J48" i="2" s="1"/>
  <c r="E48" i="2"/>
  <c r="K48" i="2" s="1"/>
  <c r="L48" i="2" s="1"/>
  <c r="L47" i="2"/>
  <c r="I47" i="2"/>
  <c r="J47" i="2" s="1"/>
  <c r="K47" i="2" s="1"/>
  <c r="E47" i="2"/>
  <c r="J46" i="2"/>
  <c r="E46" i="2"/>
  <c r="K46" i="2" s="1"/>
  <c r="L46" i="2" s="1"/>
  <c r="J45" i="2"/>
  <c r="E45" i="2"/>
  <c r="K45" i="2" s="1"/>
  <c r="L45" i="2" s="1"/>
  <c r="L44" i="2"/>
  <c r="J44" i="2"/>
  <c r="K44" i="2" s="1"/>
  <c r="E44" i="2"/>
  <c r="J43" i="2"/>
  <c r="E43" i="2"/>
  <c r="K43" i="2" s="1"/>
  <c r="L43" i="2" s="1"/>
  <c r="J42" i="2"/>
  <c r="K42" i="2" s="1"/>
  <c r="L42" i="2" s="1"/>
  <c r="E42" i="2"/>
  <c r="J41" i="2"/>
  <c r="E41" i="2"/>
  <c r="K41" i="2" s="1"/>
  <c r="L41" i="2" s="1"/>
  <c r="J40" i="2"/>
  <c r="E40" i="2"/>
  <c r="E53" i="2" s="1"/>
  <c r="J39" i="2"/>
  <c r="E39" i="2"/>
  <c r="K39" i="2" s="1"/>
  <c r="L31" i="2"/>
  <c r="K31" i="2"/>
  <c r="J31" i="2"/>
  <c r="E31" i="2"/>
  <c r="J30" i="2"/>
  <c r="K30" i="2" s="1"/>
  <c r="L30" i="2" s="1"/>
  <c r="E30" i="2"/>
  <c r="L29" i="2"/>
  <c r="K29" i="2"/>
  <c r="J29" i="2"/>
  <c r="E29" i="2"/>
  <c r="J28" i="2"/>
  <c r="E28" i="2"/>
  <c r="K28" i="2" s="1"/>
  <c r="L28" i="2" s="1"/>
  <c r="I27" i="2"/>
  <c r="J27" i="2" s="1"/>
  <c r="K27" i="2" s="1"/>
  <c r="L27" i="2" s="1"/>
  <c r="E27" i="2"/>
  <c r="J26" i="2"/>
  <c r="K26" i="2" s="1"/>
  <c r="L26" i="2" s="1"/>
  <c r="E26" i="2"/>
  <c r="J25" i="2"/>
  <c r="E25" i="2"/>
  <c r="K25" i="2" s="1"/>
  <c r="L25" i="2" s="1"/>
  <c r="J24" i="2"/>
  <c r="K24" i="2" s="1"/>
  <c r="L24" i="2" s="1"/>
  <c r="E24" i="2"/>
  <c r="J23" i="2"/>
  <c r="E23" i="2"/>
  <c r="K23" i="2" s="1"/>
  <c r="L23" i="2" s="1"/>
  <c r="J22" i="2"/>
  <c r="E22" i="2"/>
  <c r="K22" i="2" s="1"/>
  <c r="L22" i="2" s="1"/>
  <c r="J21" i="2"/>
  <c r="E21" i="2"/>
  <c r="K21" i="2" s="1"/>
  <c r="L21" i="2" s="1"/>
  <c r="L20" i="2"/>
  <c r="J20" i="2"/>
  <c r="K20" i="2" s="1"/>
  <c r="E20" i="2"/>
  <c r="J19" i="2"/>
  <c r="I19" i="2"/>
  <c r="E19" i="2"/>
  <c r="J10" i="2"/>
  <c r="E10" i="2"/>
  <c r="K10" i="2" s="1"/>
  <c r="L10" i="2" s="1"/>
  <c r="J9" i="2"/>
  <c r="E9" i="2"/>
  <c r="K9" i="2" s="1"/>
  <c r="L9" i="2" s="1"/>
  <c r="J8" i="2"/>
  <c r="I8" i="2"/>
  <c r="E8" i="2"/>
  <c r="K8" i="2" s="1"/>
  <c r="L8" i="2" s="1"/>
  <c r="J7" i="2"/>
  <c r="K7" i="2" s="1"/>
  <c r="L7" i="2" s="1"/>
  <c r="E7" i="2"/>
  <c r="J6" i="2"/>
  <c r="E6" i="2"/>
  <c r="J338" i="1"/>
  <c r="E338" i="1"/>
  <c r="K338" i="1" s="1"/>
  <c r="L338" i="1" s="1"/>
  <c r="L337" i="1"/>
  <c r="K337" i="1"/>
  <c r="J337" i="1"/>
  <c r="E337" i="1"/>
  <c r="J336" i="1"/>
  <c r="E336" i="1"/>
  <c r="K336" i="1" s="1"/>
  <c r="L336" i="1" s="1"/>
  <c r="L335" i="1"/>
  <c r="K335" i="1"/>
  <c r="J335" i="1"/>
  <c r="E335" i="1"/>
  <c r="K334" i="1"/>
  <c r="L334" i="1" s="1"/>
  <c r="J334" i="1"/>
  <c r="E334" i="1"/>
  <c r="L333" i="1"/>
  <c r="K333" i="1"/>
  <c r="J333" i="1"/>
  <c r="E333" i="1"/>
  <c r="J332" i="1"/>
  <c r="K332" i="1" s="1"/>
  <c r="L332" i="1" s="1"/>
  <c r="E332" i="1"/>
  <c r="L331" i="1"/>
  <c r="K331" i="1"/>
  <c r="J331" i="1"/>
  <c r="E331" i="1"/>
  <c r="K330" i="1"/>
  <c r="L330" i="1" s="1"/>
  <c r="J330" i="1"/>
  <c r="E330" i="1"/>
  <c r="L329" i="1"/>
  <c r="K329" i="1"/>
  <c r="J329" i="1"/>
  <c r="E329" i="1"/>
  <c r="E320" i="1"/>
  <c r="K318" i="1"/>
  <c r="L318" i="1" s="1"/>
  <c r="J318" i="1"/>
  <c r="E318" i="1"/>
  <c r="J317" i="1"/>
  <c r="E317" i="1"/>
  <c r="K316" i="1"/>
  <c r="J316" i="1"/>
  <c r="E316" i="1"/>
  <c r="K306" i="1"/>
  <c r="L306" i="1" s="1"/>
  <c r="J306" i="1"/>
  <c r="E306" i="1"/>
  <c r="I305" i="1"/>
  <c r="J305" i="1" s="1"/>
  <c r="E305" i="1"/>
  <c r="J304" i="1"/>
  <c r="K304" i="1" s="1"/>
  <c r="L304" i="1" s="1"/>
  <c r="I304" i="1"/>
  <c r="E304" i="1"/>
  <c r="J303" i="1"/>
  <c r="K303" i="1" s="1"/>
  <c r="L303" i="1" s="1"/>
  <c r="E303" i="1"/>
  <c r="I302" i="1"/>
  <c r="J302" i="1" s="1"/>
  <c r="K302" i="1" s="1"/>
  <c r="L302" i="1" s="1"/>
  <c r="E302" i="1"/>
  <c r="L301" i="1"/>
  <c r="K301" i="1"/>
  <c r="J301" i="1"/>
  <c r="E301" i="1"/>
  <c r="L300" i="1"/>
  <c r="J300" i="1"/>
  <c r="E300" i="1"/>
  <c r="K300" i="1" s="1"/>
  <c r="K299" i="1"/>
  <c r="L299" i="1" s="1"/>
  <c r="J299" i="1"/>
  <c r="E299" i="1"/>
  <c r="L298" i="1"/>
  <c r="J298" i="1"/>
  <c r="E298" i="1"/>
  <c r="K298" i="1" s="1"/>
  <c r="L290" i="1"/>
  <c r="K290" i="1"/>
  <c r="I290" i="1"/>
  <c r="J290" i="1" s="1"/>
  <c r="E290" i="1"/>
  <c r="J289" i="1"/>
  <c r="E289" i="1"/>
  <c r="K289" i="1" s="1"/>
  <c r="L289" i="1" s="1"/>
  <c r="L288" i="1"/>
  <c r="J288" i="1"/>
  <c r="E288" i="1"/>
  <c r="K288" i="1" s="1"/>
  <c r="L287" i="1"/>
  <c r="J287" i="1"/>
  <c r="E287" i="1"/>
  <c r="K287" i="1" s="1"/>
  <c r="J286" i="1"/>
  <c r="E286" i="1"/>
  <c r="K286" i="1" s="1"/>
  <c r="L286" i="1" s="1"/>
  <c r="I285" i="1"/>
  <c r="J285" i="1" s="1"/>
  <c r="K285" i="1" s="1"/>
  <c r="L285" i="1" s="1"/>
  <c r="E285" i="1"/>
  <c r="J284" i="1"/>
  <c r="E284" i="1"/>
  <c r="K284" i="1" s="1"/>
  <c r="L284" i="1" s="1"/>
  <c r="J283" i="1"/>
  <c r="K283" i="1" s="1"/>
  <c r="L283" i="1" s="1"/>
  <c r="E283" i="1"/>
  <c r="J282" i="1"/>
  <c r="E282" i="1"/>
  <c r="K282" i="1" s="1"/>
  <c r="L282" i="1" s="1"/>
  <c r="J281" i="1"/>
  <c r="K281" i="1" s="1"/>
  <c r="L281" i="1" s="1"/>
  <c r="E281" i="1"/>
  <c r="I280" i="1"/>
  <c r="J280" i="1" s="1"/>
  <c r="E280" i="1"/>
  <c r="J279" i="1"/>
  <c r="K279" i="1" s="1"/>
  <c r="L279" i="1" s="1"/>
  <c r="E279" i="1"/>
  <c r="J278" i="1"/>
  <c r="E278" i="1"/>
  <c r="J277" i="1"/>
  <c r="K277" i="1" s="1"/>
  <c r="L277" i="1" s="1"/>
  <c r="I277" i="1"/>
  <c r="E277" i="1"/>
  <c r="K276" i="1"/>
  <c r="L276" i="1" s="1"/>
  <c r="J276" i="1"/>
  <c r="E276" i="1"/>
  <c r="L275" i="1"/>
  <c r="I275" i="1"/>
  <c r="J275" i="1" s="1"/>
  <c r="K275" i="1" s="1"/>
  <c r="E275" i="1"/>
  <c r="J274" i="1"/>
  <c r="K274" i="1" s="1"/>
  <c r="L274" i="1" s="1"/>
  <c r="I274" i="1"/>
  <c r="E274" i="1"/>
  <c r="J273" i="1"/>
  <c r="E273" i="1"/>
  <c r="K273" i="1" s="1"/>
  <c r="L273" i="1" s="1"/>
  <c r="I272" i="1"/>
  <c r="J272" i="1" s="1"/>
  <c r="K272" i="1" s="1"/>
  <c r="L272" i="1" s="1"/>
  <c r="E272" i="1"/>
  <c r="J271" i="1"/>
  <c r="E271" i="1"/>
  <c r="J270" i="1"/>
  <c r="K270" i="1" s="1"/>
  <c r="L270" i="1" s="1"/>
  <c r="E270" i="1"/>
  <c r="J269" i="1"/>
  <c r="I269" i="1"/>
  <c r="E269" i="1"/>
  <c r="I268" i="1"/>
  <c r="J268" i="1" s="1"/>
  <c r="K268" i="1" s="1"/>
  <c r="L268" i="1" s="1"/>
  <c r="E268" i="1"/>
  <c r="J267" i="1"/>
  <c r="E267" i="1"/>
  <c r="K267" i="1" s="1"/>
  <c r="J266" i="1"/>
  <c r="I266" i="1"/>
  <c r="E266" i="1"/>
  <c r="K266" i="1" s="1"/>
  <c r="L266" i="1" s="1"/>
  <c r="I254" i="1"/>
  <c r="J254" i="1" s="1"/>
  <c r="E254" i="1"/>
  <c r="F254" i="1" s="1"/>
  <c r="K254" i="1" s="1"/>
  <c r="L254" i="1" s="1"/>
  <c r="L253" i="1"/>
  <c r="K253" i="1"/>
  <c r="J253" i="1"/>
  <c r="E253" i="1"/>
  <c r="F253" i="1" s="1"/>
  <c r="I252" i="1"/>
  <c r="J252" i="1" s="1"/>
  <c r="F252" i="1"/>
  <c r="K252" i="1" s="1"/>
  <c r="L252" i="1" s="1"/>
  <c r="E252" i="1"/>
  <c r="J251" i="1"/>
  <c r="E251" i="1"/>
  <c r="F251" i="1" s="1"/>
  <c r="J250" i="1"/>
  <c r="F250" i="1"/>
  <c r="K250" i="1" s="1"/>
  <c r="L250" i="1" s="1"/>
  <c r="E250" i="1"/>
  <c r="J249" i="1"/>
  <c r="E249" i="1"/>
  <c r="F249" i="1" s="1"/>
  <c r="K249" i="1" s="1"/>
  <c r="L249" i="1" s="1"/>
  <c r="J248" i="1"/>
  <c r="E248" i="1"/>
  <c r="F248" i="1" s="1"/>
  <c r="K248" i="1" s="1"/>
  <c r="L248" i="1" s="1"/>
  <c r="J247" i="1"/>
  <c r="I247" i="1"/>
  <c r="F247" i="1"/>
  <c r="E247" i="1"/>
  <c r="J246" i="1"/>
  <c r="E246" i="1"/>
  <c r="F246" i="1" s="1"/>
  <c r="K246" i="1" s="1"/>
  <c r="L246" i="1" s="1"/>
  <c r="J245" i="1"/>
  <c r="F245" i="1"/>
  <c r="E245" i="1"/>
  <c r="I236" i="1"/>
  <c r="J236" i="1" s="1"/>
  <c r="E236" i="1"/>
  <c r="F236" i="1" s="1"/>
  <c r="K236" i="1" s="1"/>
  <c r="L236" i="1" s="1"/>
  <c r="J235" i="1"/>
  <c r="F235" i="1"/>
  <c r="E235" i="1"/>
  <c r="J234" i="1"/>
  <c r="E234" i="1"/>
  <c r="F234" i="1" s="1"/>
  <c r="K234" i="1" s="1"/>
  <c r="L234" i="1" s="1"/>
  <c r="J233" i="1"/>
  <c r="K233" i="1" s="1"/>
  <c r="L233" i="1" s="1"/>
  <c r="I233" i="1"/>
  <c r="E233" i="1"/>
  <c r="F233" i="1" s="1"/>
  <c r="J232" i="1"/>
  <c r="E232" i="1"/>
  <c r="F232" i="1" s="1"/>
  <c r="K232" i="1" s="1"/>
  <c r="L232" i="1" s="1"/>
  <c r="J231" i="1"/>
  <c r="E231" i="1"/>
  <c r="F231" i="1" s="1"/>
  <c r="K231" i="1" s="1"/>
  <c r="L231" i="1" s="1"/>
  <c r="L230" i="1"/>
  <c r="K230" i="1"/>
  <c r="J230" i="1"/>
  <c r="F230" i="1"/>
  <c r="E230" i="1"/>
  <c r="I229" i="1"/>
  <c r="J229" i="1" s="1"/>
  <c r="F229" i="1"/>
  <c r="K229" i="1" s="1"/>
  <c r="L229" i="1" s="1"/>
  <c r="E229" i="1"/>
  <c r="J228" i="1"/>
  <c r="E228" i="1"/>
  <c r="F228" i="1" s="1"/>
  <c r="I227" i="1"/>
  <c r="J227" i="1" s="1"/>
  <c r="E227" i="1"/>
  <c r="J218" i="1"/>
  <c r="F218" i="1"/>
  <c r="K218" i="1" s="1"/>
  <c r="L218" i="1" s="1"/>
  <c r="E218" i="1"/>
  <c r="K217" i="1"/>
  <c r="L217" i="1" s="1"/>
  <c r="J217" i="1"/>
  <c r="F217" i="1"/>
  <c r="E217" i="1"/>
  <c r="I216" i="1"/>
  <c r="J216" i="1" s="1"/>
  <c r="E216" i="1"/>
  <c r="F216" i="1" s="1"/>
  <c r="K216" i="1" s="1"/>
  <c r="L216" i="1" s="1"/>
  <c r="L215" i="1"/>
  <c r="K215" i="1"/>
  <c r="J215" i="1"/>
  <c r="F215" i="1"/>
  <c r="E215" i="1"/>
  <c r="J214" i="1"/>
  <c r="F214" i="1"/>
  <c r="K214" i="1" s="1"/>
  <c r="L214" i="1" s="1"/>
  <c r="E214" i="1"/>
  <c r="K213" i="1"/>
  <c r="L213" i="1" s="1"/>
  <c r="J213" i="1"/>
  <c r="E213" i="1"/>
  <c r="F213" i="1" s="1"/>
  <c r="J212" i="1"/>
  <c r="K212" i="1" s="1"/>
  <c r="L212" i="1" s="1"/>
  <c r="I212" i="1"/>
  <c r="F212" i="1"/>
  <c r="E212" i="1"/>
  <c r="J211" i="1"/>
  <c r="E211" i="1"/>
  <c r="F211" i="1" s="1"/>
  <c r="K211" i="1" s="1"/>
  <c r="L211" i="1" s="1"/>
  <c r="I210" i="1"/>
  <c r="J210" i="1" s="1"/>
  <c r="K210" i="1" s="1"/>
  <c r="L210" i="1" s="1"/>
  <c r="F210" i="1"/>
  <c r="E210" i="1"/>
  <c r="I209" i="1"/>
  <c r="J209" i="1" s="1"/>
  <c r="E209" i="1"/>
  <c r="F209" i="1" s="1"/>
  <c r="K209" i="1" s="1"/>
  <c r="L209" i="1" s="1"/>
  <c r="K208" i="1"/>
  <c r="L208" i="1" s="1"/>
  <c r="J208" i="1"/>
  <c r="F208" i="1"/>
  <c r="E208" i="1"/>
  <c r="J207" i="1"/>
  <c r="E207" i="1"/>
  <c r="F207" i="1" s="1"/>
  <c r="K207" i="1" s="1"/>
  <c r="L207" i="1" s="1"/>
  <c r="L206" i="1"/>
  <c r="K206" i="1"/>
  <c r="J206" i="1"/>
  <c r="F206" i="1"/>
  <c r="E206" i="1"/>
  <c r="J205" i="1"/>
  <c r="E205" i="1"/>
  <c r="F205" i="1" s="1"/>
  <c r="K205" i="1" s="1"/>
  <c r="L205" i="1" s="1"/>
  <c r="K204" i="1"/>
  <c r="L204" i="1" s="1"/>
  <c r="J204" i="1"/>
  <c r="E204" i="1"/>
  <c r="F204" i="1" s="1"/>
  <c r="J203" i="1"/>
  <c r="I203" i="1"/>
  <c r="F203" i="1"/>
  <c r="F220" i="1" s="1"/>
  <c r="E203" i="1"/>
  <c r="J195" i="1"/>
  <c r="I195" i="1"/>
  <c r="E195" i="1"/>
  <c r="F195" i="1" s="1"/>
  <c r="K195" i="1" s="1"/>
  <c r="L195" i="1" s="1"/>
  <c r="J194" i="1"/>
  <c r="K194" i="1" s="1"/>
  <c r="L194" i="1" s="1"/>
  <c r="E194" i="1"/>
  <c r="F194" i="1" s="1"/>
  <c r="I193" i="1"/>
  <c r="J193" i="1" s="1"/>
  <c r="E193" i="1"/>
  <c r="F193" i="1" s="1"/>
  <c r="K193" i="1" s="1"/>
  <c r="L193" i="1" s="1"/>
  <c r="K192" i="1"/>
  <c r="L192" i="1" s="1"/>
  <c r="I192" i="1"/>
  <c r="J192" i="1" s="1"/>
  <c r="F192" i="1"/>
  <c r="E192" i="1"/>
  <c r="I191" i="1"/>
  <c r="J191" i="1" s="1"/>
  <c r="E191" i="1"/>
  <c r="F191" i="1" s="1"/>
  <c r="K191" i="1" s="1"/>
  <c r="L191" i="1" s="1"/>
  <c r="J190" i="1"/>
  <c r="K190" i="1" s="1"/>
  <c r="L190" i="1" s="1"/>
  <c r="F190" i="1"/>
  <c r="E190" i="1"/>
  <c r="J189" i="1"/>
  <c r="F189" i="1"/>
  <c r="K189" i="1" s="1"/>
  <c r="L189" i="1" s="1"/>
  <c r="E189" i="1"/>
  <c r="J188" i="1"/>
  <c r="F188" i="1"/>
  <c r="K188" i="1" s="1"/>
  <c r="L188" i="1" s="1"/>
  <c r="E188" i="1"/>
  <c r="J187" i="1"/>
  <c r="K187" i="1" s="1"/>
  <c r="L187" i="1" s="1"/>
  <c r="F187" i="1"/>
  <c r="E187" i="1"/>
  <c r="J186" i="1"/>
  <c r="E186" i="1"/>
  <c r="F186" i="1" s="1"/>
  <c r="K186" i="1" s="1"/>
  <c r="L186" i="1" s="1"/>
  <c r="J185" i="1"/>
  <c r="K185" i="1" s="1"/>
  <c r="L185" i="1" s="1"/>
  <c r="I185" i="1"/>
  <c r="F185" i="1"/>
  <c r="E185" i="1"/>
  <c r="J184" i="1"/>
  <c r="E184" i="1"/>
  <c r="F184" i="1" s="1"/>
  <c r="K184" i="1" s="1"/>
  <c r="L184" i="1" s="1"/>
  <c r="K183" i="1"/>
  <c r="L183" i="1" s="1"/>
  <c r="J183" i="1"/>
  <c r="E183" i="1"/>
  <c r="F183" i="1" s="1"/>
  <c r="J182" i="1"/>
  <c r="E182" i="1"/>
  <c r="F182" i="1" s="1"/>
  <c r="K182" i="1" s="1"/>
  <c r="L182" i="1" s="1"/>
  <c r="I181" i="1"/>
  <c r="J181" i="1" s="1"/>
  <c r="F181" i="1"/>
  <c r="E181" i="1"/>
  <c r="I180" i="1"/>
  <c r="J180" i="1" s="1"/>
  <c r="E180" i="1"/>
  <c r="E197" i="1" s="1"/>
  <c r="K179" i="1"/>
  <c r="J179" i="1"/>
  <c r="F179" i="1"/>
  <c r="E179" i="1"/>
  <c r="J171" i="1"/>
  <c r="I171" i="1"/>
  <c r="E171" i="1"/>
  <c r="F171" i="1" s="1"/>
  <c r="J170" i="1"/>
  <c r="I170" i="1"/>
  <c r="F170" i="1"/>
  <c r="K170" i="1" s="1"/>
  <c r="L170" i="1" s="1"/>
  <c r="E170" i="1"/>
  <c r="K169" i="1"/>
  <c r="L169" i="1" s="1"/>
  <c r="J169" i="1"/>
  <c r="I169" i="1"/>
  <c r="F169" i="1"/>
  <c r="E169" i="1"/>
  <c r="I168" i="1"/>
  <c r="J168" i="1" s="1"/>
  <c r="F168" i="1"/>
  <c r="K168" i="1" s="1"/>
  <c r="L168" i="1" s="1"/>
  <c r="E168" i="1"/>
  <c r="J167" i="1"/>
  <c r="I167" i="1"/>
  <c r="E167" i="1"/>
  <c r="F167" i="1" s="1"/>
  <c r="K167" i="1" s="1"/>
  <c r="L167" i="1" s="1"/>
  <c r="J166" i="1"/>
  <c r="K166" i="1" s="1"/>
  <c r="L166" i="1" s="1"/>
  <c r="E166" i="1"/>
  <c r="F166" i="1" s="1"/>
  <c r="J165" i="1"/>
  <c r="I165" i="1"/>
  <c r="E165" i="1"/>
  <c r="F165" i="1" s="1"/>
  <c r="K165" i="1" s="1"/>
  <c r="L165" i="1" s="1"/>
  <c r="I164" i="1"/>
  <c r="J164" i="1" s="1"/>
  <c r="F164" i="1"/>
  <c r="K164" i="1" s="1"/>
  <c r="L164" i="1" s="1"/>
  <c r="E164" i="1"/>
  <c r="J163" i="1"/>
  <c r="F163" i="1"/>
  <c r="K163" i="1" s="1"/>
  <c r="L163" i="1" s="1"/>
  <c r="E163" i="1"/>
  <c r="J162" i="1"/>
  <c r="K162" i="1" s="1"/>
  <c r="L162" i="1" s="1"/>
  <c r="I162" i="1"/>
  <c r="F162" i="1"/>
  <c r="E162" i="1"/>
  <c r="I161" i="1"/>
  <c r="J161" i="1" s="1"/>
  <c r="E161" i="1"/>
  <c r="E173" i="1" s="1"/>
  <c r="J153" i="1"/>
  <c r="I153" i="1"/>
  <c r="F153" i="1"/>
  <c r="K153" i="1" s="1"/>
  <c r="L153" i="1" s="1"/>
  <c r="E153" i="1"/>
  <c r="L152" i="1"/>
  <c r="J152" i="1"/>
  <c r="F152" i="1"/>
  <c r="K152" i="1" s="1"/>
  <c r="E152" i="1"/>
  <c r="J151" i="1"/>
  <c r="F151" i="1"/>
  <c r="K151" i="1" s="1"/>
  <c r="L151" i="1" s="1"/>
  <c r="E151" i="1"/>
  <c r="K150" i="1"/>
  <c r="L150" i="1" s="1"/>
  <c r="J150" i="1"/>
  <c r="F150" i="1"/>
  <c r="E150" i="1"/>
  <c r="J149" i="1"/>
  <c r="E149" i="1"/>
  <c r="F149" i="1" s="1"/>
  <c r="K149" i="1" s="1"/>
  <c r="L149" i="1" s="1"/>
  <c r="K148" i="1"/>
  <c r="L148" i="1" s="1"/>
  <c r="J148" i="1"/>
  <c r="E148" i="1"/>
  <c r="F148" i="1" s="1"/>
  <c r="J147" i="1"/>
  <c r="E147" i="1"/>
  <c r="F147" i="1" s="1"/>
  <c r="K147" i="1" s="1"/>
  <c r="L147" i="1" s="1"/>
  <c r="J146" i="1"/>
  <c r="E146" i="1"/>
  <c r="F146" i="1" s="1"/>
  <c r="K146" i="1" s="1"/>
  <c r="L146" i="1" s="1"/>
  <c r="L145" i="1"/>
  <c r="K145" i="1"/>
  <c r="J145" i="1"/>
  <c r="F145" i="1"/>
  <c r="E145" i="1"/>
  <c r="J144" i="1"/>
  <c r="F144" i="1"/>
  <c r="K144" i="1" s="1"/>
  <c r="L144" i="1" s="1"/>
  <c r="E144" i="1"/>
  <c r="J143" i="1"/>
  <c r="F143" i="1"/>
  <c r="K143" i="1" s="1"/>
  <c r="L143" i="1" s="1"/>
  <c r="E143" i="1"/>
  <c r="J142" i="1"/>
  <c r="K142" i="1" s="1"/>
  <c r="L142" i="1" s="1"/>
  <c r="F142" i="1"/>
  <c r="E142" i="1"/>
  <c r="I141" i="1"/>
  <c r="J141" i="1" s="1"/>
  <c r="E141" i="1"/>
  <c r="F141" i="1" s="1"/>
  <c r="K141" i="1" s="1"/>
  <c r="L141" i="1" s="1"/>
  <c r="K140" i="1"/>
  <c r="L140" i="1" s="1"/>
  <c r="J140" i="1"/>
  <c r="F140" i="1"/>
  <c r="E140" i="1"/>
  <c r="I139" i="1"/>
  <c r="J139" i="1" s="1"/>
  <c r="F139" i="1"/>
  <c r="K139" i="1" s="1"/>
  <c r="L139" i="1" s="1"/>
  <c r="E139" i="1"/>
  <c r="I138" i="1"/>
  <c r="J138" i="1" s="1"/>
  <c r="F138" i="1"/>
  <c r="E138" i="1"/>
  <c r="J137" i="1"/>
  <c r="I137" i="1"/>
  <c r="E137" i="1"/>
  <c r="F137" i="1" s="1"/>
  <c r="K137" i="1" s="1"/>
  <c r="L137" i="1" s="1"/>
  <c r="L136" i="1"/>
  <c r="K136" i="1"/>
  <c r="J136" i="1"/>
  <c r="E136" i="1"/>
  <c r="F136" i="1" s="1"/>
  <c r="I135" i="1"/>
  <c r="J135" i="1" s="1"/>
  <c r="E135" i="1"/>
  <c r="F135" i="1" s="1"/>
  <c r="K135" i="1" s="1"/>
  <c r="L135" i="1" s="1"/>
  <c r="K134" i="1"/>
  <c r="L134" i="1" s="1"/>
  <c r="J134" i="1"/>
  <c r="E134" i="1"/>
  <c r="F134" i="1" s="1"/>
  <c r="J133" i="1"/>
  <c r="I133" i="1"/>
  <c r="F133" i="1"/>
  <c r="K133" i="1" s="1"/>
  <c r="L133" i="1" s="1"/>
  <c r="E133" i="1"/>
  <c r="J132" i="1"/>
  <c r="E132" i="1"/>
  <c r="F132" i="1" s="1"/>
  <c r="K132" i="1" s="1"/>
  <c r="L132" i="1" s="1"/>
  <c r="J131" i="1"/>
  <c r="E131" i="1"/>
  <c r="I121" i="1"/>
  <c r="J121" i="1" s="1"/>
  <c r="E121" i="1"/>
  <c r="F121" i="1" s="1"/>
  <c r="K121" i="1" s="1"/>
  <c r="L121" i="1" s="1"/>
  <c r="J120" i="1"/>
  <c r="I120" i="1"/>
  <c r="E120" i="1"/>
  <c r="F120" i="1" s="1"/>
  <c r="J119" i="1"/>
  <c r="I119" i="1"/>
  <c r="F119" i="1"/>
  <c r="K119" i="1" s="1"/>
  <c r="L119" i="1" s="1"/>
  <c r="E119" i="1"/>
  <c r="J118" i="1"/>
  <c r="E118" i="1"/>
  <c r="F118" i="1" s="1"/>
  <c r="K118" i="1" s="1"/>
  <c r="L118" i="1" s="1"/>
  <c r="J117" i="1"/>
  <c r="E117" i="1"/>
  <c r="F117" i="1" s="1"/>
  <c r="K117" i="1" s="1"/>
  <c r="L117" i="1" s="1"/>
  <c r="L116" i="1"/>
  <c r="K116" i="1"/>
  <c r="J116" i="1"/>
  <c r="E116" i="1"/>
  <c r="F116" i="1" s="1"/>
  <c r="J115" i="1"/>
  <c r="E115" i="1"/>
  <c r="F115" i="1" s="1"/>
  <c r="K115" i="1" s="1"/>
  <c r="L115" i="1" s="1"/>
  <c r="J114" i="1"/>
  <c r="E114" i="1"/>
  <c r="F114" i="1" s="1"/>
  <c r="J113" i="1"/>
  <c r="F113" i="1"/>
  <c r="K113" i="1" s="1"/>
  <c r="L113" i="1" s="1"/>
  <c r="E113" i="1"/>
  <c r="L112" i="1"/>
  <c r="J112" i="1"/>
  <c r="F112" i="1"/>
  <c r="K112" i="1" s="1"/>
  <c r="E112" i="1"/>
  <c r="J111" i="1"/>
  <c r="F111" i="1"/>
  <c r="K111" i="1" s="1"/>
  <c r="L111" i="1" s="1"/>
  <c r="E111" i="1"/>
  <c r="K110" i="1"/>
  <c r="L110" i="1" s="1"/>
  <c r="J110" i="1"/>
  <c r="F110" i="1"/>
  <c r="E110" i="1"/>
  <c r="I109" i="1"/>
  <c r="J109" i="1" s="1"/>
  <c r="E109" i="1"/>
  <c r="E123" i="1" s="1"/>
  <c r="L108" i="1"/>
  <c r="K108" i="1"/>
  <c r="J108" i="1"/>
  <c r="F108" i="1"/>
  <c r="E108" i="1"/>
  <c r="J100" i="1"/>
  <c r="E100" i="1"/>
  <c r="F100" i="1" s="1"/>
  <c r="I99" i="1"/>
  <c r="J99" i="1" s="1"/>
  <c r="E99" i="1"/>
  <c r="F99" i="1" s="1"/>
  <c r="K99" i="1" s="1"/>
  <c r="L99" i="1" s="1"/>
  <c r="J98" i="1"/>
  <c r="I98" i="1"/>
  <c r="F98" i="1"/>
  <c r="E98" i="1"/>
  <c r="I97" i="1"/>
  <c r="J97" i="1" s="1"/>
  <c r="E97" i="1"/>
  <c r="F97" i="1" s="1"/>
  <c r="K97" i="1" s="1"/>
  <c r="L97" i="1" s="1"/>
  <c r="L96" i="1"/>
  <c r="K96" i="1"/>
  <c r="I96" i="1"/>
  <c r="J96" i="1" s="1"/>
  <c r="E96" i="1"/>
  <c r="F96" i="1" s="1"/>
  <c r="J95" i="1"/>
  <c r="F95" i="1"/>
  <c r="K95" i="1" s="1"/>
  <c r="L95" i="1" s="1"/>
  <c r="E95" i="1"/>
  <c r="J94" i="1"/>
  <c r="E94" i="1"/>
  <c r="F94" i="1" s="1"/>
  <c r="K94" i="1" s="1"/>
  <c r="L94" i="1" s="1"/>
  <c r="K93" i="1"/>
  <c r="L93" i="1" s="1"/>
  <c r="J93" i="1"/>
  <c r="F93" i="1"/>
  <c r="E93" i="1"/>
  <c r="I92" i="1"/>
  <c r="J92" i="1" s="1"/>
  <c r="F92" i="1"/>
  <c r="E92" i="1"/>
  <c r="I91" i="1"/>
  <c r="J91" i="1" s="1"/>
  <c r="F91" i="1"/>
  <c r="E91" i="1"/>
  <c r="J90" i="1"/>
  <c r="I90" i="1"/>
  <c r="E90" i="1"/>
  <c r="F90" i="1" s="1"/>
  <c r="K90" i="1" s="1"/>
  <c r="L90" i="1" s="1"/>
  <c r="L89" i="1"/>
  <c r="K89" i="1"/>
  <c r="J89" i="1"/>
  <c r="E89" i="1"/>
  <c r="F89" i="1" s="1"/>
  <c r="J88" i="1"/>
  <c r="E88" i="1"/>
  <c r="F88" i="1" s="1"/>
  <c r="J87" i="1"/>
  <c r="E87" i="1"/>
  <c r="F87" i="1" s="1"/>
  <c r="I79" i="1"/>
  <c r="J79" i="1" s="1"/>
  <c r="K79" i="1" s="1"/>
  <c r="L79" i="1" s="1"/>
  <c r="F79" i="1"/>
  <c r="E79" i="1"/>
  <c r="I78" i="1"/>
  <c r="J78" i="1" s="1"/>
  <c r="E78" i="1"/>
  <c r="F78" i="1" s="1"/>
  <c r="K78" i="1" s="1"/>
  <c r="L78" i="1" s="1"/>
  <c r="K77" i="1"/>
  <c r="L77" i="1" s="1"/>
  <c r="J77" i="1"/>
  <c r="I77" i="1"/>
  <c r="E77" i="1"/>
  <c r="F77" i="1" s="1"/>
  <c r="I76" i="1"/>
  <c r="J76" i="1" s="1"/>
  <c r="E76" i="1"/>
  <c r="F76" i="1" s="1"/>
  <c r="K76" i="1" s="1"/>
  <c r="L76" i="1" s="1"/>
  <c r="K75" i="1"/>
  <c r="L75" i="1" s="1"/>
  <c r="J75" i="1"/>
  <c r="F75" i="1"/>
  <c r="E75" i="1"/>
  <c r="J74" i="1"/>
  <c r="K74" i="1" s="1"/>
  <c r="L74" i="1" s="1"/>
  <c r="I74" i="1"/>
  <c r="F74" i="1"/>
  <c r="E74" i="1"/>
  <c r="J73" i="1"/>
  <c r="E73" i="1"/>
  <c r="F73" i="1" s="1"/>
  <c r="K73" i="1" s="1"/>
  <c r="L73" i="1" s="1"/>
  <c r="K72" i="1"/>
  <c r="L72" i="1" s="1"/>
  <c r="I72" i="1"/>
  <c r="J72" i="1" s="1"/>
  <c r="F72" i="1"/>
  <c r="E72" i="1"/>
  <c r="I71" i="1"/>
  <c r="J71" i="1" s="1"/>
  <c r="E71" i="1"/>
  <c r="F71" i="1" s="1"/>
  <c r="K71" i="1" s="1"/>
  <c r="L71" i="1" s="1"/>
  <c r="L70" i="1"/>
  <c r="K70" i="1"/>
  <c r="J70" i="1"/>
  <c r="F70" i="1"/>
  <c r="E70" i="1"/>
  <c r="I69" i="1"/>
  <c r="J69" i="1" s="1"/>
  <c r="F69" i="1"/>
  <c r="E69" i="1"/>
  <c r="J68" i="1"/>
  <c r="E68" i="1"/>
  <c r="F68" i="1" s="1"/>
  <c r="J67" i="1"/>
  <c r="F67" i="1"/>
  <c r="E67" i="1"/>
  <c r="J58" i="1"/>
  <c r="K58" i="1" s="1"/>
  <c r="L58" i="1" s="1"/>
  <c r="I58" i="1"/>
  <c r="F58" i="1"/>
  <c r="E58" i="1"/>
  <c r="I57" i="1"/>
  <c r="J57" i="1" s="1"/>
  <c r="F57" i="1"/>
  <c r="K57" i="1" s="1"/>
  <c r="L57" i="1" s="1"/>
  <c r="E57" i="1"/>
  <c r="J56" i="1"/>
  <c r="F56" i="1"/>
  <c r="E56" i="1"/>
  <c r="I55" i="1"/>
  <c r="J55" i="1" s="1"/>
  <c r="E55" i="1"/>
  <c r="F55" i="1" s="1"/>
  <c r="K55" i="1" s="1"/>
  <c r="L55" i="1" s="1"/>
  <c r="J54" i="1"/>
  <c r="I54" i="1"/>
  <c r="E54" i="1"/>
  <c r="F54" i="1" s="1"/>
  <c r="K54" i="1" s="1"/>
  <c r="L54" i="1" s="1"/>
  <c r="I53" i="1"/>
  <c r="J53" i="1" s="1"/>
  <c r="K53" i="1" s="1"/>
  <c r="L53" i="1" s="1"/>
  <c r="F53" i="1"/>
  <c r="E53" i="1"/>
  <c r="J52" i="1"/>
  <c r="E52" i="1"/>
  <c r="F52" i="1" s="1"/>
  <c r="K52" i="1" s="1"/>
  <c r="L52" i="1" s="1"/>
  <c r="K51" i="1"/>
  <c r="L51" i="1" s="1"/>
  <c r="J51" i="1"/>
  <c r="E51" i="1"/>
  <c r="F51" i="1" s="1"/>
  <c r="J50" i="1"/>
  <c r="E50" i="1"/>
  <c r="F50" i="1" s="1"/>
  <c r="K50" i="1" s="1"/>
  <c r="L50" i="1" s="1"/>
  <c r="J49" i="1"/>
  <c r="E49" i="1"/>
  <c r="F49" i="1" s="1"/>
  <c r="J48" i="1"/>
  <c r="F48" i="1"/>
  <c r="K48" i="1" s="1"/>
  <c r="L48" i="1" s="1"/>
  <c r="E48" i="1"/>
  <c r="J47" i="1"/>
  <c r="I47" i="1"/>
  <c r="F47" i="1"/>
  <c r="E47" i="1"/>
  <c r="J46" i="1"/>
  <c r="E46" i="1"/>
  <c r="F46" i="1" s="1"/>
  <c r="K46" i="1" s="1"/>
  <c r="L46" i="1" s="1"/>
  <c r="K45" i="1"/>
  <c r="L45" i="1" s="1"/>
  <c r="J45" i="1"/>
  <c r="F45" i="1"/>
  <c r="E45" i="1"/>
  <c r="J44" i="1"/>
  <c r="E44" i="1"/>
  <c r="F44" i="1" s="1"/>
  <c r="K44" i="1" s="1"/>
  <c r="L44" i="1" s="1"/>
  <c r="L43" i="1"/>
  <c r="K43" i="1"/>
  <c r="I43" i="1"/>
  <c r="J43" i="1" s="1"/>
  <c r="E43" i="1"/>
  <c r="F43" i="1" s="1"/>
  <c r="J42" i="1"/>
  <c r="F42" i="1"/>
  <c r="K42" i="1" s="1"/>
  <c r="L42" i="1" s="1"/>
  <c r="E42" i="1"/>
  <c r="J41" i="1"/>
  <c r="F41" i="1"/>
  <c r="E41" i="1"/>
  <c r="I40" i="1"/>
  <c r="J40" i="1" s="1"/>
  <c r="E40" i="1"/>
  <c r="F40" i="1" s="1"/>
  <c r="F60" i="1" s="1"/>
  <c r="J32" i="1"/>
  <c r="E32" i="1"/>
  <c r="F32" i="1" s="1"/>
  <c r="K32" i="1" s="1"/>
  <c r="L32" i="1" s="1"/>
  <c r="L31" i="1"/>
  <c r="K31" i="1"/>
  <c r="J31" i="1"/>
  <c r="E31" i="1"/>
  <c r="F31" i="1" s="1"/>
  <c r="I30" i="1"/>
  <c r="J30" i="1" s="1"/>
  <c r="F30" i="1"/>
  <c r="K30" i="1" s="1"/>
  <c r="L30" i="1" s="1"/>
  <c r="E30" i="1"/>
  <c r="J29" i="1"/>
  <c r="E29" i="1"/>
  <c r="F29" i="1" s="1"/>
  <c r="K29" i="1" s="1"/>
  <c r="L29" i="1" s="1"/>
  <c r="J28" i="1"/>
  <c r="K28" i="1" s="1"/>
  <c r="L28" i="1" s="1"/>
  <c r="I28" i="1"/>
  <c r="F28" i="1"/>
  <c r="E28" i="1"/>
  <c r="J27" i="1"/>
  <c r="E27" i="1"/>
  <c r="F27" i="1" s="1"/>
  <c r="K27" i="1" s="1"/>
  <c r="L27" i="1" s="1"/>
  <c r="K26" i="1"/>
  <c r="L26" i="1" s="1"/>
  <c r="J26" i="1"/>
  <c r="F26" i="1"/>
  <c r="E26" i="1"/>
  <c r="J25" i="1"/>
  <c r="K25" i="1" s="1"/>
  <c r="L25" i="1" s="1"/>
  <c r="I25" i="1"/>
  <c r="F25" i="1"/>
  <c r="E25" i="1"/>
  <c r="J24" i="1"/>
  <c r="E24" i="1"/>
  <c r="F24" i="1" s="1"/>
  <c r="K24" i="1" s="1"/>
  <c r="L24" i="1" s="1"/>
  <c r="K23" i="1"/>
  <c r="L23" i="1" s="1"/>
  <c r="I23" i="1"/>
  <c r="J23" i="1" s="1"/>
  <c r="F23" i="1"/>
  <c r="E23" i="1"/>
  <c r="J22" i="1"/>
  <c r="F22" i="1"/>
  <c r="K22" i="1" s="1"/>
  <c r="L22" i="1" s="1"/>
  <c r="E22" i="1"/>
  <c r="J21" i="1"/>
  <c r="E21" i="1"/>
  <c r="F21" i="1" s="1"/>
  <c r="K21" i="1" s="1"/>
  <c r="L21" i="1" s="1"/>
  <c r="J20" i="1"/>
  <c r="F20" i="1"/>
  <c r="K20" i="1" s="1"/>
  <c r="L20" i="1" s="1"/>
  <c r="E20" i="1"/>
  <c r="J19" i="1"/>
  <c r="E19" i="1"/>
  <c r="F19" i="1" s="1"/>
  <c r="K19" i="1" s="1"/>
  <c r="L19" i="1" s="1"/>
  <c r="J18" i="1"/>
  <c r="F18" i="1"/>
  <c r="K18" i="1" s="1"/>
  <c r="L18" i="1" s="1"/>
  <c r="E18" i="1"/>
  <c r="J17" i="1"/>
  <c r="E17" i="1"/>
  <c r="F17" i="1" s="1"/>
  <c r="K17" i="1" s="1"/>
  <c r="L17" i="1" s="1"/>
  <c r="J16" i="1"/>
  <c r="K16" i="1" s="1"/>
  <c r="L16" i="1" s="1"/>
  <c r="F16" i="1"/>
  <c r="E16" i="1"/>
  <c r="J15" i="1"/>
  <c r="E15" i="1"/>
  <c r="F15" i="1" s="1"/>
  <c r="K15" i="1" s="1"/>
  <c r="L15" i="1" s="1"/>
  <c r="K14" i="1"/>
  <c r="L14" i="1" s="1"/>
  <c r="J14" i="1"/>
  <c r="F14" i="1"/>
  <c r="E14" i="1"/>
  <c r="I13" i="1"/>
  <c r="J13" i="1" s="1"/>
  <c r="F13" i="1"/>
  <c r="E13" i="1"/>
  <c r="J12" i="1"/>
  <c r="I12" i="1"/>
  <c r="E12" i="1"/>
  <c r="F12" i="1" s="1"/>
  <c r="K12" i="1" s="1"/>
  <c r="L12" i="1" s="1"/>
  <c r="K11" i="1"/>
  <c r="L11" i="1" s="1"/>
  <c r="J11" i="1"/>
  <c r="I11" i="1"/>
  <c r="F11" i="1"/>
  <c r="E11" i="1"/>
  <c r="I10" i="1"/>
  <c r="J10" i="1" s="1"/>
  <c r="K10" i="1" s="1"/>
  <c r="L10" i="1" s="1"/>
  <c r="F10" i="1"/>
  <c r="E10" i="1"/>
  <c r="J9" i="1"/>
  <c r="E9" i="1"/>
  <c r="F9" i="1" s="1"/>
  <c r="K9" i="1" s="1"/>
  <c r="L9" i="1" s="1"/>
  <c r="L8" i="1"/>
  <c r="K8" i="1"/>
  <c r="I8" i="1"/>
  <c r="J8" i="1" s="1"/>
  <c r="F8" i="1"/>
  <c r="E8" i="1"/>
  <c r="J7" i="1"/>
  <c r="F7" i="1"/>
  <c r="K7" i="1" s="1"/>
  <c r="L7" i="1" s="1"/>
  <c r="E7" i="1"/>
  <c r="I6" i="1"/>
  <c r="J6" i="1" s="1"/>
  <c r="E6" i="1"/>
  <c r="E34" i="1" s="1"/>
  <c r="F44" i="26" l="1"/>
  <c r="K59" i="18"/>
  <c r="L59" i="18" s="1"/>
  <c r="L171" i="18"/>
  <c r="L292" i="18"/>
  <c r="K284" i="18"/>
  <c r="L273" i="18"/>
  <c r="K61" i="18"/>
  <c r="L61" i="18" s="1"/>
  <c r="E90" i="18"/>
  <c r="C28" i="26"/>
  <c r="F28" i="26" s="1"/>
  <c r="L72" i="18"/>
  <c r="L28" i="18"/>
  <c r="L35" i="20"/>
  <c r="K63" i="18"/>
  <c r="L63" i="18" s="1"/>
  <c r="K126" i="18"/>
  <c r="L126" i="18" s="1"/>
  <c r="K182" i="18"/>
  <c r="L182" i="18" s="1"/>
  <c r="K198" i="18"/>
  <c r="L198" i="18" s="1"/>
  <c r="K231" i="18"/>
  <c r="L231" i="18" s="1"/>
  <c r="F284" i="18"/>
  <c r="K297" i="18"/>
  <c r="L297" i="18" s="1"/>
  <c r="K63" i="19"/>
  <c r="L63" i="19" s="1"/>
  <c r="K91" i="19"/>
  <c r="L91" i="19" s="1"/>
  <c r="K98" i="19"/>
  <c r="L98" i="19" s="1"/>
  <c r="K113" i="19"/>
  <c r="L113" i="19" s="1"/>
  <c r="K132" i="19"/>
  <c r="L132" i="19" s="1"/>
  <c r="K139" i="19"/>
  <c r="L139" i="19" s="1"/>
  <c r="K193" i="19"/>
  <c r="L193" i="19" s="1"/>
  <c r="E118" i="20"/>
  <c r="K187" i="21"/>
  <c r="L187" i="21" s="1"/>
  <c r="K523" i="21"/>
  <c r="E536" i="21"/>
  <c r="C40" i="26" s="1"/>
  <c r="F40" i="26" s="1"/>
  <c r="K229" i="18"/>
  <c r="L229" i="18" s="1"/>
  <c r="L347" i="21"/>
  <c r="F188" i="18"/>
  <c r="L223" i="18"/>
  <c r="F260" i="18"/>
  <c r="E79" i="19"/>
  <c r="E118" i="19"/>
  <c r="K45" i="21"/>
  <c r="L45" i="21" s="1"/>
  <c r="F71" i="21"/>
  <c r="L487" i="21"/>
  <c r="K492" i="21"/>
  <c r="L492" i="21" s="1"/>
  <c r="L292" i="22"/>
  <c r="E238" i="18"/>
  <c r="F79" i="19"/>
  <c r="F87" i="19"/>
  <c r="F164" i="19"/>
  <c r="K126" i="19"/>
  <c r="F6" i="21"/>
  <c r="E36" i="21"/>
  <c r="E98" i="21"/>
  <c r="F77" i="21"/>
  <c r="L70" i="20"/>
  <c r="K101" i="20"/>
  <c r="L101" i="20" s="1"/>
  <c r="F118" i="20"/>
  <c r="K130" i="20"/>
  <c r="L130" i="20" s="1"/>
  <c r="L125" i="20"/>
  <c r="K254" i="20"/>
  <c r="L254" i="20" s="1"/>
  <c r="L247" i="20"/>
  <c r="F180" i="21"/>
  <c r="E207" i="21"/>
  <c r="K5" i="18"/>
  <c r="E164" i="18"/>
  <c r="F139" i="18"/>
  <c r="K142" i="19"/>
  <c r="L142" i="19" s="1"/>
  <c r="K191" i="19"/>
  <c r="E202" i="19"/>
  <c r="K29" i="18"/>
  <c r="L29" i="18" s="1"/>
  <c r="K99" i="18"/>
  <c r="L99" i="18" s="1"/>
  <c r="K245" i="18"/>
  <c r="K47" i="19"/>
  <c r="E306" i="19"/>
  <c r="F275" i="19"/>
  <c r="K275" i="19" s="1"/>
  <c r="L275" i="19" s="1"/>
  <c r="F93" i="20"/>
  <c r="K73" i="20"/>
  <c r="L73" i="20" s="1"/>
  <c r="K159" i="20"/>
  <c r="L159" i="20" s="1"/>
  <c r="L137" i="20"/>
  <c r="K192" i="20"/>
  <c r="L192" i="20" s="1"/>
  <c r="L185" i="20"/>
  <c r="L200" i="22"/>
  <c r="L47" i="18"/>
  <c r="K170" i="19"/>
  <c r="E132" i="18"/>
  <c r="C39" i="26" s="1"/>
  <c r="F39" i="26" s="1"/>
  <c r="E215" i="18"/>
  <c r="L207" i="19"/>
  <c r="E226" i="19"/>
  <c r="E22" i="18"/>
  <c r="K36" i="18"/>
  <c r="L36" i="18" s="1"/>
  <c r="K56" i="18"/>
  <c r="L56" i="18" s="1"/>
  <c r="K84" i="18"/>
  <c r="L84" i="18" s="1"/>
  <c r="K251" i="18"/>
  <c r="L251" i="18" s="1"/>
  <c r="K300" i="18"/>
  <c r="L300" i="18" s="1"/>
  <c r="K23" i="20"/>
  <c r="L23" i="20" s="1"/>
  <c r="K58" i="20"/>
  <c r="L58" i="20" s="1"/>
  <c r="F159" i="20"/>
  <c r="K138" i="20"/>
  <c r="L138" i="20" s="1"/>
  <c r="K145" i="18"/>
  <c r="L145" i="18" s="1"/>
  <c r="K156" i="18"/>
  <c r="L156" i="18" s="1"/>
  <c r="K199" i="18"/>
  <c r="L199" i="18" s="1"/>
  <c r="E284" i="18"/>
  <c r="K299" i="18"/>
  <c r="L299" i="18" s="1"/>
  <c r="K7" i="19"/>
  <c r="L7" i="19" s="1"/>
  <c r="K9" i="19"/>
  <c r="L9" i="19" s="1"/>
  <c r="K17" i="19"/>
  <c r="L17" i="19" s="1"/>
  <c r="K34" i="19"/>
  <c r="L34" i="19" s="1"/>
  <c r="E41" i="19"/>
  <c r="K90" i="19"/>
  <c r="L90" i="19" s="1"/>
  <c r="K94" i="19"/>
  <c r="L94" i="19" s="1"/>
  <c r="E164" i="19"/>
  <c r="K154" i="19"/>
  <c r="L154" i="19" s="1"/>
  <c r="K174" i="19"/>
  <c r="L174" i="19" s="1"/>
  <c r="K243" i="19"/>
  <c r="L243" i="19" s="1"/>
  <c r="K281" i="19"/>
  <c r="L281" i="19" s="1"/>
  <c r="K291" i="19"/>
  <c r="L291" i="19" s="1"/>
  <c r="K299" i="19"/>
  <c r="L299" i="19" s="1"/>
  <c r="K45" i="20"/>
  <c r="L45" i="20" s="1"/>
  <c r="E62" i="20"/>
  <c r="K85" i="20"/>
  <c r="L85" i="20" s="1"/>
  <c r="E178" i="20"/>
  <c r="K167" i="20"/>
  <c r="L167" i="20" s="1"/>
  <c r="F276" i="20"/>
  <c r="K285" i="20"/>
  <c r="L285" i="20" s="1"/>
  <c r="K288" i="20"/>
  <c r="K218" i="21"/>
  <c r="L218" i="21" s="1"/>
  <c r="K231" i="21"/>
  <c r="L231" i="21" s="1"/>
  <c r="L248" i="21"/>
  <c r="K263" i="21"/>
  <c r="L263" i="21" s="1"/>
  <c r="K298" i="21"/>
  <c r="L298" i="21" s="1"/>
  <c r="K303" i="21"/>
  <c r="L303" i="21" s="1"/>
  <c r="K326" i="21"/>
  <c r="L326" i="21" s="1"/>
  <c r="K565" i="21"/>
  <c r="L565" i="21" s="1"/>
  <c r="K601" i="21"/>
  <c r="E159" i="20"/>
  <c r="K202" i="20"/>
  <c r="L202" i="20" s="1"/>
  <c r="K204" i="20"/>
  <c r="L204" i="20" s="1"/>
  <c r="K276" i="20"/>
  <c r="L276" i="20" s="1"/>
  <c r="E71" i="21"/>
  <c r="K116" i="21"/>
  <c r="L116" i="21" s="1"/>
  <c r="K130" i="21"/>
  <c r="L130" i="21" s="1"/>
  <c r="K164" i="21"/>
  <c r="L164" i="21" s="1"/>
  <c r="F285" i="21"/>
  <c r="E314" i="21"/>
  <c r="E557" i="21"/>
  <c r="K544" i="21"/>
  <c r="L544" i="21" s="1"/>
  <c r="K563" i="21"/>
  <c r="F595" i="21"/>
  <c r="K619" i="21"/>
  <c r="L619" i="21" s="1"/>
  <c r="K84" i="22"/>
  <c r="E96" i="22"/>
  <c r="K286" i="22"/>
  <c r="L286" i="22" s="1"/>
  <c r="L269" i="22"/>
  <c r="F349" i="22"/>
  <c r="E356" i="22"/>
  <c r="E358" i="22" s="1"/>
  <c r="F268" i="19"/>
  <c r="E26" i="20"/>
  <c r="F6" i="20"/>
  <c r="K221" i="20"/>
  <c r="L221" i="20" s="1"/>
  <c r="L262" i="20"/>
  <c r="L44" i="21"/>
  <c r="L510" i="21"/>
  <c r="F148" i="22"/>
  <c r="K148" i="22" s="1"/>
  <c r="L148" i="22" s="1"/>
  <c r="E166" i="22"/>
  <c r="K268" i="19"/>
  <c r="L268" i="19" s="1"/>
  <c r="F130" i="20"/>
  <c r="K47" i="21"/>
  <c r="L47" i="21" s="1"/>
  <c r="E173" i="21"/>
  <c r="F150" i="21"/>
  <c r="L213" i="21"/>
  <c r="E381" i="21"/>
  <c r="K511" i="21"/>
  <c r="L511" i="21" s="1"/>
  <c r="E516" i="21"/>
  <c r="C38" i="26" s="1"/>
  <c r="F38" i="26" s="1"/>
  <c r="K125" i="22"/>
  <c r="L125" i="22" s="1"/>
  <c r="F256" i="22"/>
  <c r="K6" i="19"/>
  <c r="F41" i="19"/>
  <c r="K198" i="19"/>
  <c r="L198" i="19" s="1"/>
  <c r="F306" i="19"/>
  <c r="E93" i="20"/>
  <c r="E225" i="20"/>
  <c r="C19" i="26" s="1"/>
  <c r="F19" i="26" s="1"/>
  <c r="K207" i="20"/>
  <c r="L207" i="20" s="1"/>
  <c r="E242" i="21"/>
  <c r="F214" i="21"/>
  <c r="K214" i="21" s="1"/>
  <c r="L214" i="21" s="1"/>
  <c r="K265" i="21"/>
  <c r="L265" i="21" s="1"/>
  <c r="E413" i="21"/>
  <c r="E479" i="21"/>
  <c r="L499" i="21"/>
  <c r="E307" i="18"/>
  <c r="K293" i="18"/>
  <c r="L293" i="18" s="1"/>
  <c r="K208" i="19"/>
  <c r="L208" i="19" s="1"/>
  <c r="K178" i="20"/>
  <c r="L178" i="20" s="1"/>
  <c r="K350" i="21"/>
  <c r="L350" i="21" s="1"/>
  <c r="E391" i="21"/>
  <c r="C17" i="26" s="1"/>
  <c r="F17" i="26" s="1"/>
  <c r="K387" i="21"/>
  <c r="K413" i="21"/>
  <c r="L413" i="21" s="1"/>
  <c r="F500" i="21"/>
  <c r="K500" i="21" s="1"/>
  <c r="L500" i="21" s="1"/>
  <c r="E504" i="21"/>
  <c r="F603" i="21"/>
  <c r="K603" i="21" s="1"/>
  <c r="L603" i="21" s="1"/>
  <c r="E192" i="22"/>
  <c r="E194" i="22" s="1"/>
  <c r="K128" i="18"/>
  <c r="L128" i="18" s="1"/>
  <c r="K228" i="18"/>
  <c r="L228" i="18" s="1"/>
  <c r="E253" i="18"/>
  <c r="F246" i="18"/>
  <c r="K246" i="18" s="1"/>
  <c r="L246" i="18" s="1"/>
  <c r="K71" i="19"/>
  <c r="L71" i="19" s="1"/>
  <c r="K75" i="19"/>
  <c r="L75" i="19" s="1"/>
  <c r="K181" i="19"/>
  <c r="L181" i="19" s="1"/>
  <c r="K256" i="19"/>
  <c r="L256" i="19" s="1"/>
  <c r="K274" i="19"/>
  <c r="K37" i="20"/>
  <c r="L37" i="20" s="1"/>
  <c r="K41" i="20"/>
  <c r="L41" i="20" s="1"/>
  <c r="K100" i="20"/>
  <c r="K110" i="20"/>
  <c r="L110" i="20" s="1"/>
  <c r="L166" i="20"/>
  <c r="E192" i="20"/>
  <c r="K187" i="20"/>
  <c r="L187" i="20" s="1"/>
  <c r="K189" i="20"/>
  <c r="L189" i="20" s="1"/>
  <c r="K198" i="20"/>
  <c r="K210" i="20"/>
  <c r="L210" i="20" s="1"/>
  <c r="E241" i="20"/>
  <c r="C6" i="26" s="1"/>
  <c r="F6" i="26" s="1"/>
  <c r="K232" i="20"/>
  <c r="E288" i="20"/>
  <c r="K61" i="21"/>
  <c r="L61" i="21" s="1"/>
  <c r="K134" i="21"/>
  <c r="L134" i="21" s="1"/>
  <c r="K251" i="21"/>
  <c r="L251" i="21" s="1"/>
  <c r="K476" i="21"/>
  <c r="L476" i="21" s="1"/>
  <c r="K29" i="22"/>
  <c r="L29" i="22" s="1"/>
  <c r="L173" i="22"/>
  <c r="F175" i="22"/>
  <c r="K56" i="21"/>
  <c r="L56" i="21" s="1"/>
  <c r="K92" i="21"/>
  <c r="L92" i="21" s="1"/>
  <c r="K115" i="21"/>
  <c r="L115" i="21" s="1"/>
  <c r="K121" i="21"/>
  <c r="L121" i="21" s="1"/>
  <c r="K197" i="21"/>
  <c r="L197" i="21" s="1"/>
  <c r="K224" i="21"/>
  <c r="L224" i="21" s="1"/>
  <c r="F279" i="21"/>
  <c r="K250" i="21"/>
  <c r="L250" i="21" s="1"/>
  <c r="K300" i="21"/>
  <c r="L300" i="21" s="1"/>
  <c r="K309" i="21"/>
  <c r="L309" i="21" s="1"/>
  <c r="K337" i="21"/>
  <c r="L337" i="21" s="1"/>
  <c r="E459" i="21"/>
  <c r="F440" i="21"/>
  <c r="E492" i="21"/>
  <c r="C21" i="26" s="1"/>
  <c r="F21" i="26" s="1"/>
  <c r="K591" i="21"/>
  <c r="L591" i="21" s="1"/>
  <c r="K614" i="21"/>
  <c r="L614" i="21" s="1"/>
  <c r="K135" i="22"/>
  <c r="L135" i="22" s="1"/>
  <c r="K297" i="22"/>
  <c r="L297" i="22" s="1"/>
  <c r="K109" i="23"/>
  <c r="L109" i="23" s="1"/>
  <c r="K115" i="23"/>
  <c r="L115" i="23" s="1"/>
  <c r="K58" i="23"/>
  <c r="L58" i="23" s="1"/>
  <c r="K229" i="23"/>
  <c r="L229" i="23" s="1"/>
  <c r="F237" i="23"/>
  <c r="C47" i="26" s="1"/>
  <c r="F47" i="26" s="1"/>
  <c r="K246" i="23"/>
  <c r="L246" i="23" s="1"/>
  <c r="F275" i="23"/>
  <c r="E130" i="20"/>
  <c r="K127" i="21"/>
  <c r="L127" i="21" s="1"/>
  <c r="K577" i="21"/>
  <c r="L577" i="21" s="1"/>
  <c r="K588" i="21"/>
  <c r="L588" i="21" s="1"/>
  <c r="F621" i="21"/>
  <c r="C37" i="26" s="1"/>
  <c r="D37" i="26" s="1"/>
  <c r="K330" i="22"/>
  <c r="L320" i="22"/>
  <c r="F220" i="19"/>
  <c r="E276" i="20"/>
  <c r="K69" i="21"/>
  <c r="L69" i="21" s="1"/>
  <c r="K104" i="21"/>
  <c r="F142" i="21"/>
  <c r="F242" i="21"/>
  <c r="E340" i="21"/>
  <c r="C15" i="26" s="1"/>
  <c r="F15" i="26" s="1"/>
  <c r="L367" i="21"/>
  <c r="K433" i="21"/>
  <c r="L433" i="21" s="1"/>
  <c r="E595" i="21"/>
  <c r="K5" i="22"/>
  <c r="E19" i="22"/>
  <c r="E116" i="22"/>
  <c r="E118" i="22" s="1"/>
  <c r="F41" i="23"/>
  <c r="K18" i="23"/>
  <c r="L18" i="23" s="1"/>
  <c r="K117" i="21"/>
  <c r="L117" i="21" s="1"/>
  <c r="K186" i="21"/>
  <c r="L186" i="21" s="1"/>
  <c r="E279" i="21"/>
  <c r="K320" i="21"/>
  <c r="K422" i="21"/>
  <c r="L422" i="21" s="1"/>
  <c r="E433" i="21"/>
  <c r="K425" i="21"/>
  <c r="L425" i="21" s="1"/>
  <c r="K457" i="21"/>
  <c r="L457" i="21" s="1"/>
  <c r="K489" i="21"/>
  <c r="L489" i="21" s="1"/>
  <c r="F504" i="21"/>
  <c r="K527" i="21"/>
  <c r="L527" i="21" s="1"/>
  <c r="K593" i="21"/>
  <c r="L593" i="21" s="1"/>
  <c r="L613" i="21"/>
  <c r="K112" i="22"/>
  <c r="L112" i="22" s="1"/>
  <c r="E225" i="22"/>
  <c r="E227" i="22" s="1"/>
  <c r="K207" i="22"/>
  <c r="L207" i="22" s="1"/>
  <c r="E286" i="22"/>
  <c r="K302" i="22"/>
  <c r="L302" i="22" s="1"/>
  <c r="K179" i="21"/>
  <c r="K349" i="21"/>
  <c r="L349" i="21" s="1"/>
  <c r="K372" i="21"/>
  <c r="L372" i="21" s="1"/>
  <c r="K402" i="21"/>
  <c r="L402" i="21" s="1"/>
  <c r="K424" i="21"/>
  <c r="L424" i="21" s="1"/>
  <c r="K441" i="21"/>
  <c r="L441" i="21" s="1"/>
  <c r="K564" i="21"/>
  <c r="L564" i="21" s="1"/>
  <c r="K580" i="21"/>
  <c r="L580" i="21" s="1"/>
  <c r="K615" i="21"/>
  <c r="L615" i="21" s="1"/>
  <c r="K26" i="22"/>
  <c r="K33" i="22"/>
  <c r="L33" i="22" s="1"/>
  <c r="K154" i="22"/>
  <c r="L154" i="22" s="1"/>
  <c r="K161" i="22"/>
  <c r="L161" i="22" s="1"/>
  <c r="E246" i="22"/>
  <c r="K242" i="22"/>
  <c r="L242" i="22" s="1"/>
  <c r="K10" i="23"/>
  <c r="L10" i="23" s="1"/>
  <c r="K14" i="23"/>
  <c r="L14" i="23" s="1"/>
  <c r="K36" i="23"/>
  <c r="L36" i="23" s="1"/>
  <c r="K76" i="23"/>
  <c r="L76" i="23" s="1"/>
  <c r="K96" i="23"/>
  <c r="L96" i="23" s="1"/>
  <c r="K173" i="23"/>
  <c r="L173" i="23" s="1"/>
  <c r="E142" i="21"/>
  <c r="K108" i="22"/>
  <c r="L108" i="22" s="1"/>
  <c r="E312" i="22"/>
  <c r="F293" i="22"/>
  <c r="F166" i="22"/>
  <c r="F225" i="22"/>
  <c r="K29" i="23"/>
  <c r="L29" i="23" s="1"/>
  <c r="F81" i="23"/>
  <c r="L168" i="23"/>
  <c r="K225" i="23"/>
  <c r="L225" i="23" s="1"/>
  <c r="K543" i="21"/>
  <c r="K627" i="21"/>
  <c r="K28" i="22"/>
  <c r="L28" i="22" s="1"/>
  <c r="K40" i="22"/>
  <c r="L40" i="22" s="1"/>
  <c r="K42" i="22"/>
  <c r="L42" i="22" s="1"/>
  <c r="K206" i="22"/>
  <c r="L206" i="22" s="1"/>
  <c r="K244" i="22"/>
  <c r="L244" i="22" s="1"/>
  <c r="K38" i="23"/>
  <c r="L38" i="23" s="1"/>
  <c r="K132" i="23"/>
  <c r="L132" i="23" s="1"/>
  <c r="K271" i="23"/>
  <c r="L271" i="23" s="1"/>
  <c r="K155" i="22"/>
  <c r="L155" i="22" s="1"/>
  <c r="E343" i="22"/>
  <c r="L343" i="22" s="1"/>
  <c r="K93" i="23"/>
  <c r="L93" i="23" s="1"/>
  <c r="K154" i="23"/>
  <c r="L154" i="23" s="1"/>
  <c r="K248" i="23"/>
  <c r="L248" i="23" s="1"/>
  <c r="K257" i="23"/>
  <c r="L257" i="23" s="1"/>
  <c r="K50" i="24"/>
  <c r="L50" i="24" s="1"/>
  <c r="K69" i="24"/>
  <c r="L69" i="24" s="1"/>
  <c r="F81" i="24"/>
  <c r="K6" i="24"/>
  <c r="F22" i="24"/>
  <c r="F70" i="25"/>
  <c r="K49" i="25"/>
  <c r="E77" i="22"/>
  <c r="E121" i="23"/>
  <c r="E162" i="23"/>
  <c r="E218" i="23"/>
  <c r="K206" i="23"/>
  <c r="L206" i="23" s="1"/>
  <c r="K322" i="23"/>
  <c r="E329" i="23"/>
  <c r="E22" i="24"/>
  <c r="E49" i="22"/>
  <c r="K107" i="22"/>
  <c r="L107" i="22" s="1"/>
  <c r="E330" i="22"/>
  <c r="C7" i="26" s="1"/>
  <c r="F7" i="26" s="1"/>
  <c r="K16" i="23"/>
  <c r="L16" i="23" s="1"/>
  <c r="E41" i="23"/>
  <c r="F89" i="23"/>
  <c r="F129" i="23"/>
  <c r="K133" i="23"/>
  <c r="L133" i="23" s="1"/>
  <c r="K188" i="23"/>
  <c r="L188" i="23" s="1"/>
  <c r="K284" i="23"/>
  <c r="L284" i="23" s="1"/>
  <c r="E355" i="23"/>
  <c r="C29" i="26" s="1"/>
  <c r="F29" i="26" s="1"/>
  <c r="K335" i="23"/>
  <c r="K135" i="24"/>
  <c r="L135" i="24" s="1"/>
  <c r="L114" i="24"/>
  <c r="K56" i="22"/>
  <c r="K280" i="22"/>
  <c r="L280" i="22" s="1"/>
  <c r="K6" i="23"/>
  <c r="K169" i="23"/>
  <c r="L169" i="23" s="1"/>
  <c r="K47" i="24"/>
  <c r="L47" i="24" s="1"/>
  <c r="K263" i="23"/>
  <c r="L263" i="23" s="1"/>
  <c r="K268" i="23"/>
  <c r="L268" i="23" s="1"/>
  <c r="K311" i="23"/>
  <c r="L311" i="23" s="1"/>
  <c r="K8" i="24"/>
  <c r="L8" i="24" s="1"/>
  <c r="K52" i="24"/>
  <c r="L52" i="24" s="1"/>
  <c r="K99" i="24"/>
  <c r="L99" i="24" s="1"/>
  <c r="K59" i="25"/>
  <c r="L59" i="25" s="1"/>
  <c r="E314" i="23"/>
  <c r="K183" i="23"/>
  <c r="K194" i="23"/>
  <c r="L194" i="23" s="1"/>
  <c r="K212" i="23"/>
  <c r="L212" i="23" s="1"/>
  <c r="K258" i="23"/>
  <c r="L258" i="23" s="1"/>
  <c r="K291" i="23"/>
  <c r="L291" i="23" s="1"/>
  <c r="L67" i="24"/>
  <c r="K101" i="24"/>
  <c r="L101" i="24" s="1"/>
  <c r="E81" i="23"/>
  <c r="K55" i="23"/>
  <c r="L55" i="23" s="1"/>
  <c r="K95" i="23"/>
  <c r="L95" i="23" s="1"/>
  <c r="K207" i="23"/>
  <c r="L207" i="23" s="1"/>
  <c r="K226" i="23"/>
  <c r="L226" i="23" s="1"/>
  <c r="L245" i="23"/>
  <c r="K254" i="23"/>
  <c r="L254" i="23" s="1"/>
  <c r="K281" i="23"/>
  <c r="F314" i="23"/>
  <c r="F30" i="24"/>
  <c r="E61" i="24"/>
  <c r="K37" i="24"/>
  <c r="L37" i="24" s="1"/>
  <c r="K55" i="24"/>
  <c r="L55" i="24" s="1"/>
  <c r="L140" i="24"/>
  <c r="K145" i="24"/>
  <c r="K232" i="23"/>
  <c r="L232" i="23" s="1"/>
  <c r="K262" i="23"/>
  <c r="L262" i="23" s="1"/>
  <c r="E275" i="23"/>
  <c r="K287" i="23"/>
  <c r="L287" i="23" s="1"/>
  <c r="K46" i="24"/>
  <c r="L46" i="24" s="1"/>
  <c r="K77" i="24"/>
  <c r="L77" i="24" s="1"/>
  <c r="K92" i="24"/>
  <c r="L92" i="24" s="1"/>
  <c r="K7" i="25"/>
  <c r="L7" i="25" s="1"/>
  <c r="K100" i="25"/>
  <c r="L100" i="25" s="1"/>
  <c r="K103" i="25"/>
  <c r="L103" i="25" s="1"/>
  <c r="K106" i="25"/>
  <c r="L106" i="25" s="1"/>
  <c r="K120" i="25"/>
  <c r="L120" i="25" s="1"/>
  <c r="K130" i="24"/>
  <c r="L130" i="24" s="1"/>
  <c r="E70" i="25"/>
  <c r="F41" i="25"/>
  <c r="F174" i="25"/>
  <c r="K169" i="25"/>
  <c r="F209" i="25"/>
  <c r="K74" i="24"/>
  <c r="L74" i="24" s="1"/>
  <c r="K88" i="24"/>
  <c r="E107" i="24"/>
  <c r="F76" i="25"/>
  <c r="E88" i="25"/>
  <c r="E161" i="25"/>
  <c r="E237" i="25"/>
  <c r="K215" i="25"/>
  <c r="E338" i="25"/>
  <c r="K326" i="25"/>
  <c r="E388" i="25"/>
  <c r="K372" i="25"/>
  <c r="L396" i="25"/>
  <c r="K218" i="23"/>
  <c r="L218" i="23" s="1"/>
  <c r="F94" i="25"/>
  <c r="E134" i="25"/>
  <c r="F142" i="25"/>
  <c r="K213" i="23"/>
  <c r="L213" i="23" s="1"/>
  <c r="E237" i="23"/>
  <c r="K250" i="23"/>
  <c r="L250" i="23" s="1"/>
  <c r="K11" i="24"/>
  <c r="L11" i="24" s="1"/>
  <c r="K103" i="24"/>
  <c r="L103" i="24" s="1"/>
  <c r="K118" i="24"/>
  <c r="L118" i="24" s="1"/>
  <c r="K141" i="24"/>
  <c r="L141" i="24" s="1"/>
  <c r="E145" i="24"/>
  <c r="K17" i="25"/>
  <c r="L17" i="25" s="1"/>
  <c r="K191" i="25"/>
  <c r="L191" i="25" s="1"/>
  <c r="K259" i="25"/>
  <c r="L259" i="25" s="1"/>
  <c r="K72" i="24"/>
  <c r="L72" i="24" s="1"/>
  <c r="E81" i="24"/>
  <c r="K96" i="24"/>
  <c r="L96" i="24" s="1"/>
  <c r="K6" i="25"/>
  <c r="K127" i="25"/>
  <c r="L127" i="25" s="1"/>
  <c r="K145" i="25"/>
  <c r="L145" i="25" s="1"/>
  <c r="K171" i="25"/>
  <c r="L171" i="25" s="1"/>
  <c r="L181" i="25"/>
  <c r="K203" i="25"/>
  <c r="L203" i="25" s="1"/>
  <c r="K217" i="25"/>
  <c r="L217" i="25" s="1"/>
  <c r="F320" i="25"/>
  <c r="C5" i="26" s="1"/>
  <c r="F5" i="26" s="1"/>
  <c r="K312" i="25"/>
  <c r="K154" i="25"/>
  <c r="L154" i="25" s="1"/>
  <c r="E174" i="25"/>
  <c r="K231" i="25"/>
  <c r="L231" i="25" s="1"/>
  <c r="E262" i="25"/>
  <c r="K243" i="25"/>
  <c r="K285" i="25"/>
  <c r="L285" i="25" s="1"/>
  <c r="E41" i="25"/>
  <c r="K111" i="25"/>
  <c r="L111" i="25" s="1"/>
  <c r="E272" i="25"/>
  <c r="K268" i="25"/>
  <c r="E366" i="25"/>
  <c r="K348" i="25"/>
  <c r="K98" i="24"/>
  <c r="L98" i="24" s="1"/>
  <c r="K77" i="25"/>
  <c r="L77" i="25" s="1"/>
  <c r="K115" i="25"/>
  <c r="L115" i="25" s="1"/>
  <c r="E209" i="25"/>
  <c r="K198" i="25"/>
  <c r="L198" i="25" s="1"/>
  <c r="K207" i="25"/>
  <c r="L207" i="25" s="1"/>
  <c r="K283" i="25"/>
  <c r="L283" i="25" s="1"/>
  <c r="E320" i="25"/>
  <c r="K246" i="25"/>
  <c r="L246" i="25" s="1"/>
  <c r="E306" i="25"/>
  <c r="K383" i="25"/>
  <c r="L383" i="25" s="1"/>
  <c r="K397" i="25"/>
  <c r="L397" i="25" s="1"/>
  <c r="E401" i="25"/>
  <c r="C48" i="26" s="1"/>
  <c r="F48" i="26" s="1"/>
  <c r="K229" i="25"/>
  <c r="L229" i="25" s="1"/>
  <c r="K244" i="25"/>
  <c r="L244" i="25" s="1"/>
  <c r="K258" i="25"/>
  <c r="L258" i="25" s="1"/>
  <c r="K260" i="25"/>
  <c r="L260" i="25" s="1"/>
  <c r="E291" i="25"/>
  <c r="F280" i="25"/>
  <c r="K364" i="25"/>
  <c r="L364" i="25" s="1"/>
  <c r="K193" i="25"/>
  <c r="L193" i="25" s="1"/>
  <c r="K297" i="25"/>
  <c r="K328" i="25"/>
  <c r="L328" i="25" s="1"/>
  <c r="K199" i="25"/>
  <c r="L199" i="25" s="1"/>
  <c r="K234" i="25"/>
  <c r="L234" i="25" s="1"/>
  <c r="K362" i="25"/>
  <c r="L362" i="25" s="1"/>
  <c r="K223" i="25"/>
  <c r="L223" i="25" s="1"/>
  <c r="K317" i="25"/>
  <c r="L317" i="25" s="1"/>
  <c r="K225" i="25"/>
  <c r="L225" i="25" s="1"/>
  <c r="K248" i="25"/>
  <c r="L248" i="25" s="1"/>
  <c r="K330" i="25"/>
  <c r="L330" i="25" s="1"/>
  <c r="K374" i="25"/>
  <c r="L374" i="25" s="1"/>
  <c r="K164" i="14"/>
  <c r="L164" i="14" s="1"/>
  <c r="F174" i="14"/>
  <c r="L44" i="14"/>
  <c r="K59" i="14"/>
  <c r="L59" i="14" s="1"/>
  <c r="K229" i="14"/>
  <c r="F239" i="14"/>
  <c r="E59" i="14"/>
  <c r="K116" i="14"/>
  <c r="L116" i="14" s="1"/>
  <c r="K161" i="14"/>
  <c r="L161" i="14" s="1"/>
  <c r="E174" i="14"/>
  <c r="E222" i="14"/>
  <c r="E239" i="14"/>
  <c r="K249" i="14"/>
  <c r="L249" i="14" s="1"/>
  <c r="K291" i="14"/>
  <c r="L291" i="14" s="1"/>
  <c r="L287" i="14"/>
  <c r="K34" i="15"/>
  <c r="L34" i="15" s="1"/>
  <c r="K94" i="15"/>
  <c r="F125" i="15"/>
  <c r="F169" i="15"/>
  <c r="K133" i="15"/>
  <c r="F194" i="15"/>
  <c r="K110" i="14"/>
  <c r="L110" i="14" s="1"/>
  <c r="E130" i="14"/>
  <c r="K138" i="14"/>
  <c r="L138" i="14" s="1"/>
  <c r="F153" i="14"/>
  <c r="L7" i="14"/>
  <c r="E81" i="14"/>
  <c r="K65" i="14"/>
  <c r="K68" i="14"/>
  <c r="L68" i="14" s="1"/>
  <c r="K146" i="14"/>
  <c r="L146" i="14" s="1"/>
  <c r="K166" i="14"/>
  <c r="L166" i="14" s="1"/>
  <c r="K100" i="15"/>
  <c r="L100" i="15" s="1"/>
  <c r="K161" i="15"/>
  <c r="L161" i="15" s="1"/>
  <c r="L6" i="16"/>
  <c r="K34" i="16"/>
  <c r="L34" i="16" s="1"/>
  <c r="K103" i="14"/>
  <c r="K181" i="14"/>
  <c r="L246" i="14"/>
  <c r="L203" i="15"/>
  <c r="L54" i="16"/>
  <c r="E258" i="14"/>
  <c r="K247" i="14"/>
  <c r="L247" i="14" s="1"/>
  <c r="L175" i="15"/>
  <c r="E23" i="14"/>
  <c r="K52" i="14"/>
  <c r="L52" i="14" s="1"/>
  <c r="L87" i="14"/>
  <c r="E103" i="14"/>
  <c r="K118" i="14"/>
  <c r="L118" i="14" s="1"/>
  <c r="K142" i="14"/>
  <c r="L142" i="14" s="1"/>
  <c r="K172" i="14"/>
  <c r="L172" i="14" s="1"/>
  <c r="K188" i="14"/>
  <c r="L188" i="14" s="1"/>
  <c r="K216" i="14"/>
  <c r="L216" i="14" s="1"/>
  <c r="K232" i="14"/>
  <c r="L232" i="14" s="1"/>
  <c r="K267" i="14"/>
  <c r="L267" i="14" s="1"/>
  <c r="K277" i="14"/>
  <c r="L277" i="14" s="1"/>
  <c r="K70" i="15"/>
  <c r="L70" i="15" s="1"/>
  <c r="K123" i="15"/>
  <c r="L123" i="15" s="1"/>
  <c r="K247" i="15"/>
  <c r="L247" i="15" s="1"/>
  <c r="K15" i="14"/>
  <c r="L15" i="14" s="1"/>
  <c r="E198" i="14"/>
  <c r="F182" i="14"/>
  <c r="K182" i="14" s="1"/>
  <c r="L182" i="14" s="1"/>
  <c r="K191" i="14"/>
  <c r="L191" i="14" s="1"/>
  <c r="K316" i="14"/>
  <c r="E36" i="14"/>
  <c r="K29" i="14"/>
  <c r="K100" i="14"/>
  <c r="L100" i="14" s="1"/>
  <c r="K153" i="14"/>
  <c r="L153" i="14" s="1"/>
  <c r="L137" i="14"/>
  <c r="K170" i="14"/>
  <c r="L170" i="14" s="1"/>
  <c r="E316" i="14"/>
  <c r="K105" i="15"/>
  <c r="L105" i="15" s="1"/>
  <c r="K185" i="15"/>
  <c r="L185" i="15" s="1"/>
  <c r="K278" i="15"/>
  <c r="L278" i="15" s="1"/>
  <c r="F39" i="17"/>
  <c r="K24" i="15"/>
  <c r="L24" i="15" s="1"/>
  <c r="K116" i="15"/>
  <c r="L116" i="15" s="1"/>
  <c r="K176" i="15"/>
  <c r="L176" i="15" s="1"/>
  <c r="E305" i="15"/>
  <c r="K597" i="17"/>
  <c r="E638" i="17"/>
  <c r="K15" i="15"/>
  <c r="L15" i="15" s="1"/>
  <c r="K26" i="15"/>
  <c r="L26" i="15" s="1"/>
  <c r="K51" i="15"/>
  <c r="L51" i="15" s="1"/>
  <c r="K57" i="15"/>
  <c r="L57" i="15" s="1"/>
  <c r="K78" i="15"/>
  <c r="L78" i="15" s="1"/>
  <c r="E125" i="15"/>
  <c r="E169" i="15"/>
  <c r="K226" i="15"/>
  <c r="L226" i="15" s="1"/>
  <c r="K258" i="15"/>
  <c r="L258" i="15" s="1"/>
  <c r="F274" i="15"/>
  <c r="K285" i="15"/>
  <c r="L285" i="15" s="1"/>
  <c r="K7" i="16"/>
  <c r="L7" i="16" s="1"/>
  <c r="K23" i="16"/>
  <c r="L23" i="16" s="1"/>
  <c r="F34" i="16"/>
  <c r="K84" i="16"/>
  <c r="L84" i="16" s="1"/>
  <c r="K87" i="16"/>
  <c r="L87" i="16" s="1"/>
  <c r="K245" i="16"/>
  <c r="E252" i="16"/>
  <c r="K7" i="17"/>
  <c r="L7" i="17" s="1"/>
  <c r="K220" i="15"/>
  <c r="L220" i="15" s="1"/>
  <c r="K250" i="15"/>
  <c r="L250" i="15" s="1"/>
  <c r="K290" i="15"/>
  <c r="L290" i="15" s="1"/>
  <c r="K297" i="15"/>
  <c r="L297" i="15" s="1"/>
  <c r="K16" i="16"/>
  <c r="L16" i="16" s="1"/>
  <c r="K51" i="16"/>
  <c r="L51" i="16" s="1"/>
  <c r="E110" i="16"/>
  <c r="K97" i="16"/>
  <c r="L97" i="16" s="1"/>
  <c r="F68" i="16"/>
  <c r="F110" i="16"/>
  <c r="K76" i="16"/>
  <c r="E220" i="16"/>
  <c r="E86" i="15"/>
  <c r="K79" i="15"/>
  <c r="L79" i="15" s="1"/>
  <c r="K117" i="15"/>
  <c r="L117" i="15" s="1"/>
  <c r="K137" i="15"/>
  <c r="L137" i="15" s="1"/>
  <c r="K146" i="15"/>
  <c r="L146" i="15" s="1"/>
  <c r="K224" i="15"/>
  <c r="L224" i="15" s="1"/>
  <c r="E228" i="15"/>
  <c r="K17" i="16"/>
  <c r="L17" i="16" s="1"/>
  <c r="K47" i="16"/>
  <c r="L47" i="16" s="1"/>
  <c r="K85" i="16"/>
  <c r="L85" i="16" s="1"/>
  <c r="K95" i="16"/>
  <c r="L95" i="16" s="1"/>
  <c r="F117" i="16"/>
  <c r="E112" i="17"/>
  <c r="E281" i="14"/>
  <c r="K265" i="14"/>
  <c r="F86" i="15"/>
  <c r="K48" i="15"/>
  <c r="K180" i="15"/>
  <c r="L180" i="15" s="1"/>
  <c r="K262" i="15"/>
  <c r="L262" i="15" s="1"/>
  <c r="E34" i="16"/>
  <c r="K43" i="16"/>
  <c r="L43" i="16" s="1"/>
  <c r="K66" i="16"/>
  <c r="L66" i="16" s="1"/>
  <c r="K198" i="16"/>
  <c r="L198" i="16" s="1"/>
  <c r="E239" i="16"/>
  <c r="F226" i="16"/>
  <c r="E42" i="15"/>
  <c r="K8" i="15"/>
  <c r="L8" i="15" s="1"/>
  <c r="K10" i="15"/>
  <c r="L10" i="15" s="1"/>
  <c r="K106" i="15"/>
  <c r="L106" i="15" s="1"/>
  <c r="K242" i="15"/>
  <c r="L242" i="15" s="1"/>
  <c r="K291" i="15"/>
  <c r="L291" i="15" s="1"/>
  <c r="K11" i="16"/>
  <c r="L11" i="16" s="1"/>
  <c r="K58" i="16"/>
  <c r="L58" i="16" s="1"/>
  <c r="K77" i="16"/>
  <c r="L77" i="16" s="1"/>
  <c r="K93" i="16"/>
  <c r="L93" i="16" s="1"/>
  <c r="K107" i="16"/>
  <c r="L107" i="16" s="1"/>
  <c r="K146" i="16"/>
  <c r="L146" i="16" s="1"/>
  <c r="E39" i="17"/>
  <c r="K15" i="17"/>
  <c r="L15" i="17" s="1"/>
  <c r="K18" i="17"/>
  <c r="L18" i="17" s="1"/>
  <c r="E211" i="15"/>
  <c r="K119" i="16"/>
  <c r="L119" i="16" s="1"/>
  <c r="K139" i="16"/>
  <c r="L139" i="16" s="1"/>
  <c r="K154" i="16"/>
  <c r="L154" i="16" s="1"/>
  <c r="K286" i="16"/>
  <c r="L286" i="16" s="1"/>
  <c r="K12" i="17"/>
  <c r="L12" i="17" s="1"/>
  <c r="K71" i="17"/>
  <c r="L71" i="17" s="1"/>
  <c r="K89" i="17"/>
  <c r="L89" i="17" s="1"/>
  <c r="K132" i="17"/>
  <c r="L132" i="17" s="1"/>
  <c r="E193" i="17"/>
  <c r="F164" i="17"/>
  <c r="K233" i="17"/>
  <c r="L233" i="17" s="1"/>
  <c r="E303" i="17"/>
  <c r="F267" i="17"/>
  <c r="E529" i="17"/>
  <c r="F522" i="17"/>
  <c r="E179" i="16"/>
  <c r="E191" i="16"/>
  <c r="K79" i="17"/>
  <c r="F112" i="17"/>
  <c r="F156" i="17"/>
  <c r="K118" i="17"/>
  <c r="K428" i="17"/>
  <c r="E435" i="17"/>
  <c r="F457" i="17"/>
  <c r="K442" i="17"/>
  <c r="F6" i="15"/>
  <c r="E268" i="15"/>
  <c r="E68" i="16"/>
  <c r="F132" i="16"/>
  <c r="E158" i="16"/>
  <c r="F47" i="17"/>
  <c r="E73" i="17"/>
  <c r="E194" i="15"/>
  <c r="K204" i="15"/>
  <c r="L204" i="15" s="1"/>
  <c r="F235" i="15"/>
  <c r="K145" i="16"/>
  <c r="L145" i="16" s="1"/>
  <c r="K165" i="16"/>
  <c r="K186" i="16"/>
  <c r="K272" i="16"/>
  <c r="L272" i="16" s="1"/>
  <c r="K27" i="17"/>
  <c r="L27" i="17" s="1"/>
  <c r="K92" i="17"/>
  <c r="L92" i="17" s="1"/>
  <c r="K232" i="17"/>
  <c r="L232" i="17" s="1"/>
  <c r="K275" i="16"/>
  <c r="L275" i="16" s="1"/>
  <c r="K106" i="17"/>
  <c r="L106" i="17" s="1"/>
  <c r="K189" i="17"/>
  <c r="L189" i="17" s="1"/>
  <c r="K327" i="17"/>
  <c r="L327" i="17" s="1"/>
  <c r="K287" i="17"/>
  <c r="L287" i="17" s="1"/>
  <c r="E516" i="17"/>
  <c r="K510" i="17"/>
  <c r="L510" i="17" s="1"/>
  <c r="L488" i="17"/>
  <c r="K539" i="17"/>
  <c r="L539" i="17" s="1"/>
  <c r="K561" i="17"/>
  <c r="L545" i="17"/>
  <c r="K213" i="16"/>
  <c r="L213" i="16" s="1"/>
  <c r="K199" i="17"/>
  <c r="F222" i="17"/>
  <c r="K207" i="17"/>
  <c r="L207" i="17" s="1"/>
  <c r="E261" i="17"/>
  <c r="F229" i="17"/>
  <c r="K251" i="17"/>
  <c r="L251" i="17" s="1"/>
  <c r="K273" i="17"/>
  <c r="L273" i="17" s="1"/>
  <c r="K314" i="17"/>
  <c r="L314" i="17" s="1"/>
  <c r="L348" i="17"/>
  <c r="L535" i="17"/>
  <c r="E295" i="16"/>
  <c r="K29" i="17"/>
  <c r="L29" i="17" s="1"/>
  <c r="K65" i="17"/>
  <c r="L65" i="17" s="1"/>
  <c r="K243" i="17"/>
  <c r="L243" i="17" s="1"/>
  <c r="K207" i="16"/>
  <c r="L207" i="16" s="1"/>
  <c r="K209" i="16"/>
  <c r="L209" i="16" s="1"/>
  <c r="K249" i="16"/>
  <c r="L249" i="16" s="1"/>
  <c r="K267" i="16"/>
  <c r="L267" i="16" s="1"/>
  <c r="F284" i="16"/>
  <c r="K152" i="17"/>
  <c r="L152" i="17" s="1"/>
  <c r="E222" i="17"/>
  <c r="K252" i="17"/>
  <c r="L252" i="17" s="1"/>
  <c r="K282" i="17"/>
  <c r="L282" i="17" s="1"/>
  <c r="E502" i="17"/>
  <c r="K284" i="17"/>
  <c r="L284" i="17" s="1"/>
  <c r="K289" i="17"/>
  <c r="L289" i="17" s="1"/>
  <c r="K295" i="17"/>
  <c r="L295" i="17" s="1"/>
  <c r="K300" i="17"/>
  <c r="L300" i="17" s="1"/>
  <c r="E342" i="17"/>
  <c r="F309" i="17"/>
  <c r="K356" i="17"/>
  <c r="L356" i="17" s="1"/>
  <c r="K453" i="17"/>
  <c r="L453" i="17" s="1"/>
  <c r="K269" i="16"/>
  <c r="L269" i="16" s="1"/>
  <c r="K288" i="17"/>
  <c r="L288" i="17" s="1"/>
  <c r="K299" i="17"/>
  <c r="L299" i="17" s="1"/>
  <c r="K413" i="17"/>
  <c r="L413" i="17" s="1"/>
  <c r="E420" i="17"/>
  <c r="K433" i="17"/>
  <c r="L433" i="17" s="1"/>
  <c r="K491" i="17"/>
  <c r="L491" i="17" s="1"/>
  <c r="K122" i="17"/>
  <c r="L122" i="17" s="1"/>
  <c r="K257" i="17"/>
  <c r="L257" i="17" s="1"/>
  <c r="K259" i="17"/>
  <c r="L259" i="17" s="1"/>
  <c r="K270" i="17"/>
  <c r="L270" i="17" s="1"/>
  <c r="K294" i="17"/>
  <c r="L294" i="17" s="1"/>
  <c r="E405" i="17"/>
  <c r="K324" i="17"/>
  <c r="L324" i="17" s="1"/>
  <c r="K398" i="17"/>
  <c r="L398" i="17" s="1"/>
  <c r="E457" i="17"/>
  <c r="K586" i="17"/>
  <c r="E591" i="17"/>
  <c r="K321" i="17"/>
  <c r="L321" i="17" s="1"/>
  <c r="K394" i="17"/>
  <c r="L394" i="17" s="1"/>
  <c r="K416" i="17"/>
  <c r="L416" i="17" s="1"/>
  <c r="K493" i="17"/>
  <c r="L493" i="17" s="1"/>
  <c r="L509" i="17"/>
  <c r="K579" i="17"/>
  <c r="L567" i="17"/>
  <c r="F598" i="17"/>
  <c r="K598" i="17" s="1"/>
  <c r="L598" i="17" s="1"/>
  <c r="E622" i="17"/>
  <c r="E579" i="17"/>
  <c r="K319" i="17"/>
  <c r="L319" i="17" s="1"/>
  <c r="K360" i="17"/>
  <c r="L360" i="17" s="1"/>
  <c r="K372" i="17"/>
  <c r="L372" i="17" s="1"/>
  <c r="K396" i="17"/>
  <c r="L396" i="17" s="1"/>
  <c r="K399" i="17"/>
  <c r="L399" i="17" s="1"/>
  <c r="K411" i="17"/>
  <c r="L463" i="17"/>
  <c r="K478" i="17"/>
  <c r="L478" i="17" s="1"/>
  <c r="E482" i="17"/>
  <c r="K499" i="17"/>
  <c r="L499" i="17" s="1"/>
  <c r="K512" i="17"/>
  <c r="L512" i="17" s="1"/>
  <c r="E561" i="17"/>
  <c r="K571" i="17"/>
  <c r="L571" i="17" s="1"/>
  <c r="K628" i="17"/>
  <c r="F638" i="17"/>
  <c r="K371" i="17"/>
  <c r="K568" i="17"/>
  <c r="L568" i="17" s="1"/>
  <c r="L367" i="3"/>
  <c r="K92" i="1"/>
  <c r="L92" i="1" s="1"/>
  <c r="K88" i="1"/>
  <c r="L88" i="1" s="1"/>
  <c r="F102" i="1"/>
  <c r="K108" i="3"/>
  <c r="L108" i="3" s="1"/>
  <c r="F137" i="3"/>
  <c r="L267" i="1"/>
  <c r="K13" i="1"/>
  <c r="L13" i="1" s="1"/>
  <c r="F81" i="1"/>
  <c r="E81" i="1"/>
  <c r="K203" i="1"/>
  <c r="E340" i="1"/>
  <c r="K49" i="1"/>
  <c r="L49" i="1" s="1"/>
  <c r="K181" i="1"/>
  <c r="L181" i="1" s="1"/>
  <c r="E238" i="1"/>
  <c r="F227" i="1"/>
  <c r="K235" i="1"/>
  <c r="L235" i="1" s="1"/>
  <c r="K247" i="1"/>
  <c r="L247" i="1" s="1"/>
  <c r="K269" i="1"/>
  <c r="L269" i="1" s="1"/>
  <c r="L59" i="2"/>
  <c r="K128" i="2"/>
  <c r="L128" i="2" s="1"/>
  <c r="E13" i="3"/>
  <c r="K80" i="3"/>
  <c r="L80" i="3" s="1"/>
  <c r="K123" i="3"/>
  <c r="L123" i="3" s="1"/>
  <c r="L284" i="3"/>
  <c r="K342" i="3"/>
  <c r="K431" i="3"/>
  <c r="L431" i="3" s="1"/>
  <c r="L6" i="4"/>
  <c r="L320" i="3"/>
  <c r="E292" i="1"/>
  <c r="E137" i="3"/>
  <c r="K321" i="3"/>
  <c r="L321" i="3" s="1"/>
  <c r="E335" i="3"/>
  <c r="K375" i="3"/>
  <c r="L375" i="3" s="1"/>
  <c r="E389" i="3"/>
  <c r="E422" i="3"/>
  <c r="K396" i="3"/>
  <c r="F109" i="1"/>
  <c r="L179" i="1"/>
  <c r="F6" i="1"/>
  <c r="K40" i="1"/>
  <c r="K67" i="1"/>
  <c r="F161" i="1"/>
  <c r="F180" i="1"/>
  <c r="K180" i="1" s="1"/>
  <c r="L180" i="1" s="1"/>
  <c r="L316" i="1"/>
  <c r="E60" i="1"/>
  <c r="K68" i="1"/>
  <c r="L68" i="1" s="1"/>
  <c r="K228" i="1"/>
  <c r="L228" i="1" s="1"/>
  <c r="K317" i="1"/>
  <c r="L317" i="1" s="1"/>
  <c r="K6" i="2"/>
  <c r="E12" i="2"/>
  <c r="K40" i="2"/>
  <c r="L40" i="2" s="1"/>
  <c r="E78" i="2"/>
  <c r="K140" i="2"/>
  <c r="L140" i="2" s="1"/>
  <c r="F140" i="2"/>
  <c r="K66" i="3"/>
  <c r="L66" i="3" s="1"/>
  <c r="F202" i="3"/>
  <c r="K166" i="3"/>
  <c r="K349" i="3"/>
  <c r="L349" i="3" s="1"/>
  <c r="K69" i="1"/>
  <c r="L69" i="1" s="1"/>
  <c r="E102" i="1"/>
  <c r="E155" i="1"/>
  <c r="F131" i="1"/>
  <c r="F256" i="1"/>
  <c r="K6" i="3"/>
  <c r="K41" i="1"/>
  <c r="L41" i="1" s="1"/>
  <c r="K56" i="1"/>
  <c r="L56" i="1" s="1"/>
  <c r="K98" i="1"/>
  <c r="L98" i="1" s="1"/>
  <c r="K100" i="1"/>
  <c r="L100" i="1" s="1"/>
  <c r="K120" i="1"/>
  <c r="L120" i="1" s="1"/>
  <c r="K138" i="1"/>
  <c r="L138" i="1" s="1"/>
  <c r="E220" i="1"/>
  <c r="K78" i="2"/>
  <c r="L78" i="2" s="1"/>
  <c r="E131" i="2"/>
  <c r="K138" i="2"/>
  <c r="E94" i="3"/>
  <c r="K250" i="3"/>
  <c r="L250" i="3" s="1"/>
  <c r="F277" i="3"/>
  <c r="E359" i="3"/>
  <c r="K60" i="2"/>
  <c r="L60" i="2" s="1"/>
  <c r="E65" i="2"/>
  <c r="K245" i="1"/>
  <c r="K19" i="2"/>
  <c r="E33" i="2"/>
  <c r="E105" i="2"/>
  <c r="F99" i="2"/>
  <c r="E256" i="1"/>
  <c r="K47" i="1"/>
  <c r="L47" i="1" s="1"/>
  <c r="K87" i="1"/>
  <c r="K91" i="1"/>
  <c r="L91" i="1" s="1"/>
  <c r="K114" i="1"/>
  <c r="L114" i="1" s="1"/>
  <c r="K171" i="1"/>
  <c r="L171" i="1" s="1"/>
  <c r="K251" i="1"/>
  <c r="L251" i="1" s="1"/>
  <c r="E308" i="1"/>
  <c r="L72" i="2"/>
  <c r="K85" i="2"/>
  <c r="E93" i="2"/>
  <c r="K131" i="2"/>
  <c r="L131" i="2" s="1"/>
  <c r="F138" i="2"/>
  <c r="F142" i="2" s="1"/>
  <c r="E142" i="2"/>
  <c r="K55" i="3"/>
  <c r="L55" i="3" s="1"/>
  <c r="F64" i="3"/>
  <c r="K278" i="1"/>
  <c r="L278" i="1" s="1"/>
  <c r="K305" i="1"/>
  <c r="L305" i="1" s="1"/>
  <c r="K53" i="2"/>
  <c r="L53" i="2" s="1"/>
  <c r="L39" i="2"/>
  <c r="K31" i="3"/>
  <c r="L31" i="3" s="1"/>
  <c r="K35" i="3"/>
  <c r="L35" i="3" s="1"/>
  <c r="K52" i="3"/>
  <c r="L52" i="3" s="1"/>
  <c r="K85" i="3"/>
  <c r="L85" i="3" s="1"/>
  <c r="K237" i="3"/>
  <c r="L237" i="3" s="1"/>
  <c r="K254" i="3"/>
  <c r="L254" i="3" s="1"/>
  <c r="K294" i="3"/>
  <c r="L294" i="3" s="1"/>
  <c r="K323" i="3"/>
  <c r="L323" i="3" s="1"/>
  <c r="K354" i="3"/>
  <c r="L354" i="3" s="1"/>
  <c r="K377" i="3"/>
  <c r="L377" i="3" s="1"/>
  <c r="K415" i="3"/>
  <c r="L415" i="3" s="1"/>
  <c r="K433" i="3"/>
  <c r="L433" i="3" s="1"/>
  <c r="K458" i="3"/>
  <c r="L458" i="3" s="1"/>
  <c r="K159" i="4"/>
  <c r="L159" i="4" s="1"/>
  <c r="E497" i="3"/>
  <c r="K545" i="3"/>
  <c r="L545" i="3" s="1"/>
  <c r="K475" i="3"/>
  <c r="F497" i="3"/>
  <c r="K340" i="1"/>
  <c r="E58" i="3"/>
  <c r="E242" i="3"/>
  <c r="E525" i="3"/>
  <c r="F504" i="3"/>
  <c r="F595" i="3"/>
  <c r="K588" i="3"/>
  <c r="K271" i="1"/>
  <c r="L271" i="1" s="1"/>
  <c r="K280" i="1"/>
  <c r="L280" i="1" s="1"/>
  <c r="K308" i="1"/>
  <c r="L308" i="1" s="1"/>
  <c r="K174" i="3"/>
  <c r="L174" i="3" s="1"/>
  <c r="L248" i="3"/>
  <c r="K298" i="3"/>
  <c r="L298" i="3" s="1"/>
  <c r="K345" i="3"/>
  <c r="L345" i="3" s="1"/>
  <c r="K382" i="3"/>
  <c r="L382" i="3" s="1"/>
  <c r="K417" i="3"/>
  <c r="L417" i="3" s="1"/>
  <c r="K637" i="3"/>
  <c r="L637" i="3" s="1"/>
  <c r="K11" i="3"/>
  <c r="L11" i="3" s="1"/>
  <c r="K56" i="3"/>
  <c r="L56" i="3" s="1"/>
  <c r="K87" i="3"/>
  <c r="L87" i="3" s="1"/>
  <c r="K100" i="3"/>
  <c r="K118" i="3"/>
  <c r="L118" i="3" s="1"/>
  <c r="K195" i="3"/>
  <c r="L195" i="3" s="1"/>
  <c r="K264" i="3"/>
  <c r="L264" i="3" s="1"/>
  <c r="K532" i="3"/>
  <c r="K240" i="3"/>
  <c r="L240" i="3" s="1"/>
  <c r="K285" i="3"/>
  <c r="L285" i="3" s="1"/>
  <c r="K369" i="3"/>
  <c r="L369" i="3" s="1"/>
  <c r="K384" i="3"/>
  <c r="L384" i="3" s="1"/>
  <c r="K400" i="3"/>
  <c r="L400" i="3" s="1"/>
  <c r="K419" i="3"/>
  <c r="L419" i="3" s="1"/>
  <c r="E448" i="3"/>
  <c r="K464" i="3"/>
  <c r="L464" i="3" s="1"/>
  <c r="K540" i="3"/>
  <c r="L540" i="3" s="1"/>
  <c r="K576" i="3"/>
  <c r="L576" i="3" s="1"/>
  <c r="L646" i="3"/>
  <c r="K117" i="4"/>
  <c r="L117" i="4" s="1"/>
  <c r="K119" i="4"/>
  <c r="L119" i="4" s="1"/>
  <c r="K164" i="4"/>
  <c r="L164" i="4" s="1"/>
  <c r="L213" i="4"/>
  <c r="K221" i="4"/>
  <c r="L221" i="4" s="1"/>
  <c r="K251" i="4"/>
  <c r="L251" i="4" s="1"/>
  <c r="F251" i="4"/>
  <c r="E160" i="3"/>
  <c r="F242" i="3"/>
  <c r="E313" i="3"/>
  <c r="E555" i="3"/>
  <c r="F136" i="4"/>
  <c r="K136" i="4" s="1"/>
  <c r="L136" i="4" s="1"/>
  <c r="E144" i="4"/>
  <c r="F145" i="3"/>
  <c r="F313" i="3"/>
  <c r="E169" i="4"/>
  <c r="F155" i="4"/>
  <c r="K250" i="4"/>
  <c r="L250" i="4" s="1"/>
  <c r="F250" i="4"/>
  <c r="F21" i="3"/>
  <c r="K208" i="3"/>
  <c r="K330" i="3"/>
  <c r="L330" i="3" s="1"/>
  <c r="K371" i="3"/>
  <c r="L371" i="3" s="1"/>
  <c r="K379" i="3"/>
  <c r="L379" i="3" s="1"/>
  <c r="E468" i="3"/>
  <c r="K510" i="3"/>
  <c r="L510" i="3" s="1"/>
  <c r="E611" i="3"/>
  <c r="K602" i="3"/>
  <c r="K618" i="3"/>
  <c r="K633" i="3"/>
  <c r="L633" i="3" s="1"/>
  <c r="K653" i="3"/>
  <c r="L653" i="3" s="1"/>
  <c r="K40" i="4"/>
  <c r="L40" i="4" s="1"/>
  <c r="K539" i="3"/>
  <c r="L539" i="3" s="1"/>
  <c r="E595" i="3"/>
  <c r="F45" i="4"/>
  <c r="K25" i="4"/>
  <c r="L25" i="4" s="1"/>
  <c r="K83" i="4"/>
  <c r="L83" i="4" s="1"/>
  <c r="K111" i="4"/>
  <c r="L111" i="4" s="1"/>
  <c r="F144" i="4"/>
  <c r="K166" i="4"/>
  <c r="L166" i="4" s="1"/>
  <c r="K262" i="4"/>
  <c r="L260" i="4"/>
  <c r="K234" i="4"/>
  <c r="L234" i="4" s="1"/>
  <c r="E198" i="4"/>
  <c r="K188" i="4"/>
  <c r="K232" i="4"/>
  <c r="E239" i="4"/>
  <c r="F533" i="3"/>
  <c r="K533" i="3" s="1"/>
  <c r="L533" i="3" s="1"/>
  <c r="K648" i="3"/>
  <c r="L648" i="3" s="1"/>
  <c r="E127" i="4"/>
  <c r="F97" i="4"/>
  <c r="L150" i="4"/>
  <c r="F69" i="5"/>
  <c r="E98" i="5"/>
  <c r="K564" i="3"/>
  <c r="L564" i="3" s="1"/>
  <c r="K58" i="4"/>
  <c r="L58" i="4" s="1"/>
  <c r="K178" i="4"/>
  <c r="L178" i="4" s="1"/>
  <c r="L176" i="4"/>
  <c r="F61" i="5"/>
  <c r="K45" i="5"/>
  <c r="K205" i="5"/>
  <c r="L205" i="5" s="1"/>
  <c r="E45" i="4"/>
  <c r="K152" i="4"/>
  <c r="L152" i="4" s="1"/>
  <c r="K163" i="4"/>
  <c r="L163" i="4" s="1"/>
  <c r="K15" i="5"/>
  <c r="L15" i="5" s="1"/>
  <c r="K32" i="5"/>
  <c r="L32" i="5" s="1"/>
  <c r="E61" i="5"/>
  <c r="K158" i="5"/>
  <c r="L158" i="5" s="1"/>
  <c r="K32" i="6"/>
  <c r="L32" i="6" s="1"/>
  <c r="F49" i="6"/>
  <c r="B73" i="6" s="1"/>
  <c r="K46" i="6"/>
  <c r="E89" i="4"/>
  <c r="E207" i="4"/>
  <c r="K205" i="4"/>
  <c r="K253" i="4"/>
  <c r="F51" i="4"/>
  <c r="L246" i="4"/>
  <c r="K175" i="5"/>
  <c r="L175" i="5" s="1"/>
  <c r="K628" i="3"/>
  <c r="K135" i="4"/>
  <c r="K192" i="4"/>
  <c r="L192" i="4" s="1"/>
  <c r="K247" i="4"/>
  <c r="L247" i="4" s="1"/>
  <c r="F247" i="4"/>
  <c r="F253" i="4" s="1"/>
  <c r="K109" i="5"/>
  <c r="L109" i="5" s="1"/>
  <c r="K161" i="5"/>
  <c r="L161" i="5" s="1"/>
  <c r="E208" i="5"/>
  <c r="K185" i="5"/>
  <c r="K111" i="5"/>
  <c r="L111" i="5" s="1"/>
  <c r="K127" i="5"/>
  <c r="L127" i="5" s="1"/>
  <c r="E166" i="5"/>
  <c r="K51" i="5"/>
  <c r="L51" i="5" s="1"/>
  <c r="F105" i="5"/>
  <c r="E113" i="5"/>
  <c r="E225" i="4"/>
  <c r="E36" i="5"/>
  <c r="F6" i="5"/>
  <c r="E20" i="6"/>
  <c r="L56" i="6"/>
  <c r="K65" i="6"/>
  <c r="L173" i="5"/>
  <c r="K189" i="5"/>
  <c r="L189" i="5" s="1"/>
  <c r="K194" i="5"/>
  <c r="L194" i="5" s="1"/>
  <c r="E40" i="6"/>
  <c r="K58" i="5"/>
  <c r="L58" i="5" s="1"/>
  <c r="E179" i="5"/>
  <c r="K177" i="5"/>
  <c r="L177" i="5" s="1"/>
  <c r="K193" i="5"/>
  <c r="L193" i="5" s="1"/>
  <c r="K201" i="5"/>
  <c r="L201" i="5" s="1"/>
  <c r="K204" i="5"/>
  <c r="L204" i="5" s="1"/>
  <c r="K83" i="5"/>
  <c r="L83" i="5" s="1"/>
  <c r="K92" i="5"/>
  <c r="L92" i="5" s="1"/>
  <c r="K190" i="5"/>
  <c r="L190" i="5" s="1"/>
  <c r="K203" i="5"/>
  <c r="L203" i="5" s="1"/>
  <c r="K6" i="6"/>
  <c r="F20" i="6"/>
  <c r="E253" i="4"/>
  <c r="K136" i="5"/>
  <c r="L136" i="5" s="1"/>
  <c r="F40" i="6"/>
  <c r="K29" i="6"/>
  <c r="K75" i="5"/>
  <c r="L75" i="5" s="1"/>
  <c r="E144" i="5"/>
  <c r="F120" i="5"/>
  <c r="K124" i="5"/>
  <c r="L124" i="5" s="1"/>
  <c r="K157" i="5"/>
  <c r="L157" i="5" s="1"/>
  <c r="K174" i="5"/>
  <c r="L174" i="5" s="1"/>
  <c r="F88" i="25" l="1"/>
  <c r="K76" i="25"/>
  <c r="K306" i="25"/>
  <c r="L306" i="25" s="1"/>
  <c r="L297" i="25"/>
  <c r="K41" i="25"/>
  <c r="L41" i="25" s="1"/>
  <c r="L6" i="25"/>
  <c r="K77" i="22"/>
  <c r="L77" i="22" s="1"/>
  <c r="L56" i="22"/>
  <c r="F162" i="23"/>
  <c r="B361" i="23" s="1"/>
  <c r="K129" i="23"/>
  <c r="K175" i="23"/>
  <c r="L175" i="23" s="1"/>
  <c r="K138" i="22"/>
  <c r="L138" i="22" s="1"/>
  <c r="L330" i="22"/>
  <c r="C45" i="26"/>
  <c r="K606" i="21"/>
  <c r="L601" i="21"/>
  <c r="K214" i="19"/>
  <c r="L214" i="19" s="1"/>
  <c r="K225" i="22"/>
  <c r="L225" i="22" s="1"/>
  <c r="F266" i="18"/>
  <c r="K260" i="18"/>
  <c r="K215" i="18"/>
  <c r="L215" i="18" s="1"/>
  <c r="K262" i="25"/>
  <c r="L262" i="25" s="1"/>
  <c r="L243" i="25"/>
  <c r="L6" i="24"/>
  <c r="K22" i="24"/>
  <c r="L22" i="24" s="1"/>
  <c r="D51" i="26"/>
  <c r="F261" i="22"/>
  <c r="K256" i="22"/>
  <c r="F356" i="22"/>
  <c r="B360" i="22" s="1"/>
  <c r="K349" i="22"/>
  <c r="K595" i="21"/>
  <c r="L595" i="21" s="1"/>
  <c r="L563" i="21"/>
  <c r="K253" i="18"/>
  <c r="L245" i="18"/>
  <c r="K94" i="25"/>
  <c r="F134" i="25"/>
  <c r="K237" i="25"/>
  <c r="L237" i="25" s="1"/>
  <c r="L215" i="25"/>
  <c r="K30" i="24"/>
  <c r="F61" i="24"/>
  <c r="F121" i="23"/>
  <c r="K89" i="23"/>
  <c r="L322" i="23"/>
  <c r="K329" i="23"/>
  <c r="L329" i="23" s="1"/>
  <c r="K116" i="22"/>
  <c r="L116" i="22" s="1"/>
  <c r="L26" i="22"/>
  <c r="K49" i="22"/>
  <c r="L49" i="22" s="1"/>
  <c r="L320" i="21"/>
  <c r="K340" i="21"/>
  <c r="L340" i="21" s="1"/>
  <c r="K246" i="22"/>
  <c r="L246" i="22" s="1"/>
  <c r="K175" i="22"/>
  <c r="F192" i="22"/>
  <c r="F33" i="26" s="1"/>
  <c r="B292" i="20"/>
  <c r="K41" i="19"/>
  <c r="L41" i="19" s="1"/>
  <c r="L6" i="19"/>
  <c r="K150" i="21"/>
  <c r="F173" i="21"/>
  <c r="K242" i="21"/>
  <c r="L242" i="21" s="1"/>
  <c r="B370" i="22"/>
  <c r="K79" i="19"/>
  <c r="L79" i="19" s="1"/>
  <c r="L47" i="19"/>
  <c r="F164" i="18"/>
  <c r="K139" i="18"/>
  <c r="K238" i="18"/>
  <c r="L238" i="18" s="1"/>
  <c r="L523" i="21"/>
  <c r="K536" i="21"/>
  <c r="L536" i="21" s="1"/>
  <c r="C14" i="26"/>
  <c r="F14" i="26" s="1"/>
  <c r="K188" i="18"/>
  <c r="L188" i="18" s="1"/>
  <c r="K71" i="21"/>
  <c r="L71" i="21" s="1"/>
  <c r="F253" i="18"/>
  <c r="C31" i="26"/>
  <c r="F31" i="26" s="1"/>
  <c r="K164" i="19"/>
  <c r="L164" i="19" s="1"/>
  <c r="L126" i="19"/>
  <c r="K241" i="20"/>
  <c r="L241" i="20" s="1"/>
  <c r="L232" i="20"/>
  <c r="L288" i="20"/>
  <c r="K366" i="25"/>
  <c r="L366" i="25" s="1"/>
  <c r="L348" i="25"/>
  <c r="K209" i="25"/>
  <c r="L209" i="25" s="1"/>
  <c r="K142" i="21"/>
  <c r="L142" i="21" s="1"/>
  <c r="L104" i="21"/>
  <c r="K280" i="25"/>
  <c r="F291" i="25"/>
  <c r="B405" i="25" s="1"/>
  <c r="K401" i="25"/>
  <c r="L145" i="24"/>
  <c r="K81" i="24"/>
  <c r="L81" i="24" s="1"/>
  <c r="K275" i="23"/>
  <c r="L275" i="23" s="1"/>
  <c r="C46" i="26"/>
  <c r="E248" i="22"/>
  <c r="F459" i="21"/>
  <c r="K440" i="21"/>
  <c r="F606" i="21"/>
  <c r="B637" i="21" s="1"/>
  <c r="K479" i="21"/>
  <c r="L479" i="21" s="1"/>
  <c r="C8" i="26"/>
  <c r="F8" i="26" s="1"/>
  <c r="B310" i="18"/>
  <c r="L170" i="19"/>
  <c r="K183" i="19"/>
  <c r="L183" i="19" s="1"/>
  <c r="L5" i="18"/>
  <c r="K22" i="18"/>
  <c r="L22" i="18" s="1"/>
  <c r="K113" i="18"/>
  <c r="L113" i="18" s="1"/>
  <c r="K90" i="18"/>
  <c r="L90" i="18" s="1"/>
  <c r="K516" i="21"/>
  <c r="L516" i="21" s="1"/>
  <c r="K93" i="20"/>
  <c r="L93" i="20" s="1"/>
  <c r="F118" i="19"/>
  <c r="K87" i="19"/>
  <c r="K361" i="21"/>
  <c r="L361" i="21" s="1"/>
  <c r="K62" i="20"/>
  <c r="L62" i="20" s="1"/>
  <c r="L284" i="18"/>
  <c r="K40" i="18"/>
  <c r="L40" i="18" s="1"/>
  <c r="K174" i="25"/>
  <c r="L174" i="25" s="1"/>
  <c r="L169" i="25"/>
  <c r="L183" i="23"/>
  <c r="K198" i="23"/>
  <c r="L198" i="23" s="1"/>
  <c r="K207" i="21"/>
  <c r="L179" i="21"/>
  <c r="L5" i="22"/>
  <c r="K19" i="22"/>
  <c r="L19" i="22" s="1"/>
  <c r="K272" i="25"/>
  <c r="L272" i="25" s="1"/>
  <c r="L268" i="25"/>
  <c r="K388" i="25"/>
  <c r="L388" i="25" s="1"/>
  <c r="L372" i="25"/>
  <c r="L627" i="21"/>
  <c r="K633" i="21"/>
  <c r="L633" i="21" s="1"/>
  <c r="K237" i="23"/>
  <c r="L237" i="23" s="1"/>
  <c r="K225" i="20"/>
  <c r="L225" i="20" s="1"/>
  <c r="L198" i="20"/>
  <c r="K6" i="20"/>
  <c r="F26" i="20"/>
  <c r="C43" i="26"/>
  <c r="F43" i="26" s="1"/>
  <c r="C23" i="26"/>
  <c r="F23" i="26" s="1"/>
  <c r="K66" i="18"/>
  <c r="L66" i="18" s="1"/>
  <c r="K180" i="21"/>
  <c r="L180" i="21" s="1"/>
  <c r="F207" i="21"/>
  <c r="G207" i="21" s="1"/>
  <c r="C30" i="26"/>
  <c r="F30" i="26" s="1"/>
  <c r="K132" i="18"/>
  <c r="L132" i="18" s="1"/>
  <c r="F36" i="21"/>
  <c r="K6" i="21"/>
  <c r="K314" i="23"/>
  <c r="L281" i="23"/>
  <c r="K355" i="23"/>
  <c r="L355" i="23" s="1"/>
  <c r="L335" i="23"/>
  <c r="K621" i="21"/>
  <c r="L621" i="21" s="1"/>
  <c r="K118" i="20"/>
  <c r="L118" i="20" s="1"/>
  <c r="L100" i="20"/>
  <c r="K41" i="23"/>
  <c r="L41" i="23" s="1"/>
  <c r="L6" i="23"/>
  <c r="L543" i="21"/>
  <c r="K557" i="21"/>
  <c r="L557" i="21" s="1"/>
  <c r="K293" i="22"/>
  <c r="F312" i="22"/>
  <c r="F226" i="19"/>
  <c r="K220" i="19"/>
  <c r="K306" i="19"/>
  <c r="L274" i="19"/>
  <c r="L387" i="21"/>
  <c r="K391" i="21"/>
  <c r="L391" i="21" s="1"/>
  <c r="B309" i="19"/>
  <c r="K504" i="21"/>
  <c r="L504" i="21" s="1"/>
  <c r="K320" i="25"/>
  <c r="L320" i="25" s="1"/>
  <c r="L312" i="25"/>
  <c r="B148" i="24"/>
  <c r="K142" i="25"/>
  <c r="F161" i="25"/>
  <c r="L326" i="25"/>
  <c r="K338" i="25"/>
  <c r="L338" i="25" s="1"/>
  <c r="K107" i="24"/>
  <c r="L107" i="24" s="1"/>
  <c r="L88" i="24"/>
  <c r="K70" i="25"/>
  <c r="L70" i="25" s="1"/>
  <c r="L49" i="25"/>
  <c r="K81" i="23"/>
  <c r="L81" i="23" s="1"/>
  <c r="K166" i="22"/>
  <c r="L166" i="22" s="1"/>
  <c r="K381" i="21"/>
  <c r="L381" i="21" s="1"/>
  <c r="L84" i="22"/>
  <c r="K96" i="22"/>
  <c r="L96" i="22" s="1"/>
  <c r="F314" i="21"/>
  <c r="K285" i="21"/>
  <c r="K279" i="21"/>
  <c r="L279" i="21" s="1"/>
  <c r="L191" i="19"/>
  <c r="K202" i="19"/>
  <c r="L202" i="19" s="1"/>
  <c r="K77" i="21"/>
  <c r="F98" i="21"/>
  <c r="C4" i="26"/>
  <c r="K307" i="18"/>
  <c r="K6" i="15"/>
  <c r="F42" i="15"/>
  <c r="L579" i="17"/>
  <c r="K502" i="17"/>
  <c r="L502" i="17" s="1"/>
  <c r="K179" i="16"/>
  <c r="L179" i="16" s="1"/>
  <c r="L165" i="16"/>
  <c r="F303" i="17"/>
  <c r="K267" i="17"/>
  <c r="L316" i="14"/>
  <c r="K198" i="14"/>
  <c r="L198" i="14" s="1"/>
  <c r="L181" i="14"/>
  <c r="L586" i="17"/>
  <c r="K591" i="17"/>
  <c r="L591" i="17" s="1"/>
  <c r="F158" i="16"/>
  <c r="K132" i="16"/>
  <c r="L118" i="17"/>
  <c r="K156" i="17"/>
  <c r="L156" i="17" s="1"/>
  <c r="K516" i="17"/>
  <c r="L516" i="17" s="1"/>
  <c r="K405" i="17"/>
  <c r="L405" i="17" s="1"/>
  <c r="F268" i="15"/>
  <c r="K235" i="15"/>
  <c r="K277" i="16"/>
  <c r="L277" i="16" s="1"/>
  <c r="K228" i="15"/>
  <c r="L228" i="15" s="1"/>
  <c r="F198" i="14"/>
  <c r="B319" i="14" s="1"/>
  <c r="K130" i="14"/>
  <c r="L130" i="14" s="1"/>
  <c r="K68" i="16"/>
  <c r="L68" i="16" s="1"/>
  <c r="L103" i="14"/>
  <c r="L229" i="14"/>
  <c r="K239" i="14"/>
  <c r="L239" i="14" s="1"/>
  <c r="K365" i="17"/>
  <c r="L365" i="17" s="1"/>
  <c r="K112" i="17"/>
  <c r="L112" i="17" s="1"/>
  <c r="L79" i="17"/>
  <c r="F125" i="16"/>
  <c r="K117" i="16"/>
  <c r="F342" i="17"/>
  <c r="K309" i="17"/>
  <c r="L133" i="15"/>
  <c r="K169" i="15"/>
  <c r="L169" i="15" s="1"/>
  <c r="K638" i="17"/>
  <c r="L628" i="17"/>
  <c r="K252" i="16"/>
  <c r="L252" i="16" s="1"/>
  <c r="L245" i="16"/>
  <c r="K222" i="14"/>
  <c r="L222" i="14" s="1"/>
  <c r="K420" i="17"/>
  <c r="L420" i="17" s="1"/>
  <c r="L411" i="17"/>
  <c r="K39" i="17"/>
  <c r="L39" i="17" s="1"/>
  <c r="L561" i="17"/>
  <c r="K220" i="16"/>
  <c r="L220" i="16" s="1"/>
  <c r="K47" i="17"/>
  <c r="F73" i="17"/>
  <c r="K522" i="17"/>
  <c r="F529" i="17"/>
  <c r="F239" i="16"/>
  <c r="K226" i="16"/>
  <c r="K86" i="15"/>
  <c r="L86" i="15" s="1"/>
  <c r="L48" i="15"/>
  <c r="K211" i="15"/>
  <c r="L211" i="15" s="1"/>
  <c r="K381" i="17"/>
  <c r="L381" i="17" s="1"/>
  <c r="L371" i="17"/>
  <c r="L199" i="17"/>
  <c r="K222" i="17"/>
  <c r="L222" i="17" s="1"/>
  <c r="K164" i="17"/>
  <c r="F193" i="17"/>
  <c r="L442" i="17"/>
  <c r="K457" i="17"/>
  <c r="L457" i="17" s="1"/>
  <c r="K274" i="15"/>
  <c r="F305" i="15"/>
  <c r="B308" i="15" s="1"/>
  <c r="K81" i="14"/>
  <c r="L81" i="14" s="1"/>
  <c r="L65" i="14"/>
  <c r="K482" i="17"/>
  <c r="L482" i="17" s="1"/>
  <c r="K284" i="16"/>
  <c r="F295" i="16"/>
  <c r="K229" i="17"/>
  <c r="F261" i="17"/>
  <c r="L186" i="16"/>
  <c r="K191" i="16"/>
  <c r="L191" i="16" s="1"/>
  <c r="K435" i="17"/>
  <c r="L435" i="17" s="1"/>
  <c r="L428" i="17"/>
  <c r="L597" i="17"/>
  <c r="K622" i="17"/>
  <c r="L622" i="17" s="1"/>
  <c r="L29" i="14"/>
  <c r="K36" i="14"/>
  <c r="L36" i="14" s="1"/>
  <c r="K194" i="15"/>
  <c r="L194" i="15" s="1"/>
  <c r="L94" i="15"/>
  <c r="K125" i="15"/>
  <c r="L125" i="15" s="1"/>
  <c r="K281" i="14"/>
  <c r="L281" i="14" s="1"/>
  <c r="L265" i="14"/>
  <c r="K110" i="16"/>
  <c r="L110" i="16" s="1"/>
  <c r="L76" i="16"/>
  <c r="F622" i="17"/>
  <c r="B644" i="17" s="1"/>
  <c r="K174" i="14"/>
  <c r="L174" i="14" s="1"/>
  <c r="K258" i="14"/>
  <c r="L258" i="14" s="1"/>
  <c r="K23" i="14"/>
  <c r="L23" i="14" s="1"/>
  <c r="F36" i="5"/>
  <c r="K6" i="5"/>
  <c r="L232" i="4"/>
  <c r="K239" i="4"/>
  <c r="L239" i="4" s="1"/>
  <c r="L340" i="1"/>
  <c r="K320" i="1"/>
  <c r="L320" i="1" s="1"/>
  <c r="L245" i="1"/>
  <c r="K256" i="1"/>
  <c r="L256" i="1" s="1"/>
  <c r="K202" i="3"/>
  <c r="L202" i="3" s="1"/>
  <c r="L166" i="3"/>
  <c r="L6" i="2"/>
  <c r="K12" i="2"/>
  <c r="L12" i="2" s="1"/>
  <c r="L67" i="1"/>
  <c r="K81" i="1"/>
  <c r="L81" i="1" s="1"/>
  <c r="K45" i="4"/>
  <c r="L45" i="4" s="1"/>
  <c r="F238" i="1"/>
  <c r="B344" i="1" s="1"/>
  <c r="K227" i="1"/>
  <c r="L205" i="4"/>
  <c r="K207" i="4"/>
  <c r="L207" i="4" s="1"/>
  <c r="K657" i="3"/>
  <c r="L87" i="1"/>
  <c r="K102" i="1"/>
  <c r="L102" i="1" s="1"/>
  <c r="L6" i="3"/>
  <c r="K13" i="3"/>
  <c r="L13" i="3" s="1"/>
  <c r="K60" i="1"/>
  <c r="L60" i="1" s="1"/>
  <c r="L40" i="1"/>
  <c r="K335" i="3"/>
  <c r="L335" i="3" s="1"/>
  <c r="L85" i="2"/>
  <c r="K93" i="2"/>
  <c r="L93" i="2" s="1"/>
  <c r="F34" i="1"/>
  <c r="K6" i="1"/>
  <c r="L253" i="4"/>
  <c r="K61" i="5"/>
  <c r="L61" i="5" s="1"/>
  <c r="L45" i="5"/>
  <c r="L19" i="2"/>
  <c r="K33" i="2"/>
  <c r="L33" i="2" s="1"/>
  <c r="F144" i="5"/>
  <c r="K120" i="5"/>
  <c r="L188" i="4"/>
  <c r="K198" i="4"/>
  <c r="L198" i="4" s="1"/>
  <c r="F160" i="3"/>
  <c r="K145" i="3"/>
  <c r="L588" i="3"/>
  <c r="K595" i="3"/>
  <c r="L595" i="3" s="1"/>
  <c r="K179" i="5"/>
  <c r="L179" i="5" s="1"/>
  <c r="F127" i="4"/>
  <c r="K97" i="4"/>
  <c r="L618" i="3"/>
  <c r="K623" i="3"/>
  <c r="L623" i="3" s="1"/>
  <c r="L208" i="3"/>
  <c r="K242" i="3"/>
  <c r="L242" i="3" s="1"/>
  <c r="L100" i="3"/>
  <c r="K137" i="3"/>
  <c r="L137" i="3" s="1"/>
  <c r="K20" i="6"/>
  <c r="L20" i="6" s="1"/>
  <c r="L6" i="6"/>
  <c r="K144" i="4"/>
  <c r="L144" i="4" s="1"/>
  <c r="L135" i="4"/>
  <c r="L602" i="3"/>
  <c r="K611" i="3"/>
  <c r="L611" i="3" s="1"/>
  <c r="F58" i="3"/>
  <c r="K21" i="3"/>
  <c r="F555" i="3"/>
  <c r="B665" i="3" s="1"/>
  <c r="L475" i="3"/>
  <c r="K497" i="3"/>
  <c r="L497" i="3" s="1"/>
  <c r="K105" i="5"/>
  <c r="F113" i="5"/>
  <c r="K208" i="5"/>
  <c r="L185" i="5"/>
  <c r="K639" i="3"/>
  <c r="L639" i="3" s="1"/>
  <c r="L628" i="3"/>
  <c r="L46" i="6"/>
  <c r="K49" i="6"/>
  <c r="L49" i="6" s="1"/>
  <c r="K225" i="4"/>
  <c r="L225" i="4" s="1"/>
  <c r="K581" i="3"/>
  <c r="L581" i="3" s="1"/>
  <c r="K277" i="3"/>
  <c r="L277" i="3" s="1"/>
  <c r="K504" i="3"/>
  <c r="F525" i="3"/>
  <c r="K468" i="3"/>
  <c r="L468" i="3" s="1"/>
  <c r="K131" i="1"/>
  <c r="F155" i="1"/>
  <c r="K448" i="3"/>
  <c r="L448" i="3" s="1"/>
  <c r="K292" i="1"/>
  <c r="L292" i="1" s="1"/>
  <c r="K197" i="1"/>
  <c r="L197" i="1" s="1"/>
  <c r="F94" i="3"/>
  <c r="K64" i="3"/>
  <c r="K99" i="2"/>
  <c r="F105" i="2"/>
  <c r="K109" i="1"/>
  <c r="F123" i="1"/>
  <c r="L342" i="3"/>
  <c r="K359" i="3"/>
  <c r="L359" i="3" s="1"/>
  <c r="K65" i="2"/>
  <c r="L65" i="2" s="1"/>
  <c r="F197" i="1"/>
  <c r="L396" i="3"/>
  <c r="K422" i="3"/>
  <c r="L422" i="3" s="1"/>
  <c r="K220" i="1"/>
  <c r="L220" i="1" s="1"/>
  <c r="L203" i="1"/>
  <c r="K389" i="3"/>
  <c r="L389" i="3" s="1"/>
  <c r="B146" i="2"/>
  <c r="L138" i="2"/>
  <c r="K142" i="2"/>
  <c r="K161" i="1"/>
  <c r="F173" i="1"/>
  <c r="K40" i="6"/>
  <c r="L40" i="6" s="1"/>
  <c r="L29" i="6"/>
  <c r="L65" i="6"/>
  <c r="B212" i="5"/>
  <c r="L262" i="4"/>
  <c r="K155" i="4"/>
  <c r="F169" i="4"/>
  <c r="B266" i="4" s="1"/>
  <c r="K555" i="3"/>
  <c r="L555" i="3" s="1"/>
  <c r="L532" i="3"/>
  <c r="F89" i="4"/>
  <c r="K51" i="4"/>
  <c r="K166" i="5"/>
  <c r="L166" i="5" s="1"/>
  <c r="F98" i="5"/>
  <c r="K69" i="5"/>
  <c r="K313" i="3"/>
  <c r="L313" i="3" s="1"/>
  <c r="L77" i="21" l="1"/>
  <c r="K98" i="21"/>
  <c r="L98" i="21" s="1"/>
  <c r="L293" i="22"/>
  <c r="K312" i="22"/>
  <c r="L312" i="22" s="1"/>
  <c r="K173" i="21"/>
  <c r="L173" i="21" s="1"/>
  <c r="L150" i="21"/>
  <c r="L253" i="18"/>
  <c r="L129" i="23"/>
  <c r="K162" i="23"/>
  <c r="L162" i="23" s="1"/>
  <c r="K291" i="25"/>
  <c r="L291" i="25" s="1"/>
  <c r="L280" i="25"/>
  <c r="L139" i="18"/>
  <c r="K164" i="18"/>
  <c r="L164" i="18" s="1"/>
  <c r="C16" i="26"/>
  <c r="F16" i="26" s="1"/>
  <c r="K61" i="24"/>
  <c r="L61" i="24" s="1"/>
  <c r="L30" i="24"/>
  <c r="L76" i="25"/>
  <c r="K88" i="25"/>
  <c r="L88" i="25" s="1"/>
  <c r="L314" i="23"/>
  <c r="B363" i="23"/>
  <c r="B366" i="23" s="1"/>
  <c r="K356" i="22"/>
  <c r="L349" i="22"/>
  <c r="L606" i="21"/>
  <c r="B61" i="26"/>
  <c r="L6" i="21"/>
  <c r="K36" i="21"/>
  <c r="L36" i="21" s="1"/>
  <c r="B62" i="26"/>
  <c r="K161" i="25"/>
  <c r="L161" i="25" s="1"/>
  <c r="L142" i="25"/>
  <c r="K314" i="21"/>
  <c r="L314" i="21" s="1"/>
  <c r="L285" i="21"/>
  <c r="L306" i="19"/>
  <c r="L87" i="19"/>
  <c r="K118" i="19"/>
  <c r="L118" i="19" s="1"/>
  <c r="L175" i="22"/>
  <c r="K192" i="22"/>
  <c r="L192" i="22" s="1"/>
  <c r="L256" i="22"/>
  <c r="K261" i="22"/>
  <c r="L261" i="22" s="1"/>
  <c r="L440" i="21"/>
  <c r="K459" i="21"/>
  <c r="L459" i="21" s="1"/>
  <c r="F4" i="26"/>
  <c r="C49" i="26"/>
  <c r="F49" i="26" s="1"/>
  <c r="L94" i="25"/>
  <c r="K134" i="25"/>
  <c r="L134" i="25" s="1"/>
  <c r="K266" i="18"/>
  <c r="L266" i="18" s="1"/>
  <c r="L260" i="18"/>
  <c r="L207" i="21"/>
  <c r="L307" i="18"/>
  <c r="K226" i="19"/>
  <c r="L226" i="19" s="1"/>
  <c r="L220" i="19"/>
  <c r="K26" i="20"/>
  <c r="L26" i="20" s="1"/>
  <c r="L6" i="20"/>
  <c r="L401" i="25"/>
  <c r="L89" i="23"/>
  <c r="K121" i="23"/>
  <c r="L121" i="23" s="1"/>
  <c r="F37" i="26"/>
  <c r="C24" i="26"/>
  <c r="F24" i="26" s="1"/>
  <c r="K158" i="16"/>
  <c r="L158" i="16" s="1"/>
  <c r="L132" i="16"/>
  <c r="L267" i="17"/>
  <c r="K303" i="17"/>
  <c r="L303" i="17" s="1"/>
  <c r="L235" i="15"/>
  <c r="K268" i="15"/>
  <c r="L268" i="15" s="1"/>
  <c r="L274" i="15"/>
  <c r="K305" i="15"/>
  <c r="K529" i="17"/>
  <c r="L529" i="17" s="1"/>
  <c r="L522" i="17"/>
  <c r="L229" i="17"/>
  <c r="K261" i="17"/>
  <c r="L261" i="17" s="1"/>
  <c r="L47" i="17"/>
  <c r="K73" i="17"/>
  <c r="L73" i="17" s="1"/>
  <c r="K125" i="16"/>
  <c r="L125" i="16" s="1"/>
  <c r="L117" i="16"/>
  <c r="K342" i="17"/>
  <c r="L342" i="17" s="1"/>
  <c r="L309" i="17"/>
  <c r="B303" i="16"/>
  <c r="K295" i="16"/>
  <c r="L284" i="16"/>
  <c r="L638" i="17"/>
  <c r="L164" i="17"/>
  <c r="K193" i="17"/>
  <c r="L193" i="17" s="1"/>
  <c r="L226" i="16"/>
  <c r="K239" i="16"/>
  <c r="L239" i="16" s="1"/>
  <c r="B321" i="14"/>
  <c r="B324" i="14" s="1"/>
  <c r="L6" i="15"/>
  <c r="K42" i="15"/>
  <c r="L42" i="15" s="1"/>
  <c r="L155" i="4"/>
  <c r="K169" i="4"/>
  <c r="L169" i="4" s="1"/>
  <c r="L51" i="4"/>
  <c r="K89" i="4"/>
  <c r="L89" i="4" s="1"/>
  <c r="K94" i="3"/>
  <c r="L94" i="3" s="1"/>
  <c r="L64" i="3"/>
  <c r="L21" i="3"/>
  <c r="K58" i="3"/>
  <c r="L58" i="3" s="1"/>
  <c r="K238" i="1"/>
  <c r="L238" i="1" s="1"/>
  <c r="L227" i="1"/>
  <c r="L208" i="5"/>
  <c r="B214" i="5"/>
  <c r="B217" i="5" s="1"/>
  <c r="K36" i="5"/>
  <c r="L36" i="5" s="1"/>
  <c r="L6" i="5"/>
  <c r="K113" i="5"/>
  <c r="L113" i="5" s="1"/>
  <c r="L105" i="5"/>
  <c r="B268" i="4"/>
  <c r="B271" i="4" s="1"/>
  <c r="K173" i="1"/>
  <c r="L173" i="1" s="1"/>
  <c r="L161" i="1"/>
  <c r="K525" i="3"/>
  <c r="L525" i="3" s="1"/>
  <c r="L504" i="3"/>
  <c r="K160" i="3"/>
  <c r="L160" i="3" s="1"/>
  <c r="L145" i="3"/>
  <c r="L109" i="1"/>
  <c r="K123" i="1"/>
  <c r="L123" i="1" s="1"/>
  <c r="L69" i="5"/>
  <c r="K98" i="5"/>
  <c r="L98" i="5" s="1"/>
  <c r="B148" i="2"/>
  <c r="B151" i="2" s="1"/>
  <c r="L142" i="2"/>
  <c r="B75" i="6"/>
  <c r="B78" i="6" s="1"/>
  <c r="K105" i="2"/>
  <c r="L105" i="2" s="1"/>
  <c r="L99" i="2"/>
  <c r="K155" i="1"/>
  <c r="L155" i="1" s="1"/>
  <c r="L131" i="1"/>
  <c r="K127" i="4"/>
  <c r="L127" i="4" s="1"/>
  <c r="L97" i="4"/>
  <c r="K34" i="1"/>
  <c r="L34" i="1" s="1"/>
  <c r="L6" i="1"/>
  <c r="K144" i="5"/>
  <c r="L144" i="5" s="1"/>
  <c r="L120" i="5"/>
  <c r="L657" i="3"/>
  <c r="L356" i="22" l="1"/>
  <c r="B362" i="22"/>
  <c r="B365" i="22" s="1"/>
  <c r="B294" i="20"/>
  <c r="B297" i="20" s="1"/>
  <c r="B64" i="26"/>
  <c r="F51" i="26"/>
  <c r="I4" i="26" s="1"/>
  <c r="C51" i="26"/>
  <c r="B311" i="19"/>
  <c r="B314" i="19" s="1"/>
  <c r="B312" i="18"/>
  <c r="B639" i="21"/>
  <c r="B642" i="21" s="1"/>
  <c r="B407" i="25"/>
  <c r="B410" i="25" s="1"/>
  <c r="B150" i="24"/>
  <c r="B153" i="24" s="1"/>
  <c r="B310" i="15"/>
  <c r="B313" i="15" s="1"/>
  <c r="L305" i="15"/>
  <c r="B305" i="16"/>
  <c r="B308" i="16" s="1"/>
  <c r="L295" i="16"/>
  <c r="B646" i="17"/>
  <c r="B649" i="17" s="1"/>
  <c r="B346" i="1"/>
  <c r="B667" i="3"/>
  <c r="B670" i="3" s="1"/>
  <c r="I24" i="26" l="1"/>
  <c r="I16" i="26"/>
  <c r="B67" i="26"/>
  <c r="C53" i="26"/>
  <c r="I25" i="26"/>
  <c r="I46" i="26"/>
  <c r="I45" i="26"/>
  <c r="I35" i="26"/>
  <c r="I27" i="26"/>
  <c r="I34" i="26"/>
  <c r="I26" i="26"/>
  <c r="I10" i="26"/>
  <c r="I3" i="26"/>
  <c r="I41" i="26"/>
  <c r="I18" i="26"/>
  <c r="I22" i="26"/>
  <c r="I36" i="26"/>
  <c r="I32" i="26"/>
  <c r="I12" i="26"/>
  <c r="I11" i="26"/>
  <c r="I42" i="26"/>
  <c r="I44" i="26"/>
  <c r="I9" i="26"/>
  <c r="I13" i="26"/>
  <c r="I20" i="26"/>
  <c r="I15" i="26"/>
  <c r="I5" i="26"/>
  <c r="I38" i="26"/>
  <c r="I21" i="26"/>
  <c r="I47" i="26"/>
  <c r="I40" i="26"/>
  <c r="I17" i="26"/>
  <c r="I48" i="26"/>
  <c r="I6" i="26"/>
  <c r="I29" i="26"/>
  <c r="I39" i="26"/>
  <c r="I7" i="26"/>
  <c r="I28" i="26"/>
  <c r="I19" i="26"/>
  <c r="I33" i="26"/>
  <c r="I31" i="26"/>
  <c r="I30" i="26"/>
  <c r="I43" i="26"/>
  <c r="I23" i="26"/>
  <c r="I8" i="26"/>
  <c r="I14" i="26"/>
  <c r="I49" i="26"/>
  <c r="C55" i="26"/>
  <c r="B315" i="18"/>
  <c r="I37" i="26"/>
  <c r="B349" i="1"/>
  <c r="B68" i="26" l="1"/>
  <c r="D55" i="26"/>
  <c r="I51" i="26"/>
</calcChain>
</file>

<file path=xl/sharedStrings.xml><?xml version="1.0" encoding="utf-8"?>
<sst xmlns="http://schemas.openxmlformats.org/spreadsheetml/2006/main" count="16709" uniqueCount="1186">
  <si>
    <t>COLEGIO SJCB - VIRREY DEL PINO 3299</t>
  </si>
  <si>
    <t>rto: 15</t>
  </si>
  <si>
    <t>COMPRA</t>
  </si>
  <si>
    <t>CANTIDAD</t>
  </si>
  <si>
    <t>UNIDAD</t>
  </si>
  <si>
    <t>PRODUCTO</t>
  </si>
  <si>
    <t>PRECIO</t>
  </si>
  <si>
    <t>TOTAL</t>
  </si>
  <si>
    <t>TOTAL + IVA</t>
  </si>
  <si>
    <t>COSTO</t>
  </si>
  <si>
    <t>DIFERENCIA</t>
  </si>
  <si>
    <t>MAPLE</t>
  </si>
  <si>
    <t>HUEVO N1</t>
  </si>
  <si>
    <t>AJO</t>
  </si>
  <si>
    <t>BROCOLI</t>
  </si>
  <si>
    <t>BOLSA</t>
  </si>
  <si>
    <t>ANCO</t>
  </si>
  <si>
    <t>KG</t>
  </si>
  <si>
    <t>CEBOLLA MORADA</t>
  </si>
  <si>
    <t>CHAUCHA PLANA</t>
  </si>
  <si>
    <t>CHOCLO</t>
  </si>
  <si>
    <t>ATADO</t>
  </si>
  <si>
    <t>ESPINACA</t>
  </si>
  <si>
    <t>CAJON</t>
  </si>
  <si>
    <t>MANZANA ROJA</t>
  </si>
  <si>
    <t>MANZANA VERDE</t>
  </si>
  <si>
    <t>NARANJA</t>
  </si>
  <si>
    <t>PAPA BLANCA</t>
  </si>
  <si>
    <t>CIBOULETTE</t>
  </si>
  <si>
    <t>PEREJIL</t>
  </si>
  <si>
    <t>PEPINO</t>
  </si>
  <si>
    <t>MORRON ROJO</t>
  </si>
  <si>
    <t>MORRON VERDE</t>
  </si>
  <si>
    <t>MORRON AMARILLO</t>
  </si>
  <si>
    <t>PUERRO</t>
  </si>
  <si>
    <t>REMOLACHA</t>
  </si>
  <si>
    <t>REPOLLO BLANCO</t>
  </si>
  <si>
    <t xml:space="preserve"> </t>
  </si>
  <si>
    <t>REPOLLO COLORADO</t>
  </si>
  <si>
    <t>TOMATE PERITA</t>
  </si>
  <si>
    <t>ZANAHORIA</t>
  </si>
  <si>
    <t>COLIFLOR</t>
  </si>
  <si>
    <t>CEBOLLA DE VERDEO</t>
  </si>
  <si>
    <t>LECHUGA CRIOLLA</t>
  </si>
  <si>
    <t>COLEGIO WASHINGTON - LACROZE 1973</t>
  </si>
  <si>
    <t>rto: 14</t>
  </si>
  <si>
    <t>RUCULA</t>
  </si>
  <si>
    <t>COLEGIO ST. MATTHEWS - MOLDES 1469, BELGRANO</t>
  </si>
  <si>
    <t>CALABAZA</t>
  </si>
  <si>
    <t>PERA</t>
  </si>
  <si>
    <t>COLEGIO SAN JAVIER - JOSE A CABRERA 5901</t>
  </si>
  <si>
    <t>ALBAHACA</t>
  </si>
  <si>
    <t>KALE</t>
  </si>
  <si>
    <t>COLEGIO SAN MARCOS | SAN ISIDRO</t>
  </si>
  <si>
    <t>rto: 11</t>
  </si>
  <si>
    <t>CHAMPIGNON</t>
  </si>
  <si>
    <t>CEBOLLA</t>
  </si>
  <si>
    <t>COLEGIO VILLA DEVOTO SCHOOL - PEDRO MORAN 4441</t>
  </si>
  <si>
    <t>rto: 16</t>
  </si>
  <si>
    <t xml:space="preserve">COLEGIO SWORM JUNIOR COLLAGE | PACHECO </t>
  </si>
  <si>
    <t>rto: 10</t>
  </si>
  <si>
    <t>ZUCCINI</t>
  </si>
  <si>
    <t>BANANA</t>
  </si>
  <si>
    <t>COLEGIO ST CATHERINES MOORLANDS - CARBAJAL 3250</t>
  </si>
  <si>
    <t>APIO</t>
  </si>
  <si>
    <t>PALTA</t>
  </si>
  <si>
    <t>COLEGIO ST. MATTHEWS | CAAMAÑO</t>
  </si>
  <si>
    <t>MANDARINA</t>
  </si>
  <si>
    <t>COLEGIO BRICK TOWERS | DEL VISO</t>
  </si>
  <si>
    <t>rto: 12</t>
  </si>
  <si>
    <t>MASTER COLLAGE (OHHIGINS)</t>
  </si>
  <si>
    <t>rto: 7</t>
  </si>
  <si>
    <t>BROTE DE SOJA</t>
  </si>
  <si>
    <t>TOMATE</t>
  </si>
  <si>
    <t>MANZANA</t>
  </si>
  <si>
    <t>HOGAR CARDALES</t>
  </si>
  <si>
    <t>rto: 13</t>
  </si>
  <si>
    <t>BONIATO</t>
  </si>
  <si>
    <t>CHAUCHA</t>
  </si>
  <si>
    <t>LECHUGA</t>
  </si>
  <si>
    <t>REPOLLO</t>
  </si>
  <si>
    <t>TOMATE REDONDO</t>
  </si>
  <si>
    <t>ZAPALLITO REDONDO</t>
  </si>
  <si>
    <t>CABUTIA</t>
  </si>
  <si>
    <t>PAPA</t>
  </si>
  <si>
    <t>HUEVO</t>
  </si>
  <si>
    <t>CAJA</t>
  </si>
  <si>
    <t>BANANA ECUADOR</t>
  </si>
  <si>
    <t>LIMON</t>
  </si>
  <si>
    <t>FRUTILLA</t>
  </si>
  <si>
    <t>KIWI</t>
  </si>
  <si>
    <t>LA PIADINA</t>
  </si>
  <si>
    <t>rto: 34</t>
  </si>
  <si>
    <t>TOMATE CHERRY</t>
  </si>
  <si>
    <t>CARLOTA CARAF VIANDAS</t>
  </si>
  <si>
    <t>rto: 6</t>
  </si>
  <si>
    <t>VALENTIN LIZASO</t>
  </si>
  <si>
    <t>rto: 2</t>
  </si>
  <si>
    <t>ZAPALLITO</t>
  </si>
  <si>
    <t>BERENJENA</t>
  </si>
  <si>
    <t>BANDEJA</t>
  </si>
  <si>
    <t>TOTAL DIA</t>
  </si>
  <si>
    <t>GANANCIA</t>
  </si>
  <si>
    <t>%</t>
  </si>
  <si>
    <t>BULTOS COMPRADOS</t>
  </si>
  <si>
    <t>rto: 32</t>
  </si>
  <si>
    <t>**</t>
  </si>
  <si>
    <t>S/C</t>
  </si>
  <si>
    <t>BRASOV</t>
  </si>
  <si>
    <t>rto: 27</t>
  </si>
  <si>
    <t>LECHUGA FRANCESA</t>
  </si>
  <si>
    <t>JENGIBRE</t>
  </si>
  <si>
    <t>MENTA</t>
  </si>
  <si>
    <t>LIMA</t>
  </si>
  <si>
    <t>MANGO</t>
  </si>
  <si>
    <t>PALTA (50u)</t>
  </si>
  <si>
    <t>COMO SIEMPRE LAGUNA</t>
  </si>
  <si>
    <t>rto: 43</t>
  </si>
  <si>
    <t>LECHUGA MORADA</t>
  </si>
  <si>
    <t>LA MARQUESA</t>
  </si>
  <si>
    <t>rto: 24</t>
  </si>
  <si>
    <t>QUINQUELA</t>
  </si>
  <si>
    <t>rto: 9</t>
  </si>
  <si>
    <t>POMELO</t>
  </si>
  <si>
    <t>RAKUS CAFE - PADUA</t>
  </si>
  <si>
    <t>rto:  33</t>
  </si>
  <si>
    <t>ATADOS</t>
  </si>
  <si>
    <t>NARANJA DE JUGO</t>
  </si>
  <si>
    <t>COLCAR</t>
  </si>
  <si>
    <t>BATATA</t>
  </si>
  <si>
    <t>ACELGA</t>
  </si>
  <si>
    <t>FABRIC SUSHI</t>
  </si>
  <si>
    <t>RTO: 17</t>
  </si>
  <si>
    <t>CILANTRO</t>
  </si>
  <si>
    <t>PORTOBELLO</t>
  </si>
  <si>
    <t>PAPA CEPILLADA</t>
  </si>
  <si>
    <t xml:space="preserve">MORRON </t>
  </si>
  <si>
    <t>LOCOTO</t>
  </si>
  <si>
    <t>JALAPEÑO ROJO</t>
  </si>
  <si>
    <t>AJI PERUANO</t>
  </si>
  <si>
    <t>SAN ANTONIO</t>
  </si>
  <si>
    <t>CEBOLLON</t>
  </si>
  <si>
    <r>
      <rPr>
        <sz val="11"/>
        <color theme="1"/>
        <rFont val="Calibri"/>
        <family val="2"/>
      </rPr>
      <t xml:space="preserve">CEBOLLON </t>
    </r>
    <r>
      <rPr>
        <i/>
        <sz val="11"/>
        <color rgb="FFFF0000"/>
        <rFont val="Calibri"/>
        <family val="2"/>
      </rPr>
      <t>CAMBIO</t>
    </r>
  </si>
  <si>
    <t>rto: 17</t>
  </si>
  <si>
    <t>CHAUCHA REDONDA</t>
  </si>
  <si>
    <t>rto:  25</t>
  </si>
  <si>
    <t>rto:  10</t>
  </si>
  <si>
    <t>PAPIN</t>
  </si>
  <si>
    <t>rto: 44</t>
  </si>
  <si>
    <t>MESTIZO</t>
  </si>
  <si>
    <t>rto: 26</t>
  </si>
  <si>
    <t>ENELDO</t>
  </si>
  <si>
    <t>RTO: 18</t>
  </si>
  <si>
    <t>MORRON</t>
  </si>
  <si>
    <t>PAPA LAVADA</t>
  </si>
  <si>
    <t>GIRGOLA</t>
  </si>
  <si>
    <t>ROCOTO</t>
  </si>
  <si>
    <t>UNIVERSIDAD DE MORENO</t>
  </si>
  <si>
    <t>rto: 4</t>
  </si>
  <si>
    <t>PALTA HASS</t>
  </si>
  <si>
    <t>FV</t>
  </si>
  <si>
    <t>rto: 251</t>
  </si>
  <si>
    <t>CIRUELA</t>
  </si>
  <si>
    <t>MELON</t>
  </si>
  <si>
    <t>BOLSA PROPIA</t>
  </si>
  <si>
    <t>LUSQTOFF</t>
  </si>
  <si>
    <t>SEDE: IRALA</t>
  </si>
  <si>
    <t>ZANAHORIA INDUSTRIAL</t>
  </si>
  <si>
    <t>SEDE: MORENO</t>
  </si>
  <si>
    <t>AUPA</t>
  </si>
  <si>
    <t>NARANJA JUGO ELEGIDA</t>
  </si>
  <si>
    <t>MUNCHIS</t>
  </si>
  <si>
    <t>rto:</t>
  </si>
  <si>
    <t>rto: 33</t>
  </si>
  <si>
    <t>S&amp;T CATERING</t>
  </si>
  <si>
    <t>FRUTILLA (7 Bandejas)</t>
  </si>
  <si>
    <t>rto: 3</t>
  </si>
  <si>
    <t>PAULA CASERO</t>
  </si>
  <si>
    <t>rto: 25</t>
  </si>
  <si>
    <t>rto: 18</t>
  </si>
  <si>
    <t>rto:  26</t>
  </si>
  <si>
    <t xml:space="preserve">HUEVO </t>
  </si>
  <si>
    <t>FRUTILLA TAMARA</t>
  </si>
  <si>
    <t>FLORES COMESTIBLES</t>
  </si>
  <si>
    <t>SAPORE DI ROMA</t>
  </si>
  <si>
    <t>rto: 28</t>
  </si>
  <si>
    <t>HONGOS</t>
  </si>
  <si>
    <t>MEDIA CAJA</t>
  </si>
  <si>
    <t>HUEVO N2</t>
  </si>
  <si>
    <t>rto: 252</t>
  </si>
  <si>
    <t>MANZANA GRANNY</t>
  </si>
  <si>
    <t>MANZNA RED</t>
  </si>
  <si>
    <t>NARANJA JUGO</t>
  </si>
  <si>
    <t>CATERING</t>
  </si>
  <si>
    <t>rto: 19</t>
  </si>
  <si>
    <t>VERDEO</t>
  </si>
  <si>
    <t>CEB MORADA</t>
  </si>
  <si>
    <t>CLIENTE</t>
  </si>
  <si>
    <t>SALDOS MARZO</t>
  </si>
  <si>
    <t>FACTURACION</t>
  </si>
  <si>
    <t>COBRANZA</t>
  </si>
  <si>
    <t>RETENCIONES</t>
  </si>
  <si>
    <t>SALDO</t>
  </si>
  <si>
    <t>% del FIADO</t>
  </si>
  <si>
    <t>FERIADO CANTINA</t>
  </si>
  <si>
    <t>A.U.P.A.</t>
  </si>
  <si>
    <t>TODO CASERITO</t>
  </si>
  <si>
    <t>PAULA CASEROS</t>
  </si>
  <si>
    <t>CONTADO</t>
  </si>
  <si>
    <t>LAS BRISAS</t>
  </si>
  <si>
    <t>HOGAR SAN MARINO</t>
  </si>
  <si>
    <t>HOWARD JOHNSON</t>
  </si>
  <si>
    <t>LENTAX S.R.L</t>
  </si>
  <si>
    <t>FV S.A.</t>
  </si>
  <si>
    <t>ALUMNI</t>
  </si>
  <si>
    <t>ROSSO RISTORANTE</t>
  </si>
  <si>
    <t>NORTH SIDE</t>
  </si>
  <si>
    <t>ONNEG</t>
  </si>
  <si>
    <t>COLEGIOS</t>
  </si>
  <si>
    <t>AL ESTRIBO</t>
  </si>
  <si>
    <t>PIO</t>
  </si>
  <si>
    <t>SAO MEDIALUNAS - PALMAS</t>
  </si>
  <si>
    <t>RAKUS CAFE</t>
  </si>
  <si>
    <t>FABRIC - MORENO</t>
  </si>
  <si>
    <t>HAVANA - MORENO</t>
  </si>
  <si>
    <t>LUSQTOFF - IRALA</t>
  </si>
  <si>
    <t>LUSQTOFF - MORENO</t>
  </si>
  <si>
    <t>CAFE MARTINEZ - MORENO CENTRO</t>
  </si>
  <si>
    <t>CAFE MARTINEZ - MORENO GORRITI</t>
  </si>
  <si>
    <t>CAFE MARTINEZ - CAAMAÑO</t>
  </si>
  <si>
    <t>CARLOTA VIANDAS</t>
  </si>
  <si>
    <t>UNIVERSIDAD MORENO</t>
  </si>
  <si>
    <t>LA CANTINA</t>
  </si>
  <si>
    <t>RINCON DEL PAN</t>
  </si>
  <si>
    <t>VENTA ACUMULADA</t>
  </si>
  <si>
    <t>GANANCIA ACUMULADA BRUTA</t>
  </si>
  <si>
    <t>BULTOS</t>
  </si>
  <si>
    <t>1° SEMANA 01/04 - 02/04</t>
  </si>
  <si>
    <t>2° SEMANA 06/04 - 10/04</t>
  </si>
  <si>
    <t>3° SEMANA 13/04 - 17/04</t>
  </si>
  <si>
    <t>4° SEMANA 20/04 - 24/04</t>
  </si>
  <si>
    <t>5° SEMANA 27/04 - 30/04</t>
  </si>
  <si>
    <t>BULTOS MES</t>
  </si>
  <si>
    <t>VENTA DEL MES</t>
  </si>
  <si>
    <t>PROMEDIO VENTA X DIA</t>
  </si>
  <si>
    <t>PROMEDIO GCIA X DIA</t>
  </si>
  <si>
    <t>SALDOS FEBRERO</t>
  </si>
  <si>
    <t>$  -</t>
  </si>
  <si>
    <t>1° SEMANA 02/03 - 06/03</t>
  </si>
  <si>
    <t>2° SEMANA 09/03 - 13/03</t>
  </si>
  <si>
    <t>3° SEMANA 16/03 - 20/03</t>
  </si>
  <si>
    <t>4° SEMANA 23/03 - 27/03</t>
  </si>
  <si>
    <t>5° SEMANA 30/03 - 31/03</t>
  </si>
  <si>
    <t>SALDOS ENERO</t>
  </si>
  <si>
    <t>1° SEMANA 02/02 - 06/02</t>
  </si>
  <si>
    <t>2° SEMANA 09/02 - 13/02</t>
  </si>
  <si>
    <t>3° SEMANA 16/02 - 20/02</t>
  </si>
  <si>
    <t>4° SEMANA 23/02 - 27/02</t>
  </si>
  <si>
    <t>SALDOS DICIEMBRE</t>
  </si>
  <si>
    <t>ST CATERING</t>
  </si>
  <si>
    <t>1° SEMANA 05/01 - 10/01</t>
  </si>
  <si>
    <t>2° SEMANA 12/01 - 17/01</t>
  </si>
  <si>
    <t>3° SEMANA 19/01 - 24/01</t>
  </si>
  <si>
    <t>4° SEMANA 26/01 - 31/01</t>
  </si>
  <si>
    <t>ENERO</t>
  </si>
  <si>
    <t>JUAN</t>
  </si>
  <si>
    <t>FEBRERO</t>
  </si>
  <si>
    <t>MARZO</t>
  </si>
  <si>
    <t>10-Apr</t>
  </si>
  <si>
    <t>0.20</t>
  </si>
  <si>
    <t>$ 4,500.00</t>
  </si>
  <si>
    <t>$ 900.00</t>
  </si>
  <si>
    <t>$ 994.50</t>
  </si>
  <si>
    <t>$ 1,500.00</t>
  </si>
  <si>
    <t>$ 300.00</t>
  </si>
  <si>
    <t>$ 694.50</t>
  </si>
  <si>
    <t>77.17%</t>
  </si>
  <si>
    <t>1.00</t>
  </si>
  <si>
    <t>$ 1,657.50</t>
  </si>
  <si>
    <t>$ 666.00</t>
  </si>
  <si>
    <t>$ 991.50</t>
  </si>
  <si>
    <t>66.10%</t>
  </si>
  <si>
    <t>4.00</t>
  </si>
  <si>
    <t>$ 3,000.00</t>
  </si>
  <si>
    <t>$ 12,000.00</t>
  </si>
  <si>
    <t>$ 13,260.00</t>
  </si>
  <si>
    <t>$ 2,120.00</t>
  </si>
  <si>
    <t>$ 8,480.00</t>
  </si>
  <si>
    <t>$ 4,780.00</t>
  </si>
  <si>
    <t>39.83%</t>
  </si>
  <si>
    <t>2.00</t>
  </si>
  <si>
    <t>$ 3,200.00</t>
  </si>
  <si>
    <t>$ 6,400.00</t>
  </si>
  <si>
    <t>$ 7,072.00</t>
  </si>
  <si>
    <t>$ 2,250.00</t>
  </si>
  <si>
    <t>$ 2,572.00</t>
  </si>
  <si>
    <t>40.19%</t>
  </si>
  <si>
    <t>$ 13,000.00</t>
  </si>
  <si>
    <t>$ 14,365.00</t>
  </si>
  <si>
    <t>$ 8,000.00</t>
  </si>
  <si>
    <t>$ 6,365.00</t>
  </si>
  <si>
    <t>48.96%</t>
  </si>
  <si>
    <t>1.50</t>
  </si>
  <si>
    <t>$ 1,600.00</t>
  </si>
  <si>
    <t>$ 2,400.00</t>
  </si>
  <si>
    <t>$ 2,652.00</t>
  </si>
  <si>
    <t>$ 1,000.00</t>
  </si>
  <si>
    <t>$ 1,152.00</t>
  </si>
  <si>
    <t>48.00%</t>
  </si>
  <si>
    <t>0.60</t>
  </si>
  <si>
    <t>$ 21,000.00</t>
  </si>
  <si>
    <t>$ 12,600.00</t>
  </si>
  <si>
    <t>$ 13,923.00</t>
  </si>
  <si>
    <t>$ 16,000.00</t>
  </si>
  <si>
    <t>$ 9,600.00</t>
  </si>
  <si>
    <t>$ 4,323.00</t>
  </si>
  <si>
    <t>34.31%</t>
  </si>
  <si>
    <t>$ 4,000.00</t>
  </si>
  <si>
    <t>$ 4,420.00</t>
  </si>
  <si>
    <t>$ 1,720.00</t>
  </si>
  <si>
    <t>$ 2,700.00</t>
  </si>
  <si>
    <t>67.50%</t>
  </si>
  <si>
    <t>5.00</t>
  </si>
  <si>
    <t>$ 1,700.00</t>
  </si>
  <si>
    <t>$ 8,500.00</t>
  </si>
  <si>
    <t>$ 9,392.50</t>
  </si>
  <si>
    <t>$ 1,200.00</t>
  </si>
  <si>
    <t>$ 6,000.00</t>
  </si>
  <si>
    <t>$ 3,392.50</t>
  </si>
  <si>
    <t>39.91%</t>
  </si>
  <si>
    <t>$ 11,000.00</t>
  </si>
  <si>
    <t>$ 12,155.00</t>
  </si>
  <si>
    <t>$ 10,000.00</t>
  </si>
  <si>
    <t>$ 2,155.00</t>
  </si>
  <si>
    <t>19.59%</t>
  </si>
  <si>
    <t>$ 4,800.00</t>
  </si>
  <si>
    <t>$ 5,304.00</t>
  </si>
  <si>
    <t>$ 640.00</t>
  </si>
  <si>
    <t>$ 2,560.00</t>
  </si>
  <si>
    <t>$ 2,744.00</t>
  </si>
  <si>
    <t>57.17%</t>
  </si>
  <si>
    <t>0.50</t>
  </si>
  <si>
    <t>$ 60,000.00</t>
  </si>
  <si>
    <t>$ 30,000.00</t>
  </si>
  <si>
    <t>$ 33,150.00</t>
  </si>
  <si>
    <t>$ 50,000.00</t>
  </si>
  <si>
    <t>$ 25,000.00</t>
  </si>
  <si>
    <t>$ 8,150.00</t>
  </si>
  <si>
    <t>27.17%</t>
  </si>
  <si>
    <t>$ 72,000.00</t>
  </si>
  <si>
    <t>$ 36,000.00</t>
  </si>
  <si>
    <t>$ 39,780.00</t>
  </si>
  <si>
    <t>$ 9,780.00</t>
  </si>
  <si>
    <t>$ 28,000.00</t>
  </si>
  <si>
    <t>$ 42,000.00</t>
  </si>
  <si>
    <t>$ 46,410.00</t>
  </si>
  <si>
    <t>$ 22,000.00</t>
  </si>
  <si>
    <t>$ 33,000.00</t>
  </si>
  <si>
    <t>$ 13,410.00</t>
  </si>
  <si>
    <t>31.93%</t>
  </si>
  <si>
    <t>$ 55,250.00</t>
  </si>
  <si>
    <t>$ 19,500.00</t>
  </si>
  <si>
    <t>$ 39,000.00</t>
  </si>
  <si>
    <t>$ 16,250.00</t>
  </si>
  <si>
    <t>32.50%</t>
  </si>
  <si>
    <t>$ 3,315.00</t>
  </si>
  <si>
    <t>$ 2,500.00</t>
  </si>
  <si>
    <t>$ 815.00</t>
  </si>
  <si>
    <t>$ 2,315.00</t>
  </si>
  <si>
    <t>$ 3,500.00</t>
  </si>
  <si>
    <t>$ 700.00</t>
  </si>
  <si>
    <t>$ 773.50</t>
  </si>
  <si>
    <t>$ 473.50</t>
  </si>
  <si>
    <t>67.64%</t>
  </si>
  <si>
    <t>$ 3,536.00</t>
  </si>
  <si>
    <t>$ 1,860.00</t>
  </si>
  <si>
    <t>$ 1,676.00</t>
  </si>
  <si>
    <t>52.38%</t>
  </si>
  <si>
    <t>$ 1,326.00</t>
  </si>
  <si>
    <t>$ 1,450.00</t>
  </si>
  <si>
    <t>$ 725.00</t>
  </si>
  <si>
    <t>$ 601.00</t>
  </si>
  <si>
    <t>50.08%</t>
  </si>
  <si>
    <t>$ 2,800.00</t>
  </si>
  <si>
    <t>$ 1,400.00</t>
  </si>
  <si>
    <t>$ 1,547.00</t>
  </si>
  <si>
    <t>$ 2,150.00</t>
  </si>
  <si>
    <t>$ 1,075.00</t>
  </si>
  <si>
    <t>$ 472.00</t>
  </si>
  <si>
    <t>33.71%</t>
  </si>
  <si>
    <t>$ 5,000.00</t>
  </si>
  <si>
    <t>$ 5,525.00</t>
  </si>
  <si>
    <t>$ 2,000.00</t>
  </si>
  <si>
    <t>$ 3,525.00</t>
  </si>
  <si>
    <t>70.50%</t>
  </si>
  <si>
    <t>$ 1,800.00</t>
  </si>
  <si>
    <t>$ 2,983.50</t>
  </si>
  <si>
    <t>$ 1,483.50</t>
  </si>
  <si>
    <t>54.94%</t>
  </si>
  <si>
    <t>$ 1,989.00</t>
  </si>
  <si>
    <t>$ 989.00</t>
  </si>
  <si>
    <t>8.00</t>
  </si>
  <si>
    <t>$ 19,200.00</t>
  </si>
  <si>
    <t>$ 21,216.00</t>
  </si>
  <si>
    <t>$ 1,350.00</t>
  </si>
  <si>
    <t>$ 10,800.00</t>
  </si>
  <si>
    <t>$ 10,416.00</t>
  </si>
  <si>
    <t>54.25%</t>
  </si>
  <si>
    <t>$ 7,000.00</t>
  </si>
  <si>
    <t>$ 6,260.00</t>
  </si>
  <si>
    <t>52.17%</t>
  </si>
  <si>
    <t>3.00</t>
  </si>
  <si>
    <t>$ 1,300.00</t>
  </si>
  <si>
    <t>$ 3,900.00</t>
  </si>
  <si>
    <t>$ 4,309.50</t>
  </si>
  <si>
    <t>$ 777.78</t>
  </si>
  <si>
    <t>$ 2,333.33</t>
  </si>
  <si>
    <t>$ 1,976.17</t>
  </si>
  <si>
    <t>50.67%</t>
  </si>
  <si>
    <t>3.50</t>
  </si>
  <si>
    <t>$ 8,400.00</t>
  </si>
  <si>
    <t>$ 9,282.00</t>
  </si>
  <si>
    <t>$ 1,650.00</t>
  </si>
  <si>
    <t>$ 5,775.00</t>
  </si>
  <si>
    <t>$ 3,507.00</t>
  </si>
  <si>
    <t>41.75%</t>
  </si>
  <si>
    <t>$ 2,600.00</t>
  </si>
  <si>
    <t>$ 2,873.00</t>
  </si>
  <si>
    <t>$ 723.00</t>
  </si>
  <si>
    <t>27.81%</t>
  </si>
  <si>
    <t>10.00</t>
  </si>
  <si>
    <t>$ 600.00</t>
  </si>
  <si>
    <t>$ 6,630.00</t>
  </si>
  <si>
    <t>$ 375.00</t>
  </si>
  <si>
    <t>$ 3,750.00</t>
  </si>
  <si>
    <t>$ 2,880.00</t>
  </si>
  <si>
    <t>$ 9,000.00</t>
  </si>
  <si>
    <t>$ 9,945.00</t>
  </si>
  <si>
    <t>$ 7,500.00</t>
  </si>
  <si>
    <t>$ 2,445.00</t>
  </si>
  <si>
    <t>$ 318,200.00</t>
  </si>
  <si>
    <t>$ 351,611.00</t>
  </si>
  <si>
    <t>$ 120,016.67</t>
  </si>
  <si>
    <t>34.13%</t>
  </si>
  <si>
    <t>$ 10,608.00</t>
  </si>
  <si>
    <t>$ 6,600.00</t>
  </si>
  <si>
    <t>$ 4,008.00</t>
  </si>
  <si>
    <t>6.00</t>
  </si>
  <si>
    <t>$ 10,200.00</t>
  </si>
  <si>
    <t>$ 11,271.00</t>
  </si>
  <si>
    <t>$ 7,200.00</t>
  </si>
  <si>
    <t>$ 4,071.00</t>
  </si>
  <si>
    <t>$ 2,210.00</t>
  </si>
  <si>
    <t>$ 850.00</t>
  </si>
  <si>
    <t>$ 1,360.00</t>
  </si>
  <si>
    <t>68.00%</t>
  </si>
  <si>
    <t>0.40</t>
  </si>
  <si>
    <t>$ 2,882.00</t>
  </si>
  <si>
    <t>$ 30,940.00</t>
  </si>
  <si>
    <t>$ 8,940.00</t>
  </si>
  <si>
    <t>$ 3,600.00</t>
  </si>
  <si>
    <t>$ 14,400.00</t>
  </si>
  <si>
    <t>$ 15,912.00</t>
  </si>
  <si>
    <t>$ 2,940.00</t>
  </si>
  <si>
    <t>$ 11,760.00</t>
  </si>
  <si>
    <t>$ 4,152.00</t>
  </si>
  <si>
    <t>28.83%</t>
  </si>
  <si>
    <t>$ 13,500.00</t>
  </si>
  <si>
    <t>$ 14,917.50</t>
  </si>
  <si>
    <t>$ 3,530.00</t>
  </si>
  <si>
    <t>$ 10,590.00</t>
  </si>
  <si>
    <t>$ 4,327.50</t>
  </si>
  <si>
    <t>32.06%</t>
  </si>
  <si>
    <t>$ 2,100.00</t>
  </si>
  <si>
    <t>$ 6,300.00</t>
  </si>
  <si>
    <t>$ 3,645.00</t>
  </si>
  <si>
    <t>40.50%</t>
  </si>
  <si>
    <t>$ 4,240.00</t>
  </si>
  <si>
    <t>$ 2,390.00</t>
  </si>
  <si>
    <t>$ 210,300.00</t>
  </si>
  <si>
    <t>$ 232,381.50</t>
  </si>
  <si>
    <t>$ 79,436.50</t>
  </si>
  <si>
    <t>34.18%</t>
  </si>
  <si>
    <t>$ 460.00</t>
  </si>
  <si>
    <t>$ 920.00</t>
  </si>
  <si>
    <t>$ 1,069.00</t>
  </si>
  <si>
    <t>59.39%</t>
  </si>
  <si>
    <t>$ 15,000.00</t>
  </si>
  <si>
    <t>$ 16,575.00</t>
  </si>
  <si>
    <t>$ 10,600.00</t>
  </si>
  <si>
    <t>$ 5,975.00</t>
  </si>
  <si>
    <t>$ 1,136.00</t>
  </si>
  <si>
    <t>35.50%</t>
  </si>
  <si>
    <t>$ 1,286.00</t>
  </si>
  <si>
    <t>$ 8,840.00</t>
  </si>
  <si>
    <t>$ 500.00</t>
  </si>
  <si>
    <t>$ 4,840.00</t>
  </si>
  <si>
    <t>60.50%</t>
  </si>
  <si>
    <t>$ 4,972.50</t>
  </si>
  <si>
    <t>$ 3,472.50</t>
  </si>
  <si>
    <t>$ 3,072.00</t>
  </si>
  <si>
    <t>$ 4,630.00</t>
  </si>
  <si>
    <t>7.00</t>
  </si>
  <si>
    <t>$ 11,900.00</t>
  </si>
  <si>
    <t>$ 13,149.50</t>
  </si>
  <si>
    <t>$ 4,749.50</t>
  </si>
  <si>
    <t>$ 3,260.00</t>
  </si>
  <si>
    <t>$ 3,720.00</t>
  </si>
  <si>
    <t>$ 3,352.00</t>
  </si>
  <si>
    <t>$ 1,202.00</t>
  </si>
  <si>
    <t>$ 56,000.00</t>
  </si>
  <si>
    <t>$ 61,880.00</t>
  </si>
  <si>
    <t>$ 44,000.00</t>
  </si>
  <si>
    <t>$ 17,880.00</t>
  </si>
  <si>
    <t>$ 428.00</t>
  </si>
  <si>
    <t>$ 1,229.50</t>
  </si>
  <si>
    <t>81.97%</t>
  </si>
  <si>
    <t>$ 1,750.00</t>
  </si>
  <si>
    <t>$ 1,933.75</t>
  </si>
  <si>
    <t>$ 750.00</t>
  </si>
  <si>
    <t>$ 1,183.75</t>
  </si>
  <si>
    <t>$ 11,050.00</t>
  </si>
  <si>
    <t>$ 7,050.00</t>
  </si>
  <si>
    <t>$ 2,762.50</t>
  </si>
  <si>
    <t>$ 1,362.50</t>
  </si>
  <si>
    <t>54.50%</t>
  </si>
  <si>
    <t>1.60</t>
  </si>
  <si>
    <t>$ 3,182.40</t>
  </si>
  <si>
    <t>$ 1,582.40</t>
  </si>
  <si>
    <t>15.00</t>
  </si>
  <si>
    <t>$ 5,625.00</t>
  </si>
  <si>
    <t>$ 4,320.00</t>
  </si>
  <si>
    <t>$ 8,100.00</t>
  </si>
  <si>
    <t>$ 7,812.00</t>
  </si>
  <si>
    <t>$ 10,400.00</t>
  </si>
  <si>
    <t>$ 11,492.00</t>
  </si>
  <si>
    <t>$ 6,222.22</t>
  </si>
  <si>
    <t>$ 5,269.78</t>
  </si>
  <si>
    <t>6.50</t>
  </si>
  <si>
    <t>$ 15,600.00</t>
  </si>
  <si>
    <t>$ 17,238.00</t>
  </si>
  <si>
    <t>$ 10,725.00</t>
  </si>
  <si>
    <t>$ 6,513.00</t>
  </si>
  <si>
    <t>$ 54,000.00</t>
  </si>
  <si>
    <t>$ 65,340.00</t>
  </si>
  <si>
    <t>$ 11,340.00</t>
  </si>
  <si>
    <t>21.00%</t>
  </si>
  <si>
    <t>8.60</t>
  </si>
  <si>
    <t>$ 20,640.00</t>
  </si>
  <si>
    <t>$ 22,807.20</t>
  </si>
  <si>
    <t>$ 14,190.00</t>
  </si>
  <si>
    <t>$ 8,617.20</t>
  </si>
  <si>
    <t>$ 364,170.00</t>
  </si>
  <si>
    <t>$ 408,077.85</t>
  </si>
  <si>
    <t>$ 140,161.63</t>
  </si>
  <si>
    <t>34.35%</t>
  </si>
  <si>
    <t>$ 79,560.00</t>
  </si>
  <si>
    <t>$ 20,000.00</t>
  </si>
  <si>
    <t>$ 40,000.00</t>
  </si>
  <si>
    <t>$ 39,560.00</t>
  </si>
  <si>
    <t>$ 24,000.00</t>
  </si>
  <si>
    <t>$ 26,520.00</t>
  </si>
  <si>
    <t>$ 6,520.00</t>
  </si>
  <si>
    <t>$ 26,000.00</t>
  </si>
  <si>
    <t>$ 28,730.00</t>
  </si>
  <si>
    <t>$ 18,000.00</t>
  </si>
  <si>
    <t>$ 10,730.00</t>
  </si>
  <si>
    <t>41.27%</t>
  </si>
  <si>
    <t>$ 48,000.00</t>
  </si>
  <si>
    <t>$ 53,040.00</t>
  </si>
  <si>
    <t>$ 25,040.00</t>
  </si>
  <si>
    <t>$ 125,000.00</t>
  </si>
  <si>
    <t>$ 138,125.00</t>
  </si>
  <si>
    <t>$ 97,500.00</t>
  </si>
  <si>
    <t>$ 40,625.00</t>
  </si>
  <si>
    <t>$ 12,730.00</t>
  </si>
  <si>
    <t>$ 17,680.00</t>
  </si>
  <si>
    <t>$ 5,680.00</t>
  </si>
  <si>
    <t>7.60</t>
  </si>
  <si>
    <t>$ 13,680.00</t>
  </si>
  <si>
    <t>$ 15,116.40</t>
  </si>
  <si>
    <t>$ 7,600.00</t>
  </si>
  <si>
    <t>$ 7,516.40</t>
  </si>
  <si>
    <t>5.30</t>
  </si>
  <si>
    <t>$ 9,540.00</t>
  </si>
  <si>
    <t>$ 10,541.70</t>
  </si>
  <si>
    <t>$ 5,300.00</t>
  </si>
  <si>
    <t>$ 5,241.70</t>
  </si>
  <si>
    <t>10.40</t>
  </si>
  <si>
    <t>$ 24,960.00</t>
  </si>
  <si>
    <t>$ 27,580.80</t>
  </si>
  <si>
    <t>$ 17,160.00</t>
  </si>
  <si>
    <t>$ 10,420.80</t>
  </si>
  <si>
    <t>$ 5,580.00</t>
  </si>
  <si>
    <t>$ 5,028.00</t>
  </si>
  <si>
    <t>$ 2,900.00</t>
  </si>
  <si>
    <t>$ 2,404.00</t>
  </si>
  <si>
    <t>$ 5,600.00</t>
  </si>
  <si>
    <t>$ 6,188.00</t>
  </si>
  <si>
    <t>$ 4,300.00</t>
  </si>
  <si>
    <t>$ 1,888.00</t>
  </si>
  <si>
    <t>$ 23,205.00</t>
  </si>
  <si>
    <t>$ 7,205.00</t>
  </si>
  <si>
    <t>$ 1,105.00</t>
  </si>
  <si>
    <t>$ 425.00</t>
  </si>
  <si>
    <t>$ 680.00</t>
  </si>
  <si>
    <t>$ 1,762.50</t>
  </si>
  <si>
    <t>$ 800.00</t>
  </si>
  <si>
    <t>$ 2,820.00</t>
  </si>
  <si>
    <t>$ 1,250.00</t>
  </si>
  <si>
    <t>$ 2,072.00</t>
  </si>
  <si>
    <t>32.38%</t>
  </si>
  <si>
    <t>$ 1,625.00</t>
  </si>
  <si>
    <t>$ 1,690.00</t>
  </si>
  <si>
    <t>56.33%</t>
  </si>
  <si>
    <t>$ 1,630.00</t>
  </si>
  <si>
    <t>$ 3,867.50</t>
  </si>
  <si>
    <t>$ 2,367.50</t>
  </si>
  <si>
    <t>$ 5,200.00</t>
  </si>
  <si>
    <t>$ 5,746.00</t>
  </si>
  <si>
    <t>$ 1,446.00</t>
  </si>
  <si>
    <t>$ 2,630.00</t>
  </si>
  <si>
    <t>43.83%</t>
  </si>
  <si>
    <t>$ 3,840.00</t>
  </si>
  <si>
    <t>$ 66,300.00</t>
  </si>
  <si>
    <t>$ 16,300.00</t>
  </si>
  <si>
    <t>$ 19,560.00</t>
  </si>
  <si>
    <t>$ 45,000.00</t>
  </si>
  <si>
    <t>$ 49,725.00</t>
  </si>
  <si>
    <t>$ 13,725.00</t>
  </si>
  <si>
    <t>30.50%</t>
  </si>
  <si>
    <t>12.85</t>
  </si>
  <si>
    <t>$ 38,550.00</t>
  </si>
  <si>
    <t>$ 42,597.75</t>
  </si>
  <si>
    <t>$ 27,242.00</t>
  </si>
  <si>
    <t>$ 15,355.75</t>
  </si>
  <si>
    <t>$ 24,310.00</t>
  </si>
  <si>
    <t>$ 4,310.00</t>
  </si>
  <si>
    <t>$ 860,230.00</t>
  </si>
  <si>
    <t>$ 956,224.15</t>
  </si>
  <si>
    <t>$ 324,258.15</t>
  </si>
  <si>
    <t>33.91%</t>
  </si>
  <si>
    <t>0.80</t>
  </si>
  <si>
    <t>$ 1,352.00</t>
  </si>
  <si>
    <t>14.00</t>
  </si>
  <si>
    <t>$ 33,600.00</t>
  </si>
  <si>
    <t>$ 37,128.00</t>
  </si>
  <si>
    <t>$ 18,900.00</t>
  </si>
  <si>
    <t>$ 18,228.00</t>
  </si>
  <si>
    <t>$ 12,800.00</t>
  </si>
  <si>
    <t>$ 14,144.00</t>
  </si>
  <si>
    <t>$ 7,440.00</t>
  </si>
  <si>
    <t>$ 6,704.00</t>
  </si>
  <si>
    <t>$ 3,978.00</t>
  </si>
  <si>
    <t>$ 1,978.00</t>
  </si>
  <si>
    <t>3.60</t>
  </si>
  <si>
    <t>$ 6,480.00</t>
  </si>
  <si>
    <t>$ 7,160.40</t>
  </si>
  <si>
    <t>$ 3,560.40</t>
  </si>
  <si>
    <t>CHAMPIÑON</t>
  </si>
  <si>
    <t>$ 13,600.00</t>
  </si>
  <si>
    <t>$ 15,028.00</t>
  </si>
  <si>
    <t>$ 5,428.00</t>
  </si>
  <si>
    <t>$ 552.50</t>
  </si>
  <si>
    <t>$ 200.00</t>
  </si>
  <si>
    <t>$ 352.50</t>
  </si>
  <si>
    <t>$ 11,200.00</t>
  </si>
  <si>
    <t>$ 12,376.00</t>
  </si>
  <si>
    <t>$ 3,976.00</t>
  </si>
  <si>
    <t>$ 526.00</t>
  </si>
  <si>
    <t>$ 1,768.00</t>
  </si>
  <si>
    <t>$ 768.00</t>
  </si>
  <si>
    <t>$ 5,500.00</t>
  </si>
  <si>
    <t>$ 6,077.50</t>
  </si>
  <si>
    <t>$ 1,077.50</t>
  </si>
  <si>
    <t>$ 31,500.00</t>
  </si>
  <si>
    <t>$ 38,115.00</t>
  </si>
  <si>
    <t>$ 6,615.00</t>
  </si>
  <si>
    <t>$ 478,720.00</t>
  </si>
  <si>
    <t>$ 532,293.10</t>
  </si>
  <si>
    <t>$ 172,627.10</t>
  </si>
  <si>
    <t>32.43%</t>
  </si>
  <si>
    <t>COLEGIO SWORM JUNIOR COLLAGE | PACHECO</t>
  </si>
  <si>
    <t>$ 6,750.00</t>
  </si>
  <si>
    <t>$ 6,510.00</t>
  </si>
  <si>
    <t>$ 1,410.00</t>
  </si>
  <si>
    <t>$ 8,250.00</t>
  </si>
  <si>
    <t>$ 5,010.00</t>
  </si>
  <si>
    <t>$ 6,800.00</t>
  </si>
  <si>
    <t>$ 7,514.00</t>
  </si>
  <si>
    <t>$ 2,714.00</t>
  </si>
  <si>
    <t>$ 3,858.00</t>
  </si>
  <si>
    <t>$ 1,036.00</t>
  </si>
  <si>
    <t>$ 812.50</t>
  </si>
  <si>
    <t>$ 845.00</t>
  </si>
  <si>
    <t>$ 1,536.00</t>
  </si>
  <si>
    <t>12.00</t>
  </si>
  <si>
    <t>$ 7,956.00</t>
  </si>
  <si>
    <t>$ 3,456.00</t>
  </si>
  <si>
    <t>$ 27,000.00</t>
  </si>
  <si>
    <t>$ 32,670.00</t>
  </si>
  <si>
    <t>$ 5,670.00</t>
  </si>
  <si>
    <t>$ 1,920.00</t>
  </si>
  <si>
    <t>$ 2,058.00</t>
  </si>
  <si>
    <t>$ 358,000.00</t>
  </si>
  <si>
    <t>$ 398,425.00</t>
  </si>
  <si>
    <t>$ 134,502.50</t>
  </si>
  <si>
    <t>33.76%</t>
  </si>
  <si>
    <t>$ 1,380.00</t>
  </si>
  <si>
    <t>$ 1,603.50</t>
  </si>
  <si>
    <t>$ 14,840.00</t>
  </si>
  <si>
    <t>$ 8,365.00</t>
  </si>
  <si>
    <t>$ 11,250.00</t>
  </si>
  <si>
    <t>$ 6,430.00</t>
  </si>
  <si>
    <t>$ 2,486.25</t>
  </si>
  <si>
    <t>$ 1,736.25</t>
  </si>
  <si>
    <t>1.30</t>
  </si>
  <si>
    <t>$ 2,236.00</t>
  </si>
  <si>
    <t>$ 3,510.00</t>
  </si>
  <si>
    <t>2.50</t>
  </si>
  <si>
    <t>$ 27,500.00</t>
  </si>
  <si>
    <t>$ 30,387.50</t>
  </si>
  <si>
    <t>$ 5,387.50</t>
  </si>
  <si>
    <t>$ 13,040.00</t>
  </si>
  <si>
    <t>$ 100,000.00</t>
  </si>
  <si>
    <t>$ 110,500.00</t>
  </si>
  <si>
    <t>$ 78,000.00</t>
  </si>
  <si>
    <t>$ 32,500.00</t>
  </si>
  <si>
    <t>20.00</t>
  </si>
  <si>
    <t>$ 26,040.00</t>
  </si>
  <si>
    <t>$ 18,780.00</t>
  </si>
  <si>
    <t>$ 84,000.00</t>
  </si>
  <si>
    <t>$ 92,820.00</t>
  </si>
  <si>
    <t>$ 66,000.00</t>
  </si>
  <si>
    <t>$ 26,820.00</t>
  </si>
  <si>
    <t>30.00</t>
  </si>
  <si>
    <t>$ 19,890.00</t>
  </si>
  <si>
    <t>$ 8,640.00</t>
  </si>
  <si>
    <t>$ 2,104.00</t>
  </si>
  <si>
    <t>9.25</t>
  </si>
  <si>
    <t>$ 22,200.00</t>
  </si>
  <si>
    <t>$ 24,531.00</t>
  </si>
  <si>
    <t>$ 15,262.50</t>
  </si>
  <si>
    <t>$ 9,268.50</t>
  </si>
  <si>
    <t>4.60</t>
  </si>
  <si>
    <t>$ 8,280.00</t>
  </si>
  <si>
    <t>$ 9,149.40</t>
  </si>
  <si>
    <t>$ 4,600.00</t>
  </si>
  <si>
    <t>$ 4,549.40</t>
  </si>
  <si>
    <t>4.70</t>
  </si>
  <si>
    <t>$ 8,460.00</t>
  </si>
  <si>
    <t>$ 9,348.30</t>
  </si>
  <si>
    <t>$ 4,700.00</t>
  </si>
  <si>
    <t>$ 4,648.30</t>
  </si>
  <si>
    <t>$ 502.00</t>
  </si>
  <si>
    <t>20.92%</t>
  </si>
  <si>
    <t>$ 3,094.00</t>
  </si>
  <si>
    <t>$ 1,644.00</t>
  </si>
  <si>
    <t>58.71%</t>
  </si>
  <si>
    <t>$ 723,690.00</t>
  </si>
  <si>
    <t>$ 805,347.45</t>
  </si>
  <si>
    <t>$ 259,882.95</t>
  </si>
  <si>
    <t>32.27%</t>
  </si>
  <si>
    <t>$ 1,052.00</t>
  </si>
  <si>
    <t>$ 17,000.00</t>
  </si>
  <si>
    <t>$ 18,785.00</t>
  </si>
  <si>
    <t>$ 6,785.00</t>
  </si>
  <si>
    <t>$ 1,080.00</t>
  </si>
  <si>
    <t>$ 1,193.40</t>
  </si>
  <si>
    <t>$ 593.40</t>
  </si>
  <si>
    <t>$ 14,000.00</t>
  </si>
  <si>
    <t>$ 12,520.00</t>
  </si>
  <si>
    <t>0.25</t>
  </si>
  <si>
    <t>$ 875.00</t>
  </si>
  <si>
    <t>$ 966.88</t>
  </si>
  <si>
    <t>$ 591.88</t>
  </si>
  <si>
    <t>$ 828.75</t>
  </si>
  <si>
    <t>$ 250.00</t>
  </si>
  <si>
    <t>$ 578.75</t>
  </si>
  <si>
    <t>$ 625.00</t>
  </si>
  <si>
    <t>$ 203.75</t>
  </si>
  <si>
    <t>$ 2,580.00</t>
  </si>
  <si>
    <t>$ 4,050.00</t>
  </si>
  <si>
    <t>0.30</t>
  </si>
  <si>
    <t>$ 6,961.50</t>
  </si>
  <si>
    <t>$ 2,161.50</t>
  </si>
  <si>
    <t>$ 1,986.25</t>
  </si>
  <si>
    <t>88.28%</t>
  </si>
  <si>
    <t>$ 16,800.00</t>
  </si>
  <si>
    <t>$ 18,564.00</t>
  </si>
  <si>
    <t>$ 9,450.00</t>
  </si>
  <si>
    <t>$ 9,114.00</t>
  </si>
  <si>
    <t>$ 4,890.00</t>
  </si>
  <si>
    <t>16.00</t>
  </si>
  <si>
    <t>$ 4,608.00</t>
  </si>
  <si>
    <t>$ 1,381.25</t>
  </si>
  <si>
    <t>$ 681.25</t>
  </si>
  <si>
    <t>5.75</t>
  </si>
  <si>
    <t>$ 13,800.00</t>
  </si>
  <si>
    <t>$ 15,249.00</t>
  </si>
  <si>
    <t>$ 9,487.50</t>
  </si>
  <si>
    <t>$ 5,761.50</t>
  </si>
  <si>
    <t>$ 29,400.00</t>
  </si>
  <si>
    <t>$ 10,380.00</t>
  </si>
  <si>
    <t>$ 29,835.00</t>
  </si>
  <si>
    <t>$ 21,180.00</t>
  </si>
  <si>
    <t>$ 8,655.00</t>
  </si>
  <si>
    <t>$ 6,360.00</t>
  </si>
  <si>
    <t>$ 3,585.00</t>
  </si>
  <si>
    <t>$ 406,655.00</t>
  </si>
  <si>
    <t>$ 452,188.78</t>
  </si>
  <si>
    <t>$ 151,903.78</t>
  </si>
  <si>
    <t>33.59%</t>
  </si>
  <si>
    <t>$ 8,287.50</t>
  </si>
  <si>
    <t>$ 2,987.50</t>
  </si>
  <si>
    <t>$ 22,500.00</t>
  </si>
  <si>
    <t>$ 24,862.50</t>
  </si>
  <si>
    <t>$ 14,700.00</t>
  </si>
  <si>
    <t>$ 10,162.50</t>
  </si>
  <si>
    <t>45.17%</t>
  </si>
  <si>
    <t>$ 11,934.00</t>
  </si>
  <si>
    <t>$ 1,344.00</t>
  </si>
  <si>
    <t>12.44%</t>
  </si>
  <si>
    <t>$ 75,000.00</t>
  </si>
  <si>
    <t>$ 82,875.00</t>
  </si>
  <si>
    <t>$ 58,500.00</t>
  </si>
  <si>
    <t>$ 24,375.00</t>
  </si>
  <si>
    <t>$ 534.50</t>
  </si>
  <si>
    <t>$ 720.00</t>
  </si>
  <si>
    <t>$ 795.60</t>
  </si>
  <si>
    <t>$ 480.00</t>
  </si>
  <si>
    <t>$ 315.60</t>
  </si>
  <si>
    <t>6.45</t>
  </si>
  <si>
    <t>$ 15,480.00</t>
  </si>
  <si>
    <t>$ 17,105.40</t>
  </si>
  <si>
    <t>$ 10,642.50</t>
  </si>
  <si>
    <t>$ 6,462.90</t>
  </si>
  <si>
    <t>2.40</t>
  </si>
  <si>
    <t>$ 4,773.60</t>
  </si>
  <si>
    <t>$ 2,373.60</t>
  </si>
  <si>
    <t>$ 5,100.00</t>
  </si>
  <si>
    <t>$ 5,635.50</t>
  </si>
  <si>
    <t>$ 2,035.50</t>
  </si>
  <si>
    <t>0.10</t>
  </si>
  <si>
    <t>$ 260.00</t>
  </si>
  <si>
    <t>$ 287.30</t>
  </si>
  <si>
    <t>$ 135.00</t>
  </si>
  <si>
    <t>$ 152.30</t>
  </si>
  <si>
    <t>58.58%</t>
  </si>
  <si>
    <t>$ 331,560.00</t>
  </si>
  <si>
    <t>$ 366,373.80</t>
  </si>
  <si>
    <t>$ 135,641.30</t>
  </si>
  <si>
    <t>37.02%</t>
  </si>
  <si>
    <t>rto: 45</t>
  </si>
  <si>
    <t>3.80</t>
  </si>
  <si>
    <t>$ 9,120.00</t>
  </si>
  <si>
    <t>$ 1,538.46</t>
  </si>
  <si>
    <t>$ 5,846.15</t>
  </si>
  <si>
    <t>$ 3,273.85</t>
  </si>
  <si>
    <t>35.90%</t>
  </si>
  <si>
    <t>25.00%</t>
  </si>
  <si>
    <t>22.00%</t>
  </si>
  <si>
    <t>$ 3,760.00</t>
  </si>
  <si>
    <t>33.57%</t>
  </si>
  <si>
    <t>35.00%</t>
  </si>
  <si>
    <t>$ 2,200.00</t>
  </si>
  <si>
    <t>$ 13,200.00</t>
  </si>
  <si>
    <t>38.64%</t>
  </si>
  <si>
    <t>20.00%</t>
  </si>
  <si>
    <t>$ 5,400.00</t>
  </si>
  <si>
    <t>60.00%</t>
  </si>
  <si>
    <t>16.67%</t>
  </si>
  <si>
    <t>23.53%</t>
  </si>
  <si>
    <t>33.33%</t>
  </si>
  <si>
    <t>37.50%</t>
  </si>
  <si>
    <t>$ 834.00</t>
  </si>
  <si>
    <t>55.60%</t>
  </si>
  <si>
    <t>$ 2,130.00</t>
  </si>
  <si>
    <t>$ 12,780.00</t>
  </si>
  <si>
    <t>$ 5,220.00</t>
  </si>
  <si>
    <t>29.00%</t>
  </si>
  <si>
    <t>43.75%</t>
  </si>
  <si>
    <t>$ 1,375.00</t>
  </si>
  <si>
    <t>$ 2,550.00</t>
  </si>
  <si>
    <t>23.61%</t>
  </si>
  <si>
    <t>27.27%</t>
  </si>
  <si>
    <t>$ 256,520.00</t>
  </si>
  <si>
    <t>$ 78,637.85</t>
  </si>
  <si>
    <t>30.66%</t>
  </si>
  <si>
    <t>$ 16,500.00</t>
  </si>
  <si>
    <t>28.57%</t>
  </si>
  <si>
    <t>$ 129,000.00</t>
  </si>
  <si>
    <t>23.26%</t>
  </si>
  <si>
    <t>RTO: 19</t>
  </si>
  <si>
    <t>50.00%</t>
  </si>
  <si>
    <t>$ 856.00</t>
  </si>
  <si>
    <t>$ 1,544.00</t>
  </si>
  <si>
    <t>64.33%</t>
  </si>
  <si>
    <t>$ 38,600.00</t>
  </si>
  <si>
    <t>$ 13,744.00</t>
  </si>
  <si>
    <t>35.61%</t>
  </si>
  <si>
    <t>$ 15,400.00</t>
  </si>
  <si>
    <t>$ 5,950.00</t>
  </si>
  <si>
    <t>31.82%</t>
  </si>
  <si>
    <t>18.18%</t>
  </si>
  <si>
    <t>$ 77,600.00</t>
  </si>
  <si>
    <t>$ 19,850.00</t>
  </si>
  <si>
    <t>25.58%</t>
  </si>
  <si>
    <t>rto: 35</t>
  </si>
  <si>
    <t>$ 3,250.00</t>
  </si>
  <si>
    <t>$ 2,750.00</t>
  </si>
  <si>
    <t>45.83%</t>
  </si>
  <si>
    <t>41.67%</t>
  </si>
  <si>
    <t>$ 2,625.00</t>
  </si>
  <si>
    <t>NARANJA DE JUGO FRIO</t>
  </si>
  <si>
    <t>$ 52,000.00</t>
  </si>
  <si>
    <t>3.85%</t>
  </si>
  <si>
    <t>$ 88,500.00</t>
  </si>
  <si>
    <t>$ 17,625.00</t>
  </si>
  <si>
    <t>19.92%</t>
  </si>
  <si>
    <t>$ 108,000.00</t>
  </si>
  <si>
    <t>$ 119,340.00</t>
  </si>
  <si>
    <t>$ 19,340.00</t>
  </si>
  <si>
    <t>17.91%</t>
  </si>
  <si>
    <t>$ 1,280.00</t>
  </si>
  <si>
    <t>$ 1,414.40</t>
  </si>
  <si>
    <t>$ 630.00</t>
  </si>
  <si>
    <t>$ 504.00</t>
  </si>
  <si>
    <t>$ 910.40</t>
  </si>
  <si>
    <t>71.13%</t>
  </si>
  <si>
    <t>$ 1,195.00</t>
  </si>
  <si>
    <t>$ 6,092.00</t>
  </si>
  <si>
    <t>$ 400.00</t>
  </si>
  <si>
    <t>$ 442.00</t>
  </si>
  <si>
    <t>$ 150.00</t>
  </si>
  <si>
    <t>$ 292.00</t>
  </si>
  <si>
    <t>73.00%</t>
  </si>
  <si>
    <t>$ 3,380.00</t>
  </si>
  <si>
    <t>$ 355.00</t>
  </si>
  <si>
    <t>$ 1,210.00</t>
  </si>
  <si>
    <t>$ 149,480.00</t>
  </si>
  <si>
    <t>$ 165,175.40</t>
  </si>
  <si>
    <t>$ 37,001.40</t>
  </si>
  <si>
    <t>22.40%</t>
  </si>
  <si>
    <t>30.77%</t>
  </si>
  <si>
    <t>53.85%</t>
  </si>
  <si>
    <t>$ 722.22</t>
  </si>
  <si>
    <t>48.15%</t>
  </si>
  <si>
    <t>$ 1,998.00</t>
  </si>
  <si>
    <t>$ 2,502.00</t>
  </si>
  <si>
    <t>$ 38,000.00</t>
  </si>
  <si>
    <t>$ 17,224.22</t>
  </si>
  <si>
    <t>45.33%</t>
  </si>
  <si>
    <t>rto: 20</t>
  </si>
  <si>
    <t>$ 51,000.00</t>
  </si>
  <si>
    <t>27.78%</t>
  </si>
  <si>
    <t>1.90</t>
  </si>
  <si>
    <t>$ 3,420.00</t>
  </si>
  <si>
    <t>$ 1,900.00</t>
  </si>
  <si>
    <t>$ 1,520.00</t>
  </si>
  <si>
    <t>44.44%</t>
  </si>
  <si>
    <t>$ 23,000.00</t>
  </si>
  <si>
    <t>$ 115,000.00</t>
  </si>
  <si>
    <t>$ 90,000.00</t>
  </si>
  <si>
    <t>21.74%</t>
  </si>
  <si>
    <t>36.36%</t>
  </si>
  <si>
    <t>$ 58,000.00</t>
  </si>
  <si>
    <t>$ 174,000.00</t>
  </si>
  <si>
    <t>$ 150,000.00</t>
  </si>
  <si>
    <t>13.79%</t>
  </si>
  <si>
    <t>$ 46,000.00</t>
  </si>
  <si>
    <t>23.33%</t>
  </si>
  <si>
    <t>40.00%</t>
  </si>
  <si>
    <t>$ 104,000.00</t>
  </si>
  <si>
    <t>$ 64,000.00</t>
  </si>
  <si>
    <t>38.46%</t>
  </si>
  <si>
    <t>44.00%</t>
  </si>
  <si>
    <t>11.11%</t>
  </si>
  <si>
    <t>17.50%</t>
  </si>
  <si>
    <t>$ 1,075,920.00</t>
  </si>
  <si>
    <t>$ 274,520.00</t>
  </si>
  <si>
    <t>25.51%</t>
  </si>
  <si>
    <t>rto: 5</t>
  </si>
  <si>
    <t>45.45%</t>
  </si>
  <si>
    <t>14.81%</t>
  </si>
  <si>
    <t>22.22%</t>
  </si>
  <si>
    <t>$ 6,500.00</t>
  </si>
  <si>
    <t>62.50%</t>
  </si>
  <si>
    <t>$ 34,000.00</t>
  </si>
  <si>
    <t>$ 198,500.00</t>
  </si>
  <si>
    <t>$ 64,500.00</t>
  </si>
  <si>
    <t>32.49%</t>
  </si>
  <si>
    <t>$ 83,500.00</t>
  </si>
  <si>
    <t>19.16%</t>
  </si>
  <si>
    <t>$ 11,680.00</t>
  </si>
  <si>
    <t>$ 5,760.00</t>
  </si>
  <si>
    <t>$ 2,974.50</t>
  </si>
  <si>
    <t>$ 44,500.00</t>
  </si>
  <si>
    <t>$ 49,172.50</t>
  </si>
  <si>
    <t>$ 26,674.50</t>
  </si>
  <si>
    <t>CARLOTA CARAF</t>
  </si>
  <si>
    <t>14.29%</t>
  </si>
  <si>
    <t>12.50%</t>
  </si>
  <si>
    <t>6.25%</t>
  </si>
  <si>
    <t>$ 71,100.00</t>
  </si>
  <si>
    <t>$ 9,684.00</t>
  </si>
  <si>
    <t>13.62%</t>
  </si>
  <si>
    <t>$ 880.00</t>
  </si>
  <si>
    <t>29.33%</t>
  </si>
  <si>
    <t>43.33%</t>
  </si>
  <si>
    <t>$ 10,500.00</t>
  </si>
  <si>
    <t>9.09%</t>
  </si>
  <si>
    <t>$ 55,000.00</t>
  </si>
  <si>
    <t>$ 82,500.00</t>
  </si>
  <si>
    <t>$ 18,750.00</t>
  </si>
  <si>
    <t>30.56%</t>
  </si>
  <si>
    <t>18.52%</t>
  </si>
  <si>
    <t>$ 1,140.00</t>
  </si>
  <si>
    <t>38.00%</t>
  </si>
  <si>
    <t>48.21%</t>
  </si>
  <si>
    <t>28.33%</t>
  </si>
  <si>
    <t>$ 1,072.00</t>
  </si>
  <si>
    <t>71.47%</t>
  </si>
  <si>
    <t>$ 4,260.00</t>
  </si>
  <si>
    <t>$ 1,740.00</t>
  </si>
  <si>
    <t>17.31%</t>
  </si>
  <si>
    <t>$ 231,500.00</t>
  </si>
  <si>
    <t>$ 44,482.00</t>
  </si>
  <si>
    <t>19.21%</t>
  </si>
  <si>
    <t>$ -</t>
  </si>
  <si>
    <t>0.00%</t>
  </si>
  <si>
    <t>$ 8,600.00</t>
  </si>
  <si>
    <t>$ 6,428.57</t>
  </si>
  <si>
    <t>$ 2,171.43</t>
  </si>
  <si>
    <t>25.25%</t>
  </si>
  <si>
    <t>48.08%</t>
  </si>
  <si>
    <t>$ 12,500.00</t>
  </si>
  <si>
    <t>$ 1,083.00</t>
  </si>
  <si>
    <t>$ 717.00</t>
  </si>
  <si>
    <t>$ 1,065.00</t>
  </si>
  <si>
    <t>$ 435.00</t>
  </si>
  <si>
    <t>ROMERO</t>
  </si>
  <si>
    <t>$ 450.00</t>
  </si>
  <si>
    <t>$ 1,260.00</t>
  </si>
  <si>
    <t>$ 2,340.00</t>
  </si>
  <si>
    <t>65.00%</t>
  </si>
  <si>
    <t>$ 94,400.00</t>
  </si>
  <si>
    <t>$ 25,692.43</t>
  </si>
  <si>
    <t>27.22%</t>
  </si>
  <si>
    <t>rto: 29</t>
  </si>
  <si>
    <t>$ 97,000.00</t>
  </si>
  <si>
    <t>$ 194,000.00</t>
  </si>
  <si>
    <t>$ 87,000.00</t>
  </si>
  <si>
    <t>10.31%</t>
  </si>
  <si>
    <t>57.14%</t>
  </si>
  <si>
    <t>$ 2,160.00</t>
  </si>
  <si>
    <t>33.75%</t>
  </si>
  <si>
    <t>$ 363,900.00</t>
  </si>
  <si>
    <t>$ 71,860.00</t>
  </si>
  <si>
    <t>19.75%</t>
  </si>
  <si>
    <t>3.45</t>
  </si>
  <si>
    <t>$ 5,692.50</t>
  </si>
  <si>
    <t>$ 3,456.90</t>
  </si>
  <si>
    <t>$ 944.00</t>
  </si>
  <si>
    <t>$ 1,578.00</t>
  </si>
  <si>
    <t>$ 1,554.00</t>
  </si>
  <si>
    <t>$ 15,470.00</t>
  </si>
  <si>
    <t>$ 4,470.00</t>
  </si>
  <si>
    <t>$ 1,523.00</t>
  </si>
  <si>
    <t>$ 261,280.00</t>
  </si>
  <si>
    <t>$ 288,714.40</t>
  </si>
  <si>
    <t>$ 93,559.40</t>
  </si>
  <si>
    <t>32.41%</t>
  </si>
  <si>
    <t>$ 7,753,024.93</t>
  </si>
  <si>
    <t>$ 2,359,485.37</t>
  </si>
  <si>
    <t>30.4%</t>
  </si>
  <si>
    <t>rto:  28</t>
  </si>
  <si>
    <t>rto:  12</t>
  </si>
  <si>
    <t>RABANITO</t>
  </si>
  <si>
    <t>rto: 46</t>
  </si>
  <si>
    <t>kg</t>
  </si>
  <si>
    <t>LAUREL</t>
  </si>
  <si>
    <t>TOMILLO</t>
  </si>
  <si>
    <t>rto: 253 y 254</t>
  </si>
  <si>
    <t>rto fruta (4)</t>
  </si>
  <si>
    <t>UVA</t>
  </si>
  <si>
    <t>UVA ROSADA</t>
  </si>
  <si>
    <t>rto: 36</t>
  </si>
  <si>
    <t>rto: 21</t>
  </si>
  <si>
    <t>ANANA</t>
  </si>
  <si>
    <t>rto: 8</t>
  </si>
  <si>
    <t>BERENJENA SIN CARGO</t>
  </si>
  <si>
    <t>LECHUGA MANTECOSA</t>
  </si>
  <si>
    <t>rto: 22</t>
  </si>
  <si>
    <t>MORRON ROJO 2DA</t>
  </si>
  <si>
    <t>CAJONES</t>
  </si>
  <si>
    <t>ACELGA 2DA</t>
  </si>
  <si>
    <t>rto: 30</t>
  </si>
  <si>
    <t>rto: 23</t>
  </si>
  <si>
    <t>rto: 255</t>
  </si>
  <si>
    <t>rto: 47</t>
  </si>
  <si>
    <t>RTO:  21</t>
  </si>
  <si>
    <t>JALAPEÑO VERDE</t>
  </si>
  <si>
    <t>REPOLLO BRUSELAS</t>
  </si>
  <si>
    <t>AJI LIMON</t>
  </si>
  <si>
    <t>rto: 37</t>
  </si>
  <si>
    <t>UVA GLOBE</t>
  </si>
  <si>
    <t>MANZANA INDUSTRIAL</t>
  </si>
  <si>
    <t>AJO (25 UN)</t>
  </si>
  <si>
    <t>POMELO ROSADO</t>
  </si>
  <si>
    <t>rto: 256</t>
  </si>
  <si>
    <t>rto:  30</t>
  </si>
  <si>
    <t>rto:  13</t>
  </si>
  <si>
    <t>rto: 48</t>
  </si>
  <si>
    <t>CEBOLLA VERDEO</t>
  </si>
  <si>
    <t>ZAPALLITO LARGO</t>
  </si>
  <si>
    <t>CIBOULLETE</t>
  </si>
  <si>
    <t>rto: 257 y 258</t>
  </si>
  <si>
    <t>rto (4)</t>
  </si>
  <si>
    <t>RABANITOS</t>
  </si>
  <si>
    <t>rto: 38</t>
  </si>
  <si>
    <t>rto: 39</t>
  </si>
  <si>
    <t>xx</t>
  </si>
  <si>
    <t>BANDEJAS</t>
  </si>
  <si>
    <t>COCINERA CONECTADA</t>
  </si>
  <si>
    <t>rto: 1</t>
  </si>
  <si>
    <t>&lt;</t>
  </si>
  <si>
    <t>RUCULA (21 AT)</t>
  </si>
  <si>
    <t xml:space="preserve">LECHUGA </t>
  </si>
  <si>
    <t>DIFERENCIA LIMON</t>
  </si>
  <si>
    <t>rto: 259</t>
  </si>
  <si>
    <t xml:space="preserve">CHAUCHA </t>
  </si>
  <si>
    <t>CHAUCHA PLANA.</t>
  </si>
  <si>
    <t>rto: 49</t>
  </si>
  <si>
    <t>rto: 31</t>
  </si>
  <si>
    <t>RTO:  23</t>
  </si>
  <si>
    <t>NABO</t>
  </si>
  <si>
    <t>rto: 40</t>
  </si>
  <si>
    <t>BROTE DE RABANITO</t>
  </si>
  <si>
    <t xml:space="preserve">RUCULA </t>
  </si>
  <si>
    <t>CEBOLLON CAMBIO</t>
  </si>
  <si>
    <t>CAFE MARTINEZ</t>
  </si>
  <si>
    <t>rto:  31</t>
  </si>
  <si>
    <t>PALTA SIN CARGO</t>
  </si>
  <si>
    <t>sin cargo</t>
  </si>
  <si>
    <t>ZAPALLO ANCO</t>
  </si>
  <si>
    <t>rto:  15</t>
  </si>
  <si>
    <t>CHAMPI</t>
  </si>
  <si>
    <t>verduleria</t>
  </si>
  <si>
    <t>rto: 50</t>
  </si>
  <si>
    <t>comision juan 5%</t>
  </si>
  <si>
    <t>rto: 260 y 261</t>
  </si>
  <si>
    <t>rto frutas 4</t>
  </si>
  <si>
    <t>VERDU</t>
  </si>
  <si>
    <t>MARTIN VARGAS</t>
  </si>
  <si>
    <t>LECHUGA MANTECA</t>
  </si>
  <si>
    <t>FRAMBUESA</t>
  </si>
  <si>
    <t>CUBETA</t>
  </si>
  <si>
    <t>ARANDANOS</t>
  </si>
  <si>
    <t>TOMATE RELIQUIA</t>
  </si>
  <si>
    <t>MORA</t>
  </si>
  <si>
    <t>ZANAHORIA CUBITO</t>
  </si>
  <si>
    <t>rto: 41</t>
  </si>
  <si>
    <t>CABRA CAFE</t>
  </si>
  <si>
    <t xml:space="preserve"> **</t>
  </si>
  <si>
    <t>REMOLACHA S/HOJAS</t>
  </si>
  <si>
    <t>BIDON</t>
  </si>
  <si>
    <t>ACEITE OLIVA X2LT</t>
  </si>
  <si>
    <t>verdule</t>
  </si>
  <si>
    <t>s/c</t>
  </si>
  <si>
    <t>SERVICIOS GASTRONOMICOS URBANOS</t>
  </si>
  <si>
    <t>verdu</t>
  </si>
  <si>
    <t>NARANJA OMBLIGO</t>
  </si>
  <si>
    <t>MAL COBRADO</t>
  </si>
  <si>
    <t>PAPA COMUN</t>
  </si>
  <si>
    <t>MEDIA</t>
  </si>
  <si>
    <t>XX</t>
  </si>
  <si>
    <t>rto: 51</t>
  </si>
  <si>
    <t>rto:  3</t>
  </si>
  <si>
    <t>rto: 262</t>
  </si>
  <si>
    <t>rto: 42</t>
  </si>
  <si>
    <t>rto:  32</t>
  </si>
  <si>
    <t>rto:  16</t>
  </si>
  <si>
    <t>rto:  2</t>
  </si>
  <si>
    <t>AJO (SIN CARGO)</t>
  </si>
  <si>
    <t>BLACK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</si>
</sst>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"/>
    <numFmt numFmtId="165" formatCode="_ [$$-2C0A]\ * #,##0.00_ ;_ [$$-2C0A]\ * \-#,##0.00_ ;_ [$$-2C0A]\ * &quot;-&quot;??_ ;_ @_ "/>
    <numFmt numFmtId="166" formatCode="0.0%"/>
    <numFmt numFmtId="167" formatCode="&quot;$&quot;#,##0.00"/>
    <numFmt numFmtId="168" formatCode="_-&quot;$&quot;\ * #,##0.00_-;\-&quot;$&quot;\ * #,##0.00_-;_-&quot;$&quot;\ * &quot;-&quot;??_-;_-@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Calibri"/>
      <family val="2"/>
    </font>
    <font>
      <sz val="11"/>
      <color theme="1"/>
      <name val="Aptos Narrow"/>
    </font>
    <font>
      <sz val="11"/>
      <name val="Aptos Narrow"/>
    </font>
    <font>
      <b/>
      <i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Aptos Narrow"/>
      <scheme val="minor"/>
    </font>
    <font>
      <i/>
      <sz val="11"/>
      <color rgb="FFFF0000"/>
      <name val="Calibri"/>
      <family val="2"/>
    </font>
    <font>
      <b/>
      <i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CFFCC"/>
        <bgColor rgb="FFCCFFCC"/>
      </patternFill>
    </fill>
    <fill>
      <patternFill patternType="solid">
        <fgColor rgb="FFFF9900"/>
        <bgColor rgb="FFFF9900"/>
      </patternFill>
    </fill>
    <fill>
      <patternFill patternType="solid">
        <fgColor rgb="FF8AB242"/>
        <bgColor rgb="FF8AB242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0" fontId="1" fillId="2" borderId="0" xfId="0" applyNumberFormat="1" applyFont="1" applyFill="1"/>
    <xf numFmtId="0" fontId="1" fillId="0" borderId="0" xfId="0" applyFont="1"/>
    <xf numFmtId="16" fontId="1" fillId="0" borderId="0" xfId="0" applyNumberFormat="1" applyFont="1"/>
    <xf numFmtId="164" fontId="2" fillId="0" borderId="0" xfId="0" applyNumberFormat="1" applyFont="1"/>
    <xf numFmtId="165" fontId="3" fillId="0" borderId="0" xfId="0" applyNumberFormat="1" applyFont="1"/>
    <xf numFmtId="16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0" fontId="4" fillId="2" borderId="0" xfId="0" applyNumberFormat="1" applyFont="1" applyFill="1" applyAlignment="1">
      <alignment horizontal="right"/>
    </xf>
    <xf numFmtId="164" fontId="3" fillId="0" borderId="0" xfId="0" applyNumberFormat="1" applyFont="1"/>
    <xf numFmtId="0" fontId="1" fillId="2" borderId="0" xfId="0" applyFont="1" applyFill="1"/>
    <xf numFmtId="165" fontId="3" fillId="0" borderId="0" xfId="0" applyNumberFormat="1" applyFont="1" applyAlignment="1">
      <alignment horizontal="right"/>
    </xf>
    <xf numFmtId="10" fontId="4" fillId="3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2" borderId="0" xfId="0" applyNumberFormat="1" applyFont="1" applyFill="1"/>
    <xf numFmtId="10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164" fontId="6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 applyAlignment="1">
      <alignment horizontal="right"/>
    </xf>
    <xf numFmtId="0" fontId="8" fillId="2" borderId="0" xfId="0" applyFont="1" applyFill="1"/>
    <xf numFmtId="166" fontId="7" fillId="0" borderId="0" xfId="0" applyNumberFormat="1" applyFont="1" applyAlignment="1">
      <alignment horizontal="right"/>
    </xf>
    <xf numFmtId="0" fontId="9" fillId="0" borderId="0" xfId="0" applyFont="1"/>
    <xf numFmtId="10" fontId="8" fillId="2" borderId="0" xfId="0" applyNumberFormat="1" applyFont="1" applyFill="1"/>
    <xf numFmtId="10" fontId="2" fillId="4" borderId="0" xfId="0" applyNumberFormat="1" applyFont="1" applyFill="1" applyAlignment="1">
      <alignment horizontal="right"/>
    </xf>
    <xf numFmtId="10" fontId="4" fillId="5" borderId="0" xfId="0" applyNumberFormat="1" applyFont="1" applyFill="1" applyAlignment="1">
      <alignment horizontal="right"/>
    </xf>
    <xf numFmtId="167" fontId="2" fillId="0" borderId="0" xfId="0" applyNumberFormat="1" applyFont="1"/>
    <xf numFmtId="10" fontId="2" fillId="3" borderId="0" xfId="0" applyNumberFormat="1" applyFont="1" applyFill="1" applyAlignment="1">
      <alignment horizontal="right"/>
    </xf>
    <xf numFmtId="10" fontId="4" fillId="4" borderId="0" xfId="0" applyNumberFormat="1" applyFont="1" applyFill="1" applyAlignment="1">
      <alignment horizontal="right"/>
    </xf>
    <xf numFmtId="165" fontId="5" fillId="0" borderId="0" xfId="0" applyNumberFormat="1" applyFont="1"/>
    <xf numFmtId="10" fontId="10" fillId="2" borderId="0" xfId="0" applyNumberFormat="1" applyFont="1" applyFill="1"/>
    <xf numFmtId="164" fontId="5" fillId="0" borderId="0" xfId="0" applyNumberFormat="1" applyFont="1"/>
    <xf numFmtId="164" fontId="1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68" fontId="2" fillId="0" borderId="1" xfId="0" applyNumberFormat="1" applyFont="1" applyBorder="1" applyAlignment="1">
      <alignment horizontal="left"/>
    </xf>
    <xf numFmtId="168" fontId="2" fillId="0" borderId="1" xfId="0" applyNumberFormat="1" applyFont="1" applyBorder="1"/>
    <xf numFmtId="0" fontId="2" fillId="6" borderId="1" xfId="0" applyFont="1" applyFill="1" applyBorder="1"/>
    <xf numFmtId="10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8" fontId="2" fillId="0" borderId="0" xfId="0" applyNumberFormat="1" applyFont="1"/>
    <xf numFmtId="168" fontId="12" fillId="0" borderId="1" xfId="0" applyNumberFormat="1" applyFont="1" applyBorder="1"/>
    <xf numFmtId="168" fontId="13" fillId="0" borderId="0" xfId="0" applyNumberFormat="1" applyFont="1"/>
    <xf numFmtId="168" fontId="2" fillId="5" borderId="1" xfId="0" applyNumberFormat="1" applyFont="1" applyFill="1" applyBorder="1"/>
    <xf numFmtId="168" fontId="2" fillId="0" borderId="3" xfId="0" applyNumberFormat="1" applyFont="1" applyBorder="1" applyAlignment="1">
      <alignment horizontal="center" vertical="center"/>
    </xf>
    <xf numFmtId="168" fontId="2" fillId="2" borderId="1" xfId="0" applyNumberFormat="1" applyFont="1" applyFill="1" applyBorder="1"/>
    <xf numFmtId="168" fontId="2" fillId="0" borderId="1" xfId="0" applyNumberFormat="1" applyFont="1" applyBorder="1" applyAlignment="1">
      <alignment horizontal="right"/>
    </xf>
    <xf numFmtId="0" fontId="1" fillId="6" borderId="1" xfId="0" applyFont="1" applyFill="1" applyBorder="1"/>
    <xf numFmtId="168" fontId="2" fillId="7" borderId="5" xfId="0" applyNumberFormat="1" applyFont="1" applyFill="1" applyBorder="1"/>
    <xf numFmtId="10" fontId="2" fillId="0" borderId="0" xfId="0" applyNumberFormat="1" applyFont="1" applyAlignment="1">
      <alignment horizontal="center"/>
    </xf>
    <xf numFmtId="168" fontId="3" fillId="0" borderId="0" xfId="0" applyNumberFormat="1" applyFont="1"/>
    <xf numFmtId="168" fontId="1" fillId="0" borderId="0" xfId="0" applyNumberFormat="1" applyFont="1"/>
    <xf numFmtId="10" fontId="2" fillId="0" borderId="0" xfId="0" applyNumberFormat="1" applyFont="1"/>
    <xf numFmtId="168" fontId="15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7" fontId="5" fillId="0" borderId="0" xfId="0" applyNumberFormat="1" applyFont="1"/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168" fontId="2" fillId="0" borderId="4" xfId="0" applyNumberFormat="1" applyFont="1" applyBorder="1" applyAlignment="1">
      <alignment horizontal="center" vertical="center"/>
    </xf>
    <xf numFmtId="168" fontId="16" fillId="0" borderId="1" xfId="0" applyNumberFormat="1" applyFont="1" applyBorder="1"/>
    <xf numFmtId="10" fontId="2" fillId="0" borderId="1" xfId="0" applyNumberFormat="1" applyFont="1" applyBorder="1"/>
    <xf numFmtId="0" fontId="17" fillId="0" borderId="0" xfId="0" applyFont="1"/>
    <xf numFmtId="167" fontId="17" fillId="0" borderId="0" xfId="0" applyNumberFormat="1" applyFont="1"/>
    <xf numFmtId="167" fontId="1" fillId="0" borderId="0" xfId="0" applyNumberFormat="1" applyFont="1"/>
    <xf numFmtId="165" fontId="4" fillId="9" borderId="9" xfId="0" applyNumberFormat="1" applyFont="1" applyFill="1" applyBorder="1" applyAlignment="1">
      <alignment horizontal="center"/>
    </xf>
    <xf numFmtId="165" fontId="4" fillId="9" borderId="10" xfId="0" applyNumberFormat="1" applyFont="1" applyFill="1" applyBorder="1" applyAlignment="1">
      <alignment horizontal="center"/>
    </xf>
    <xf numFmtId="0" fontId="4" fillId="0" borderId="0" xfId="0" applyFont="1"/>
    <xf numFmtId="0" fontId="7" fillId="0" borderId="0" xfId="0" applyFont="1"/>
    <xf numFmtId="164" fontId="18" fillId="0" borderId="0" xfId="0" applyNumberFormat="1" applyFont="1" applyAlignment="1">
      <alignment horizontal="right"/>
    </xf>
    <xf numFmtId="165" fontId="18" fillId="0" borderId="0" xfId="0" applyNumberFormat="1" applyFont="1"/>
    <xf numFmtId="0" fontId="18" fillId="0" borderId="0" xfId="0" applyFont="1"/>
    <xf numFmtId="164" fontId="2" fillId="0" borderId="11" xfId="0" applyNumberFormat="1" applyFont="1" applyBorder="1" applyAlignment="1">
      <alignment horizontal="right"/>
    </xf>
    <xf numFmtId="164" fontId="1" fillId="0" borderId="11" xfId="0" applyNumberFormat="1" applyFont="1" applyBorder="1"/>
    <xf numFmtId="10" fontId="4" fillId="10" borderId="0" xfId="0" applyNumberFormat="1" applyFont="1" applyFill="1" applyAlignment="1">
      <alignment horizontal="right"/>
    </xf>
    <xf numFmtId="0" fontId="6" fillId="0" borderId="0" xfId="0" applyFont="1"/>
    <xf numFmtId="0" fontId="19" fillId="0" borderId="0" xfId="0" applyFont="1"/>
    <xf numFmtId="164" fontId="10" fillId="0" borderId="0" xfId="0" applyNumberFormat="1" applyFont="1"/>
    <xf numFmtId="165" fontId="4" fillId="0" borderId="0" xfId="0" applyNumberFormat="1" applyFont="1" applyAlignment="1">
      <alignment horizontal="right"/>
    </xf>
    <xf numFmtId="167" fontId="3" fillId="0" borderId="0" xfId="0" applyNumberFormat="1" applyFont="1"/>
    <xf numFmtId="164" fontId="2" fillId="0" borderId="0" xfId="0" applyNumberFormat="1" applyFont="1"/>
    <xf numFmtId="0" fontId="0" fillId="0" borderId="0" xfId="0"/>
    <xf numFmtId="0" fontId="9" fillId="0" borderId="0" xfId="0" applyFont="1"/>
    <xf numFmtId="165" fontId="2" fillId="0" borderId="0" xfId="0" applyNumberFormat="1" applyFont="1" applyAlignment="1">
      <alignment horizontal="center"/>
    </xf>
    <xf numFmtId="168" fontId="2" fillId="0" borderId="3" xfId="0" applyNumberFormat="1" applyFont="1" applyBorder="1" applyAlignment="1">
      <alignment horizontal="center" vertical="center"/>
    </xf>
    <xf numFmtId="0" fontId="14" fillId="0" borderId="4" xfId="0" applyFont="1" applyBorder="1"/>
    <xf numFmtId="168" fontId="2" fillId="0" borderId="4" xfId="0" applyNumberFormat="1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/>
    </xf>
    <xf numFmtId="0" fontId="14" fillId="0" borderId="8" xfId="0" applyFont="1" applyBorder="1"/>
  </cellXfs>
  <cellStyles count="1">
    <cellStyle name="Normal" xfId="0" builtinId="0"/>
  </cellStyles>
  <dxfs count="9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43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aquincoli/Downloads/04.%20ABRIL%202026.xlsx" TargetMode="External"/><Relationship Id="rId1" Type="http://schemas.openxmlformats.org/officeDocument/2006/relationships/externalLinkPath" Target="/Users/joaquincoli/Downloads/04.%20ABRI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aquincoli/Downloads/04.%20ABRIL%202026%20(1).xlsx" TargetMode="External"/><Relationship Id="rId1" Type="http://schemas.openxmlformats.org/officeDocument/2006/relationships/externalLinkPath" Target="/Users/joaquincoli/Downloads/04.%20ABRIL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4-2026 "/>
      <sheetName val="02-04-2026 "/>
      <sheetName val="06-04-2026 "/>
      <sheetName val="07-04-2026 "/>
      <sheetName val="08-04-2026 "/>
      <sheetName val="09-04-2026 "/>
      <sheetName val="10-04-2026 "/>
      <sheetName val="13-04-2026 "/>
      <sheetName val="14-04-2026 "/>
      <sheetName val="15-04-2026 "/>
      <sheetName val="17-04-2026 "/>
      <sheetName val="REMITO"/>
      <sheetName val="REMITO c IVA"/>
      <sheetName val="CUENTAS CORRIENTES"/>
      <sheetName val="CTA CTE AUPA"/>
      <sheetName val="CTA CTE Marquesa"/>
      <sheetName val="CTA CTE PAULA"/>
      <sheetName val="CTA CTE SAPORE"/>
      <sheetName val="REMITO ONNEG"/>
      <sheetName val="CTA CTE MESTIZOLAGUNA"/>
      <sheetName val="CTA CTE LUSQTOFF"/>
      <sheetName val="CTA CTE CATERING"/>
      <sheetName val="CTA CTE RAKUS"/>
      <sheetName val="CTA CTE SAN ANTONIO"/>
      <sheetName val="CTA CTE FABRIC"/>
      <sheetName val="CTA CTE BRASOV"/>
      <sheetName val="CTA CTE HOGAR CARDALES"/>
      <sheetName val="CTA CTE COLCAR"/>
      <sheetName val="JUAN COMISION"/>
      <sheetName val="EXTRAS FV"/>
      <sheetName val="CRECIMIENTO"/>
      <sheetName val="CAJA MENSUAL"/>
      <sheetName val="UTILIDAD"/>
      <sheetName val="FIADO"/>
      <sheetName val="ESTADO DE RESULTADO"/>
      <sheetName val="Bdta Tierra &amp; Nonna"/>
      <sheetName val="CHEQUES"/>
      <sheetName val="RETIROS"/>
      <sheetName val="IMPUESTOS"/>
      <sheetName val="VACIOS"/>
      <sheetName val="INVERSION "/>
      <sheetName val="Conversión"/>
      <sheetName val="Hoja2"/>
      <sheetName val="Sheet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F36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4-2026 "/>
      <sheetName val="02-04-2026 "/>
      <sheetName val="06-04-2026 "/>
      <sheetName val="07-04-2026 "/>
      <sheetName val="08-04-2026 "/>
      <sheetName val="09-04-2026 "/>
      <sheetName val="10-04-2026 "/>
      <sheetName val="13-04-2026 "/>
      <sheetName val="14-04-2026 "/>
      <sheetName val="15-04-2026 "/>
      <sheetName val="17-04-2026 "/>
      <sheetName val="20-04-2026 "/>
      <sheetName val="21-04-2026 "/>
      <sheetName val="22-04-2026 "/>
      <sheetName val="24-04-2026 "/>
      <sheetName val="27-04-2026 "/>
      <sheetName val="28-04-2026 "/>
      <sheetName val="29-04-2026 "/>
      <sheetName val="30-04-2026 "/>
      <sheetName val="CUENTAS CORRIENTES"/>
      <sheetName val="REMITO c IVA"/>
      <sheetName val="REMITO"/>
      <sheetName val="CTA CTE MESTIZOLAGUNA"/>
      <sheetName val="CTA CTE AUPA"/>
      <sheetName val="CTA CTE Marquesa"/>
      <sheetName val="CTA CTE PAULA"/>
      <sheetName val="CTA CTE SAPORE"/>
      <sheetName val="REMITO ONNEG"/>
      <sheetName val="CTA CTE LUSQTOFF"/>
      <sheetName val="CTA CTE CATERING"/>
      <sheetName val="CTA CTE RAKUS"/>
      <sheetName val="CTA CTE SAN ANTONIO"/>
      <sheetName val="CTA CTE FABRIC"/>
      <sheetName val="CTA CTE BRASOV"/>
      <sheetName val="CTA CTE HOGAR CARDALES"/>
      <sheetName val="CTA CTE COLCAR"/>
      <sheetName val="JUAN COMISION"/>
      <sheetName val="EXTRAS FV"/>
      <sheetName val="CRECIMIENTO"/>
      <sheetName val="CAJA MENSUAL"/>
      <sheetName val="UTILIDAD"/>
      <sheetName val="FIADO"/>
      <sheetName val="ESTADO DE RESULTADO"/>
      <sheetName val="Bdta Tierra &amp; Nonna"/>
      <sheetName val="CHEQUES"/>
      <sheetName val="RETIROS"/>
      <sheetName val="IMPUESTOS"/>
      <sheetName val="VACIOS"/>
      <sheetName val="INVERSION "/>
      <sheetName val="Conversión"/>
      <sheetName val="Hoja2"/>
      <sheetName val="Sheet50"/>
    </sheetNames>
    <sheetDataSet>
      <sheetData sheetId="0">
        <row r="34">
          <cell r="F34">
            <v>267581.72499999998</v>
          </cell>
        </row>
        <row r="60">
          <cell r="F60">
            <v>204508.55</v>
          </cell>
        </row>
        <row r="81">
          <cell r="F81">
            <v>154368.5</v>
          </cell>
        </row>
        <row r="102">
          <cell r="F102">
            <v>122931.25</v>
          </cell>
        </row>
        <row r="123">
          <cell r="F123">
            <v>159296.79999999999</v>
          </cell>
        </row>
        <row r="155">
          <cell r="F155">
            <v>278216.90000000002</v>
          </cell>
        </row>
        <row r="173">
          <cell r="F173">
            <v>108953</v>
          </cell>
        </row>
        <row r="197">
          <cell r="F197">
            <v>282548.5</v>
          </cell>
        </row>
        <row r="220">
          <cell r="F220">
            <v>147257.82500000001</v>
          </cell>
        </row>
        <row r="238">
          <cell r="F238">
            <v>85858.5</v>
          </cell>
        </row>
        <row r="256">
          <cell r="F256">
            <v>32420.7</v>
          </cell>
        </row>
        <row r="292">
          <cell r="E292">
            <v>272850</v>
          </cell>
        </row>
        <row r="308">
          <cell r="E308">
            <v>30895</v>
          </cell>
        </row>
        <row r="320">
          <cell r="E320">
            <v>60000</v>
          </cell>
        </row>
        <row r="340">
          <cell r="E340">
            <v>159000</v>
          </cell>
        </row>
        <row r="344">
          <cell r="B344">
            <v>2366687.25</v>
          </cell>
        </row>
        <row r="346">
          <cell r="B346">
            <v>856395.99670000002</v>
          </cell>
        </row>
      </sheetData>
      <sheetData sheetId="1">
        <row r="12">
          <cell r="E12">
            <v>33500</v>
          </cell>
        </row>
        <row r="33">
          <cell r="E33">
            <v>370500</v>
          </cell>
        </row>
        <row r="53">
          <cell r="E53">
            <v>97100</v>
          </cell>
        </row>
        <row r="65">
          <cell r="E65">
            <v>55750</v>
          </cell>
        </row>
        <row r="78">
          <cell r="E78">
            <v>54300</v>
          </cell>
        </row>
        <row r="93">
          <cell r="E93">
            <v>165360</v>
          </cell>
        </row>
        <row r="105">
          <cell r="F105">
            <v>170170</v>
          </cell>
        </row>
        <row r="131">
          <cell r="E131">
            <v>133230</v>
          </cell>
        </row>
        <row r="142">
          <cell r="F142">
            <v>80665</v>
          </cell>
        </row>
        <row r="146">
          <cell r="B146">
            <v>1160575</v>
          </cell>
        </row>
        <row r="148">
          <cell r="B148">
            <v>411356.96830000001</v>
          </cell>
        </row>
      </sheetData>
      <sheetData sheetId="2">
        <row r="13">
          <cell r="F13">
            <v>42321.5</v>
          </cell>
        </row>
        <row r="58">
          <cell r="F58">
            <v>452172.2</v>
          </cell>
        </row>
        <row r="94">
          <cell r="F94">
            <v>532174.19999999995</v>
          </cell>
        </row>
        <row r="137">
          <cell r="F137">
            <v>911785.9</v>
          </cell>
        </row>
        <row r="160">
          <cell r="F160">
            <v>321456</v>
          </cell>
        </row>
        <row r="202">
          <cell r="F202">
            <v>496991</v>
          </cell>
        </row>
        <row r="242">
          <cell r="F242">
            <v>653226.94999999995</v>
          </cell>
        </row>
        <row r="277">
          <cell r="F277">
            <v>373092.2</v>
          </cell>
        </row>
        <row r="313">
          <cell r="F313">
            <v>365644.5</v>
          </cell>
        </row>
        <row r="335">
          <cell r="E335">
            <v>198950</v>
          </cell>
        </row>
        <row r="359">
          <cell r="E359">
            <v>52900</v>
          </cell>
        </row>
        <row r="389">
          <cell r="E389">
            <v>268750</v>
          </cell>
        </row>
        <row r="422">
          <cell r="E422">
            <v>386200</v>
          </cell>
        </row>
        <row r="448">
          <cell r="E448">
            <v>100900</v>
          </cell>
        </row>
        <row r="468">
          <cell r="E468">
            <v>165560</v>
          </cell>
        </row>
        <row r="497">
          <cell r="F497">
            <v>1708765</v>
          </cell>
        </row>
        <row r="581">
          <cell r="E581">
            <v>462420</v>
          </cell>
        </row>
        <row r="595">
          <cell r="F595">
            <v>39034.25</v>
          </cell>
        </row>
        <row r="611">
          <cell r="E611">
            <v>44300</v>
          </cell>
        </row>
        <row r="623">
          <cell r="E623">
            <v>97500</v>
          </cell>
        </row>
        <row r="639">
          <cell r="E639">
            <v>182000</v>
          </cell>
        </row>
        <row r="657">
          <cell r="E657">
            <v>58430</v>
          </cell>
        </row>
        <row r="665">
          <cell r="B665">
            <v>8811975.1999999993</v>
          </cell>
        </row>
        <row r="667">
          <cell r="B667">
            <v>3157008.85</v>
          </cell>
        </row>
      </sheetData>
      <sheetData sheetId="3">
        <row r="45">
          <cell r="F45">
            <v>592286.19999999995</v>
          </cell>
        </row>
        <row r="89">
          <cell r="F89">
            <v>445028.375</v>
          </cell>
        </row>
        <row r="127">
          <cell r="F127">
            <v>423257</v>
          </cell>
        </row>
        <row r="144">
          <cell r="F144">
            <v>173706</v>
          </cell>
        </row>
        <row r="169">
          <cell r="F169">
            <v>135877</v>
          </cell>
        </row>
        <row r="178">
          <cell r="E178">
            <v>110000</v>
          </cell>
        </row>
        <row r="198">
          <cell r="E198">
            <v>203000</v>
          </cell>
        </row>
        <row r="207">
          <cell r="E207">
            <v>14000</v>
          </cell>
        </row>
        <row r="225">
          <cell r="E225">
            <v>395500</v>
          </cell>
        </row>
        <row r="239">
          <cell r="E239">
            <v>87000</v>
          </cell>
        </row>
        <row r="253">
          <cell r="F253">
            <v>110279</v>
          </cell>
        </row>
        <row r="262">
          <cell r="E262">
            <v>23000</v>
          </cell>
        </row>
        <row r="266">
          <cell r="B266">
            <v>2712933.5750000002</v>
          </cell>
        </row>
        <row r="268">
          <cell r="B268">
            <v>794963.8811</v>
          </cell>
        </row>
      </sheetData>
      <sheetData sheetId="4">
        <row r="36">
          <cell r="F36">
            <v>599225.59999999998</v>
          </cell>
        </row>
        <row r="61">
          <cell r="F61">
            <v>196579.5</v>
          </cell>
        </row>
        <row r="98">
          <cell r="F98">
            <v>337301.25</v>
          </cell>
        </row>
        <row r="113">
          <cell r="F113">
            <v>95118.399999999994</v>
          </cell>
        </row>
        <row r="144">
          <cell r="F144">
            <v>282234.25</v>
          </cell>
        </row>
        <row r="166">
          <cell r="E166">
            <v>297000</v>
          </cell>
        </row>
        <row r="179">
          <cell r="E179">
            <v>29000</v>
          </cell>
        </row>
        <row r="208">
          <cell r="E208">
            <v>238260</v>
          </cell>
        </row>
        <row r="212">
          <cell r="B212">
            <v>2074719</v>
          </cell>
        </row>
        <row r="214">
          <cell r="B214">
            <v>649246.70140000002</v>
          </cell>
        </row>
      </sheetData>
      <sheetData sheetId="5">
        <row r="20">
          <cell r="F20">
            <v>629160</v>
          </cell>
        </row>
        <row r="40">
          <cell r="F40">
            <v>845325</v>
          </cell>
        </row>
        <row r="49">
          <cell r="F49">
            <v>43095</v>
          </cell>
        </row>
        <row r="65">
          <cell r="E65">
            <v>305000</v>
          </cell>
        </row>
        <row r="73">
          <cell r="B73">
            <v>1822580</v>
          </cell>
        </row>
        <row r="75">
          <cell r="B75">
            <v>745580</v>
          </cell>
        </row>
      </sheetData>
      <sheetData sheetId="6">
        <row r="38">
          <cell r="F38">
            <v>351611</v>
          </cell>
        </row>
        <row r="65">
          <cell r="F65">
            <v>232381.5</v>
          </cell>
        </row>
        <row r="103">
          <cell r="F103">
            <v>408077.85</v>
          </cell>
        </row>
        <row r="150">
          <cell r="F150">
            <v>956224.15</v>
          </cell>
        </row>
        <row r="191">
          <cell r="F191">
            <v>532293.1</v>
          </cell>
        </row>
        <row r="228">
          <cell r="F228">
            <v>398425</v>
          </cell>
        </row>
        <row r="266">
          <cell r="F266">
            <v>805347.45</v>
          </cell>
        </row>
        <row r="307">
          <cell r="F307">
            <v>452188.77500000002</v>
          </cell>
        </row>
        <row r="346">
          <cell r="F346">
            <v>366373.8</v>
          </cell>
        </row>
        <row r="375">
          <cell r="E375">
            <v>256520</v>
          </cell>
        </row>
        <row r="388">
          <cell r="E388">
            <v>129000</v>
          </cell>
        </row>
        <row r="403">
          <cell r="E403">
            <v>38600</v>
          </cell>
        </row>
        <row r="414">
          <cell r="E414">
            <v>77600</v>
          </cell>
        </row>
        <row r="429">
          <cell r="E429">
            <v>88500</v>
          </cell>
        </row>
        <row r="447">
          <cell r="F447">
            <v>165175.4</v>
          </cell>
        </row>
        <row r="461">
          <cell r="E461">
            <v>38000</v>
          </cell>
        </row>
        <row r="495">
          <cell r="E495">
            <v>1075920</v>
          </cell>
        </row>
        <row r="511">
          <cell r="E511">
            <v>198500</v>
          </cell>
        </row>
        <row r="524">
          <cell r="E524">
            <v>83500</v>
          </cell>
        </row>
        <row r="535">
          <cell r="F535">
            <v>49172.5</v>
          </cell>
        </row>
        <row r="549">
          <cell r="E549">
            <v>71100</v>
          </cell>
        </row>
        <row r="572">
          <cell r="E572">
            <v>231500</v>
          </cell>
        </row>
        <row r="595">
          <cell r="E595">
            <v>94400</v>
          </cell>
        </row>
        <row r="612">
          <cell r="E612">
            <v>363900</v>
          </cell>
        </row>
        <row r="642">
          <cell r="F642">
            <v>288714.40000000002</v>
          </cell>
        </row>
        <row r="646">
          <cell r="B646">
            <v>7753024.9249999998</v>
          </cell>
        </row>
        <row r="648">
          <cell r="B648">
            <v>2359485.3659999999</v>
          </cell>
        </row>
      </sheetData>
      <sheetData sheetId="7">
        <row r="23">
          <cell r="E23">
            <v>316100</v>
          </cell>
        </row>
        <row r="36">
          <cell r="E36">
            <v>43000</v>
          </cell>
        </row>
        <row r="59">
          <cell r="E59">
            <v>239100</v>
          </cell>
        </row>
        <row r="81">
          <cell r="E81">
            <v>241400</v>
          </cell>
        </row>
        <row r="103">
          <cell r="E103">
            <v>111200</v>
          </cell>
        </row>
        <row r="130">
          <cell r="E130">
            <v>243000</v>
          </cell>
        </row>
        <row r="153">
          <cell r="F153">
            <v>1063673</v>
          </cell>
        </row>
        <row r="222">
          <cell r="E222">
            <v>400980</v>
          </cell>
        </row>
        <row r="239">
          <cell r="F239">
            <v>196690</v>
          </cell>
        </row>
        <row r="258">
          <cell r="E258">
            <v>62200</v>
          </cell>
        </row>
        <row r="281">
          <cell r="E281">
            <v>481300</v>
          </cell>
        </row>
        <row r="291">
          <cell r="E291">
            <v>39500</v>
          </cell>
        </row>
        <row r="316">
          <cell r="E316">
            <v>171400</v>
          </cell>
        </row>
        <row r="321">
          <cell r="B321">
            <v>1519033.415</v>
          </cell>
        </row>
      </sheetData>
      <sheetData sheetId="8">
        <row r="42">
          <cell r="F42">
            <v>434279.6</v>
          </cell>
        </row>
        <row r="86">
          <cell r="F86">
            <v>465940.5</v>
          </cell>
        </row>
        <row r="125">
          <cell r="F125">
            <v>413822.5</v>
          </cell>
        </row>
        <row r="169">
          <cell r="F169">
            <v>779897.95</v>
          </cell>
        </row>
        <row r="194">
          <cell r="F194">
            <v>104975</v>
          </cell>
        </row>
        <row r="211">
          <cell r="E211">
            <v>150400</v>
          </cell>
        </row>
        <row r="228">
          <cell r="E228">
            <v>618500</v>
          </cell>
        </row>
        <row r="268">
          <cell r="F268">
            <v>322168.95</v>
          </cell>
        </row>
        <row r="305">
          <cell r="F305">
            <v>440016.52500000002</v>
          </cell>
        </row>
        <row r="310">
          <cell r="B310">
            <v>1361994.034</v>
          </cell>
        </row>
      </sheetData>
      <sheetData sheetId="9">
        <row r="34">
          <cell r="F34">
            <v>570584</v>
          </cell>
        </row>
        <row r="68">
          <cell r="F68">
            <v>437652.5</v>
          </cell>
        </row>
        <row r="110">
          <cell r="F110">
            <v>529174.125</v>
          </cell>
        </row>
        <row r="125">
          <cell r="F125">
            <v>41775.75</v>
          </cell>
        </row>
        <row r="158">
          <cell r="F158">
            <v>291836.7</v>
          </cell>
        </row>
        <row r="179">
          <cell r="E179">
            <v>275500</v>
          </cell>
        </row>
        <row r="191">
          <cell r="E191">
            <v>134300</v>
          </cell>
        </row>
        <row r="220">
          <cell r="E220">
            <v>259800</v>
          </cell>
        </row>
        <row r="239">
          <cell r="F239">
            <v>406640</v>
          </cell>
        </row>
        <row r="252">
          <cell r="E252">
            <v>81000</v>
          </cell>
        </row>
        <row r="277">
          <cell r="E277">
            <v>639000</v>
          </cell>
        </row>
        <row r="295">
          <cell r="F295">
            <v>963560</v>
          </cell>
        </row>
        <row r="305">
          <cell r="B305">
            <v>1771554.8359999999</v>
          </cell>
        </row>
      </sheetData>
      <sheetData sheetId="10">
        <row r="39">
          <cell r="F39">
            <v>296106.84999999998</v>
          </cell>
        </row>
        <row r="73">
          <cell r="F73">
            <v>249785.25</v>
          </cell>
        </row>
        <row r="112">
          <cell r="F112">
            <v>357787.95</v>
          </cell>
        </row>
        <row r="156">
          <cell r="F156">
            <v>895100.4</v>
          </cell>
        </row>
        <row r="193">
          <cell r="F193">
            <v>549356.94999999995</v>
          </cell>
        </row>
        <row r="222">
          <cell r="F222">
            <v>407966</v>
          </cell>
        </row>
        <row r="261">
          <cell r="F261">
            <v>626667.6</v>
          </cell>
        </row>
        <row r="303">
          <cell r="F303">
            <v>453795.875</v>
          </cell>
        </row>
        <row r="342">
          <cell r="F342">
            <v>586581.30000000005</v>
          </cell>
        </row>
        <row r="365">
          <cell r="E365">
            <v>163600</v>
          </cell>
        </row>
        <row r="381">
          <cell r="E381">
            <v>92100</v>
          </cell>
        </row>
        <row r="405">
          <cell r="E405">
            <v>83505</v>
          </cell>
        </row>
        <row r="420">
          <cell r="E420">
            <v>110400</v>
          </cell>
        </row>
        <row r="435">
          <cell r="E435">
            <v>67400</v>
          </cell>
        </row>
        <row r="457">
          <cell r="F457">
            <v>116650</v>
          </cell>
        </row>
        <row r="482">
          <cell r="E482">
            <v>520120</v>
          </cell>
        </row>
        <row r="502">
          <cell r="E502">
            <v>314800</v>
          </cell>
        </row>
        <row r="516">
          <cell r="E516">
            <v>32400</v>
          </cell>
        </row>
        <row r="529">
          <cell r="F529">
            <v>116688</v>
          </cell>
        </row>
        <row r="539">
          <cell r="E539">
            <v>33900</v>
          </cell>
        </row>
        <row r="561">
          <cell r="E561">
            <v>253300</v>
          </cell>
        </row>
        <row r="579">
          <cell r="E579">
            <v>80300</v>
          </cell>
        </row>
        <row r="591">
          <cell r="E591">
            <v>103000</v>
          </cell>
        </row>
        <row r="622">
          <cell r="F622">
            <v>240558.5</v>
          </cell>
        </row>
        <row r="638">
          <cell r="F638">
            <v>749742.5</v>
          </cell>
        </row>
        <row r="646">
          <cell r="B646">
            <v>2829127.5070000002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58"/>
  <sheetViews>
    <sheetView tabSelected="1" topLeftCell="A168" workbookViewId="0"/>
  </sheetViews>
  <sheetFormatPr baseColWidth="10" defaultColWidth="12.6640625" defaultRowHeight="15" customHeight="1" x14ac:dyDescent="0.2"/>
  <cols>
    <col min="1" max="1" width="21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1</v>
      </c>
      <c r="F3" s="8">
        <v>46113</v>
      </c>
      <c r="G3" s="7"/>
      <c r="H3" s="2"/>
      <c r="I3" s="9" t="s">
        <v>2</v>
      </c>
      <c r="J3" s="9"/>
      <c r="K3" s="9"/>
      <c r="L3" s="3"/>
      <c r="M3" s="1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2">
        <v>4</v>
      </c>
      <c r="B6" s="10" t="s">
        <v>11</v>
      </c>
      <c r="C6" s="11" t="s">
        <v>12</v>
      </c>
      <c r="D6" s="13">
        <v>4500</v>
      </c>
      <c r="E6" s="13">
        <f t="shared" ref="E6:E32" si="0">A6*D6</f>
        <v>18000</v>
      </c>
      <c r="F6" s="13">
        <f>E6*1.21</f>
        <v>21780</v>
      </c>
      <c r="G6" s="2"/>
      <c r="H6" s="2"/>
      <c r="I6" s="13">
        <f>54000/12</f>
        <v>4500</v>
      </c>
      <c r="J6" s="13">
        <f t="shared" ref="J6:J32" si="1">I6*A6</f>
        <v>18000</v>
      </c>
      <c r="K6" s="13">
        <f t="shared" ref="K6:K32" si="2">F6-J6</f>
        <v>3780</v>
      </c>
      <c r="L6" s="14">
        <f t="shared" ref="L6:L32" si="3">IFERROR(K6/E6, 0)</f>
        <v>0.21</v>
      </c>
      <c r="M6" s="1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2">
        <v>1</v>
      </c>
      <c r="B7" s="10" t="s">
        <v>4</v>
      </c>
      <c r="C7" s="11" t="s">
        <v>13</v>
      </c>
      <c r="D7" s="13">
        <v>900</v>
      </c>
      <c r="E7" s="13">
        <f t="shared" si="0"/>
        <v>900</v>
      </c>
      <c r="F7" s="13">
        <f t="shared" ref="F7:F32" si="4">E7*1.105</f>
        <v>994.5</v>
      </c>
      <c r="G7" s="2"/>
      <c r="H7" s="2"/>
      <c r="I7" s="13">
        <v>460</v>
      </c>
      <c r="J7" s="13">
        <f t="shared" si="1"/>
        <v>460</v>
      </c>
      <c r="K7" s="13">
        <f t="shared" si="2"/>
        <v>534.5</v>
      </c>
      <c r="L7" s="14">
        <f t="shared" si="3"/>
        <v>0.59388888888888891</v>
      </c>
      <c r="M7" s="1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2">
        <v>1</v>
      </c>
      <c r="B8" s="10" t="s">
        <v>4</v>
      </c>
      <c r="C8" s="11" t="s">
        <v>14</v>
      </c>
      <c r="D8" s="13">
        <v>2600</v>
      </c>
      <c r="E8" s="13">
        <f t="shared" si="0"/>
        <v>2600</v>
      </c>
      <c r="F8" s="13">
        <f t="shared" si="4"/>
        <v>2873</v>
      </c>
      <c r="G8" s="2"/>
      <c r="H8" s="2"/>
      <c r="I8" s="13">
        <f>18000/13</f>
        <v>1384.6153846153845</v>
      </c>
      <c r="J8" s="13">
        <f t="shared" si="1"/>
        <v>1384.6153846153845</v>
      </c>
      <c r="K8" s="13">
        <f t="shared" si="2"/>
        <v>1488.3846153846155</v>
      </c>
      <c r="L8" s="14">
        <f t="shared" si="3"/>
        <v>0.57245562130177519</v>
      </c>
      <c r="M8" s="1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2">
        <v>1</v>
      </c>
      <c r="B9" s="10" t="s">
        <v>15</v>
      </c>
      <c r="C9" s="11" t="s">
        <v>16</v>
      </c>
      <c r="D9" s="13">
        <v>13000</v>
      </c>
      <c r="E9" s="13">
        <f t="shared" si="0"/>
        <v>13000</v>
      </c>
      <c r="F9" s="13">
        <f t="shared" si="4"/>
        <v>14365</v>
      </c>
      <c r="G9" s="2"/>
      <c r="H9" s="2"/>
      <c r="I9" s="13">
        <v>9000</v>
      </c>
      <c r="J9" s="13">
        <f t="shared" si="1"/>
        <v>9000</v>
      </c>
      <c r="K9" s="13">
        <f t="shared" si="2"/>
        <v>5365</v>
      </c>
      <c r="L9" s="14">
        <f t="shared" si="3"/>
        <v>0.41269230769230769</v>
      </c>
      <c r="M9" s="1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2">
        <v>2.5</v>
      </c>
      <c r="B10" s="10" t="s">
        <v>17</v>
      </c>
      <c r="C10" s="11" t="s">
        <v>18</v>
      </c>
      <c r="D10" s="13">
        <v>1600</v>
      </c>
      <c r="E10" s="13">
        <f t="shared" si="0"/>
        <v>4000</v>
      </c>
      <c r="F10" s="13">
        <f t="shared" si="4"/>
        <v>4420</v>
      </c>
      <c r="G10" s="2"/>
      <c r="H10" s="2"/>
      <c r="I10" s="13">
        <f>12000/15</f>
        <v>800</v>
      </c>
      <c r="J10" s="13">
        <f t="shared" si="1"/>
        <v>2000</v>
      </c>
      <c r="K10" s="13">
        <f t="shared" si="2"/>
        <v>2420</v>
      </c>
      <c r="L10" s="14">
        <f t="shared" si="3"/>
        <v>0.60499999999999998</v>
      </c>
      <c r="M10" s="1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2">
        <v>0.8</v>
      </c>
      <c r="B11" s="10" t="s">
        <v>17</v>
      </c>
      <c r="C11" s="11" t="s">
        <v>19</v>
      </c>
      <c r="D11" s="13">
        <v>4000</v>
      </c>
      <c r="E11" s="13">
        <f t="shared" si="0"/>
        <v>3200</v>
      </c>
      <c r="F11" s="13">
        <f t="shared" si="4"/>
        <v>3536</v>
      </c>
      <c r="G11" s="2"/>
      <c r="H11" s="2"/>
      <c r="I11" s="13">
        <f>13000/8</f>
        <v>1625</v>
      </c>
      <c r="J11" s="13">
        <f t="shared" si="1"/>
        <v>1300</v>
      </c>
      <c r="K11" s="13">
        <f t="shared" si="2"/>
        <v>2236</v>
      </c>
      <c r="L11" s="14">
        <f t="shared" si="3"/>
        <v>0.69874999999999998</v>
      </c>
      <c r="M11" s="1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ht="15.75" customHeight="1" x14ac:dyDescent="0.2">
      <c r="A12" s="12">
        <v>25</v>
      </c>
      <c r="B12" s="10" t="s">
        <v>4</v>
      </c>
      <c r="C12" s="11" t="s">
        <v>20</v>
      </c>
      <c r="D12" s="13">
        <v>800</v>
      </c>
      <c r="E12" s="13">
        <f t="shared" si="0"/>
        <v>20000</v>
      </c>
      <c r="F12" s="13">
        <f t="shared" si="4"/>
        <v>22100</v>
      </c>
      <c r="G12" s="2"/>
      <c r="H12" s="2"/>
      <c r="I12" s="13">
        <f>30000/94</f>
        <v>319.14893617021278</v>
      </c>
      <c r="J12" s="13">
        <f t="shared" si="1"/>
        <v>7978.7234042553191</v>
      </c>
      <c r="K12" s="13">
        <f t="shared" si="2"/>
        <v>14121.276595744681</v>
      </c>
      <c r="L12" s="14">
        <f t="shared" si="3"/>
        <v>0.70606382978723403</v>
      </c>
      <c r="M12" s="1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7"/>
    </row>
    <row r="13" spans="1:26" ht="15.75" customHeight="1" x14ac:dyDescent="0.2">
      <c r="A13" s="12">
        <v>2</v>
      </c>
      <c r="B13" s="10" t="s">
        <v>21</v>
      </c>
      <c r="C13" s="11" t="s">
        <v>22</v>
      </c>
      <c r="D13" s="13">
        <v>1700</v>
      </c>
      <c r="E13" s="13">
        <f t="shared" si="0"/>
        <v>3400</v>
      </c>
      <c r="F13" s="13">
        <f t="shared" si="4"/>
        <v>3757</v>
      </c>
      <c r="G13" s="2"/>
      <c r="H13" s="2"/>
      <c r="I13" s="13">
        <f>12000/10</f>
        <v>1200</v>
      </c>
      <c r="J13" s="13">
        <f t="shared" si="1"/>
        <v>2400</v>
      </c>
      <c r="K13" s="13">
        <f t="shared" si="2"/>
        <v>1357</v>
      </c>
      <c r="L13" s="14">
        <f t="shared" si="3"/>
        <v>0.39911764705882352</v>
      </c>
      <c r="M13" s="1"/>
      <c r="N13" s="2"/>
      <c r="O13" s="4"/>
      <c r="P13" s="2"/>
      <c r="Q13" s="2"/>
      <c r="R13" s="4"/>
      <c r="S13" s="2"/>
      <c r="T13" s="2"/>
      <c r="U13" s="1"/>
      <c r="V13" s="2"/>
      <c r="W13" s="2"/>
      <c r="X13" s="2"/>
      <c r="Y13" s="2"/>
      <c r="Z13" s="2"/>
    </row>
    <row r="14" spans="1:26" ht="15.75" customHeight="1" x14ac:dyDescent="0.2">
      <c r="A14" s="12">
        <v>0.5</v>
      </c>
      <c r="B14" s="10" t="s">
        <v>23</v>
      </c>
      <c r="C14" s="11" t="s">
        <v>24</v>
      </c>
      <c r="D14" s="13">
        <v>58000</v>
      </c>
      <c r="E14" s="13">
        <f t="shared" si="0"/>
        <v>29000</v>
      </c>
      <c r="F14" s="13">
        <f t="shared" si="4"/>
        <v>32045</v>
      </c>
      <c r="G14" s="2"/>
      <c r="H14" s="2"/>
      <c r="I14" s="13">
        <v>53000</v>
      </c>
      <c r="J14" s="13">
        <f t="shared" si="1"/>
        <v>26500</v>
      </c>
      <c r="K14" s="13">
        <f t="shared" si="2"/>
        <v>5545</v>
      </c>
      <c r="L14" s="14">
        <f t="shared" si="3"/>
        <v>0.19120689655172413</v>
      </c>
      <c r="M14" s="1"/>
      <c r="N14" s="2"/>
      <c r="O14" s="4"/>
      <c r="P14" s="2"/>
      <c r="Q14" s="2"/>
      <c r="R14" s="4"/>
      <c r="S14" s="2"/>
      <c r="T14" s="2"/>
      <c r="U14" s="1"/>
      <c r="V14" s="2"/>
      <c r="W14" s="2"/>
      <c r="X14" s="2"/>
      <c r="Y14" s="2"/>
      <c r="Z14" s="2"/>
    </row>
    <row r="15" spans="1:26" ht="15.75" customHeight="1" x14ac:dyDescent="0.2">
      <c r="A15" s="12">
        <v>0.5</v>
      </c>
      <c r="B15" s="10" t="s">
        <v>23</v>
      </c>
      <c r="C15" s="11" t="s">
        <v>25</v>
      </c>
      <c r="D15" s="13">
        <v>70000</v>
      </c>
      <c r="E15" s="13">
        <f t="shared" si="0"/>
        <v>35000</v>
      </c>
      <c r="F15" s="13">
        <f t="shared" si="4"/>
        <v>38675</v>
      </c>
      <c r="G15" s="2"/>
      <c r="H15" s="2"/>
      <c r="I15" s="13">
        <v>65000</v>
      </c>
      <c r="J15" s="13">
        <f t="shared" si="1"/>
        <v>32500</v>
      </c>
      <c r="K15" s="13">
        <f t="shared" si="2"/>
        <v>6175</v>
      </c>
      <c r="L15" s="14">
        <f t="shared" si="3"/>
        <v>0.17642857142857143</v>
      </c>
      <c r="M15" s="1"/>
      <c r="N15" s="2"/>
      <c r="O15" s="4"/>
      <c r="P15" s="2"/>
      <c r="Q15" s="2"/>
      <c r="R15" s="4"/>
      <c r="S15" s="2"/>
      <c r="T15" s="2"/>
      <c r="U15" s="1"/>
      <c r="V15" s="2"/>
      <c r="W15" s="2"/>
      <c r="X15" s="2"/>
      <c r="Y15" s="2"/>
      <c r="Z15" s="2"/>
    </row>
    <row r="16" spans="1:26" ht="15.75" customHeight="1" x14ac:dyDescent="0.2">
      <c r="A16" s="12">
        <v>1</v>
      </c>
      <c r="B16" s="10" t="s">
        <v>23</v>
      </c>
      <c r="C16" s="11" t="s">
        <v>26</v>
      </c>
      <c r="D16" s="13">
        <v>25000</v>
      </c>
      <c r="E16" s="13">
        <f t="shared" si="0"/>
        <v>25000</v>
      </c>
      <c r="F16" s="13">
        <f t="shared" si="4"/>
        <v>27625</v>
      </c>
      <c r="G16" s="2"/>
      <c r="H16" s="2"/>
      <c r="I16" s="13">
        <v>22000</v>
      </c>
      <c r="J16" s="13">
        <f t="shared" si="1"/>
        <v>22000</v>
      </c>
      <c r="K16" s="13">
        <f t="shared" si="2"/>
        <v>5625</v>
      </c>
      <c r="L16" s="14">
        <f t="shared" si="3"/>
        <v>0.22500000000000001</v>
      </c>
      <c r="M16" s="1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A17" s="12">
        <v>1</v>
      </c>
      <c r="B17" s="10" t="s">
        <v>15</v>
      </c>
      <c r="C17" s="11" t="s">
        <v>27</v>
      </c>
      <c r="D17" s="13">
        <v>23000</v>
      </c>
      <c r="E17" s="13">
        <f t="shared" si="0"/>
        <v>23000</v>
      </c>
      <c r="F17" s="13">
        <f t="shared" si="4"/>
        <v>25415</v>
      </c>
      <c r="G17" s="2"/>
      <c r="H17" s="2"/>
      <c r="I17" s="13">
        <v>19000</v>
      </c>
      <c r="J17" s="13">
        <f t="shared" si="1"/>
        <v>19000</v>
      </c>
      <c r="K17" s="13">
        <f t="shared" si="2"/>
        <v>6415</v>
      </c>
      <c r="L17" s="14">
        <f t="shared" si="3"/>
        <v>0.27891304347826085</v>
      </c>
      <c r="M17" s="1"/>
      <c r="N17" s="2"/>
      <c r="O17" s="4"/>
      <c r="P17" s="2"/>
      <c r="Q17" s="2"/>
      <c r="R17" s="5"/>
      <c r="S17" s="2"/>
      <c r="T17" s="2"/>
      <c r="U17" s="1"/>
      <c r="V17" s="2"/>
      <c r="W17" s="2"/>
      <c r="X17" s="2"/>
      <c r="Y17" s="2"/>
      <c r="Z17" s="2"/>
    </row>
    <row r="18" spans="1:26" x14ac:dyDescent="0.2">
      <c r="A18" s="12">
        <v>1</v>
      </c>
      <c r="B18" s="10" t="s">
        <v>21</v>
      </c>
      <c r="C18" s="11" t="s">
        <v>28</v>
      </c>
      <c r="D18" s="13">
        <v>3000</v>
      </c>
      <c r="E18" s="13">
        <f t="shared" si="0"/>
        <v>3000</v>
      </c>
      <c r="F18" s="13">
        <f t="shared" si="4"/>
        <v>3315</v>
      </c>
      <c r="G18" s="2"/>
      <c r="H18" s="2"/>
      <c r="I18" s="13">
        <v>2000</v>
      </c>
      <c r="J18" s="13">
        <f t="shared" si="1"/>
        <v>2000</v>
      </c>
      <c r="K18" s="13">
        <f t="shared" si="2"/>
        <v>1315</v>
      </c>
      <c r="L18" s="14">
        <f t="shared" si="3"/>
        <v>0.43833333333333335</v>
      </c>
      <c r="M18" s="1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x14ac:dyDescent="0.2">
      <c r="A19" s="12">
        <v>0.1</v>
      </c>
      <c r="B19" s="10" t="s">
        <v>17</v>
      </c>
      <c r="C19" s="11" t="s">
        <v>29</v>
      </c>
      <c r="D19" s="13">
        <v>3500</v>
      </c>
      <c r="E19" s="13">
        <f t="shared" si="0"/>
        <v>350</v>
      </c>
      <c r="F19" s="13">
        <f t="shared" si="4"/>
        <v>386.75</v>
      </c>
      <c r="G19" s="2"/>
      <c r="H19" s="2"/>
      <c r="I19" s="13">
        <v>1000</v>
      </c>
      <c r="J19" s="13">
        <f t="shared" si="1"/>
        <v>100</v>
      </c>
      <c r="K19" s="13">
        <f t="shared" si="2"/>
        <v>286.75</v>
      </c>
      <c r="L19" s="14">
        <f t="shared" si="3"/>
        <v>0.81928571428571428</v>
      </c>
      <c r="M19" s="1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x14ac:dyDescent="0.2">
      <c r="A20" s="12">
        <v>0.75</v>
      </c>
      <c r="B20" s="10" t="s">
        <v>17</v>
      </c>
      <c r="C20" s="11" t="s">
        <v>30</v>
      </c>
      <c r="D20" s="13">
        <v>1500</v>
      </c>
      <c r="E20" s="13">
        <f t="shared" si="0"/>
        <v>1125</v>
      </c>
      <c r="F20" s="13">
        <f t="shared" si="4"/>
        <v>1243.125</v>
      </c>
      <c r="G20" s="2"/>
      <c r="H20" s="2"/>
      <c r="I20" s="13">
        <v>1500</v>
      </c>
      <c r="J20" s="13">
        <f t="shared" si="1"/>
        <v>1125</v>
      </c>
      <c r="K20" s="13">
        <f t="shared" si="2"/>
        <v>118.125</v>
      </c>
      <c r="L20" s="14">
        <f t="shared" si="3"/>
        <v>0.105</v>
      </c>
      <c r="M20" s="1"/>
      <c r="N20" s="2"/>
      <c r="O20" s="4"/>
      <c r="P20" s="2"/>
      <c r="Q20" s="2"/>
      <c r="R20" s="4"/>
      <c r="S20" s="2"/>
      <c r="T20" s="2"/>
      <c r="U20" s="1"/>
      <c r="V20" s="2"/>
      <c r="W20" s="2"/>
      <c r="X20" s="2"/>
      <c r="Y20" s="2"/>
      <c r="Z20" s="2"/>
    </row>
    <row r="21" spans="1:26" x14ac:dyDescent="0.2">
      <c r="A21" s="12">
        <v>1.3</v>
      </c>
      <c r="B21" s="10" t="s">
        <v>17</v>
      </c>
      <c r="C21" s="11" t="s">
        <v>31</v>
      </c>
      <c r="D21" s="13">
        <v>3200</v>
      </c>
      <c r="E21" s="13">
        <f t="shared" si="0"/>
        <v>4160</v>
      </c>
      <c r="F21" s="13">
        <f t="shared" si="4"/>
        <v>4596.8</v>
      </c>
      <c r="G21" s="2"/>
      <c r="H21" s="2"/>
      <c r="I21" s="13">
        <v>1000</v>
      </c>
      <c r="J21" s="13">
        <f t="shared" si="1"/>
        <v>1300</v>
      </c>
      <c r="K21" s="13">
        <f t="shared" si="2"/>
        <v>3296.8</v>
      </c>
      <c r="L21" s="14">
        <f t="shared" si="3"/>
        <v>0.79250000000000009</v>
      </c>
      <c r="M21" s="1"/>
      <c r="N21" s="2"/>
      <c r="O21" s="4"/>
      <c r="P21" s="2"/>
      <c r="Q21" s="2"/>
      <c r="R21" s="4"/>
      <c r="S21" s="2"/>
      <c r="T21" s="2"/>
      <c r="U21" s="1"/>
      <c r="V21" s="2"/>
      <c r="W21" s="2"/>
      <c r="X21" s="2"/>
      <c r="Y21" s="2"/>
      <c r="Z21" s="2"/>
    </row>
    <row r="22" spans="1:26" x14ac:dyDescent="0.2">
      <c r="A22" s="12">
        <v>0.5</v>
      </c>
      <c r="B22" s="10" t="s">
        <v>17</v>
      </c>
      <c r="C22" s="11" t="s">
        <v>32</v>
      </c>
      <c r="D22" s="13">
        <v>2400</v>
      </c>
      <c r="E22" s="13">
        <f t="shared" si="0"/>
        <v>1200</v>
      </c>
      <c r="F22" s="13">
        <f t="shared" si="4"/>
        <v>1326</v>
      </c>
      <c r="G22" s="2"/>
      <c r="H22" s="2"/>
      <c r="I22" s="13">
        <v>1000</v>
      </c>
      <c r="J22" s="13">
        <f t="shared" si="1"/>
        <v>500</v>
      </c>
      <c r="K22" s="13">
        <f t="shared" si="2"/>
        <v>826</v>
      </c>
      <c r="L22" s="14">
        <f t="shared" si="3"/>
        <v>0.68833333333333335</v>
      </c>
      <c r="M22" s="1"/>
      <c r="N22" s="2"/>
      <c r="O22" s="4"/>
      <c r="P22" s="2"/>
      <c r="Q22" s="2"/>
      <c r="R22" s="4"/>
      <c r="S22" s="2"/>
      <c r="T22" s="2"/>
      <c r="U22" s="1"/>
      <c r="V22" s="2"/>
      <c r="W22" s="2"/>
      <c r="X22" s="2"/>
      <c r="Y22" s="2"/>
      <c r="Z22" s="2"/>
    </row>
    <row r="23" spans="1:26" x14ac:dyDescent="0.2">
      <c r="A23" s="12">
        <v>0.5</v>
      </c>
      <c r="B23" s="10" t="s">
        <v>17</v>
      </c>
      <c r="C23" s="11" t="s">
        <v>33</v>
      </c>
      <c r="D23" s="13">
        <v>2800</v>
      </c>
      <c r="E23" s="13">
        <f t="shared" si="0"/>
        <v>1400</v>
      </c>
      <c r="F23" s="13">
        <f t="shared" si="4"/>
        <v>1547</v>
      </c>
      <c r="G23" s="2"/>
      <c r="H23" s="2"/>
      <c r="I23" s="13">
        <f>12000/7</f>
        <v>1714.2857142857142</v>
      </c>
      <c r="J23" s="13">
        <f t="shared" si="1"/>
        <v>857.14285714285711</v>
      </c>
      <c r="K23" s="13">
        <f t="shared" si="2"/>
        <v>689.85714285714289</v>
      </c>
      <c r="L23" s="14">
        <f t="shared" si="3"/>
        <v>0.49275510204081635</v>
      </c>
      <c r="M23" s="1"/>
      <c r="N23" s="2"/>
      <c r="O23" s="4"/>
      <c r="P23" s="2"/>
      <c r="Q23" s="2"/>
      <c r="R23" s="4"/>
      <c r="S23" s="2"/>
      <c r="T23" s="2"/>
      <c r="U23" s="1"/>
      <c r="V23" s="2"/>
      <c r="W23" s="2"/>
      <c r="X23" s="2"/>
      <c r="Y23" s="2"/>
      <c r="Z23" s="2"/>
    </row>
    <row r="24" spans="1:26" x14ac:dyDescent="0.2">
      <c r="A24" s="12">
        <v>1.2</v>
      </c>
      <c r="B24" s="10" t="s">
        <v>17</v>
      </c>
      <c r="C24" s="11" t="s">
        <v>34</v>
      </c>
      <c r="D24" s="13">
        <v>5000</v>
      </c>
      <c r="E24" s="13">
        <f t="shared" si="0"/>
        <v>6000</v>
      </c>
      <c r="F24" s="13">
        <f t="shared" si="4"/>
        <v>6630</v>
      </c>
      <c r="G24" s="2"/>
      <c r="H24" s="2"/>
      <c r="I24" s="13">
        <v>2000</v>
      </c>
      <c r="J24" s="13">
        <f t="shared" si="1"/>
        <v>2400</v>
      </c>
      <c r="K24" s="13">
        <f t="shared" si="2"/>
        <v>4230</v>
      </c>
      <c r="L24" s="14">
        <f t="shared" si="3"/>
        <v>0.70499999999999996</v>
      </c>
      <c r="M24" s="1"/>
      <c r="N24" s="2"/>
      <c r="O24" s="4"/>
      <c r="P24" s="2"/>
      <c r="Q24" s="2"/>
      <c r="R24" s="4"/>
      <c r="S24" s="2"/>
      <c r="T24" s="2"/>
      <c r="U24" s="1"/>
      <c r="V24" s="2"/>
      <c r="W24" s="2"/>
      <c r="X24" s="2"/>
      <c r="Y24" s="2"/>
      <c r="Z24" s="2"/>
    </row>
    <row r="25" spans="1:26" x14ac:dyDescent="0.2">
      <c r="A25" s="12">
        <v>0.6</v>
      </c>
      <c r="B25" s="10" t="s">
        <v>17</v>
      </c>
      <c r="C25" s="11" t="s">
        <v>35</v>
      </c>
      <c r="D25" s="13">
        <v>2500</v>
      </c>
      <c r="E25" s="13">
        <f t="shared" si="0"/>
        <v>1500</v>
      </c>
      <c r="F25" s="13">
        <f t="shared" si="4"/>
        <v>1657.5</v>
      </c>
      <c r="G25" s="2"/>
      <c r="H25" s="2"/>
      <c r="I25" s="13">
        <f>14000/11</f>
        <v>1272.7272727272727</v>
      </c>
      <c r="J25" s="13">
        <f t="shared" si="1"/>
        <v>763.63636363636363</v>
      </c>
      <c r="K25" s="13">
        <f t="shared" si="2"/>
        <v>893.86363636363637</v>
      </c>
      <c r="L25" s="14">
        <f t="shared" si="3"/>
        <v>0.59590909090909094</v>
      </c>
      <c r="M25" s="1"/>
      <c r="N25" s="2"/>
      <c r="O25" s="4"/>
      <c r="P25" s="2"/>
      <c r="Q25" s="2"/>
      <c r="R25" s="4"/>
      <c r="S25" s="2"/>
      <c r="T25" s="2"/>
      <c r="U25" s="1"/>
      <c r="V25" s="2"/>
      <c r="W25" s="2"/>
      <c r="X25" s="2"/>
      <c r="Y25" s="2"/>
      <c r="Z25" s="2"/>
    </row>
    <row r="26" spans="1:26" x14ac:dyDescent="0.2">
      <c r="A26" s="12">
        <v>2</v>
      </c>
      <c r="B26" s="10" t="s">
        <v>17</v>
      </c>
      <c r="C26" s="11" t="s">
        <v>36</v>
      </c>
      <c r="D26" s="13">
        <v>1800</v>
      </c>
      <c r="E26" s="13">
        <f t="shared" si="0"/>
        <v>3600</v>
      </c>
      <c r="F26" s="13">
        <f t="shared" si="4"/>
        <v>3978</v>
      </c>
      <c r="G26" s="2"/>
      <c r="H26" s="2"/>
      <c r="I26" s="13">
        <v>1000</v>
      </c>
      <c r="J26" s="13">
        <f t="shared" si="1"/>
        <v>2000</v>
      </c>
      <c r="K26" s="13">
        <f t="shared" si="2"/>
        <v>1978</v>
      </c>
      <c r="L26" s="14">
        <f t="shared" si="3"/>
        <v>0.5494444444444444</v>
      </c>
      <c r="M26" s="1"/>
      <c r="N26" s="2"/>
      <c r="O26" s="4"/>
      <c r="P26" s="2"/>
      <c r="Q26" s="2"/>
      <c r="R26" s="4"/>
      <c r="S26" s="2"/>
      <c r="T26" s="2"/>
      <c r="U26" s="1"/>
      <c r="V26" s="2"/>
      <c r="W26" s="2"/>
      <c r="X26" s="2"/>
      <c r="Y26" s="2"/>
      <c r="Z26" s="7" t="s">
        <v>37</v>
      </c>
    </row>
    <row r="27" spans="1:26" x14ac:dyDescent="0.2">
      <c r="A27" s="12">
        <v>1.2</v>
      </c>
      <c r="B27" s="10" t="s">
        <v>17</v>
      </c>
      <c r="C27" s="11" t="s">
        <v>38</v>
      </c>
      <c r="D27" s="13">
        <v>1800</v>
      </c>
      <c r="E27" s="13">
        <f t="shared" si="0"/>
        <v>2160</v>
      </c>
      <c r="F27" s="13">
        <f t="shared" si="4"/>
        <v>2386.8000000000002</v>
      </c>
      <c r="G27" s="2"/>
      <c r="H27" s="7"/>
      <c r="I27" s="13">
        <v>1000</v>
      </c>
      <c r="J27" s="13">
        <f t="shared" si="1"/>
        <v>1200</v>
      </c>
      <c r="K27" s="13">
        <f t="shared" si="2"/>
        <v>1186.8000000000002</v>
      </c>
      <c r="L27" s="14">
        <f t="shared" si="3"/>
        <v>0.54944444444444451</v>
      </c>
      <c r="M27" s="1"/>
      <c r="N27" s="2"/>
      <c r="O27" s="4"/>
      <c r="P27" s="2"/>
      <c r="Q27" s="2"/>
      <c r="R27" s="4"/>
      <c r="S27" s="2"/>
      <c r="T27" s="2"/>
      <c r="U27" s="1"/>
      <c r="V27" s="2"/>
      <c r="W27" s="2"/>
      <c r="X27" s="2"/>
      <c r="Y27" s="2"/>
      <c r="Z27" s="2"/>
    </row>
    <row r="28" spans="1:26" x14ac:dyDescent="0.2">
      <c r="A28" s="12">
        <v>9</v>
      </c>
      <c r="B28" s="10" t="s">
        <v>17</v>
      </c>
      <c r="C28" s="11" t="s">
        <v>39</v>
      </c>
      <c r="D28" s="13">
        <v>2400</v>
      </c>
      <c r="E28" s="13">
        <f t="shared" si="0"/>
        <v>21600</v>
      </c>
      <c r="F28" s="13">
        <f t="shared" si="4"/>
        <v>23868</v>
      </c>
      <c r="G28" s="2"/>
      <c r="H28" s="7"/>
      <c r="I28" s="13">
        <f>15000/15</f>
        <v>1000</v>
      </c>
      <c r="J28" s="13">
        <f t="shared" si="1"/>
        <v>9000</v>
      </c>
      <c r="K28" s="13">
        <f t="shared" si="2"/>
        <v>14868</v>
      </c>
      <c r="L28" s="14">
        <f t="shared" si="3"/>
        <v>0.68833333333333335</v>
      </c>
      <c r="M28" s="1"/>
      <c r="N28" s="2"/>
      <c r="O28" s="4"/>
      <c r="P28" s="2"/>
      <c r="Q28" s="2"/>
      <c r="R28" s="4"/>
      <c r="S28" s="2"/>
      <c r="T28" s="2"/>
      <c r="U28" s="1"/>
      <c r="V28" s="2"/>
      <c r="W28" s="2"/>
      <c r="X28" s="2"/>
      <c r="Y28" s="2"/>
      <c r="Z28" s="2"/>
    </row>
    <row r="29" spans="1:26" x14ac:dyDescent="0.2">
      <c r="A29" s="12">
        <v>6</v>
      </c>
      <c r="B29" s="10" t="s">
        <v>17</v>
      </c>
      <c r="C29" s="11" t="s">
        <v>40</v>
      </c>
      <c r="D29" s="13">
        <v>1300</v>
      </c>
      <c r="E29" s="13">
        <f t="shared" si="0"/>
        <v>7800</v>
      </c>
      <c r="F29" s="13">
        <f t="shared" si="4"/>
        <v>8619</v>
      </c>
      <c r="G29" s="2"/>
      <c r="H29" s="2"/>
      <c r="I29" s="13">
        <v>1000</v>
      </c>
      <c r="J29" s="13">
        <f t="shared" si="1"/>
        <v>6000</v>
      </c>
      <c r="K29" s="13">
        <f t="shared" si="2"/>
        <v>2619</v>
      </c>
      <c r="L29" s="14">
        <f t="shared" si="3"/>
        <v>0.33576923076923076</v>
      </c>
      <c r="M29" s="1"/>
      <c r="N29" s="2"/>
      <c r="O29" s="4"/>
      <c r="P29" s="2"/>
      <c r="Q29" s="2"/>
      <c r="R29" s="4"/>
      <c r="S29" s="2"/>
      <c r="T29" s="2"/>
      <c r="U29" s="1"/>
      <c r="V29" s="2"/>
      <c r="W29" s="2"/>
      <c r="X29" s="2"/>
      <c r="Y29" s="2"/>
      <c r="Z29" s="2"/>
    </row>
    <row r="30" spans="1:26" x14ac:dyDescent="0.2">
      <c r="A30" s="12">
        <v>2</v>
      </c>
      <c r="B30" s="10" t="s">
        <v>4</v>
      </c>
      <c r="C30" s="11" t="s">
        <v>41</v>
      </c>
      <c r="D30" s="13">
        <v>2800</v>
      </c>
      <c r="E30" s="13">
        <f t="shared" si="0"/>
        <v>5600</v>
      </c>
      <c r="F30" s="13">
        <f t="shared" si="4"/>
        <v>6188</v>
      </c>
      <c r="G30" s="2"/>
      <c r="H30" s="2"/>
      <c r="I30" s="13">
        <f>18000/10</f>
        <v>1800</v>
      </c>
      <c r="J30" s="13">
        <f t="shared" si="1"/>
        <v>3600</v>
      </c>
      <c r="K30" s="13">
        <f t="shared" si="2"/>
        <v>2588</v>
      </c>
      <c r="L30" s="14">
        <f t="shared" si="3"/>
        <v>0.46214285714285713</v>
      </c>
      <c r="M30" s="1"/>
      <c r="N30" s="2"/>
      <c r="O30" s="4"/>
      <c r="P30" s="2"/>
      <c r="Q30" s="2"/>
      <c r="R30" s="4"/>
      <c r="S30" s="2"/>
      <c r="T30" s="2"/>
      <c r="U30" s="1"/>
      <c r="V30" s="2"/>
      <c r="W30" s="2"/>
      <c r="X30" s="2"/>
      <c r="Y30" s="2"/>
      <c r="Z30" s="2"/>
    </row>
    <row r="31" spans="1:26" x14ac:dyDescent="0.2">
      <c r="A31" s="12">
        <v>0.5</v>
      </c>
      <c r="B31" s="10" t="s">
        <v>21</v>
      </c>
      <c r="C31" s="11" t="s">
        <v>42</v>
      </c>
      <c r="D31" s="13">
        <v>4500</v>
      </c>
      <c r="E31" s="13">
        <f t="shared" si="0"/>
        <v>2250</v>
      </c>
      <c r="F31" s="13">
        <f t="shared" si="4"/>
        <v>2486.25</v>
      </c>
      <c r="G31" s="2"/>
      <c r="H31" s="2"/>
      <c r="I31" s="13">
        <v>1200</v>
      </c>
      <c r="J31" s="13">
        <f t="shared" si="1"/>
        <v>600</v>
      </c>
      <c r="K31" s="13">
        <f t="shared" si="2"/>
        <v>1886.25</v>
      </c>
      <c r="L31" s="14">
        <f t="shared" si="3"/>
        <v>0.83833333333333337</v>
      </c>
      <c r="M31" s="1"/>
      <c r="N31" s="2"/>
      <c r="O31" s="4"/>
      <c r="P31" s="2"/>
      <c r="Q31" s="2"/>
      <c r="R31" s="4"/>
      <c r="S31" s="2"/>
      <c r="T31" s="2"/>
      <c r="U31" s="1"/>
      <c r="V31" s="2"/>
      <c r="W31" s="2"/>
      <c r="X31" s="2"/>
      <c r="Y31" s="2"/>
      <c r="Z31" s="2"/>
    </row>
    <row r="32" spans="1:26" x14ac:dyDescent="0.2">
      <c r="A32" s="12">
        <v>0.5</v>
      </c>
      <c r="B32" s="10" t="s">
        <v>17</v>
      </c>
      <c r="C32" s="11" t="s">
        <v>43</v>
      </c>
      <c r="D32" s="13">
        <v>3200</v>
      </c>
      <c r="E32" s="13">
        <f t="shared" si="0"/>
        <v>1600</v>
      </c>
      <c r="F32" s="13">
        <f t="shared" si="4"/>
        <v>1768</v>
      </c>
      <c r="G32" s="2"/>
      <c r="H32" s="2"/>
      <c r="I32" s="13">
        <v>2000</v>
      </c>
      <c r="J32" s="13">
        <f t="shared" si="1"/>
        <v>1000</v>
      </c>
      <c r="K32" s="13">
        <f t="shared" si="2"/>
        <v>768</v>
      </c>
      <c r="L32" s="14">
        <f t="shared" si="3"/>
        <v>0.48</v>
      </c>
      <c r="M32" s="1"/>
      <c r="N32" s="2"/>
      <c r="O32" s="4"/>
      <c r="P32" s="2"/>
      <c r="Q32" s="2"/>
      <c r="R32" s="4"/>
      <c r="S32" s="2"/>
      <c r="T32" s="2"/>
      <c r="U32" s="1"/>
      <c r="V32" s="2"/>
      <c r="W32" s="2"/>
      <c r="X32" s="2"/>
      <c r="Y32" s="2"/>
      <c r="Z32" s="2"/>
    </row>
    <row r="33" spans="1:26" x14ac:dyDescent="0.2">
      <c r="A33" s="1"/>
      <c r="B33" s="2"/>
      <c r="C33" s="4"/>
      <c r="D33" s="2"/>
      <c r="E33" s="2"/>
      <c r="F33" s="2"/>
      <c r="G33" s="2"/>
      <c r="H33" s="2"/>
      <c r="I33" s="2"/>
      <c r="J33" s="2"/>
      <c r="K33" s="2"/>
      <c r="L33" s="3"/>
      <c r="M33" s="1"/>
      <c r="N33" s="2"/>
      <c r="O33" s="4"/>
      <c r="P33" s="2"/>
      <c r="Q33" s="2"/>
      <c r="R33" s="4"/>
      <c r="S33" s="2"/>
      <c r="T33" s="2"/>
      <c r="U33" s="1"/>
      <c r="V33" s="2"/>
      <c r="W33" s="2"/>
      <c r="X33" s="2"/>
      <c r="Y33" s="2"/>
      <c r="Z33" s="2"/>
    </row>
    <row r="34" spans="1:26" x14ac:dyDescent="0.2">
      <c r="A34" s="1"/>
      <c r="B34" s="2"/>
      <c r="C34" s="4"/>
      <c r="D34" s="2"/>
      <c r="E34" s="13">
        <f t="shared" ref="E34:F34" si="5">SUM(E6:E32)</f>
        <v>240445</v>
      </c>
      <c r="F34" s="13">
        <f t="shared" si="5"/>
        <v>267581.72499999998</v>
      </c>
      <c r="G34" s="2"/>
      <c r="H34" s="2"/>
      <c r="I34" s="2"/>
      <c r="J34" s="2"/>
      <c r="K34" s="13">
        <f>SUM(K6:K32)</f>
        <v>92612.606990350076</v>
      </c>
      <c r="L34" s="14">
        <f>K34/F34</f>
        <v>0.34610961189651529</v>
      </c>
      <c r="M34" s="1"/>
      <c r="N34" s="2"/>
      <c r="O34" s="4"/>
      <c r="P34" s="2"/>
      <c r="Q34" s="2"/>
      <c r="R34" s="4"/>
      <c r="S34" s="2"/>
      <c r="T34" s="2"/>
      <c r="U34" s="1"/>
      <c r="V34" s="2"/>
      <c r="W34" s="2"/>
      <c r="X34" s="2"/>
      <c r="Y34" s="2"/>
      <c r="Z34" s="2"/>
    </row>
    <row r="35" spans="1:26" x14ac:dyDescent="0.2">
      <c r="A35" s="1"/>
      <c r="B35" s="2"/>
      <c r="C35" s="4"/>
      <c r="D35" s="2"/>
      <c r="E35" s="2"/>
      <c r="F35" s="2"/>
      <c r="G35" s="2"/>
      <c r="H35" s="2"/>
      <c r="I35" s="2"/>
      <c r="J35" s="2"/>
      <c r="K35" s="2"/>
      <c r="L35" s="3"/>
      <c r="M35" s="1"/>
      <c r="N35" s="2"/>
      <c r="O35" s="4"/>
      <c r="P35" s="2"/>
      <c r="Q35" s="2"/>
      <c r="R35" s="4"/>
      <c r="S35" s="2"/>
      <c r="T35" s="2"/>
      <c r="U35" s="1"/>
      <c r="V35" s="2"/>
      <c r="W35" s="2"/>
      <c r="X35" s="2"/>
      <c r="Y35" s="2"/>
      <c r="Z35" s="2"/>
    </row>
    <row r="36" spans="1:26" x14ac:dyDescent="0.2">
      <c r="A36" s="1"/>
      <c r="B36" s="2"/>
      <c r="C36" s="4"/>
      <c r="D36" s="2"/>
      <c r="E36" s="2"/>
      <c r="F36" s="2"/>
      <c r="G36" s="2"/>
      <c r="H36" s="2"/>
      <c r="I36" s="2"/>
      <c r="J36" s="2"/>
      <c r="K36" s="2"/>
      <c r="L36" s="3"/>
      <c r="M36" s="1"/>
      <c r="N36" s="2"/>
      <c r="O36" s="4"/>
      <c r="P36" s="2"/>
      <c r="Q36" s="2"/>
      <c r="R36" s="4"/>
      <c r="S36" s="2"/>
      <c r="T36" s="2"/>
      <c r="U36" s="1"/>
      <c r="V36" s="2"/>
      <c r="W36" s="2"/>
      <c r="X36" s="2"/>
      <c r="Y36" s="2"/>
      <c r="Z36" s="2"/>
    </row>
    <row r="37" spans="1:26" x14ac:dyDescent="0.2">
      <c r="A37" s="88" t="s">
        <v>44</v>
      </c>
      <c r="B37" s="89"/>
      <c r="C37" s="89"/>
      <c r="D37" s="2"/>
      <c r="E37" s="7" t="s">
        <v>45</v>
      </c>
      <c r="F37" s="8">
        <v>46113</v>
      </c>
      <c r="G37" s="7"/>
      <c r="H37" s="2"/>
      <c r="I37" s="9" t="s">
        <v>2</v>
      </c>
      <c r="J37" s="9"/>
      <c r="K37" s="9"/>
      <c r="L37" s="3"/>
      <c r="M37" s="1"/>
      <c r="N37" s="2"/>
      <c r="O37" s="4"/>
      <c r="P37" s="2"/>
      <c r="Q37" s="2"/>
      <c r="R37" s="4"/>
      <c r="S37" s="2"/>
      <c r="T37" s="2"/>
      <c r="U37" s="1"/>
      <c r="V37" s="2"/>
      <c r="W37" s="2"/>
      <c r="X37" s="2"/>
      <c r="Y37" s="2"/>
      <c r="Z37" s="2"/>
    </row>
    <row r="38" spans="1:26" x14ac:dyDescent="0.2">
      <c r="A38" s="1"/>
      <c r="B38" s="2"/>
      <c r="C38" s="5"/>
      <c r="D38" s="2"/>
      <c r="E38" s="2"/>
      <c r="F38" s="2"/>
      <c r="G38" s="2"/>
      <c r="H38" s="2"/>
      <c r="I38" s="2"/>
      <c r="J38" s="2"/>
      <c r="K38" s="2"/>
      <c r="L38" s="3"/>
      <c r="M38" s="1"/>
      <c r="N38" s="2"/>
      <c r="O38" s="4"/>
      <c r="P38" s="2"/>
      <c r="Q38" s="2"/>
      <c r="R38" s="4"/>
      <c r="S38" s="2"/>
      <c r="T38" s="2"/>
      <c r="U38" s="1"/>
      <c r="V38" s="2"/>
      <c r="W38" s="2"/>
      <c r="X38" s="2"/>
      <c r="Y38" s="2"/>
      <c r="Z38" s="2"/>
    </row>
    <row r="39" spans="1:26" x14ac:dyDescent="0.2">
      <c r="A39" s="6" t="s">
        <v>3</v>
      </c>
      <c r="B39" s="10" t="s">
        <v>4</v>
      </c>
      <c r="C39" s="11" t="s">
        <v>5</v>
      </c>
      <c r="D39" s="10" t="s">
        <v>6</v>
      </c>
      <c r="E39" s="10" t="s">
        <v>7</v>
      </c>
      <c r="F39" s="10" t="s">
        <v>8</v>
      </c>
      <c r="G39" s="2"/>
      <c r="H39" s="2"/>
      <c r="I39" s="10" t="s">
        <v>9</v>
      </c>
      <c r="J39" s="10" t="s">
        <v>7</v>
      </c>
      <c r="K39" s="10" t="s">
        <v>10</v>
      </c>
      <c r="L39" s="3"/>
      <c r="M39" s="1"/>
      <c r="N39" s="2"/>
      <c r="O39" s="4"/>
      <c r="P39" s="2"/>
      <c r="Q39" s="2"/>
      <c r="R39" s="4"/>
      <c r="S39" s="2"/>
      <c r="T39" s="2"/>
      <c r="U39" s="1"/>
      <c r="V39" s="2"/>
      <c r="W39" s="2"/>
      <c r="X39" s="2"/>
      <c r="Y39" s="2"/>
      <c r="Z39" s="2"/>
    </row>
    <row r="40" spans="1:26" x14ac:dyDescent="0.2">
      <c r="A40" s="12">
        <v>1.5</v>
      </c>
      <c r="B40" s="10" t="s">
        <v>17</v>
      </c>
      <c r="C40" s="11" t="s">
        <v>35</v>
      </c>
      <c r="D40" s="13">
        <v>2500</v>
      </c>
      <c r="E40" s="13">
        <f t="shared" ref="E40:E58" si="6">A40*D40</f>
        <v>3750</v>
      </c>
      <c r="F40" s="13">
        <f t="shared" ref="F40:F50" si="7">E40*1.105</f>
        <v>4143.75</v>
      </c>
      <c r="G40" s="2"/>
      <c r="H40" s="2"/>
      <c r="I40" s="13">
        <f>14000/11</f>
        <v>1272.7272727272727</v>
      </c>
      <c r="J40" s="13">
        <f t="shared" ref="J40:J58" si="8">I40*A40</f>
        <v>1909.090909090909</v>
      </c>
      <c r="K40" s="13">
        <f t="shared" ref="K40:K58" si="9">F40-J40</f>
        <v>2234.659090909091</v>
      </c>
      <c r="L40" s="14">
        <f t="shared" ref="L40:L58" si="10">IFERROR(K40/E40, 0)</f>
        <v>0.59590909090909094</v>
      </c>
      <c r="M40" s="1"/>
      <c r="N40" s="2"/>
      <c r="O40" s="4"/>
      <c r="P40" s="2"/>
      <c r="Q40" s="2"/>
      <c r="R40" s="4"/>
      <c r="S40" s="2"/>
      <c r="T40" s="2"/>
      <c r="U40" s="1"/>
      <c r="V40" s="2"/>
      <c r="W40" s="2"/>
      <c r="X40" s="2"/>
      <c r="Y40" s="2"/>
      <c r="Z40" s="2"/>
    </row>
    <row r="41" spans="1:26" ht="15.75" customHeight="1" x14ac:dyDescent="0.2">
      <c r="A41" s="12">
        <v>1</v>
      </c>
      <c r="B41" s="10" t="s">
        <v>15</v>
      </c>
      <c r="C41" s="11" t="s">
        <v>40</v>
      </c>
      <c r="D41" s="13">
        <v>12000</v>
      </c>
      <c r="E41" s="13">
        <f t="shared" si="6"/>
        <v>12000</v>
      </c>
      <c r="F41" s="13">
        <f t="shared" si="7"/>
        <v>13260</v>
      </c>
      <c r="G41" s="2"/>
      <c r="H41" s="2"/>
      <c r="I41" s="13">
        <v>7000</v>
      </c>
      <c r="J41" s="13">
        <f t="shared" si="8"/>
        <v>7000</v>
      </c>
      <c r="K41" s="13">
        <f t="shared" si="9"/>
        <v>6260</v>
      </c>
      <c r="L41" s="14">
        <f t="shared" si="10"/>
        <v>0.52166666666666661</v>
      </c>
      <c r="M41" s="1"/>
      <c r="N41" s="4"/>
      <c r="O41" s="4"/>
      <c r="P41" s="4"/>
      <c r="Q41" s="2"/>
      <c r="R41" s="4"/>
      <c r="S41" s="2"/>
      <c r="T41" s="2"/>
      <c r="U41" s="1"/>
      <c r="V41" s="2"/>
      <c r="W41" s="2"/>
      <c r="X41" s="2"/>
      <c r="Y41" s="2"/>
      <c r="Z41" s="2"/>
    </row>
    <row r="42" spans="1:26" ht="15.75" customHeight="1" x14ac:dyDescent="0.2">
      <c r="A42" s="12">
        <v>1</v>
      </c>
      <c r="B42" s="10" t="s">
        <v>17</v>
      </c>
      <c r="C42" s="11" t="s">
        <v>31</v>
      </c>
      <c r="D42" s="13">
        <v>3200</v>
      </c>
      <c r="E42" s="13">
        <f t="shared" si="6"/>
        <v>3200</v>
      </c>
      <c r="F42" s="13">
        <f t="shared" si="7"/>
        <v>3536</v>
      </c>
      <c r="G42" s="2"/>
      <c r="H42" s="2"/>
      <c r="I42" s="13">
        <v>1000</v>
      </c>
      <c r="J42" s="13">
        <f t="shared" si="8"/>
        <v>1000</v>
      </c>
      <c r="K42" s="13">
        <f t="shared" si="9"/>
        <v>2536</v>
      </c>
      <c r="L42" s="14">
        <f t="shared" si="10"/>
        <v>0.79249999999999998</v>
      </c>
      <c r="M42" s="1"/>
      <c r="N42" s="2"/>
      <c r="O42" s="4"/>
      <c r="P42" s="2"/>
      <c r="Q42" s="2"/>
      <c r="R42" s="4"/>
      <c r="S42" s="2"/>
      <c r="T42" s="2"/>
      <c r="U42" s="1"/>
      <c r="V42" s="2"/>
      <c r="W42" s="2"/>
      <c r="X42" s="2"/>
      <c r="Y42" s="2"/>
      <c r="Z42" s="2"/>
    </row>
    <row r="43" spans="1:26" ht="15.75" customHeight="1" x14ac:dyDescent="0.2">
      <c r="A43" s="12">
        <v>3</v>
      </c>
      <c r="B43" s="10" t="s">
        <v>17</v>
      </c>
      <c r="C43" s="11" t="s">
        <v>18</v>
      </c>
      <c r="D43" s="13">
        <v>1600</v>
      </c>
      <c r="E43" s="13">
        <f t="shared" si="6"/>
        <v>4800</v>
      </c>
      <c r="F43" s="13">
        <f t="shared" si="7"/>
        <v>5304</v>
      </c>
      <c r="G43" s="2"/>
      <c r="H43" s="2"/>
      <c r="I43" s="13">
        <f>12000/15</f>
        <v>800</v>
      </c>
      <c r="J43" s="13">
        <f t="shared" si="8"/>
        <v>2400</v>
      </c>
      <c r="K43" s="13">
        <f t="shared" si="9"/>
        <v>2904</v>
      </c>
      <c r="L43" s="14">
        <f t="shared" si="10"/>
        <v>0.60499999999999998</v>
      </c>
      <c r="M43" s="1"/>
      <c r="N43" s="2"/>
      <c r="O43" s="4"/>
      <c r="P43" s="2"/>
      <c r="Q43" s="2"/>
      <c r="R43" s="4"/>
      <c r="S43" s="2"/>
      <c r="T43" s="2"/>
      <c r="U43" s="1"/>
      <c r="V43" s="2"/>
      <c r="W43" s="2"/>
      <c r="X43" s="2"/>
      <c r="Y43" s="2"/>
      <c r="Z43" s="2"/>
    </row>
    <row r="44" spans="1:26" ht="15.75" customHeight="1" x14ac:dyDescent="0.2">
      <c r="A44" s="12">
        <v>1.5</v>
      </c>
      <c r="B44" s="10" t="s">
        <v>17</v>
      </c>
      <c r="C44" s="11" t="s">
        <v>34</v>
      </c>
      <c r="D44" s="13">
        <v>5000</v>
      </c>
      <c r="E44" s="13">
        <f t="shared" si="6"/>
        <v>7500</v>
      </c>
      <c r="F44" s="13">
        <f t="shared" si="7"/>
        <v>8287.5</v>
      </c>
      <c r="G44" s="2"/>
      <c r="H44" s="2"/>
      <c r="I44" s="13">
        <v>2000</v>
      </c>
      <c r="J44" s="13">
        <f t="shared" si="8"/>
        <v>3000</v>
      </c>
      <c r="K44" s="13">
        <f t="shared" si="9"/>
        <v>5287.5</v>
      </c>
      <c r="L44" s="14">
        <f t="shared" si="10"/>
        <v>0.70499999999999996</v>
      </c>
      <c r="M44" s="1"/>
      <c r="N44" s="2"/>
      <c r="O44" s="4"/>
      <c r="P44" s="2"/>
      <c r="Q44" s="2"/>
      <c r="R44" s="5"/>
      <c r="S44" s="2"/>
      <c r="T44" s="2"/>
      <c r="U44" s="1"/>
      <c r="V44" s="2"/>
      <c r="W44" s="2"/>
      <c r="X44" s="2"/>
      <c r="Y44" s="2"/>
      <c r="Z44" s="2"/>
    </row>
    <row r="45" spans="1:26" x14ac:dyDescent="0.2">
      <c r="A45" s="12">
        <v>0.5</v>
      </c>
      <c r="B45" s="10" t="s">
        <v>21</v>
      </c>
      <c r="C45" s="11" t="s">
        <v>42</v>
      </c>
      <c r="D45" s="13">
        <v>4500</v>
      </c>
      <c r="E45" s="13">
        <f t="shared" si="6"/>
        <v>2250</v>
      </c>
      <c r="F45" s="13">
        <f t="shared" si="7"/>
        <v>2486.25</v>
      </c>
      <c r="G45" s="2"/>
      <c r="H45" s="2"/>
      <c r="I45" s="13">
        <v>1200</v>
      </c>
      <c r="J45" s="13">
        <f t="shared" si="8"/>
        <v>600</v>
      </c>
      <c r="K45" s="13">
        <f t="shared" si="9"/>
        <v>1886.25</v>
      </c>
      <c r="L45" s="14">
        <f t="shared" si="10"/>
        <v>0.83833333333333337</v>
      </c>
      <c r="M45" s="1"/>
      <c r="N45" s="2"/>
      <c r="O45" s="4"/>
      <c r="P45" s="2"/>
      <c r="Q45" s="2"/>
      <c r="R45" s="4"/>
      <c r="S45" s="2"/>
      <c r="T45" s="2"/>
      <c r="U45" s="1"/>
      <c r="V45" s="2"/>
      <c r="W45" s="2"/>
      <c r="X45" s="2"/>
      <c r="Y45" s="2"/>
      <c r="Z45" s="2"/>
    </row>
    <row r="46" spans="1:26" x14ac:dyDescent="0.2">
      <c r="A46" s="12">
        <v>0.5</v>
      </c>
      <c r="B46" s="10" t="s">
        <v>21</v>
      </c>
      <c r="C46" s="11" t="s">
        <v>29</v>
      </c>
      <c r="D46" s="13">
        <v>3500</v>
      </c>
      <c r="E46" s="13">
        <f t="shared" si="6"/>
        <v>1750</v>
      </c>
      <c r="F46" s="13">
        <f t="shared" si="7"/>
        <v>1933.75</v>
      </c>
      <c r="G46" s="2"/>
      <c r="H46" s="2"/>
      <c r="I46" s="13">
        <v>1000</v>
      </c>
      <c r="J46" s="13">
        <f t="shared" si="8"/>
        <v>500</v>
      </c>
      <c r="K46" s="13">
        <f t="shared" si="9"/>
        <v>1433.75</v>
      </c>
      <c r="L46" s="14">
        <f t="shared" si="10"/>
        <v>0.81928571428571428</v>
      </c>
      <c r="M46" s="1"/>
      <c r="N46" s="2"/>
      <c r="O46" s="4"/>
      <c r="P46" s="2"/>
      <c r="Q46" s="2"/>
      <c r="R46" s="4"/>
      <c r="S46" s="2"/>
      <c r="T46" s="2"/>
      <c r="U46" s="1"/>
      <c r="V46" s="2"/>
      <c r="W46" s="2"/>
      <c r="X46" s="2"/>
      <c r="Y46" s="2"/>
      <c r="Z46" s="2"/>
    </row>
    <row r="47" spans="1:26" x14ac:dyDescent="0.2">
      <c r="A47" s="12">
        <v>5</v>
      </c>
      <c r="B47" s="10" t="s">
        <v>17</v>
      </c>
      <c r="C47" s="11" t="s">
        <v>39</v>
      </c>
      <c r="D47" s="13">
        <v>2400</v>
      </c>
      <c r="E47" s="13">
        <f t="shared" si="6"/>
        <v>12000</v>
      </c>
      <c r="F47" s="13">
        <f t="shared" si="7"/>
        <v>13260</v>
      </c>
      <c r="G47" s="2"/>
      <c r="H47" s="2"/>
      <c r="I47" s="13">
        <f>15000/15</f>
        <v>1000</v>
      </c>
      <c r="J47" s="13">
        <f t="shared" si="8"/>
        <v>5000</v>
      </c>
      <c r="K47" s="13">
        <f t="shared" si="9"/>
        <v>8260</v>
      </c>
      <c r="L47" s="14">
        <f t="shared" si="10"/>
        <v>0.68833333333333335</v>
      </c>
      <c r="M47" s="1"/>
      <c r="N47" s="2"/>
      <c r="O47" s="4"/>
      <c r="P47" s="2"/>
      <c r="Q47" s="2"/>
      <c r="R47" s="4"/>
      <c r="S47" s="2"/>
      <c r="T47" s="2"/>
      <c r="U47" s="1"/>
      <c r="V47" s="2"/>
      <c r="W47" s="2"/>
      <c r="X47" s="2"/>
      <c r="Y47" s="2"/>
      <c r="Z47" s="2"/>
    </row>
    <row r="48" spans="1:26" x14ac:dyDescent="0.2">
      <c r="A48" s="12">
        <v>0.5</v>
      </c>
      <c r="B48" s="10" t="s">
        <v>17</v>
      </c>
      <c r="C48" s="11" t="s">
        <v>30</v>
      </c>
      <c r="D48" s="13">
        <v>1500</v>
      </c>
      <c r="E48" s="13">
        <f t="shared" si="6"/>
        <v>750</v>
      </c>
      <c r="F48" s="13">
        <f t="shared" si="7"/>
        <v>828.75</v>
      </c>
      <c r="G48" s="2"/>
      <c r="H48" s="2"/>
      <c r="I48" s="13">
        <v>1500</v>
      </c>
      <c r="J48" s="13">
        <f t="shared" si="8"/>
        <v>750</v>
      </c>
      <c r="K48" s="13">
        <f t="shared" si="9"/>
        <v>78.75</v>
      </c>
      <c r="L48" s="14">
        <f t="shared" si="10"/>
        <v>0.105</v>
      </c>
      <c r="M48" s="1"/>
      <c r="N48" s="2"/>
      <c r="O48" s="4"/>
      <c r="P48" s="2"/>
      <c r="Q48" s="2"/>
      <c r="R48" s="4"/>
      <c r="S48" s="2"/>
      <c r="T48" s="2"/>
      <c r="U48" s="1"/>
      <c r="V48" s="2"/>
      <c r="W48" s="2"/>
      <c r="X48" s="2"/>
      <c r="Y48" s="2"/>
      <c r="Z48" s="2"/>
    </row>
    <row r="49" spans="1:26" x14ac:dyDescent="0.2">
      <c r="A49" s="12">
        <v>3.8</v>
      </c>
      <c r="B49" s="10" t="s">
        <v>17</v>
      </c>
      <c r="C49" s="11" t="s">
        <v>36</v>
      </c>
      <c r="D49" s="13">
        <v>1800</v>
      </c>
      <c r="E49" s="13">
        <f t="shared" si="6"/>
        <v>6840</v>
      </c>
      <c r="F49" s="13">
        <f t="shared" si="7"/>
        <v>7558.2</v>
      </c>
      <c r="G49" s="2"/>
      <c r="H49" s="2"/>
      <c r="I49" s="13">
        <v>1000</v>
      </c>
      <c r="J49" s="13">
        <f t="shared" si="8"/>
        <v>3800</v>
      </c>
      <c r="K49" s="13">
        <f t="shared" si="9"/>
        <v>3758.2</v>
      </c>
      <c r="L49" s="14">
        <f t="shared" si="10"/>
        <v>0.5494444444444444</v>
      </c>
      <c r="M49" s="1"/>
      <c r="N49" s="2"/>
      <c r="O49" s="4"/>
      <c r="P49" s="2"/>
      <c r="Q49" s="2"/>
      <c r="R49" s="4"/>
      <c r="S49" s="2"/>
      <c r="T49" s="2"/>
      <c r="U49" s="1"/>
      <c r="V49" s="2"/>
      <c r="W49" s="2"/>
      <c r="X49" s="2"/>
      <c r="Y49" s="2"/>
      <c r="Z49" s="2"/>
    </row>
    <row r="50" spans="1:26" x14ac:dyDescent="0.2">
      <c r="A50" s="12">
        <v>1.65</v>
      </c>
      <c r="B50" s="10" t="s">
        <v>17</v>
      </c>
      <c r="C50" s="11" t="s">
        <v>38</v>
      </c>
      <c r="D50" s="13">
        <v>1800</v>
      </c>
      <c r="E50" s="13">
        <f t="shared" si="6"/>
        <v>2970</v>
      </c>
      <c r="F50" s="13">
        <f t="shared" si="7"/>
        <v>3281.85</v>
      </c>
      <c r="G50" s="2"/>
      <c r="H50" s="2"/>
      <c r="I50" s="13">
        <v>1000</v>
      </c>
      <c r="J50" s="13">
        <f t="shared" si="8"/>
        <v>1650</v>
      </c>
      <c r="K50" s="13">
        <f t="shared" si="9"/>
        <v>1631.85</v>
      </c>
      <c r="L50" s="14">
        <f t="shared" si="10"/>
        <v>0.5494444444444444</v>
      </c>
      <c r="M50" s="1"/>
      <c r="N50" s="2"/>
      <c r="O50" s="4"/>
      <c r="P50" s="2"/>
      <c r="Q50" s="2"/>
      <c r="R50" s="4"/>
      <c r="S50" s="2"/>
      <c r="T50" s="2"/>
      <c r="U50" s="1"/>
      <c r="V50" s="2"/>
      <c r="W50" s="2"/>
      <c r="X50" s="2"/>
      <c r="Y50" s="2"/>
      <c r="Z50" s="2"/>
    </row>
    <row r="51" spans="1:26" ht="15.75" customHeight="1" x14ac:dyDescent="0.2">
      <c r="A51" s="12">
        <v>0.5</v>
      </c>
      <c r="B51" s="10" t="s">
        <v>23</v>
      </c>
      <c r="C51" s="11" t="s">
        <v>12</v>
      </c>
      <c r="D51" s="13">
        <v>54000</v>
      </c>
      <c r="E51" s="13">
        <f t="shared" si="6"/>
        <v>27000</v>
      </c>
      <c r="F51" s="13">
        <f>E51*1.21</f>
        <v>32670</v>
      </c>
      <c r="G51" s="2"/>
      <c r="H51" s="2"/>
      <c r="I51" s="13">
        <v>54000</v>
      </c>
      <c r="J51" s="13">
        <f t="shared" si="8"/>
        <v>27000</v>
      </c>
      <c r="K51" s="13">
        <f t="shared" si="9"/>
        <v>5670</v>
      </c>
      <c r="L51" s="14">
        <f t="shared" si="10"/>
        <v>0.21</v>
      </c>
      <c r="M51" s="1"/>
      <c r="N51" s="2"/>
      <c r="O51" s="4"/>
      <c r="P51" s="2"/>
      <c r="Q51" s="2"/>
      <c r="R51" s="4"/>
      <c r="S51" s="2"/>
      <c r="T51" s="2"/>
      <c r="U51" s="1"/>
      <c r="V51" s="2"/>
      <c r="W51" s="2"/>
      <c r="X51" s="2"/>
      <c r="Y51" s="2"/>
      <c r="Z51" s="2"/>
    </row>
    <row r="52" spans="1:26" ht="15.75" customHeight="1" x14ac:dyDescent="0.2">
      <c r="A52" s="12">
        <v>2.5</v>
      </c>
      <c r="B52" s="10" t="s">
        <v>17</v>
      </c>
      <c r="C52" s="11" t="s">
        <v>43</v>
      </c>
      <c r="D52" s="13">
        <v>3200</v>
      </c>
      <c r="E52" s="13">
        <f t="shared" si="6"/>
        <v>8000</v>
      </c>
      <c r="F52" s="13">
        <f t="shared" ref="F52:F58" si="11">E52*1.105</f>
        <v>8840</v>
      </c>
      <c r="G52" s="2"/>
      <c r="H52" s="2"/>
      <c r="I52" s="13">
        <v>2000</v>
      </c>
      <c r="J52" s="13">
        <f t="shared" si="8"/>
        <v>5000</v>
      </c>
      <c r="K52" s="13">
        <f t="shared" si="9"/>
        <v>3840</v>
      </c>
      <c r="L52" s="14">
        <f t="shared" si="10"/>
        <v>0.48</v>
      </c>
      <c r="M52" s="1"/>
      <c r="N52" s="2"/>
      <c r="O52" s="4"/>
      <c r="P52" s="2"/>
      <c r="Q52" s="2"/>
      <c r="R52" s="5"/>
      <c r="S52" s="2"/>
      <c r="T52" s="2"/>
      <c r="U52" s="1"/>
      <c r="V52" s="2"/>
      <c r="W52" s="2"/>
      <c r="X52" s="2"/>
      <c r="Y52" s="2"/>
      <c r="Z52" s="2"/>
    </row>
    <row r="53" spans="1:26" ht="15.75" customHeight="1" x14ac:dyDescent="0.2">
      <c r="A53" s="12">
        <v>15</v>
      </c>
      <c r="B53" s="10" t="s">
        <v>21</v>
      </c>
      <c r="C53" s="11" t="s">
        <v>46</v>
      </c>
      <c r="D53" s="13">
        <v>600</v>
      </c>
      <c r="E53" s="13">
        <f t="shared" si="6"/>
        <v>9000</v>
      </c>
      <c r="F53" s="13">
        <f t="shared" si="11"/>
        <v>9945</v>
      </c>
      <c r="G53" s="2"/>
      <c r="H53" s="2"/>
      <c r="I53" s="13">
        <f>7000/24</f>
        <v>291.66666666666669</v>
      </c>
      <c r="J53" s="13">
        <f t="shared" si="8"/>
        <v>4375</v>
      </c>
      <c r="K53" s="13">
        <f t="shared" si="9"/>
        <v>5570</v>
      </c>
      <c r="L53" s="14">
        <f t="shared" si="10"/>
        <v>0.61888888888888893</v>
      </c>
      <c r="M53" s="1"/>
      <c r="N53" s="2"/>
      <c r="O53" s="4"/>
      <c r="P53" s="2"/>
      <c r="Q53" s="2"/>
      <c r="R53" s="4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12">
        <v>4</v>
      </c>
      <c r="B54" s="10" t="s">
        <v>21</v>
      </c>
      <c r="C54" s="11" t="s">
        <v>22</v>
      </c>
      <c r="D54" s="13">
        <v>1700</v>
      </c>
      <c r="E54" s="13">
        <f t="shared" si="6"/>
        <v>6800</v>
      </c>
      <c r="F54" s="13">
        <f t="shared" si="11"/>
        <v>7514</v>
      </c>
      <c r="G54" s="2"/>
      <c r="H54" s="2"/>
      <c r="I54" s="13">
        <f>12000/10</f>
        <v>1200</v>
      </c>
      <c r="J54" s="13">
        <f t="shared" si="8"/>
        <v>4800</v>
      </c>
      <c r="K54" s="13">
        <f t="shared" si="9"/>
        <v>2714</v>
      </c>
      <c r="L54" s="14">
        <f t="shared" si="10"/>
        <v>0.39911764705882352</v>
      </c>
      <c r="M54" s="1"/>
      <c r="N54" s="2"/>
      <c r="O54" s="4"/>
      <c r="P54" s="2"/>
      <c r="Q54" s="2"/>
      <c r="R54" s="4"/>
      <c r="S54" s="2"/>
      <c r="T54" s="2"/>
      <c r="U54" s="1"/>
      <c r="V54" s="2"/>
      <c r="W54" s="2"/>
      <c r="X54" s="2"/>
      <c r="Y54" s="2"/>
      <c r="Z54" s="2"/>
    </row>
    <row r="55" spans="1:26" ht="15.75" customHeight="1" x14ac:dyDescent="0.2">
      <c r="A55" s="12">
        <v>1</v>
      </c>
      <c r="B55" s="10" t="s">
        <v>4</v>
      </c>
      <c r="C55" s="11" t="s">
        <v>14</v>
      </c>
      <c r="D55" s="13">
        <v>2600</v>
      </c>
      <c r="E55" s="13">
        <f t="shared" si="6"/>
        <v>2600</v>
      </c>
      <c r="F55" s="13">
        <f t="shared" si="11"/>
        <v>2873</v>
      </c>
      <c r="G55" s="2"/>
      <c r="H55" s="2"/>
      <c r="I55" s="13">
        <f>18000/13</f>
        <v>1384.6153846153845</v>
      </c>
      <c r="J55" s="13">
        <f t="shared" si="8"/>
        <v>1384.6153846153845</v>
      </c>
      <c r="K55" s="13">
        <f t="shared" si="9"/>
        <v>1488.3846153846155</v>
      </c>
      <c r="L55" s="14">
        <f t="shared" si="10"/>
        <v>0.57245562130177519</v>
      </c>
      <c r="M55" s="1"/>
      <c r="N55" s="2"/>
      <c r="O55" s="4"/>
      <c r="P55" s="2"/>
      <c r="Q55" s="2"/>
      <c r="R55" s="4"/>
      <c r="S55" s="2"/>
      <c r="T55" s="2"/>
      <c r="U55" s="1"/>
      <c r="V55" s="2"/>
      <c r="W55" s="2"/>
      <c r="X55" s="2"/>
      <c r="Y55" s="2"/>
      <c r="Z55" s="2"/>
    </row>
    <row r="56" spans="1:26" ht="15.75" customHeight="1" x14ac:dyDescent="0.2">
      <c r="A56" s="12">
        <v>1.5</v>
      </c>
      <c r="B56" s="10" t="s">
        <v>23</v>
      </c>
      <c r="C56" s="11" t="s">
        <v>26</v>
      </c>
      <c r="D56" s="13">
        <v>25000</v>
      </c>
      <c r="E56" s="13">
        <f t="shared" si="6"/>
        <v>37500</v>
      </c>
      <c r="F56" s="13">
        <f t="shared" si="11"/>
        <v>41437.5</v>
      </c>
      <c r="G56" s="2"/>
      <c r="H56" s="2"/>
      <c r="I56" s="13">
        <v>22000</v>
      </c>
      <c r="J56" s="13">
        <f t="shared" si="8"/>
        <v>33000</v>
      </c>
      <c r="K56" s="13">
        <f t="shared" si="9"/>
        <v>8437.5</v>
      </c>
      <c r="L56" s="14">
        <f t="shared" si="10"/>
        <v>0.22500000000000001</v>
      </c>
      <c r="M56" s="1"/>
      <c r="N56" s="2"/>
      <c r="O56" s="4"/>
      <c r="P56" s="2"/>
      <c r="Q56" s="2"/>
      <c r="R56" s="5"/>
      <c r="S56" s="2"/>
      <c r="T56" s="2"/>
      <c r="U56" s="1"/>
      <c r="V56" s="2"/>
      <c r="W56" s="2"/>
      <c r="X56" s="2"/>
      <c r="Y56" s="2"/>
      <c r="Z56" s="2"/>
    </row>
    <row r="57" spans="1:26" x14ac:dyDescent="0.2">
      <c r="A57" s="12">
        <v>4</v>
      </c>
      <c r="B57" s="10" t="s">
        <v>17</v>
      </c>
      <c r="C57" s="11" t="s">
        <v>25</v>
      </c>
      <c r="D57" s="13">
        <v>4200</v>
      </c>
      <c r="E57" s="13">
        <f t="shared" si="6"/>
        <v>16800</v>
      </c>
      <c r="F57" s="13">
        <f t="shared" si="11"/>
        <v>18564</v>
      </c>
      <c r="G57" s="2"/>
      <c r="H57" s="2"/>
      <c r="I57" s="13">
        <f>65000/17</f>
        <v>3823.5294117647059</v>
      </c>
      <c r="J57" s="13">
        <f t="shared" si="8"/>
        <v>15294.117647058823</v>
      </c>
      <c r="K57" s="13">
        <f t="shared" si="9"/>
        <v>3269.8823529411766</v>
      </c>
      <c r="L57" s="14">
        <f t="shared" si="10"/>
        <v>0.19463585434173669</v>
      </c>
      <c r="M57" s="1"/>
      <c r="N57" s="2"/>
      <c r="O57" s="4"/>
      <c r="P57" s="2"/>
      <c r="Q57" s="2"/>
      <c r="R57" s="5"/>
      <c r="S57" s="2"/>
      <c r="T57" s="2"/>
      <c r="U57" s="1"/>
      <c r="V57" s="2"/>
      <c r="W57" s="2"/>
      <c r="X57" s="2"/>
      <c r="Y57" s="2"/>
      <c r="Z57" s="2"/>
    </row>
    <row r="58" spans="1:26" x14ac:dyDescent="0.2">
      <c r="A58" s="12">
        <v>5</v>
      </c>
      <c r="B58" s="10" t="s">
        <v>17</v>
      </c>
      <c r="C58" s="11" t="s">
        <v>24</v>
      </c>
      <c r="D58" s="13">
        <v>3400</v>
      </c>
      <c r="E58" s="13">
        <f t="shared" si="6"/>
        <v>17000</v>
      </c>
      <c r="F58" s="13">
        <f t="shared" si="11"/>
        <v>18785</v>
      </c>
      <c r="G58" s="2"/>
      <c r="H58" s="2"/>
      <c r="I58" s="13">
        <f>53000/18</f>
        <v>2944.4444444444443</v>
      </c>
      <c r="J58" s="13">
        <f t="shared" si="8"/>
        <v>14722.222222222223</v>
      </c>
      <c r="K58" s="13">
        <f t="shared" si="9"/>
        <v>4062.7777777777774</v>
      </c>
      <c r="L58" s="14">
        <f t="shared" si="10"/>
        <v>0.23898692810457514</v>
      </c>
      <c r="M58" s="1"/>
      <c r="N58" s="2"/>
      <c r="O58" s="4"/>
      <c r="P58" s="2"/>
      <c r="Q58" s="2"/>
      <c r="R58" s="4"/>
      <c r="S58" s="2"/>
      <c r="T58" s="2"/>
      <c r="U58" s="1"/>
      <c r="V58" s="2"/>
      <c r="W58" s="2"/>
      <c r="X58" s="2"/>
      <c r="Y58" s="2"/>
      <c r="Z58" s="2"/>
    </row>
    <row r="59" spans="1:26" ht="15.75" customHeight="1" x14ac:dyDescent="0.2">
      <c r="A59" s="15"/>
      <c r="B59" s="2"/>
      <c r="C59" s="1"/>
      <c r="D59" s="2"/>
      <c r="E59" s="2"/>
      <c r="F59" s="2"/>
      <c r="G59" s="2"/>
      <c r="H59" s="2"/>
      <c r="I59" s="2"/>
      <c r="J59" s="2"/>
      <c r="K59" s="2"/>
      <c r="L59" s="3"/>
      <c r="M59" s="1"/>
      <c r="N59" s="2"/>
      <c r="O59" s="4"/>
      <c r="P59" s="2"/>
      <c r="Q59" s="2"/>
      <c r="R59" s="4"/>
      <c r="S59" s="2"/>
      <c r="T59" s="2"/>
      <c r="U59" s="1"/>
      <c r="V59" s="2"/>
      <c r="W59" s="2"/>
      <c r="X59" s="2"/>
      <c r="Y59" s="2"/>
      <c r="Z59" s="2"/>
    </row>
    <row r="60" spans="1:26" ht="15.75" customHeight="1" x14ac:dyDescent="0.2">
      <c r="A60" s="1"/>
      <c r="B60" s="2"/>
      <c r="C60" s="4"/>
      <c r="D60" s="2"/>
      <c r="E60" s="13">
        <f t="shared" ref="E60:F60" si="12">SUM(E40:E58)</f>
        <v>182510</v>
      </c>
      <c r="F60" s="13">
        <f t="shared" si="12"/>
        <v>204508.55</v>
      </c>
      <c r="G60" s="2"/>
      <c r="H60" s="2"/>
      <c r="I60" s="2"/>
      <c r="J60" s="2"/>
      <c r="K60" s="13">
        <f>SUM(K40:K58)</f>
        <v>71323.503837012671</v>
      </c>
      <c r="L60" s="14">
        <f>K60/F60</f>
        <v>0.34875560868732713</v>
      </c>
      <c r="M60" s="1"/>
      <c r="N60" s="2"/>
      <c r="O60" s="4"/>
      <c r="P60" s="2"/>
      <c r="Q60" s="2"/>
      <c r="R60" s="4"/>
      <c r="S60" s="2"/>
      <c r="T60" s="2"/>
      <c r="U60" s="1"/>
      <c r="V60" s="2"/>
      <c r="W60" s="2"/>
      <c r="X60" s="2"/>
      <c r="Y60" s="2"/>
      <c r="Z60" s="2"/>
    </row>
    <row r="61" spans="1:26" ht="15.75" customHeight="1" x14ac:dyDescent="0.2">
      <c r="A61" s="1"/>
      <c r="B61" s="1"/>
      <c r="C61" s="1"/>
      <c r="D61" s="2"/>
      <c r="E61" s="2"/>
      <c r="F61" s="5"/>
      <c r="G61" s="2"/>
      <c r="H61" s="2"/>
      <c r="I61" s="2"/>
      <c r="J61" s="2"/>
      <c r="K61" s="2"/>
      <c r="L61" s="3"/>
      <c r="M61" s="4"/>
      <c r="N61" s="2"/>
      <c r="O61" s="4"/>
      <c r="P61" s="2"/>
      <c r="Q61" s="2"/>
      <c r="R61" s="4"/>
      <c r="S61" s="2"/>
      <c r="T61" s="2"/>
      <c r="U61" s="1"/>
      <c r="V61" s="2"/>
      <c r="W61" s="2"/>
      <c r="X61" s="2"/>
      <c r="Y61" s="2"/>
      <c r="Z61" s="2"/>
    </row>
    <row r="62" spans="1:26" ht="15.75" customHeight="1" x14ac:dyDescent="0.2">
      <c r="A62" s="1"/>
      <c r="B62" s="1"/>
      <c r="C62" s="1"/>
      <c r="D62" s="2"/>
      <c r="E62" s="2"/>
      <c r="F62" s="5"/>
      <c r="G62" s="2"/>
      <c r="H62" s="2"/>
      <c r="I62" s="2"/>
      <c r="J62" s="2"/>
      <c r="K62" s="2"/>
      <c r="L62" s="3"/>
      <c r="M62" s="4"/>
      <c r="N62" s="2"/>
      <c r="O62" s="4"/>
      <c r="P62" s="2"/>
      <c r="Q62" s="2"/>
      <c r="R62" s="4"/>
      <c r="S62" s="2"/>
      <c r="T62" s="2"/>
      <c r="U62" s="1"/>
      <c r="V62" s="2"/>
      <c r="W62" s="2"/>
      <c r="X62" s="2"/>
      <c r="Y62" s="2"/>
      <c r="Z62" s="2"/>
    </row>
    <row r="63" spans="1:26" ht="15.75" customHeight="1" x14ac:dyDescent="0.2">
      <c r="A63" s="1"/>
      <c r="B63" s="1"/>
      <c r="C63" s="1"/>
      <c r="D63" s="2"/>
      <c r="E63" s="2"/>
      <c r="F63" s="5"/>
      <c r="G63" s="2"/>
      <c r="H63" s="2"/>
      <c r="I63" s="2"/>
      <c r="J63" s="2"/>
      <c r="K63" s="2"/>
      <c r="L63" s="3"/>
      <c r="M63" s="4"/>
      <c r="N63" s="2"/>
      <c r="O63" s="4"/>
      <c r="P63" s="2"/>
      <c r="Q63" s="2"/>
      <c r="R63" s="4"/>
      <c r="S63" s="2"/>
      <c r="T63" s="2"/>
      <c r="U63" s="1"/>
      <c r="V63" s="2"/>
      <c r="W63" s="2"/>
      <c r="X63" s="2"/>
      <c r="Y63" s="2"/>
      <c r="Z63" s="2"/>
    </row>
    <row r="64" spans="1:26" x14ac:dyDescent="0.2">
      <c r="A64" s="88" t="s">
        <v>47</v>
      </c>
      <c r="B64" s="89"/>
      <c r="C64" s="89"/>
      <c r="D64" s="2"/>
      <c r="E64" s="7" t="s">
        <v>1</v>
      </c>
      <c r="F64" s="8">
        <v>46113</v>
      </c>
      <c r="G64" s="7"/>
      <c r="H64" s="2"/>
      <c r="I64" s="9" t="s">
        <v>2</v>
      </c>
      <c r="J64" s="9"/>
      <c r="K64" s="9"/>
      <c r="L64" s="3"/>
      <c r="M64" s="1"/>
      <c r="N64" s="2"/>
      <c r="O64" s="4"/>
      <c r="P64" s="2"/>
      <c r="Q64" s="2"/>
      <c r="R64" s="4"/>
      <c r="S64" s="2"/>
      <c r="T64" s="2"/>
      <c r="U64" s="1"/>
      <c r="V64" s="2"/>
      <c r="W64" s="2"/>
      <c r="X64" s="2"/>
      <c r="Y64" s="2"/>
      <c r="Z64" s="2"/>
    </row>
    <row r="65" spans="1:26" ht="15.75" customHeight="1" x14ac:dyDescent="0.2">
      <c r="A65" s="1"/>
      <c r="B65" s="1"/>
      <c r="C65" s="1"/>
      <c r="D65" s="2"/>
      <c r="E65" s="2"/>
      <c r="F65" s="5"/>
      <c r="G65" s="2"/>
      <c r="H65" s="2"/>
      <c r="I65" s="2"/>
      <c r="J65" s="2"/>
      <c r="K65" s="2"/>
      <c r="L65" s="3"/>
      <c r="M65" s="4"/>
      <c r="N65" s="2"/>
      <c r="O65" s="4"/>
      <c r="P65" s="2"/>
      <c r="Q65" s="2"/>
      <c r="R65" s="4"/>
      <c r="S65" s="2"/>
      <c r="T65" s="2"/>
      <c r="U65" s="1"/>
      <c r="V65" s="2"/>
      <c r="W65" s="2"/>
      <c r="X65" s="2"/>
      <c r="Y65" s="2"/>
      <c r="Z65" s="2"/>
    </row>
    <row r="66" spans="1:26" ht="15.75" customHeight="1" x14ac:dyDescent="0.2">
      <c r="A66" s="6" t="s">
        <v>3</v>
      </c>
      <c r="B66" s="10" t="s">
        <v>4</v>
      </c>
      <c r="C66" s="6" t="s">
        <v>5</v>
      </c>
      <c r="D66" s="10" t="s">
        <v>6</v>
      </c>
      <c r="E66" s="10" t="s">
        <v>7</v>
      </c>
      <c r="F66" s="10" t="s">
        <v>8</v>
      </c>
      <c r="G66" s="2"/>
      <c r="H66" s="2"/>
      <c r="I66" s="10" t="s">
        <v>9</v>
      </c>
      <c r="J66" s="10" t="s">
        <v>7</v>
      </c>
      <c r="K66" s="10" t="s">
        <v>10</v>
      </c>
      <c r="L66" s="3"/>
      <c r="M66" s="1"/>
      <c r="N66" s="1"/>
      <c r="O66" s="1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1</v>
      </c>
      <c r="B67" s="10" t="s">
        <v>15</v>
      </c>
      <c r="C67" s="11" t="s">
        <v>27</v>
      </c>
      <c r="D67" s="13">
        <v>23000</v>
      </c>
      <c r="E67" s="13">
        <f t="shared" ref="E67:E79" si="13">A67*D67</f>
        <v>23000</v>
      </c>
      <c r="F67" s="13">
        <f t="shared" ref="F67:F79" si="14">E67*1.105</f>
        <v>25415</v>
      </c>
      <c r="G67" s="2"/>
      <c r="H67" s="2"/>
      <c r="I67" s="13">
        <v>19000</v>
      </c>
      <c r="J67" s="13">
        <f t="shared" ref="J67:J79" si="15">I67*A67</f>
        <v>19000</v>
      </c>
      <c r="K67" s="13">
        <f t="shared" ref="K67:K79" si="16">F67-J67</f>
        <v>6415</v>
      </c>
      <c r="L67" s="14">
        <f t="shared" ref="L67:L79" si="17">IFERROR(K67/E67, 0)</f>
        <v>0.27891304347826085</v>
      </c>
      <c r="M67" s="1"/>
      <c r="N67" s="1"/>
      <c r="O67" s="1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1</v>
      </c>
      <c r="B68" s="10" t="s">
        <v>15</v>
      </c>
      <c r="C68" s="11" t="s">
        <v>48</v>
      </c>
      <c r="D68" s="13">
        <v>13000</v>
      </c>
      <c r="E68" s="13">
        <f t="shared" si="13"/>
        <v>13000</v>
      </c>
      <c r="F68" s="13">
        <f t="shared" si="14"/>
        <v>14365</v>
      </c>
      <c r="G68" s="2"/>
      <c r="H68" s="2"/>
      <c r="I68" s="13">
        <v>9000</v>
      </c>
      <c r="J68" s="13">
        <f t="shared" si="15"/>
        <v>9000</v>
      </c>
      <c r="K68" s="13">
        <f t="shared" si="16"/>
        <v>5365</v>
      </c>
      <c r="L68" s="14">
        <f t="shared" si="17"/>
        <v>0.41269230769230769</v>
      </c>
      <c r="M68" s="1"/>
      <c r="N68" s="1"/>
      <c r="O68" s="1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7</v>
      </c>
      <c r="B69" s="10" t="s">
        <v>17</v>
      </c>
      <c r="C69" s="11" t="s">
        <v>39</v>
      </c>
      <c r="D69" s="13">
        <v>2400</v>
      </c>
      <c r="E69" s="13">
        <f t="shared" si="13"/>
        <v>16800</v>
      </c>
      <c r="F69" s="13">
        <f t="shared" si="14"/>
        <v>18564</v>
      </c>
      <c r="G69" s="2"/>
      <c r="H69" s="2"/>
      <c r="I69" s="13">
        <f>15000/15</f>
        <v>1000</v>
      </c>
      <c r="J69" s="13">
        <f t="shared" si="15"/>
        <v>7000</v>
      </c>
      <c r="K69" s="13">
        <f t="shared" si="16"/>
        <v>11564</v>
      </c>
      <c r="L69" s="14">
        <f t="shared" si="17"/>
        <v>0.68833333333333335</v>
      </c>
      <c r="M69" s="1"/>
      <c r="N69" s="1"/>
      <c r="O69" s="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5</v>
      </c>
      <c r="B70" s="10" t="s">
        <v>17</v>
      </c>
      <c r="C70" s="11" t="s">
        <v>40</v>
      </c>
      <c r="D70" s="13">
        <v>1300</v>
      </c>
      <c r="E70" s="13">
        <f t="shared" si="13"/>
        <v>6500</v>
      </c>
      <c r="F70" s="13">
        <f t="shared" si="14"/>
        <v>7182.5</v>
      </c>
      <c r="G70" s="2"/>
      <c r="H70" s="2"/>
      <c r="I70" s="13">
        <v>1000</v>
      </c>
      <c r="J70" s="13">
        <f t="shared" si="15"/>
        <v>5000</v>
      </c>
      <c r="K70" s="13">
        <f t="shared" si="16"/>
        <v>2182.5</v>
      </c>
      <c r="L70" s="14">
        <f t="shared" si="17"/>
        <v>0.33576923076923076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5</v>
      </c>
      <c r="B71" s="10" t="s">
        <v>4</v>
      </c>
      <c r="C71" s="11" t="s">
        <v>41</v>
      </c>
      <c r="D71" s="13">
        <v>2800</v>
      </c>
      <c r="E71" s="13">
        <f t="shared" si="13"/>
        <v>14000</v>
      </c>
      <c r="F71" s="13">
        <f t="shared" si="14"/>
        <v>15470</v>
      </c>
      <c r="G71" s="2"/>
      <c r="H71" s="2"/>
      <c r="I71" s="13">
        <f>18000/10</f>
        <v>1800</v>
      </c>
      <c r="J71" s="13">
        <f t="shared" si="15"/>
        <v>9000</v>
      </c>
      <c r="K71" s="13">
        <f t="shared" si="16"/>
        <v>6470</v>
      </c>
      <c r="L71" s="14">
        <f t="shared" si="17"/>
        <v>0.46214285714285713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2</v>
      </c>
      <c r="B72" s="10" t="s">
        <v>17</v>
      </c>
      <c r="C72" s="11" t="s">
        <v>35</v>
      </c>
      <c r="D72" s="13">
        <v>2500</v>
      </c>
      <c r="E72" s="13">
        <f t="shared" si="13"/>
        <v>5000</v>
      </c>
      <c r="F72" s="13">
        <f t="shared" si="14"/>
        <v>5525</v>
      </c>
      <c r="G72" s="2"/>
      <c r="H72" s="2"/>
      <c r="I72" s="13">
        <f>14000/11</f>
        <v>1272.7272727272727</v>
      </c>
      <c r="J72" s="13">
        <f t="shared" si="15"/>
        <v>2545.4545454545455</v>
      </c>
      <c r="K72" s="13">
        <f t="shared" si="16"/>
        <v>2979.5454545454545</v>
      </c>
      <c r="L72" s="14">
        <f t="shared" si="17"/>
        <v>0.59590909090909094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2</v>
      </c>
      <c r="B73" s="10" t="s">
        <v>17</v>
      </c>
      <c r="C73" s="11" t="s">
        <v>34</v>
      </c>
      <c r="D73" s="13">
        <v>5000</v>
      </c>
      <c r="E73" s="13">
        <f t="shared" si="13"/>
        <v>10000</v>
      </c>
      <c r="F73" s="13">
        <f t="shared" si="14"/>
        <v>11050</v>
      </c>
      <c r="G73" s="2"/>
      <c r="H73" s="2"/>
      <c r="I73" s="13">
        <v>2000</v>
      </c>
      <c r="J73" s="13">
        <f t="shared" si="15"/>
        <v>4000</v>
      </c>
      <c r="K73" s="13">
        <f t="shared" si="16"/>
        <v>7050</v>
      </c>
      <c r="L73" s="14">
        <f t="shared" si="17"/>
        <v>0.70499999999999996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24</v>
      </c>
      <c r="B74" s="10" t="s">
        <v>4</v>
      </c>
      <c r="C74" s="11" t="s">
        <v>20</v>
      </c>
      <c r="D74" s="13">
        <v>800</v>
      </c>
      <c r="E74" s="13">
        <f t="shared" si="13"/>
        <v>19200</v>
      </c>
      <c r="F74" s="13">
        <f t="shared" si="14"/>
        <v>21216</v>
      </c>
      <c r="G74" s="2"/>
      <c r="H74" s="2"/>
      <c r="I74" s="13">
        <f>30000/94</f>
        <v>319.14893617021278</v>
      </c>
      <c r="J74" s="13">
        <f t="shared" si="15"/>
        <v>7659.5744680851067</v>
      </c>
      <c r="K74" s="13">
        <f t="shared" si="16"/>
        <v>13556.425531914894</v>
      </c>
      <c r="L74" s="14">
        <f t="shared" si="17"/>
        <v>0.70606382978723403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</v>
      </c>
      <c r="B75" s="10" t="s">
        <v>17</v>
      </c>
      <c r="C75" s="11" t="s">
        <v>36</v>
      </c>
      <c r="D75" s="13">
        <v>1800</v>
      </c>
      <c r="E75" s="13">
        <f t="shared" si="13"/>
        <v>1800</v>
      </c>
      <c r="F75" s="13">
        <f t="shared" si="14"/>
        <v>1989</v>
      </c>
      <c r="G75" s="2"/>
      <c r="H75" s="2"/>
      <c r="I75" s="13">
        <v>1000</v>
      </c>
      <c r="J75" s="13">
        <f t="shared" si="15"/>
        <v>1000</v>
      </c>
      <c r="K75" s="13">
        <f t="shared" si="16"/>
        <v>989</v>
      </c>
      <c r="L75" s="14">
        <f t="shared" si="17"/>
        <v>0.5494444444444444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</v>
      </c>
      <c r="B76" s="10" t="s">
        <v>17</v>
      </c>
      <c r="C76" s="11" t="s">
        <v>18</v>
      </c>
      <c r="D76" s="13">
        <v>1600</v>
      </c>
      <c r="E76" s="13">
        <f t="shared" si="13"/>
        <v>1600</v>
      </c>
      <c r="F76" s="13">
        <f t="shared" si="14"/>
        <v>1768</v>
      </c>
      <c r="G76" s="2"/>
      <c r="H76" s="2"/>
      <c r="I76" s="13">
        <f>12000/15</f>
        <v>800</v>
      </c>
      <c r="J76" s="13">
        <f t="shared" si="15"/>
        <v>800</v>
      </c>
      <c r="K76" s="13">
        <f t="shared" si="16"/>
        <v>968</v>
      </c>
      <c r="L76" s="14">
        <f t="shared" si="17"/>
        <v>0.60499999999999998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3</v>
      </c>
      <c r="B77" s="10" t="s">
        <v>17</v>
      </c>
      <c r="C77" s="11" t="s">
        <v>24</v>
      </c>
      <c r="D77" s="13">
        <v>3400</v>
      </c>
      <c r="E77" s="13">
        <f t="shared" si="13"/>
        <v>10200</v>
      </c>
      <c r="F77" s="13">
        <f t="shared" si="14"/>
        <v>11271</v>
      </c>
      <c r="G77" s="2"/>
      <c r="H77" s="2"/>
      <c r="I77" s="13">
        <f>53000/18</f>
        <v>2944.4444444444443</v>
      </c>
      <c r="J77" s="13">
        <f t="shared" si="15"/>
        <v>8833.3333333333321</v>
      </c>
      <c r="K77" s="13">
        <f t="shared" si="16"/>
        <v>2437.6666666666679</v>
      </c>
      <c r="L77" s="14">
        <f t="shared" si="17"/>
        <v>0.23898692810457528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3</v>
      </c>
      <c r="B78" s="10" t="s">
        <v>17</v>
      </c>
      <c r="C78" s="11" t="s">
        <v>25</v>
      </c>
      <c r="D78" s="13">
        <v>4200</v>
      </c>
      <c r="E78" s="13">
        <f t="shared" si="13"/>
        <v>12600</v>
      </c>
      <c r="F78" s="13">
        <f t="shared" si="14"/>
        <v>13923</v>
      </c>
      <c r="G78" s="2"/>
      <c r="H78" s="2"/>
      <c r="I78" s="13">
        <f>65000/17</f>
        <v>3823.5294117647059</v>
      </c>
      <c r="J78" s="13">
        <f t="shared" si="15"/>
        <v>11470.588235294117</v>
      </c>
      <c r="K78" s="13">
        <f t="shared" si="16"/>
        <v>2452.4117647058829</v>
      </c>
      <c r="L78" s="14">
        <f t="shared" si="17"/>
        <v>0.19463585434173675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2</v>
      </c>
      <c r="B79" s="10" t="s">
        <v>17</v>
      </c>
      <c r="C79" s="11" t="s">
        <v>49</v>
      </c>
      <c r="D79" s="13">
        <v>3000</v>
      </c>
      <c r="E79" s="13">
        <f t="shared" si="13"/>
        <v>6000</v>
      </c>
      <c r="F79" s="13">
        <f t="shared" si="14"/>
        <v>6630</v>
      </c>
      <c r="G79" s="2"/>
      <c r="H79" s="2"/>
      <c r="I79" s="13">
        <f>30000/18</f>
        <v>1666.6666666666667</v>
      </c>
      <c r="J79" s="13">
        <f t="shared" si="15"/>
        <v>3333.3333333333335</v>
      </c>
      <c r="K79" s="13">
        <f t="shared" si="16"/>
        <v>3296.6666666666665</v>
      </c>
      <c r="L79" s="14">
        <f t="shared" si="17"/>
        <v>0.5494444444444444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"/>
      <c r="B80" s="2"/>
      <c r="C80" s="4"/>
      <c r="D80" s="2"/>
      <c r="E80" s="2"/>
      <c r="F80" s="2"/>
      <c r="G80" s="2"/>
      <c r="H80" s="2"/>
      <c r="I80" s="2"/>
      <c r="J80" s="2"/>
      <c r="K80" s="2"/>
      <c r="L80" s="3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"/>
      <c r="B81" s="2"/>
      <c r="C81" s="4"/>
      <c r="D81" s="2"/>
      <c r="E81" s="13">
        <f t="shared" ref="E81:F81" si="18">SUM(E67:E79)</f>
        <v>139700</v>
      </c>
      <c r="F81" s="13">
        <f t="shared" si="18"/>
        <v>154368.5</v>
      </c>
      <c r="G81" s="2"/>
      <c r="H81" s="2"/>
      <c r="I81" s="2"/>
      <c r="J81" s="2"/>
      <c r="K81" s="13">
        <f>SUM(K67:K79)</f>
        <v>65726.216084499567</v>
      </c>
      <c r="L81" s="14">
        <f>K81/F81</f>
        <v>0.42577479268438551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88" t="s">
        <v>50</v>
      </c>
      <c r="B84" s="89"/>
      <c r="C84" s="89"/>
      <c r="D84" s="2"/>
      <c r="E84" s="7" t="s">
        <v>1</v>
      </c>
      <c r="F84" s="8">
        <v>46113</v>
      </c>
      <c r="G84" s="2"/>
      <c r="H84" s="2"/>
      <c r="I84" s="9" t="s">
        <v>2</v>
      </c>
      <c r="J84" s="9"/>
      <c r="K84" s="9"/>
      <c r="L84" s="3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"/>
      <c r="B85" s="2"/>
      <c r="C85" s="5"/>
      <c r="D85" s="2"/>
      <c r="E85" s="2"/>
      <c r="F85" s="2"/>
      <c r="G85" s="2"/>
      <c r="H85" s="2"/>
      <c r="I85" s="2"/>
      <c r="J85" s="2"/>
      <c r="K85" s="2"/>
      <c r="L85" s="3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6" t="s">
        <v>3</v>
      </c>
      <c r="B86" s="10" t="s">
        <v>4</v>
      </c>
      <c r="C86" s="11" t="s">
        <v>5</v>
      </c>
      <c r="D86" s="10" t="s">
        <v>6</v>
      </c>
      <c r="E86" s="10" t="s">
        <v>7</v>
      </c>
      <c r="F86" s="10" t="s">
        <v>8</v>
      </c>
      <c r="G86" s="2"/>
      <c r="H86" s="2"/>
      <c r="I86" s="10" t="s">
        <v>9</v>
      </c>
      <c r="J86" s="10" t="s">
        <v>7</v>
      </c>
      <c r="K86" s="10" t="s">
        <v>10</v>
      </c>
      <c r="L86" s="3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2</v>
      </c>
      <c r="B87" s="10" t="s">
        <v>4</v>
      </c>
      <c r="C87" s="11" t="s">
        <v>13</v>
      </c>
      <c r="D87" s="13">
        <v>900</v>
      </c>
      <c r="E87" s="13">
        <f t="shared" ref="E87:E100" si="19">A87*D87</f>
        <v>1800</v>
      </c>
      <c r="F87" s="13">
        <f t="shared" ref="F87:F100" si="20">E87*1.105</f>
        <v>1989</v>
      </c>
      <c r="G87" s="2"/>
      <c r="H87" s="2"/>
      <c r="I87" s="13">
        <v>460</v>
      </c>
      <c r="J87" s="13">
        <f t="shared" ref="J87:J100" si="21">I87*A87</f>
        <v>920</v>
      </c>
      <c r="K87" s="13">
        <f t="shared" ref="K87:K100" si="22">F87-J87</f>
        <v>1069</v>
      </c>
      <c r="L87" s="14">
        <f t="shared" ref="L87:L100" si="23">IFERROR(K87/E87, 0)</f>
        <v>0.59388888888888891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1</v>
      </c>
      <c r="B88" s="10" t="s">
        <v>21</v>
      </c>
      <c r="C88" s="11" t="s">
        <v>51</v>
      </c>
      <c r="D88" s="13">
        <v>1500</v>
      </c>
      <c r="E88" s="13">
        <f t="shared" si="19"/>
        <v>1500</v>
      </c>
      <c r="F88" s="13">
        <f t="shared" si="20"/>
        <v>1657.5</v>
      </c>
      <c r="G88" s="2"/>
      <c r="H88" s="2"/>
      <c r="I88" s="13">
        <v>1200</v>
      </c>
      <c r="J88" s="13">
        <f t="shared" si="21"/>
        <v>1200</v>
      </c>
      <c r="K88" s="13">
        <f t="shared" si="22"/>
        <v>457.5</v>
      </c>
      <c r="L88" s="14">
        <f t="shared" si="23"/>
        <v>0.30499999999999999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1</v>
      </c>
      <c r="B89" s="10" t="s">
        <v>15</v>
      </c>
      <c r="C89" s="11" t="s">
        <v>27</v>
      </c>
      <c r="D89" s="13">
        <v>23000</v>
      </c>
      <c r="E89" s="13">
        <f t="shared" si="19"/>
        <v>23000</v>
      </c>
      <c r="F89" s="13">
        <f t="shared" si="20"/>
        <v>25415</v>
      </c>
      <c r="G89" s="2"/>
      <c r="H89" s="2"/>
      <c r="I89" s="13">
        <v>19000</v>
      </c>
      <c r="J89" s="13">
        <f t="shared" si="21"/>
        <v>19000</v>
      </c>
      <c r="K89" s="13">
        <f t="shared" si="22"/>
        <v>6415</v>
      </c>
      <c r="L89" s="14">
        <f t="shared" si="23"/>
        <v>0.27891304347826085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4</v>
      </c>
      <c r="B90" s="10" t="s">
        <v>17</v>
      </c>
      <c r="C90" s="11" t="s">
        <v>48</v>
      </c>
      <c r="D90" s="13">
        <v>1000</v>
      </c>
      <c r="E90" s="13">
        <f t="shared" si="19"/>
        <v>4000</v>
      </c>
      <c r="F90" s="13">
        <f t="shared" si="20"/>
        <v>4420</v>
      </c>
      <c r="G90" s="2"/>
      <c r="H90" s="2"/>
      <c r="I90" s="13">
        <f>9000/18</f>
        <v>500</v>
      </c>
      <c r="J90" s="13">
        <f t="shared" si="21"/>
        <v>2000</v>
      </c>
      <c r="K90" s="13">
        <f t="shared" si="22"/>
        <v>2420</v>
      </c>
      <c r="L90" s="14">
        <f t="shared" si="23"/>
        <v>0.60499999999999998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15</v>
      </c>
      <c r="B91" s="10" t="s">
        <v>4</v>
      </c>
      <c r="C91" s="11" t="s">
        <v>20</v>
      </c>
      <c r="D91" s="13">
        <v>800</v>
      </c>
      <c r="E91" s="13">
        <f t="shared" si="19"/>
        <v>12000</v>
      </c>
      <c r="F91" s="13">
        <f t="shared" si="20"/>
        <v>13260</v>
      </c>
      <c r="G91" s="2"/>
      <c r="H91" s="2"/>
      <c r="I91" s="13">
        <f>30000/94</f>
        <v>319.14893617021278</v>
      </c>
      <c r="J91" s="13">
        <f t="shared" si="21"/>
        <v>4787.234042553192</v>
      </c>
      <c r="K91" s="13">
        <f t="shared" si="22"/>
        <v>8472.7659574468089</v>
      </c>
      <c r="L91" s="14">
        <f t="shared" si="23"/>
        <v>0.70606382978723403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1</v>
      </c>
      <c r="B92" s="10" t="s">
        <v>17</v>
      </c>
      <c r="C92" s="11" t="s">
        <v>35</v>
      </c>
      <c r="D92" s="13">
        <v>2500</v>
      </c>
      <c r="E92" s="13">
        <f t="shared" si="19"/>
        <v>2500</v>
      </c>
      <c r="F92" s="13">
        <f t="shared" si="20"/>
        <v>2762.5</v>
      </c>
      <c r="G92" s="2"/>
      <c r="H92" s="2"/>
      <c r="I92" s="13">
        <f>14000/11</f>
        <v>1272.7272727272727</v>
      </c>
      <c r="J92" s="13">
        <f t="shared" si="21"/>
        <v>1272.7272727272727</v>
      </c>
      <c r="K92" s="13">
        <f t="shared" si="22"/>
        <v>1489.7727272727273</v>
      </c>
      <c r="L92" s="14">
        <f t="shared" si="23"/>
        <v>0.59590909090909094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6</v>
      </c>
      <c r="B93" s="10" t="s">
        <v>17</v>
      </c>
      <c r="C93" s="11" t="s">
        <v>40</v>
      </c>
      <c r="D93" s="13">
        <v>1300</v>
      </c>
      <c r="E93" s="13">
        <f t="shared" si="19"/>
        <v>7800</v>
      </c>
      <c r="F93" s="13">
        <f t="shared" si="20"/>
        <v>8619</v>
      </c>
      <c r="G93" s="2"/>
      <c r="H93" s="2"/>
      <c r="I93" s="13">
        <v>1000</v>
      </c>
      <c r="J93" s="13">
        <f t="shared" si="21"/>
        <v>6000</v>
      </c>
      <c r="K93" s="13">
        <f t="shared" si="22"/>
        <v>2619</v>
      </c>
      <c r="L93" s="14">
        <f t="shared" si="23"/>
        <v>0.33576923076923076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2</v>
      </c>
      <c r="B94" s="10" t="s">
        <v>17</v>
      </c>
      <c r="C94" s="11" t="s">
        <v>34</v>
      </c>
      <c r="D94" s="13">
        <v>5000</v>
      </c>
      <c r="E94" s="13">
        <f t="shared" si="19"/>
        <v>10000</v>
      </c>
      <c r="F94" s="13">
        <f t="shared" si="20"/>
        <v>11050</v>
      </c>
      <c r="G94" s="2"/>
      <c r="H94" s="2"/>
      <c r="I94" s="13">
        <v>2000</v>
      </c>
      <c r="J94" s="13">
        <f t="shared" si="21"/>
        <v>4000</v>
      </c>
      <c r="K94" s="13">
        <f t="shared" si="22"/>
        <v>7050</v>
      </c>
      <c r="L94" s="14">
        <f t="shared" si="23"/>
        <v>0.70499999999999996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1.25</v>
      </c>
      <c r="B95" s="10" t="s">
        <v>17</v>
      </c>
      <c r="C95" s="11" t="s">
        <v>38</v>
      </c>
      <c r="D95" s="13">
        <v>1800</v>
      </c>
      <c r="E95" s="13">
        <f t="shared" si="19"/>
        <v>2250</v>
      </c>
      <c r="F95" s="13">
        <f t="shared" si="20"/>
        <v>2486.25</v>
      </c>
      <c r="G95" s="2"/>
      <c r="H95" s="2"/>
      <c r="I95" s="13">
        <v>1000</v>
      </c>
      <c r="J95" s="13">
        <f t="shared" si="21"/>
        <v>1250</v>
      </c>
      <c r="K95" s="13">
        <f t="shared" si="22"/>
        <v>1236.25</v>
      </c>
      <c r="L95" s="14">
        <f t="shared" si="23"/>
        <v>0.5494444444444444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1.2</v>
      </c>
      <c r="B96" s="10" t="s">
        <v>17</v>
      </c>
      <c r="C96" s="11" t="s">
        <v>19</v>
      </c>
      <c r="D96" s="13">
        <v>4000</v>
      </c>
      <c r="E96" s="13">
        <f t="shared" si="19"/>
        <v>4800</v>
      </c>
      <c r="F96" s="13">
        <f t="shared" si="20"/>
        <v>5304</v>
      </c>
      <c r="G96" s="2"/>
      <c r="H96" s="2"/>
      <c r="I96" s="13">
        <f>13000/8</f>
        <v>1625</v>
      </c>
      <c r="J96" s="13">
        <f t="shared" si="21"/>
        <v>1950</v>
      </c>
      <c r="K96" s="13">
        <f t="shared" si="22"/>
        <v>3354</v>
      </c>
      <c r="L96" s="14">
        <f t="shared" si="23"/>
        <v>0.69874999999999998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3</v>
      </c>
      <c r="B97" s="10" t="s">
        <v>4</v>
      </c>
      <c r="C97" s="11" t="s">
        <v>41</v>
      </c>
      <c r="D97" s="13">
        <v>2800</v>
      </c>
      <c r="E97" s="13">
        <f t="shared" si="19"/>
        <v>8400</v>
      </c>
      <c r="F97" s="13">
        <f t="shared" si="20"/>
        <v>9282</v>
      </c>
      <c r="G97" s="2"/>
      <c r="H97" s="2"/>
      <c r="I97" s="13">
        <f>18000/10</f>
        <v>1800</v>
      </c>
      <c r="J97" s="13">
        <f t="shared" si="21"/>
        <v>5400</v>
      </c>
      <c r="K97" s="13">
        <f t="shared" si="22"/>
        <v>3882</v>
      </c>
      <c r="L97" s="14">
        <f t="shared" si="23"/>
        <v>0.46214285714285713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5</v>
      </c>
      <c r="B98" s="10" t="s">
        <v>17</v>
      </c>
      <c r="C98" s="11" t="s">
        <v>25</v>
      </c>
      <c r="D98" s="13">
        <v>4200</v>
      </c>
      <c r="E98" s="13">
        <f t="shared" si="19"/>
        <v>21000</v>
      </c>
      <c r="F98" s="13">
        <f t="shared" si="20"/>
        <v>23205</v>
      </c>
      <c r="G98" s="2"/>
      <c r="H98" s="2"/>
      <c r="I98" s="13">
        <f>65000/17</f>
        <v>3823.5294117647059</v>
      </c>
      <c r="J98" s="13">
        <f t="shared" si="21"/>
        <v>19117.647058823528</v>
      </c>
      <c r="K98" s="13">
        <f t="shared" si="22"/>
        <v>4087.3529411764721</v>
      </c>
      <c r="L98" s="14">
        <f t="shared" si="23"/>
        <v>0.19463585434173677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3</v>
      </c>
      <c r="B99" s="10" t="s">
        <v>17</v>
      </c>
      <c r="C99" s="11" t="s">
        <v>24</v>
      </c>
      <c r="D99" s="13">
        <v>3400</v>
      </c>
      <c r="E99" s="13">
        <f t="shared" si="19"/>
        <v>10200</v>
      </c>
      <c r="F99" s="13">
        <f t="shared" si="20"/>
        <v>11271</v>
      </c>
      <c r="G99" s="2"/>
      <c r="H99" s="2"/>
      <c r="I99" s="13">
        <f>53000/18</f>
        <v>2944.4444444444443</v>
      </c>
      <c r="J99" s="13">
        <f t="shared" si="21"/>
        <v>8833.3333333333321</v>
      </c>
      <c r="K99" s="13">
        <f t="shared" si="22"/>
        <v>2437.6666666666679</v>
      </c>
      <c r="L99" s="14">
        <f t="shared" si="23"/>
        <v>0.23898692810457528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1</v>
      </c>
      <c r="B100" s="10" t="s">
        <v>21</v>
      </c>
      <c r="C100" s="11" t="s">
        <v>52</v>
      </c>
      <c r="D100" s="13">
        <v>2000</v>
      </c>
      <c r="E100" s="13">
        <f t="shared" si="19"/>
        <v>2000</v>
      </c>
      <c r="F100" s="13">
        <f t="shared" si="20"/>
        <v>2210</v>
      </c>
      <c r="G100" s="2"/>
      <c r="H100" s="2"/>
      <c r="I100" s="13">
        <v>1000</v>
      </c>
      <c r="J100" s="13">
        <f t="shared" si="21"/>
        <v>1000</v>
      </c>
      <c r="K100" s="13">
        <f t="shared" si="22"/>
        <v>1210</v>
      </c>
      <c r="L100" s="14">
        <f t="shared" si="23"/>
        <v>0.60499999999999998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5"/>
      <c r="B101" s="2"/>
      <c r="C101" s="4"/>
      <c r="D101" s="2"/>
      <c r="E101" s="2"/>
      <c r="F101" s="2"/>
      <c r="G101" s="2"/>
      <c r="H101" s="2"/>
      <c r="I101" s="2"/>
      <c r="J101" s="2"/>
      <c r="K101" s="2"/>
      <c r="L101" s="3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"/>
      <c r="B102" s="2"/>
      <c r="C102" s="4"/>
      <c r="D102" s="2"/>
      <c r="E102" s="13">
        <f t="shared" ref="E102:F102" si="24">SUM(E87:E100)</f>
        <v>111250</v>
      </c>
      <c r="F102" s="13">
        <f t="shared" si="24"/>
        <v>122931.25</v>
      </c>
      <c r="G102" s="2"/>
      <c r="H102" s="2"/>
      <c r="I102" s="2"/>
      <c r="J102" s="2"/>
      <c r="K102" s="13">
        <f>SUM(K87:K100)</f>
        <v>46200.30829256268</v>
      </c>
      <c r="L102" s="14">
        <f>K102/F102</f>
        <v>0.37582232583303821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88" t="s">
        <v>53</v>
      </c>
      <c r="B105" s="89"/>
      <c r="C105" s="89"/>
      <c r="D105" s="2"/>
      <c r="E105" s="7" t="s">
        <v>54</v>
      </c>
      <c r="F105" s="8">
        <v>46113</v>
      </c>
      <c r="G105" s="2"/>
      <c r="H105" s="2"/>
      <c r="I105" s="9" t="s">
        <v>2</v>
      </c>
      <c r="J105" s="9"/>
      <c r="K105" s="9"/>
      <c r="L105" s="3"/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3"/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6" t="s">
        <v>3</v>
      </c>
      <c r="B107" s="10" t="s">
        <v>4</v>
      </c>
      <c r="C107" s="11" t="s">
        <v>5</v>
      </c>
      <c r="D107" s="10" t="s">
        <v>6</v>
      </c>
      <c r="E107" s="10" t="s">
        <v>7</v>
      </c>
      <c r="F107" s="10" t="s">
        <v>8</v>
      </c>
      <c r="G107" s="2"/>
      <c r="H107" s="2"/>
      <c r="I107" s="10" t="s">
        <v>9</v>
      </c>
      <c r="J107" s="10" t="s">
        <v>7</v>
      </c>
      <c r="K107" s="10" t="s">
        <v>10</v>
      </c>
      <c r="L107" s="3"/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0.5</v>
      </c>
      <c r="B108" s="10" t="s">
        <v>23</v>
      </c>
      <c r="C108" s="11" t="s">
        <v>39</v>
      </c>
      <c r="D108" s="13">
        <v>30000</v>
      </c>
      <c r="E108" s="13">
        <f t="shared" ref="E108:E121" si="25">A108*D108</f>
        <v>15000</v>
      </c>
      <c r="F108" s="13">
        <f t="shared" ref="F108:F121" si="26">E108*1.105</f>
        <v>16575</v>
      </c>
      <c r="G108" s="2"/>
      <c r="H108" s="2"/>
      <c r="I108" s="13">
        <v>15000</v>
      </c>
      <c r="J108" s="13">
        <f t="shared" ref="J108:J121" si="27">I108*A108</f>
        <v>7500</v>
      </c>
      <c r="K108" s="13">
        <f t="shared" ref="K108:K121" si="28">F108-J108</f>
        <v>9075</v>
      </c>
      <c r="L108" s="14">
        <f t="shared" ref="L108:L121" si="29">IFERROR(K108/E108, 0)</f>
        <v>0.60499999999999998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15</v>
      </c>
      <c r="B109" s="10" t="s">
        <v>21</v>
      </c>
      <c r="C109" s="11" t="s">
        <v>46</v>
      </c>
      <c r="D109" s="13">
        <v>600</v>
      </c>
      <c r="E109" s="13">
        <f t="shared" si="25"/>
        <v>9000</v>
      </c>
      <c r="F109" s="13">
        <f t="shared" si="26"/>
        <v>9945</v>
      </c>
      <c r="G109" s="2"/>
      <c r="H109" s="2"/>
      <c r="I109" s="13">
        <f>7000/24</f>
        <v>291.66666666666669</v>
      </c>
      <c r="J109" s="13">
        <f t="shared" si="27"/>
        <v>4375</v>
      </c>
      <c r="K109" s="13">
        <f t="shared" si="28"/>
        <v>5570</v>
      </c>
      <c r="L109" s="14">
        <f t="shared" si="29"/>
        <v>0.61888888888888893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2</v>
      </c>
      <c r="B110" s="10" t="s">
        <v>15</v>
      </c>
      <c r="C110" s="11" t="s">
        <v>27</v>
      </c>
      <c r="D110" s="13">
        <v>23000</v>
      </c>
      <c r="E110" s="13">
        <f t="shared" si="25"/>
        <v>46000</v>
      </c>
      <c r="F110" s="13">
        <f t="shared" si="26"/>
        <v>50830</v>
      </c>
      <c r="G110" s="2"/>
      <c r="H110" s="2"/>
      <c r="I110" s="13">
        <v>19000</v>
      </c>
      <c r="J110" s="13">
        <f t="shared" si="27"/>
        <v>38000</v>
      </c>
      <c r="K110" s="13">
        <f t="shared" si="28"/>
        <v>12830</v>
      </c>
      <c r="L110" s="14">
        <f t="shared" si="29"/>
        <v>0.27891304347826085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4</v>
      </c>
      <c r="B111" s="10" t="s">
        <v>17</v>
      </c>
      <c r="C111" s="11" t="s">
        <v>36</v>
      </c>
      <c r="D111" s="13">
        <v>1800</v>
      </c>
      <c r="E111" s="13">
        <f t="shared" si="25"/>
        <v>7200</v>
      </c>
      <c r="F111" s="13">
        <f t="shared" si="26"/>
        <v>7956</v>
      </c>
      <c r="G111" s="2"/>
      <c r="H111" s="2"/>
      <c r="I111" s="13">
        <v>1000</v>
      </c>
      <c r="J111" s="13">
        <f t="shared" si="27"/>
        <v>4000</v>
      </c>
      <c r="K111" s="13">
        <f t="shared" si="28"/>
        <v>3956</v>
      </c>
      <c r="L111" s="14">
        <f t="shared" si="29"/>
        <v>0.5494444444444444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1</v>
      </c>
      <c r="B112" s="10" t="s">
        <v>17</v>
      </c>
      <c r="C112" s="11" t="s">
        <v>38</v>
      </c>
      <c r="D112" s="13">
        <v>1800</v>
      </c>
      <c r="E112" s="13">
        <f t="shared" si="25"/>
        <v>1800</v>
      </c>
      <c r="F112" s="13">
        <f t="shared" si="26"/>
        <v>1989</v>
      </c>
      <c r="G112" s="2"/>
      <c r="H112" s="2"/>
      <c r="I112" s="13">
        <v>1000</v>
      </c>
      <c r="J112" s="13">
        <f t="shared" si="27"/>
        <v>1000</v>
      </c>
      <c r="K112" s="13">
        <f t="shared" si="28"/>
        <v>989</v>
      </c>
      <c r="L112" s="14">
        <f t="shared" si="29"/>
        <v>0.5494444444444444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1.55</v>
      </c>
      <c r="B113" s="10" t="s">
        <v>17</v>
      </c>
      <c r="C113" s="11" t="s">
        <v>31</v>
      </c>
      <c r="D113" s="13">
        <v>3200</v>
      </c>
      <c r="E113" s="13">
        <f t="shared" si="25"/>
        <v>4960</v>
      </c>
      <c r="F113" s="13">
        <f t="shared" si="26"/>
        <v>5480.8</v>
      </c>
      <c r="G113" s="2"/>
      <c r="H113" s="2"/>
      <c r="I113" s="13">
        <v>1000</v>
      </c>
      <c r="J113" s="13">
        <f t="shared" si="27"/>
        <v>1550</v>
      </c>
      <c r="K113" s="13">
        <f t="shared" si="28"/>
        <v>3930.8</v>
      </c>
      <c r="L113" s="14">
        <f t="shared" si="29"/>
        <v>0.79249999999999998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1</v>
      </c>
      <c r="B114" s="10" t="s">
        <v>17</v>
      </c>
      <c r="C114" s="11" t="s">
        <v>55</v>
      </c>
      <c r="D114" s="13">
        <v>21000</v>
      </c>
      <c r="E114" s="13">
        <f t="shared" si="25"/>
        <v>21000</v>
      </c>
      <c r="F114" s="13">
        <f t="shared" si="26"/>
        <v>23205</v>
      </c>
      <c r="G114" s="2"/>
      <c r="H114" s="2"/>
      <c r="I114" s="13">
        <v>17000</v>
      </c>
      <c r="J114" s="13">
        <f t="shared" si="27"/>
        <v>17000</v>
      </c>
      <c r="K114" s="13">
        <f t="shared" si="28"/>
        <v>6205</v>
      </c>
      <c r="L114" s="14">
        <f t="shared" si="29"/>
        <v>0.2954761904761905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2</v>
      </c>
      <c r="B115" s="10" t="s">
        <v>21</v>
      </c>
      <c r="C115" s="11" t="s">
        <v>34</v>
      </c>
      <c r="D115" s="13">
        <v>5000</v>
      </c>
      <c r="E115" s="13">
        <f t="shared" si="25"/>
        <v>10000</v>
      </c>
      <c r="F115" s="13">
        <f t="shared" si="26"/>
        <v>11050</v>
      </c>
      <c r="G115" s="2"/>
      <c r="H115" s="2"/>
      <c r="I115" s="13">
        <v>2000</v>
      </c>
      <c r="J115" s="13">
        <f t="shared" si="27"/>
        <v>4000</v>
      </c>
      <c r="K115" s="13">
        <f t="shared" si="28"/>
        <v>7050</v>
      </c>
      <c r="L115" s="14">
        <f t="shared" si="29"/>
        <v>0.70499999999999996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21</v>
      </c>
      <c r="C116" s="11" t="s">
        <v>42</v>
      </c>
      <c r="D116" s="13">
        <v>4500</v>
      </c>
      <c r="E116" s="13">
        <f t="shared" si="25"/>
        <v>4500</v>
      </c>
      <c r="F116" s="13">
        <f t="shared" si="26"/>
        <v>4972.5</v>
      </c>
      <c r="G116" s="2"/>
      <c r="H116" s="2"/>
      <c r="I116" s="13">
        <v>1200</v>
      </c>
      <c r="J116" s="13">
        <f t="shared" si="27"/>
        <v>1200</v>
      </c>
      <c r="K116" s="13">
        <f t="shared" si="28"/>
        <v>3772.5</v>
      </c>
      <c r="L116" s="14">
        <f t="shared" si="29"/>
        <v>0.83833333333333337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1</v>
      </c>
      <c r="B117" s="10" t="s">
        <v>21</v>
      </c>
      <c r="C117" s="11" t="s">
        <v>29</v>
      </c>
      <c r="D117" s="13">
        <v>3500</v>
      </c>
      <c r="E117" s="13">
        <f t="shared" si="25"/>
        <v>3500</v>
      </c>
      <c r="F117" s="13">
        <f t="shared" si="26"/>
        <v>3867.5</v>
      </c>
      <c r="G117" s="2"/>
      <c r="H117" s="2"/>
      <c r="I117" s="13">
        <v>1000</v>
      </c>
      <c r="J117" s="13">
        <f t="shared" si="27"/>
        <v>1000</v>
      </c>
      <c r="K117" s="13">
        <f t="shared" si="28"/>
        <v>2867.5</v>
      </c>
      <c r="L117" s="14">
        <f t="shared" si="29"/>
        <v>0.81928571428571428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2</v>
      </c>
      <c r="B118" s="10" t="s">
        <v>4</v>
      </c>
      <c r="C118" s="11" t="s">
        <v>13</v>
      </c>
      <c r="D118" s="13">
        <v>900</v>
      </c>
      <c r="E118" s="13">
        <f t="shared" si="25"/>
        <v>1800</v>
      </c>
      <c r="F118" s="13">
        <f t="shared" si="26"/>
        <v>1989</v>
      </c>
      <c r="G118" s="2"/>
      <c r="H118" s="2"/>
      <c r="I118" s="13">
        <v>460</v>
      </c>
      <c r="J118" s="13">
        <f t="shared" si="27"/>
        <v>920</v>
      </c>
      <c r="K118" s="13">
        <f t="shared" si="28"/>
        <v>1069</v>
      </c>
      <c r="L118" s="14">
        <f t="shared" si="29"/>
        <v>0.59388888888888891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1</v>
      </c>
      <c r="B119" s="10" t="s">
        <v>17</v>
      </c>
      <c r="C119" s="11" t="s">
        <v>56</v>
      </c>
      <c r="D119" s="13">
        <v>800</v>
      </c>
      <c r="E119" s="13">
        <f t="shared" si="25"/>
        <v>800</v>
      </c>
      <c r="F119" s="13">
        <f t="shared" si="26"/>
        <v>884</v>
      </c>
      <c r="G119" s="2"/>
      <c r="H119" s="13"/>
      <c r="I119" s="13">
        <f>10000/16</f>
        <v>625</v>
      </c>
      <c r="J119" s="13">
        <f t="shared" si="27"/>
        <v>625</v>
      </c>
      <c r="K119" s="13">
        <f t="shared" si="28"/>
        <v>259</v>
      </c>
      <c r="L119" s="14">
        <f t="shared" si="29"/>
        <v>0.32374999999999998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1</v>
      </c>
      <c r="B120" s="10" t="s">
        <v>17</v>
      </c>
      <c r="C120" s="11" t="s">
        <v>18</v>
      </c>
      <c r="D120" s="13">
        <v>1600</v>
      </c>
      <c r="E120" s="13">
        <f t="shared" si="25"/>
        <v>1600</v>
      </c>
      <c r="F120" s="13">
        <f t="shared" si="26"/>
        <v>1768</v>
      </c>
      <c r="G120" s="2"/>
      <c r="H120" s="13"/>
      <c r="I120" s="13">
        <f>12000/15</f>
        <v>800</v>
      </c>
      <c r="J120" s="13">
        <f t="shared" si="27"/>
        <v>800</v>
      </c>
      <c r="K120" s="13">
        <f t="shared" si="28"/>
        <v>968</v>
      </c>
      <c r="L120" s="14">
        <f t="shared" si="29"/>
        <v>0.60499999999999998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1</v>
      </c>
      <c r="B121" s="10" t="s">
        <v>23</v>
      </c>
      <c r="C121" s="11" t="s">
        <v>22</v>
      </c>
      <c r="D121" s="13">
        <v>17000</v>
      </c>
      <c r="E121" s="13">
        <f t="shared" si="25"/>
        <v>17000</v>
      </c>
      <c r="F121" s="13">
        <f t="shared" si="26"/>
        <v>18785</v>
      </c>
      <c r="G121" s="2"/>
      <c r="H121" s="2"/>
      <c r="I121" s="13">
        <f>12000/10</f>
        <v>1200</v>
      </c>
      <c r="J121" s="13">
        <f t="shared" si="27"/>
        <v>1200</v>
      </c>
      <c r="K121" s="13">
        <f t="shared" si="28"/>
        <v>17585</v>
      </c>
      <c r="L121" s="14">
        <f t="shared" si="29"/>
        <v>1.0344117647058824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5"/>
      <c r="B122" s="2"/>
      <c r="C122" s="4"/>
      <c r="D122" s="2"/>
      <c r="E122" s="2"/>
      <c r="F122" s="2"/>
      <c r="G122" s="2"/>
      <c r="H122" s="2"/>
      <c r="I122" s="2"/>
      <c r="J122" s="2"/>
      <c r="K122" s="2"/>
      <c r="L122" s="3"/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"/>
      <c r="B123" s="2"/>
      <c r="C123" s="4"/>
      <c r="D123" s="2"/>
      <c r="E123" s="13">
        <f t="shared" ref="E123:F123" si="30">SUM(E108:E121)</f>
        <v>144160</v>
      </c>
      <c r="F123" s="13">
        <f t="shared" si="30"/>
        <v>159296.79999999999</v>
      </c>
      <c r="G123" s="2"/>
      <c r="H123" s="2"/>
      <c r="I123" s="2"/>
      <c r="J123" s="2"/>
      <c r="K123" s="13">
        <f>SUM(K108:K121)</f>
        <v>76126.8</v>
      </c>
      <c r="L123" s="14">
        <f>K123/F123</f>
        <v>0.47789283902752605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"/>
      <c r="B124" s="2"/>
      <c r="C124" s="4"/>
      <c r="D124" s="2"/>
      <c r="E124" s="2"/>
      <c r="F124" s="2"/>
      <c r="G124" s="2"/>
      <c r="H124" s="2"/>
      <c r="I124" s="2"/>
      <c r="J124" s="2"/>
      <c r="K124" s="2"/>
      <c r="L124" s="3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"/>
      <c r="B125" s="2"/>
      <c r="C125" s="4"/>
      <c r="D125" s="2"/>
      <c r="E125" s="2"/>
      <c r="F125" s="2"/>
      <c r="G125" s="2"/>
      <c r="H125" s="2"/>
      <c r="I125" s="2"/>
      <c r="J125" s="2"/>
      <c r="K125" s="2"/>
      <c r="L125" s="3"/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"/>
      <c r="B126" s="2"/>
      <c r="C126" s="4"/>
      <c r="D126" s="2"/>
      <c r="E126" s="2"/>
      <c r="F126" s="2"/>
      <c r="G126" s="2"/>
      <c r="H126" s="2"/>
      <c r="I126" s="2"/>
      <c r="J126" s="2"/>
      <c r="K126" s="2"/>
      <c r="L126" s="3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"/>
      <c r="B127" s="1"/>
      <c r="C127" s="1"/>
      <c r="D127" s="2"/>
      <c r="E127" s="2"/>
      <c r="F127" s="5"/>
      <c r="G127" s="2"/>
      <c r="H127" s="2"/>
      <c r="I127" s="2"/>
      <c r="J127" s="2"/>
      <c r="K127" s="2"/>
      <c r="L127" s="3"/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88" t="s">
        <v>57</v>
      </c>
      <c r="B128" s="89"/>
      <c r="C128" s="89"/>
      <c r="D128" s="2"/>
      <c r="E128" s="7" t="s">
        <v>58</v>
      </c>
      <c r="F128" s="8">
        <v>46113</v>
      </c>
      <c r="G128" s="2"/>
      <c r="H128" s="2"/>
      <c r="I128" s="9" t="s">
        <v>2</v>
      </c>
      <c r="J128" s="9"/>
      <c r="K128" s="9"/>
      <c r="L128" s="3"/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3"/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6" t="s">
        <v>3</v>
      </c>
      <c r="B130" s="10" t="s">
        <v>4</v>
      </c>
      <c r="C130" s="11" t="s">
        <v>5</v>
      </c>
      <c r="D130" s="10" t="s">
        <v>6</v>
      </c>
      <c r="E130" s="10" t="s">
        <v>7</v>
      </c>
      <c r="F130" s="10" t="s">
        <v>8</v>
      </c>
      <c r="G130" s="2"/>
      <c r="H130" s="2"/>
      <c r="I130" s="10" t="s">
        <v>9</v>
      </c>
      <c r="J130" s="10" t="s">
        <v>7</v>
      </c>
      <c r="K130" s="10" t="s">
        <v>10</v>
      </c>
      <c r="L130" s="3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2.5</v>
      </c>
      <c r="B131" s="10" t="s">
        <v>17</v>
      </c>
      <c r="C131" s="11" t="s">
        <v>36</v>
      </c>
      <c r="D131" s="13">
        <v>1800</v>
      </c>
      <c r="E131" s="13">
        <f t="shared" ref="E131:E153" si="31">A131*D131</f>
        <v>4500</v>
      </c>
      <c r="F131" s="13">
        <f t="shared" ref="F131:F153" si="32">E131*1.105</f>
        <v>4972.5</v>
      </c>
      <c r="G131" s="2"/>
      <c r="H131" s="2"/>
      <c r="I131" s="13">
        <v>1000</v>
      </c>
      <c r="J131" s="13">
        <f t="shared" ref="J131:J153" si="33">I131*A131</f>
        <v>2500</v>
      </c>
      <c r="K131" s="13">
        <f t="shared" ref="K131:K153" si="34">F131-J131</f>
        <v>2472.5</v>
      </c>
      <c r="L131" s="14">
        <f t="shared" ref="L131:L153" si="35">IFERROR(K131/E131, 0)</f>
        <v>0.5494444444444444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2.5</v>
      </c>
      <c r="B132" s="10" t="s">
        <v>17</v>
      </c>
      <c r="C132" s="11" t="s">
        <v>38</v>
      </c>
      <c r="D132" s="13">
        <v>1800</v>
      </c>
      <c r="E132" s="13">
        <f t="shared" si="31"/>
        <v>4500</v>
      </c>
      <c r="F132" s="13">
        <f t="shared" si="32"/>
        <v>4972.5</v>
      </c>
      <c r="G132" s="2"/>
      <c r="H132" s="2"/>
      <c r="I132" s="13">
        <v>1000</v>
      </c>
      <c r="J132" s="13">
        <f t="shared" si="33"/>
        <v>2500</v>
      </c>
      <c r="K132" s="13">
        <f t="shared" si="34"/>
        <v>2472.5</v>
      </c>
      <c r="L132" s="14">
        <f t="shared" si="35"/>
        <v>0.5494444444444444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16</v>
      </c>
      <c r="B133" s="10" t="s">
        <v>17</v>
      </c>
      <c r="C133" s="11" t="s">
        <v>39</v>
      </c>
      <c r="D133" s="13">
        <v>2400</v>
      </c>
      <c r="E133" s="13">
        <f t="shared" si="31"/>
        <v>38400</v>
      </c>
      <c r="F133" s="13">
        <f t="shared" si="32"/>
        <v>42432</v>
      </c>
      <c r="G133" s="2"/>
      <c r="H133" s="2"/>
      <c r="I133" s="13">
        <f>15000/15</f>
        <v>1000</v>
      </c>
      <c r="J133" s="13">
        <f t="shared" si="33"/>
        <v>16000</v>
      </c>
      <c r="K133" s="13">
        <f t="shared" si="34"/>
        <v>26432</v>
      </c>
      <c r="L133" s="14">
        <f t="shared" si="35"/>
        <v>0.68833333333333335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2</v>
      </c>
      <c r="B134" s="10" t="s">
        <v>4</v>
      </c>
      <c r="C134" s="11" t="s">
        <v>13</v>
      </c>
      <c r="D134" s="13">
        <v>900</v>
      </c>
      <c r="E134" s="13">
        <f t="shared" si="31"/>
        <v>1800</v>
      </c>
      <c r="F134" s="13">
        <f t="shared" si="32"/>
        <v>1989</v>
      </c>
      <c r="G134" s="2"/>
      <c r="H134" s="2"/>
      <c r="I134" s="13">
        <v>460</v>
      </c>
      <c r="J134" s="13">
        <f t="shared" si="33"/>
        <v>920</v>
      </c>
      <c r="K134" s="13">
        <f t="shared" si="34"/>
        <v>1069</v>
      </c>
      <c r="L134" s="14">
        <f t="shared" si="35"/>
        <v>0.59388888888888891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1</v>
      </c>
      <c r="B135" s="10" t="s">
        <v>17</v>
      </c>
      <c r="C135" s="11" t="s">
        <v>35</v>
      </c>
      <c r="D135" s="13">
        <v>2500</v>
      </c>
      <c r="E135" s="13">
        <f t="shared" si="31"/>
        <v>2500</v>
      </c>
      <c r="F135" s="13">
        <f t="shared" si="32"/>
        <v>2762.5</v>
      </c>
      <c r="G135" s="2"/>
      <c r="H135" s="2"/>
      <c r="I135" s="13">
        <f>14000/11</f>
        <v>1272.7272727272727</v>
      </c>
      <c r="J135" s="13">
        <f t="shared" si="33"/>
        <v>1272.7272727272727</v>
      </c>
      <c r="K135" s="13">
        <f t="shared" si="34"/>
        <v>1489.7727272727273</v>
      </c>
      <c r="L135" s="14">
        <f t="shared" si="35"/>
        <v>0.59590909090909094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1</v>
      </c>
      <c r="B136" s="10" t="s">
        <v>21</v>
      </c>
      <c r="C136" s="11" t="s">
        <v>51</v>
      </c>
      <c r="D136" s="13">
        <v>1500</v>
      </c>
      <c r="E136" s="13">
        <f t="shared" si="31"/>
        <v>1500</v>
      </c>
      <c r="F136" s="13">
        <f t="shared" si="32"/>
        <v>1657.5</v>
      </c>
      <c r="G136" s="2"/>
      <c r="H136" s="2"/>
      <c r="I136" s="13">
        <v>1200</v>
      </c>
      <c r="J136" s="13">
        <f t="shared" si="33"/>
        <v>1200</v>
      </c>
      <c r="K136" s="13">
        <f t="shared" si="34"/>
        <v>457.5</v>
      </c>
      <c r="L136" s="14">
        <f t="shared" si="35"/>
        <v>0.30499999999999999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0.4</v>
      </c>
      <c r="B137" s="10" t="s">
        <v>21</v>
      </c>
      <c r="C137" s="11" t="s">
        <v>22</v>
      </c>
      <c r="D137" s="13">
        <v>1700</v>
      </c>
      <c r="E137" s="13">
        <f t="shared" si="31"/>
        <v>680</v>
      </c>
      <c r="F137" s="13">
        <f t="shared" si="32"/>
        <v>751.4</v>
      </c>
      <c r="G137" s="2"/>
      <c r="H137" s="2"/>
      <c r="I137" s="13">
        <f>12000/10</f>
        <v>1200</v>
      </c>
      <c r="J137" s="13">
        <f t="shared" si="33"/>
        <v>480</v>
      </c>
      <c r="K137" s="13">
        <f t="shared" si="34"/>
        <v>271.39999999999998</v>
      </c>
      <c r="L137" s="14">
        <f t="shared" si="35"/>
        <v>0.39911764705882352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2</v>
      </c>
      <c r="B138" s="10" t="s">
        <v>17</v>
      </c>
      <c r="C138" s="11" t="s">
        <v>18</v>
      </c>
      <c r="D138" s="13">
        <v>1600</v>
      </c>
      <c r="E138" s="13">
        <f t="shared" si="31"/>
        <v>3200</v>
      </c>
      <c r="F138" s="13">
        <f t="shared" si="32"/>
        <v>3536</v>
      </c>
      <c r="G138" s="2"/>
      <c r="H138" s="2"/>
      <c r="I138" s="13">
        <f>12000/15</f>
        <v>800</v>
      </c>
      <c r="J138" s="13">
        <f t="shared" si="33"/>
        <v>1600</v>
      </c>
      <c r="K138" s="13">
        <f t="shared" si="34"/>
        <v>1936</v>
      </c>
      <c r="L138" s="14">
        <f t="shared" si="35"/>
        <v>0.60499999999999998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2</v>
      </c>
      <c r="B139" s="10" t="s">
        <v>17</v>
      </c>
      <c r="C139" s="11" t="s">
        <v>56</v>
      </c>
      <c r="D139" s="13">
        <v>800</v>
      </c>
      <c r="E139" s="13">
        <f t="shared" si="31"/>
        <v>1600</v>
      </c>
      <c r="F139" s="13">
        <f t="shared" si="32"/>
        <v>1768</v>
      </c>
      <c r="G139" s="2"/>
      <c r="H139" s="2"/>
      <c r="I139" s="13">
        <f>10000/16</f>
        <v>625</v>
      </c>
      <c r="J139" s="13">
        <f t="shared" si="33"/>
        <v>1250</v>
      </c>
      <c r="K139" s="13">
        <f t="shared" si="34"/>
        <v>518</v>
      </c>
      <c r="L139" s="14">
        <f t="shared" si="35"/>
        <v>0.32374999999999998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2</v>
      </c>
      <c r="B140" s="10" t="s">
        <v>17</v>
      </c>
      <c r="C140" s="11" t="s">
        <v>31</v>
      </c>
      <c r="D140" s="13">
        <v>3200</v>
      </c>
      <c r="E140" s="13">
        <f t="shared" si="31"/>
        <v>6400</v>
      </c>
      <c r="F140" s="13">
        <f t="shared" si="32"/>
        <v>7072</v>
      </c>
      <c r="G140" s="2"/>
      <c r="H140" s="2"/>
      <c r="I140" s="13">
        <v>1000</v>
      </c>
      <c r="J140" s="13">
        <f t="shared" si="33"/>
        <v>2000</v>
      </c>
      <c r="K140" s="13">
        <f t="shared" si="34"/>
        <v>5072</v>
      </c>
      <c r="L140" s="14">
        <f t="shared" si="35"/>
        <v>0.79249999999999998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2</v>
      </c>
      <c r="B141" s="10" t="s">
        <v>17</v>
      </c>
      <c r="C141" s="11" t="s">
        <v>33</v>
      </c>
      <c r="D141" s="13">
        <v>2800</v>
      </c>
      <c r="E141" s="13">
        <f t="shared" si="31"/>
        <v>5600</v>
      </c>
      <c r="F141" s="13">
        <f t="shared" si="32"/>
        <v>6188</v>
      </c>
      <c r="G141" s="2"/>
      <c r="H141" s="2"/>
      <c r="I141" s="13">
        <f>12000/7</f>
        <v>1714.2857142857142</v>
      </c>
      <c r="J141" s="13">
        <f t="shared" si="33"/>
        <v>3428.5714285714284</v>
      </c>
      <c r="K141" s="13">
        <f t="shared" si="34"/>
        <v>2759.4285714285716</v>
      </c>
      <c r="L141" s="14">
        <f t="shared" si="35"/>
        <v>0.49275510204081635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2</v>
      </c>
      <c r="B142" s="10" t="s">
        <v>17</v>
      </c>
      <c r="C142" s="11" t="s">
        <v>32</v>
      </c>
      <c r="D142" s="13">
        <v>2400</v>
      </c>
      <c r="E142" s="13">
        <f t="shared" si="31"/>
        <v>4800</v>
      </c>
      <c r="F142" s="13">
        <f t="shared" si="32"/>
        <v>5304</v>
      </c>
      <c r="G142" s="2"/>
      <c r="H142" s="2"/>
      <c r="I142" s="13">
        <v>1000</v>
      </c>
      <c r="J142" s="13">
        <f t="shared" si="33"/>
        <v>2000</v>
      </c>
      <c r="K142" s="13">
        <f t="shared" si="34"/>
        <v>3304</v>
      </c>
      <c r="L142" s="14">
        <f t="shared" si="35"/>
        <v>0.68833333333333335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0.6</v>
      </c>
      <c r="B143" s="10" t="s">
        <v>17</v>
      </c>
      <c r="C143" s="11" t="s">
        <v>55</v>
      </c>
      <c r="D143" s="13">
        <v>21000</v>
      </c>
      <c r="E143" s="13">
        <f t="shared" si="31"/>
        <v>12600</v>
      </c>
      <c r="F143" s="13">
        <f t="shared" si="32"/>
        <v>13923</v>
      </c>
      <c r="G143" s="2"/>
      <c r="H143" s="2"/>
      <c r="I143" s="13">
        <v>17000</v>
      </c>
      <c r="J143" s="13">
        <f t="shared" si="33"/>
        <v>10200</v>
      </c>
      <c r="K143" s="13">
        <f t="shared" si="34"/>
        <v>3723</v>
      </c>
      <c r="L143" s="14">
        <f t="shared" si="35"/>
        <v>0.2954761904761905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1</v>
      </c>
      <c r="B144" s="10" t="s">
        <v>17</v>
      </c>
      <c r="C144" s="11" t="s">
        <v>34</v>
      </c>
      <c r="D144" s="13">
        <v>5000</v>
      </c>
      <c r="E144" s="13">
        <f t="shared" si="31"/>
        <v>5000</v>
      </c>
      <c r="F144" s="13">
        <f t="shared" si="32"/>
        <v>5525</v>
      </c>
      <c r="G144" s="2"/>
      <c r="H144" s="2"/>
      <c r="I144" s="13">
        <v>2000</v>
      </c>
      <c r="J144" s="13">
        <f t="shared" si="33"/>
        <v>2000</v>
      </c>
      <c r="K144" s="13">
        <f t="shared" si="34"/>
        <v>3525</v>
      </c>
      <c r="L144" s="14">
        <f t="shared" si="35"/>
        <v>0.70499999999999996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1</v>
      </c>
      <c r="B145" s="10" t="s">
        <v>15</v>
      </c>
      <c r="C145" s="11" t="s">
        <v>16</v>
      </c>
      <c r="D145" s="13">
        <v>13000</v>
      </c>
      <c r="E145" s="13">
        <f t="shared" si="31"/>
        <v>13000</v>
      </c>
      <c r="F145" s="13">
        <f t="shared" si="32"/>
        <v>14365</v>
      </c>
      <c r="G145" s="2"/>
      <c r="H145" s="2"/>
      <c r="I145" s="13">
        <v>9000</v>
      </c>
      <c r="J145" s="13">
        <f t="shared" si="33"/>
        <v>9000</v>
      </c>
      <c r="K145" s="13">
        <f t="shared" si="34"/>
        <v>5365</v>
      </c>
      <c r="L145" s="14">
        <f t="shared" si="35"/>
        <v>0.41269230769230769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2</v>
      </c>
      <c r="B146" s="10" t="s">
        <v>21</v>
      </c>
      <c r="C146" s="11" t="s">
        <v>28</v>
      </c>
      <c r="D146" s="13">
        <v>3000</v>
      </c>
      <c r="E146" s="13">
        <f t="shared" si="31"/>
        <v>6000</v>
      </c>
      <c r="F146" s="13">
        <f t="shared" si="32"/>
        <v>6630</v>
      </c>
      <c r="G146" s="2"/>
      <c r="H146" s="2"/>
      <c r="I146" s="13">
        <v>2000</v>
      </c>
      <c r="J146" s="13">
        <f t="shared" si="33"/>
        <v>4000</v>
      </c>
      <c r="K146" s="13">
        <f t="shared" si="34"/>
        <v>2630</v>
      </c>
      <c r="L146" s="14">
        <f t="shared" si="35"/>
        <v>0.43833333333333335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0.5</v>
      </c>
      <c r="B147" s="10" t="s">
        <v>17</v>
      </c>
      <c r="C147" s="11" t="s">
        <v>30</v>
      </c>
      <c r="D147" s="13">
        <v>1500</v>
      </c>
      <c r="E147" s="13">
        <f t="shared" si="31"/>
        <v>750</v>
      </c>
      <c r="F147" s="13">
        <f t="shared" si="32"/>
        <v>828.75</v>
      </c>
      <c r="G147" s="2"/>
      <c r="H147" s="2"/>
      <c r="I147" s="13">
        <v>1500</v>
      </c>
      <c r="J147" s="13">
        <f t="shared" si="33"/>
        <v>750</v>
      </c>
      <c r="K147" s="13">
        <f t="shared" si="34"/>
        <v>78.75</v>
      </c>
      <c r="L147" s="14">
        <f t="shared" si="35"/>
        <v>0.105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1</v>
      </c>
      <c r="B148" s="10" t="s">
        <v>15</v>
      </c>
      <c r="C148" s="11" t="s">
        <v>40</v>
      </c>
      <c r="D148" s="13">
        <v>12000</v>
      </c>
      <c r="E148" s="13">
        <f t="shared" si="31"/>
        <v>12000</v>
      </c>
      <c r="F148" s="13">
        <f t="shared" si="32"/>
        <v>13260</v>
      </c>
      <c r="G148" s="2"/>
      <c r="H148" s="2"/>
      <c r="I148" s="13">
        <v>7000</v>
      </c>
      <c r="J148" s="13">
        <f t="shared" si="33"/>
        <v>7000</v>
      </c>
      <c r="K148" s="13">
        <f t="shared" si="34"/>
        <v>6260</v>
      </c>
      <c r="L148" s="14">
        <f t="shared" si="35"/>
        <v>0.52166666666666661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3</v>
      </c>
      <c r="B149" s="10" t="s">
        <v>15</v>
      </c>
      <c r="C149" s="11" t="s">
        <v>27</v>
      </c>
      <c r="D149" s="13">
        <v>23000</v>
      </c>
      <c r="E149" s="13">
        <f t="shared" si="31"/>
        <v>69000</v>
      </c>
      <c r="F149" s="13">
        <f t="shared" si="32"/>
        <v>76245</v>
      </c>
      <c r="G149" s="2"/>
      <c r="H149" s="2"/>
      <c r="I149" s="13">
        <v>19000</v>
      </c>
      <c r="J149" s="13">
        <f t="shared" si="33"/>
        <v>57000</v>
      </c>
      <c r="K149" s="13">
        <f t="shared" si="34"/>
        <v>19245</v>
      </c>
      <c r="L149" s="14">
        <f t="shared" si="35"/>
        <v>0.27891304347826085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0.5</v>
      </c>
      <c r="B150" s="10" t="s">
        <v>21</v>
      </c>
      <c r="C150" s="11" t="s">
        <v>42</v>
      </c>
      <c r="D150" s="13">
        <v>4500</v>
      </c>
      <c r="E150" s="13">
        <f t="shared" si="31"/>
        <v>2250</v>
      </c>
      <c r="F150" s="13">
        <f t="shared" si="32"/>
        <v>2486.25</v>
      </c>
      <c r="G150" s="2"/>
      <c r="H150" s="2"/>
      <c r="I150" s="13">
        <v>1200</v>
      </c>
      <c r="J150" s="13">
        <f t="shared" si="33"/>
        <v>600</v>
      </c>
      <c r="K150" s="13">
        <f t="shared" si="34"/>
        <v>1886.25</v>
      </c>
      <c r="L150" s="14">
        <f t="shared" si="35"/>
        <v>0.83833333333333337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</v>
      </c>
      <c r="B151" s="10" t="s">
        <v>21</v>
      </c>
      <c r="C151" s="11" t="s">
        <v>29</v>
      </c>
      <c r="D151" s="13">
        <v>3500</v>
      </c>
      <c r="E151" s="13">
        <f t="shared" si="31"/>
        <v>3500</v>
      </c>
      <c r="F151" s="13">
        <f t="shared" si="32"/>
        <v>3867.5</v>
      </c>
      <c r="G151" s="2"/>
      <c r="H151" s="2"/>
      <c r="I151" s="13">
        <v>1000</v>
      </c>
      <c r="J151" s="13">
        <f t="shared" si="33"/>
        <v>1000</v>
      </c>
      <c r="K151" s="13">
        <f t="shared" si="34"/>
        <v>2867.5</v>
      </c>
      <c r="L151" s="14">
        <f t="shared" si="35"/>
        <v>0.81928571428571428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1</v>
      </c>
      <c r="B152" s="10" t="s">
        <v>23</v>
      </c>
      <c r="C152" s="11" t="s">
        <v>26</v>
      </c>
      <c r="D152" s="13">
        <v>25000</v>
      </c>
      <c r="E152" s="13">
        <f t="shared" si="31"/>
        <v>25000</v>
      </c>
      <c r="F152" s="13">
        <f t="shared" si="32"/>
        <v>27625</v>
      </c>
      <c r="G152" s="2"/>
      <c r="H152" s="2"/>
      <c r="I152" s="13">
        <v>22000</v>
      </c>
      <c r="J152" s="13">
        <f t="shared" si="33"/>
        <v>22000</v>
      </c>
      <c r="K152" s="13">
        <f t="shared" si="34"/>
        <v>5625</v>
      </c>
      <c r="L152" s="14">
        <f t="shared" si="35"/>
        <v>0.22500000000000001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8</v>
      </c>
      <c r="B153" s="10" t="s">
        <v>17</v>
      </c>
      <c r="C153" s="11" t="s">
        <v>24</v>
      </c>
      <c r="D153" s="13">
        <v>3400</v>
      </c>
      <c r="E153" s="13">
        <f t="shared" si="31"/>
        <v>27200</v>
      </c>
      <c r="F153" s="13">
        <f t="shared" si="32"/>
        <v>30056</v>
      </c>
      <c r="G153" s="2"/>
      <c r="H153" s="2"/>
      <c r="I153" s="13">
        <f>53000/18</f>
        <v>2944.4444444444443</v>
      </c>
      <c r="J153" s="13">
        <f t="shared" si="33"/>
        <v>23555.555555555555</v>
      </c>
      <c r="K153" s="13">
        <f t="shared" si="34"/>
        <v>6500.4444444444453</v>
      </c>
      <c r="L153" s="14">
        <f t="shared" si="35"/>
        <v>0.2389869281045752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5"/>
      <c r="B154" s="2"/>
      <c r="C154" s="4"/>
      <c r="D154" s="2"/>
      <c r="E154" s="2"/>
      <c r="F154" s="2"/>
      <c r="G154" s="2"/>
      <c r="H154" s="2"/>
      <c r="I154" s="2"/>
      <c r="J154" s="2"/>
      <c r="K154" s="2"/>
      <c r="L154" s="3"/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"/>
      <c r="B155" s="2"/>
      <c r="C155" s="4"/>
      <c r="D155" s="2"/>
      <c r="E155" s="13">
        <f t="shared" ref="E155:F155" si="36">SUM(E131:E153)</f>
        <v>251780</v>
      </c>
      <c r="F155" s="13">
        <f t="shared" si="36"/>
        <v>278216.90000000002</v>
      </c>
      <c r="G155" s="2"/>
      <c r="H155" s="2"/>
      <c r="I155" s="2"/>
      <c r="J155" s="2"/>
      <c r="K155" s="13">
        <f>SUM(K131:K153)</f>
        <v>105960.04574314575</v>
      </c>
      <c r="L155" s="14">
        <f>K155/F155</f>
        <v>0.38085409528733061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88" t="s">
        <v>59</v>
      </c>
      <c r="B158" s="89"/>
      <c r="C158" s="89"/>
      <c r="D158" s="2"/>
      <c r="E158" s="7" t="s">
        <v>60</v>
      </c>
      <c r="F158" s="8">
        <v>46113</v>
      </c>
      <c r="G158" s="2"/>
      <c r="H158" s="2"/>
      <c r="I158" s="9" t="s">
        <v>2</v>
      </c>
      <c r="J158" s="9"/>
      <c r="K158" s="9"/>
      <c r="L158" s="3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3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6" t="s">
        <v>3</v>
      </c>
      <c r="B160" s="10" t="s">
        <v>4</v>
      </c>
      <c r="C160" s="11" t="s">
        <v>5</v>
      </c>
      <c r="D160" s="10" t="s">
        <v>6</v>
      </c>
      <c r="E160" s="10" t="s">
        <v>7</v>
      </c>
      <c r="F160" s="10" t="s">
        <v>8</v>
      </c>
      <c r="G160" s="2"/>
      <c r="H160" s="2"/>
      <c r="I160" s="10" t="s">
        <v>9</v>
      </c>
      <c r="J160" s="10" t="s">
        <v>7</v>
      </c>
      <c r="K160" s="10" t="s">
        <v>10</v>
      </c>
      <c r="L160" s="3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5</v>
      </c>
      <c r="B161" s="10" t="s">
        <v>17</v>
      </c>
      <c r="C161" s="11" t="s">
        <v>39</v>
      </c>
      <c r="D161" s="13">
        <v>2400</v>
      </c>
      <c r="E161" s="13">
        <f t="shared" ref="E161:E171" si="37">A161*D161</f>
        <v>12000</v>
      </c>
      <c r="F161" s="13">
        <f t="shared" ref="F161:F171" si="38">E161*1.105</f>
        <v>13260</v>
      </c>
      <c r="G161" s="2"/>
      <c r="H161" s="2"/>
      <c r="I161" s="13">
        <f>15000/15</f>
        <v>1000</v>
      </c>
      <c r="J161" s="13">
        <f t="shared" ref="J161:J171" si="39">I161*A161</f>
        <v>5000</v>
      </c>
      <c r="K161" s="13">
        <f t="shared" ref="K161:K171" si="40">F161-J161</f>
        <v>8260</v>
      </c>
      <c r="L161" s="14">
        <f t="shared" ref="L161:L171" si="41">IFERROR(K161/E161, 0)</f>
        <v>0.68833333333333335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7</v>
      </c>
      <c r="B162" s="10" t="s">
        <v>21</v>
      </c>
      <c r="C162" s="11" t="s">
        <v>46</v>
      </c>
      <c r="D162" s="13">
        <v>600</v>
      </c>
      <c r="E162" s="13">
        <f t="shared" si="37"/>
        <v>4200</v>
      </c>
      <c r="F162" s="13">
        <f t="shared" si="38"/>
        <v>4641</v>
      </c>
      <c r="G162" s="2"/>
      <c r="H162" s="2"/>
      <c r="I162" s="13">
        <f>4000/12</f>
        <v>333.33333333333331</v>
      </c>
      <c r="J162" s="13">
        <f t="shared" si="39"/>
        <v>2333.333333333333</v>
      </c>
      <c r="K162" s="13">
        <f t="shared" si="40"/>
        <v>2307.666666666667</v>
      </c>
      <c r="L162" s="14">
        <f t="shared" si="41"/>
        <v>0.54944444444444451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2">
        <v>1.5</v>
      </c>
      <c r="B163" s="10" t="s">
        <v>17</v>
      </c>
      <c r="C163" s="11" t="s">
        <v>34</v>
      </c>
      <c r="D163" s="13">
        <v>5000</v>
      </c>
      <c r="E163" s="13">
        <f t="shared" si="37"/>
        <v>7500</v>
      </c>
      <c r="F163" s="13">
        <f t="shared" si="38"/>
        <v>8287.5</v>
      </c>
      <c r="G163" s="2"/>
      <c r="H163" s="2"/>
      <c r="I163" s="13">
        <v>2000</v>
      </c>
      <c r="J163" s="13">
        <f t="shared" si="39"/>
        <v>3000</v>
      </c>
      <c r="K163" s="13">
        <f t="shared" si="40"/>
        <v>5287.5</v>
      </c>
      <c r="L163" s="14">
        <f t="shared" si="41"/>
        <v>0.70499999999999996</v>
      </c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8</v>
      </c>
      <c r="B164" s="10" t="s">
        <v>21</v>
      </c>
      <c r="C164" s="11" t="s">
        <v>22</v>
      </c>
      <c r="D164" s="13">
        <v>1700</v>
      </c>
      <c r="E164" s="13">
        <f t="shared" si="37"/>
        <v>13600</v>
      </c>
      <c r="F164" s="13">
        <f t="shared" si="38"/>
        <v>15028</v>
      </c>
      <c r="G164" s="2"/>
      <c r="H164" s="2"/>
      <c r="I164" s="13">
        <f>12000/10</f>
        <v>1200</v>
      </c>
      <c r="J164" s="13">
        <f t="shared" si="39"/>
        <v>9600</v>
      </c>
      <c r="K164" s="13">
        <f t="shared" si="40"/>
        <v>5428</v>
      </c>
      <c r="L164" s="14">
        <f t="shared" si="41"/>
        <v>0.39911764705882352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2">
        <v>1</v>
      </c>
      <c r="B165" s="10" t="s">
        <v>17</v>
      </c>
      <c r="C165" s="11" t="s">
        <v>35</v>
      </c>
      <c r="D165" s="13">
        <v>2500</v>
      </c>
      <c r="E165" s="13">
        <f t="shared" si="37"/>
        <v>2500</v>
      </c>
      <c r="F165" s="13">
        <f t="shared" si="38"/>
        <v>2762.5</v>
      </c>
      <c r="G165" s="2"/>
      <c r="H165" s="2"/>
      <c r="I165" s="13">
        <f>14000/11</f>
        <v>1272.7272727272727</v>
      </c>
      <c r="J165" s="13">
        <f t="shared" si="39"/>
        <v>1272.7272727272727</v>
      </c>
      <c r="K165" s="13">
        <f t="shared" si="40"/>
        <v>1489.7727272727273</v>
      </c>
      <c r="L165" s="14">
        <f t="shared" si="41"/>
        <v>0.59590909090909094</v>
      </c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1</v>
      </c>
      <c r="B166" s="10" t="s">
        <v>17</v>
      </c>
      <c r="C166" s="11" t="s">
        <v>61</v>
      </c>
      <c r="D166" s="13">
        <v>1400</v>
      </c>
      <c r="E166" s="13">
        <f t="shared" si="37"/>
        <v>1400</v>
      </c>
      <c r="F166" s="13">
        <f t="shared" si="38"/>
        <v>1547</v>
      </c>
      <c r="G166" s="2"/>
      <c r="H166" s="2"/>
      <c r="I166" s="13">
        <v>1000</v>
      </c>
      <c r="J166" s="13">
        <f t="shared" si="39"/>
        <v>1000</v>
      </c>
      <c r="K166" s="13">
        <f t="shared" si="40"/>
        <v>547</v>
      </c>
      <c r="L166" s="14">
        <f t="shared" si="41"/>
        <v>0.39071428571428574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1</v>
      </c>
      <c r="B167" s="10" t="s">
        <v>4</v>
      </c>
      <c r="C167" s="11" t="s">
        <v>14</v>
      </c>
      <c r="D167" s="13">
        <v>2600</v>
      </c>
      <c r="E167" s="13">
        <f t="shared" si="37"/>
        <v>2600</v>
      </c>
      <c r="F167" s="13">
        <f t="shared" si="38"/>
        <v>2873</v>
      </c>
      <c r="G167" s="2"/>
      <c r="H167" s="2"/>
      <c r="I167" s="13">
        <f>18000/13</f>
        <v>1384.6153846153845</v>
      </c>
      <c r="J167" s="13">
        <f t="shared" si="39"/>
        <v>1384.6153846153845</v>
      </c>
      <c r="K167" s="13">
        <f t="shared" si="40"/>
        <v>1488.3846153846155</v>
      </c>
      <c r="L167" s="14">
        <f t="shared" si="41"/>
        <v>0.57245562130177519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8</v>
      </c>
      <c r="B168" s="10" t="s">
        <v>17</v>
      </c>
      <c r="C168" s="11" t="s">
        <v>24</v>
      </c>
      <c r="D168" s="13">
        <v>3400</v>
      </c>
      <c r="E168" s="13">
        <f t="shared" si="37"/>
        <v>27200</v>
      </c>
      <c r="F168" s="13">
        <f t="shared" si="38"/>
        <v>30056</v>
      </c>
      <c r="G168" s="2"/>
      <c r="H168" s="2"/>
      <c r="I168" s="13">
        <f>53000/18</f>
        <v>2944.4444444444443</v>
      </c>
      <c r="J168" s="13">
        <f t="shared" si="39"/>
        <v>23555.555555555555</v>
      </c>
      <c r="K168" s="13">
        <f t="shared" si="40"/>
        <v>6500.4444444444453</v>
      </c>
      <c r="L168" s="14">
        <f t="shared" si="41"/>
        <v>0.2389869281045752</v>
      </c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3</v>
      </c>
      <c r="B169" s="10" t="s">
        <v>17</v>
      </c>
      <c r="C169" s="11" t="s">
        <v>25</v>
      </c>
      <c r="D169" s="13">
        <v>4200</v>
      </c>
      <c r="E169" s="13">
        <f t="shared" si="37"/>
        <v>12600</v>
      </c>
      <c r="F169" s="13">
        <f t="shared" si="38"/>
        <v>13923</v>
      </c>
      <c r="G169" s="2"/>
      <c r="H169" s="2"/>
      <c r="I169" s="13">
        <f>65000/17</f>
        <v>3823.5294117647059</v>
      </c>
      <c r="J169" s="13">
        <f t="shared" si="39"/>
        <v>11470.588235294117</v>
      </c>
      <c r="K169" s="13">
        <f t="shared" si="40"/>
        <v>2452.4117647058829</v>
      </c>
      <c r="L169" s="14">
        <f t="shared" si="41"/>
        <v>0.19463585434173675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5</v>
      </c>
      <c r="B170" s="10" t="s">
        <v>17</v>
      </c>
      <c r="C170" s="11" t="s">
        <v>26</v>
      </c>
      <c r="D170" s="13">
        <v>1800</v>
      </c>
      <c r="E170" s="13">
        <f t="shared" si="37"/>
        <v>9000</v>
      </c>
      <c r="F170" s="13">
        <f t="shared" si="38"/>
        <v>9945</v>
      </c>
      <c r="G170" s="2"/>
      <c r="H170" s="2"/>
      <c r="I170" s="13">
        <f>22000/16</f>
        <v>1375</v>
      </c>
      <c r="J170" s="13">
        <f t="shared" si="39"/>
        <v>6875</v>
      </c>
      <c r="K170" s="13">
        <f t="shared" si="40"/>
        <v>3070</v>
      </c>
      <c r="L170" s="14">
        <f t="shared" si="41"/>
        <v>0.34111111111111109</v>
      </c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2</v>
      </c>
      <c r="B171" s="10" t="s">
        <v>17</v>
      </c>
      <c r="C171" s="11" t="s">
        <v>62</v>
      </c>
      <c r="D171" s="13">
        <v>3000</v>
      </c>
      <c r="E171" s="13">
        <f t="shared" si="37"/>
        <v>6000</v>
      </c>
      <c r="F171" s="13">
        <f t="shared" si="38"/>
        <v>6630</v>
      </c>
      <c r="G171" s="2"/>
      <c r="H171" s="2"/>
      <c r="I171" s="17">
        <f>30000/17</f>
        <v>1764.7058823529412</v>
      </c>
      <c r="J171" s="13">
        <f t="shared" si="39"/>
        <v>3529.4117647058824</v>
      </c>
      <c r="K171" s="13">
        <f t="shared" si="40"/>
        <v>3100.5882352941176</v>
      </c>
      <c r="L171" s="14">
        <f t="shared" si="41"/>
        <v>0.5167647058823529</v>
      </c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5"/>
      <c r="B172" s="2"/>
      <c r="C172" s="4"/>
      <c r="D172" s="2"/>
      <c r="E172" s="2"/>
      <c r="F172" s="2"/>
      <c r="G172" s="2"/>
      <c r="H172" s="2"/>
      <c r="I172" s="2"/>
      <c r="J172" s="2"/>
      <c r="K172" s="2"/>
      <c r="L172" s="3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"/>
      <c r="B173" s="2"/>
      <c r="C173" s="4"/>
      <c r="D173" s="2"/>
      <c r="E173" s="13">
        <f t="shared" ref="E173:F173" si="42">SUM(E161:E171)</f>
        <v>98600</v>
      </c>
      <c r="F173" s="13">
        <f t="shared" si="42"/>
        <v>108953</v>
      </c>
      <c r="G173" s="2"/>
      <c r="H173" s="2"/>
      <c r="I173" s="2"/>
      <c r="J173" s="2"/>
      <c r="K173" s="13">
        <f>SUM(K161:K171)</f>
        <v>39931.768453768462</v>
      </c>
      <c r="L173" s="14">
        <f>K173/F173</f>
        <v>0.36650453364082186</v>
      </c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88" t="s">
        <v>63</v>
      </c>
      <c r="B176" s="89"/>
      <c r="C176" s="89"/>
      <c r="D176" s="2"/>
      <c r="E176" s="7" t="s">
        <v>58</v>
      </c>
      <c r="F176" s="8">
        <v>46113</v>
      </c>
      <c r="G176" s="7"/>
      <c r="H176" s="2"/>
      <c r="I176" s="9" t="s">
        <v>2</v>
      </c>
      <c r="J176" s="9"/>
      <c r="K176" s="9"/>
      <c r="L176" s="3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3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6" t="s">
        <v>3</v>
      </c>
      <c r="B178" s="10" t="s">
        <v>4</v>
      </c>
      <c r="C178" s="11" t="s">
        <v>5</v>
      </c>
      <c r="D178" s="10" t="s">
        <v>6</v>
      </c>
      <c r="E178" s="10" t="s">
        <v>7</v>
      </c>
      <c r="F178" s="10" t="s">
        <v>8</v>
      </c>
      <c r="G178" s="2"/>
      <c r="H178" s="2"/>
      <c r="I178" s="10" t="s">
        <v>9</v>
      </c>
      <c r="J178" s="10" t="s">
        <v>7</v>
      </c>
      <c r="K178" s="10" t="s">
        <v>10</v>
      </c>
      <c r="L178" s="3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2">
        <v>3</v>
      </c>
      <c r="B179" s="10" t="s">
        <v>4</v>
      </c>
      <c r="C179" s="11" t="s">
        <v>13</v>
      </c>
      <c r="D179" s="13">
        <v>900</v>
      </c>
      <c r="E179" s="13">
        <f t="shared" ref="E179:E195" si="43">A179*D179</f>
        <v>2700</v>
      </c>
      <c r="F179" s="13">
        <f t="shared" ref="F179:F195" si="44">E179*1.105</f>
        <v>2983.5</v>
      </c>
      <c r="G179" s="2"/>
      <c r="H179" s="2"/>
      <c r="I179" s="13">
        <v>460</v>
      </c>
      <c r="J179" s="13">
        <f t="shared" ref="J179:J195" si="45">I179*A179</f>
        <v>1380</v>
      </c>
      <c r="K179" s="13">
        <f t="shared" ref="K179:K195" si="46">F179-J179</f>
        <v>1603.5</v>
      </c>
      <c r="L179" s="14">
        <f t="shared" ref="L179:L195" si="47">IFERROR(K179/E179, 0)</f>
        <v>0.59388888888888891</v>
      </c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2">
        <v>0.3</v>
      </c>
      <c r="B180" s="10" t="s">
        <v>17</v>
      </c>
      <c r="C180" s="11" t="s">
        <v>64</v>
      </c>
      <c r="D180" s="13">
        <v>2500</v>
      </c>
      <c r="E180" s="13">
        <f t="shared" si="43"/>
        <v>750</v>
      </c>
      <c r="F180" s="13">
        <f t="shared" si="44"/>
        <v>828.75</v>
      </c>
      <c r="G180" s="2"/>
      <c r="H180" s="2"/>
      <c r="I180" s="13">
        <f>5000/3</f>
        <v>1666.6666666666667</v>
      </c>
      <c r="J180" s="13">
        <f t="shared" si="45"/>
        <v>500</v>
      </c>
      <c r="K180" s="13">
        <f t="shared" si="46"/>
        <v>328.75</v>
      </c>
      <c r="L180" s="14">
        <f t="shared" si="47"/>
        <v>0.43833333333333335</v>
      </c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4</v>
      </c>
      <c r="B181" s="10" t="s">
        <v>17</v>
      </c>
      <c r="C181" s="11" t="s">
        <v>18</v>
      </c>
      <c r="D181" s="13">
        <v>1600</v>
      </c>
      <c r="E181" s="13">
        <f t="shared" si="43"/>
        <v>6400</v>
      </c>
      <c r="F181" s="13">
        <f t="shared" si="44"/>
        <v>7072</v>
      </c>
      <c r="G181" s="2"/>
      <c r="H181" s="2"/>
      <c r="I181" s="13">
        <f>12000/15</f>
        <v>800</v>
      </c>
      <c r="J181" s="13">
        <f t="shared" si="45"/>
        <v>3200</v>
      </c>
      <c r="K181" s="13">
        <f t="shared" si="46"/>
        <v>3872</v>
      </c>
      <c r="L181" s="14">
        <f t="shared" si="47"/>
        <v>0.60499999999999998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2">
        <v>2</v>
      </c>
      <c r="B182" s="10" t="s">
        <v>17</v>
      </c>
      <c r="C182" s="11" t="s">
        <v>43</v>
      </c>
      <c r="D182" s="13">
        <v>3200</v>
      </c>
      <c r="E182" s="13">
        <f t="shared" si="43"/>
        <v>6400</v>
      </c>
      <c r="F182" s="13">
        <f t="shared" si="44"/>
        <v>7072</v>
      </c>
      <c r="G182" s="2"/>
      <c r="H182" s="2"/>
      <c r="I182" s="13">
        <v>2000</v>
      </c>
      <c r="J182" s="13">
        <f t="shared" si="45"/>
        <v>4000</v>
      </c>
      <c r="K182" s="13">
        <f t="shared" si="46"/>
        <v>3072</v>
      </c>
      <c r="L182" s="14">
        <f t="shared" si="47"/>
        <v>0.48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3</v>
      </c>
      <c r="B183" s="10" t="s">
        <v>15</v>
      </c>
      <c r="C183" s="11" t="s">
        <v>27</v>
      </c>
      <c r="D183" s="13">
        <v>23000</v>
      </c>
      <c r="E183" s="13">
        <f t="shared" si="43"/>
        <v>69000</v>
      </c>
      <c r="F183" s="13">
        <f t="shared" si="44"/>
        <v>76245</v>
      </c>
      <c r="G183" s="2"/>
      <c r="H183" s="2"/>
      <c r="I183" s="13">
        <v>19000</v>
      </c>
      <c r="J183" s="13">
        <f t="shared" si="45"/>
        <v>57000</v>
      </c>
      <c r="K183" s="13">
        <f t="shared" si="46"/>
        <v>19245</v>
      </c>
      <c r="L183" s="14">
        <f t="shared" si="47"/>
        <v>0.27891304347826085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0.5</v>
      </c>
      <c r="B184" s="10" t="s">
        <v>21</v>
      </c>
      <c r="C184" s="11" t="s">
        <v>29</v>
      </c>
      <c r="D184" s="13">
        <v>3500</v>
      </c>
      <c r="E184" s="13">
        <f t="shared" si="43"/>
        <v>1750</v>
      </c>
      <c r="F184" s="13">
        <f t="shared" si="44"/>
        <v>1933.75</v>
      </c>
      <c r="G184" s="2"/>
      <c r="H184" s="2"/>
      <c r="I184" s="13">
        <v>1000</v>
      </c>
      <c r="J184" s="13">
        <f t="shared" si="45"/>
        <v>500</v>
      </c>
      <c r="K184" s="13">
        <f t="shared" si="46"/>
        <v>1433.75</v>
      </c>
      <c r="L184" s="14">
        <f t="shared" si="47"/>
        <v>0.81928571428571428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8</v>
      </c>
      <c r="B185" s="10" t="s">
        <v>17</v>
      </c>
      <c r="C185" s="11" t="s">
        <v>39</v>
      </c>
      <c r="D185" s="13">
        <v>2400</v>
      </c>
      <c r="E185" s="13">
        <f t="shared" si="43"/>
        <v>19200</v>
      </c>
      <c r="F185" s="13">
        <f t="shared" si="44"/>
        <v>21216</v>
      </c>
      <c r="G185" s="2"/>
      <c r="H185" s="2"/>
      <c r="I185" s="13">
        <f>15000/15</f>
        <v>1000</v>
      </c>
      <c r="J185" s="13">
        <f t="shared" si="45"/>
        <v>8000</v>
      </c>
      <c r="K185" s="13">
        <f t="shared" si="46"/>
        <v>13216</v>
      </c>
      <c r="L185" s="14">
        <f t="shared" si="47"/>
        <v>0.68833333333333335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1</v>
      </c>
      <c r="B186" s="10" t="s">
        <v>15</v>
      </c>
      <c r="C186" s="11" t="s">
        <v>40</v>
      </c>
      <c r="D186" s="13">
        <v>12000</v>
      </c>
      <c r="E186" s="13">
        <f t="shared" si="43"/>
        <v>12000</v>
      </c>
      <c r="F186" s="13">
        <f t="shared" si="44"/>
        <v>13260</v>
      </c>
      <c r="G186" s="2"/>
      <c r="H186" s="2"/>
      <c r="I186" s="13">
        <v>7000</v>
      </c>
      <c r="J186" s="13">
        <f t="shared" si="45"/>
        <v>7000</v>
      </c>
      <c r="K186" s="13">
        <f t="shared" si="46"/>
        <v>6260</v>
      </c>
      <c r="L186" s="14">
        <f t="shared" si="47"/>
        <v>0.52166666666666661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2</v>
      </c>
      <c r="B187" s="10" t="s">
        <v>23</v>
      </c>
      <c r="C187" s="11" t="s">
        <v>26</v>
      </c>
      <c r="D187" s="13">
        <v>25000</v>
      </c>
      <c r="E187" s="13">
        <f t="shared" si="43"/>
        <v>50000</v>
      </c>
      <c r="F187" s="13">
        <f t="shared" si="44"/>
        <v>55250</v>
      </c>
      <c r="G187" s="2"/>
      <c r="H187" s="2"/>
      <c r="I187" s="13">
        <v>22000</v>
      </c>
      <c r="J187" s="13">
        <f t="shared" si="45"/>
        <v>44000</v>
      </c>
      <c r="K187" s="13">
        <f t="shared" si="46"/>
        <v>11250</v>
      </c>
      <c r="L187" s="14">
        <f t="shared" si="47"/>
        <v>0.22500000000000001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0.5</v>
      </c>
      <c r="B188" s="10" t="s">
        <v>23</v>
      </c>
      <c r="C188" s="11" t="s">
        <v>25</v>
      </c>
      <c r="D188" s="13">
        <v>70000</v>
      </c>
      <c r="E188" s="13">
        <f t="shared" si="43"/>
        <v>35000</v>
      </c>
      <c r="F188" s="13">
        <f t="shared" si="44"/>
        <v>38675</v>
      </c>
      <c r="G188" s="2"/>
      <c r="H188" s="2"/>
      <c r="I188" s="13">
        <v>65000</v>
      </c>
      <c r="J188" s="13">
        <f t="shared" si="45"/>
        <v>32500</v>
      </c>
      <c r="K188" s="13">
        <f t="shared" si="46"/>
        <v>6175</v>
      </c>
      <c r="L188" s="14">
        <f t="shared" si="47"/>
        <v>0.17642857142857143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2</v>
      </c>
      <c r="B189" s="10" t="s">
        <v>17</v>
      </c>
      <c r="C189" s="11" t="s">
        <v>38</v>
      </c>
      <c r="D189" s="13">
        <v>1800</v>
      </c>
      <c r="E189" s="13">
        <f t="shared" si="43"/>
        <v>3600</v>
      </c>
      <c r="F189" s="13">
        <f t="shared" si="44"/>
        <v>3978</v>
      </c>
      <c r="G189" s="7" t="s">
        <v>37</v>
      </c>
      <c r="H189" s="2"/>
      <c r="I189" s="13">
        <v>1000</v>
      </c>
      <c r="J189" s="13">
        <f t="shared" si="45"/>
        <v>2000</v>
      </c>
      <c r="K189" s="13">
        <f t="shared" si="46"/>
        <v>1978</v>
      </c>
      <c r="L189" s="14">
        <f t="shared" si="47"/>
        <v>0.5494444444444444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2.5</v>
      </c>
      <c r="B190" s="10" t="s">
        <v>17</v>
      </c>
      <c r="C190" s="11" t="s">
        <v>36</v>
      </c>
      <c r="D190" s="13">
        <v>1800</v>
      </c>
      <c r="E190" s="13">
        <f t="shared" si="43"/>
        <v>4500</v>
      </c>
      <c r="F190" s="13">
        <f t="shared" si="44"/>
        <v>4972.5</v>
      </c>
      <c r="G190" s="2"/>
      <c r="H190" s="2"/>
      <c r="I190" s="17">
        <v>1000</v>
      </c>
      <c r="J190" s="13">
        <f t="shared" si="45"/>
        <v>2500</v>
      </c>
      <c r="K190" s="13">
        <f t="shared" si="46"/>
        <v>2472.5</v>
      </c>
      <c r="L190" s="18">
        <f t="shared" si="47"/>
        <v>0.5494444444444444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3</v>
      </c>
      <c r="B191" s="10" t="s">
        <v>4</v>
      </c>
      <c r="C191" s="11" t="s">
        <v>65</v>
      </c>
      <c r="D191" s="13">
        <v>1600</v>
      </c>
      <c r="E191" s="13">
        <f t="shared" si="43"/>
        <v>4800</v>
      </c>
      <c r="F191" s="13">
        <f t="shared" si="44"/>
        <v>5304</v>
      </c>
      <c r="G191" s="2"/>
      <c r="H191" s="2"/>
      <c r="I191" s="19">
        <f>82000/80</f>
        <v>1025</v>
      </c>
      <c r="J191" s="13">
        <f t="shared" si="45"/>
        <v>3075</v>
      </c>
      <c r="K191" s="13">
        <f t="shared" si="46"/>
        <v>2229</v>
      </c>
      <c r="L191" s="18">
        <f t="shared" si="47"/>
        <v>0.46437499999999998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30</v>
      </c>
      <c r="B192" s="10" t="s">
        <v>4</v>
      </c>
      <c r="C192" s="11" t="s">
        <v>20</v>
      </c>
      <c r="D192" s="13">
        <v>800</v>
      </c>
      <c r="E192" s="13">
        <f t="shared" si="43"/>
        <v>24000</v>
      </c>
      <c r="F192" s="13">
        <f t="shared" si="44"/>
        <v>26520</v>
      </c>
      <c r="G192" s="2"/>
      <c r="H192" s="2"/>
      <c r="I192" s="13">
        <f>30000/94</f>
        <v>319.14893617021278</v>
      </c>
      <c r="J192" s="13">
        <f t="shared" si="45"/>
        <v>9574.468085106384</v>
      </c>
      <c r="K192" s="13">
        <f t="shared" si="46"/>
        <v>16945.531914893618</v>
      </c>
      <c r="L192" s="18">
        <f t="shared" si="47"/>
        <v>0.70606382978723403</v>
      </c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2</v>
      </c>
      <c r="B193" s="10" t="s">
        <v>17</v>
      </c>
      <c r="C193" s="11" t="s">
        <v>35</v>
      </c>
      <c r="D193" s="13">
        <v>2500</v>
      </c>
      <c r="E193" s="13">
        <f t="shared" si="43"/>
        <v>5000</v>
      </c>
      <c r="F193" s="13">
        <f t="shared" si="44"/>
        <v>5525</v>
      </c>
      <c r="G193" s="2"/>
      <c r="H193" s="2"/>
      <c r="I193" s="13">
        <f>14000/11</f>
        <v>1272.7272727272727</v>
      </c>
      <c r="J193" s="13">
        <f t="shared" si="45"/>
        <v>2545.4545454545455</v>
      </c>
      <c r="K193" s="13">
        <f t="shared" si="46"/>
        <v>2979.5454545454545</v>
      </c>
      <c r="L193" s="18">
        <f t="shared" si="47"/>
        <v>0.59590909090909094</v>
      </c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2</v>
      </c>
      <c r="B194" s="10" t="s">
        <v>17</v>
      </c>
      <c r="C194" s="11" t="s">
        <v>42</v>
      </c>
      <c r="D194" s="13">
        <v>4500</v>
      </c>
      <c r="E194" s="13">
        <f t="shared" si="43"/>
        <v>9000</v>
      </c>
      <c r="F194" s="13">
        <f t="shared" si="44"/>
        <v>9945</v>
      </c>
      <c r="G194" s="7" t="s">
        <v>37</v>
      </c>
      <c r="H194" s="2"/>
      <c r="I194" s="13">
        <v>1200</v>
      </c>
      <c r="J194" s="13">
        <f t="shared" si="45"/>
        <v>2400</v>
      </c>
      <c r="K194" s="13">
        <f t="shared" si="46"/>
        <v>7545</v>
      </c>
      <c r="L194" s="18">
        <f t="shared" si="47"/>
        <v>0.83833333333333337</v>
      </c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2</v>
      </c>
      <c r="B195" s="10" t="s">
        <v>17</v>
      </c>
      <c r="C195" s="11" t="s">
        <v>56</v>
      </c>
      <c r="D195" s="13">
        <v>800</v>
      </c>
      <c r="E195" s="13">
        <f t="shared" si="43"/>
        <v>1600</v>
      </c>
      <c r="F195" s="13">
        <f t="shared" si="44"/>
        <v>1768</v>
      </c>
      <c r="G195" s="7" t="s">
        <v>37</v>
      </c>
      <c r="H195" s="2"/>
      <c r="I195" s="13">
        <f>10000/16</f>
        <v>625</v>
      </c>
      <c r="J195" s="13">
        <f t="shared" si="45"/>
        <v>1250</v>
      </c>
      <c r="K195" s="13">
        <f t="shared" si="46"/>
        <v>518</v>
      </c>
      <c r="L195" s="18">
        <f t="shared" si="47"/>
        <v>0.32374999999999998</v>
      </c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"/>
      <c r="B196" s="2"/>
      <c r="C196" s="4"/>
      <c r="D196" s="2"/>
      <c r="E196" s="2"/>
      <c r="F196" s="2"/>
      <c r="G196" s="2"/>
      <c r="H196" s="2"/>
      <c r="I196" s="2"/>
      <c r="J196" s="2"/>
      <c r="K196" s="2"/>
      <c r="L196" s="3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"/>
      <c r="B197" s="2"/>
      <c r="C197" s="4"/>
      <c r="D197" s="2"/>
      <c r="E197" s="13">
        <f t="shared" ref="E197:F197" si="48">SUM(E179:E195)</f>
        <v>255700</v>
      </c>
      <c r="F197" s="13">
        <f t="shared" si="48"/>
        <v>282548.5</v>
      </c>
      <c r="G197" s="2"/>
      <c r="H197" s="2"/>
      <c r="I197" s="2"/>
      <c r="J197" s="2"/>
      <c r="K197" s="13">
        <f>SUM(K179:K195)</f>
        <v>101123.57736943908</v>
      </c>
      <c r="L197" s="14">
        <f>K197/F197</f>
        <v>0.35789812145326938</v>
      </c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0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0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88" t="s">
        <v>66</v>
      </c>
      <c r="B200" s="89"/>
      <c r="C200" s="89"/>
      <c r="D200" s="2"/>
      <c r="E200" s="7" t="s">
        <v>54</v>
      </c>
      <c r="F200" s="8">
        <v>46113</v>
      </c>
      <c r="G200" s="2"/>
      <c r="H200" s="2"/>
      <c r="I200" s="9" t="s">
        <v>2</v>
      </c>
      <c r="J200" s="9"/>
      <c r="K200" s="9"/>
      <c r="L200" s="3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3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6" t="s">
        <v>3</v>
      </c>
      <c r="B202" s="10" t="s">
        <v>4</v>
      </c>
      <c r="C202" s="11" t="s">
        <v>5</v>
      </c>
      <c r="D202" s="10" t="s">
        <v>6</v>
      </c>
      <c r="E202" s="10" t="s">
        <v>7</v>
      </c>
      <c r="F202" s="10" t="s">
        <v>8</v>
      </c>
      <c r="G202" s="2"/>
      <c r="H202" s="2"/>
      <c r="I202" s="10" t="s">
        <v>9</v>
      </c>
      <c r="J202" s="10" t="s">
        <v>7</v>
      </c>
      <c r="K202" s="10" t="s">
        <v>10</v>
      </c>
      <c r="L202" s="3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2">
        <v>7</v>
      </c>
      <c r="B203" s="10" t="s">
        <v>17</v>
      </c>
      <c r="C203" s="11" t="s">
        <v>39</v>
      </c>
      <c r="D203" s="13">
        <v>2400</v>
      </c>
      <c r="E203" s="13">
        <f t="shared" ref="E203:E218" si="49">A203*D203</f>
        <v>16800</v>
      </c>
      <c r="F203" s="13">
        <f t="shared" ref="F203:F218" si="50">E203*1.105</f>
        <v>18564</v>
      </c>
      <c r="G203" s="2"/>
      <c r="H203" s="2"/>
      <c r="I203" s="13">
        <f>15000/15</f>
        <v>1000</v>
      </c>
      <c r="J203" s="13">
        <f t="shared" ref="J203:J218" si="51">I203*A203</f>
        <v>7000</v>
      </c>
      <c r="K203" s="13">
        <f t="shared" ref="K203:K218" si="52">F203-J203</f>
        <v>11564</v>
      </c>
      <c r="L203" s="14">
        <f t="shared" ref="L203:L218" si="53">IFERROR(K203/E203, 0)</f>
        <v>0.68833333333333335</v>
      </c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2">
        <v>0.35</v>
      </c>
      <c r="B204" s="10" t="s">
        <v>21</v>
      </c>
      <c r="C204" s="11" t="s">
        <v>29</v>
      </c>
      <c r="D204" s="13">
        <v>3500</v>
      </c>
      <c r="E204" s="13">
        <f t="shared" si="49"/>
        <v>1225</v>
      </c>
      <c r="F204" s="13">
        <f t="shared" si="50"/>
        <v>1353.625</v>
      </c>
      <c r="G204" s="2"/>
      <c r="H204" s="2"/>
      <c r="I204" s="13">
        <v>1000</v>
      </c>
      <c r="J204" s="13">
        <f t="shared" si="51"/>
        <v>350</v>
      </c>
      <c r="K204" s="13">
        <f t="shared" si="52"/>
        <v>1003.625</v>
      </c>
      <c r="L204" s="14">
        <f t="shared" si="53"/>
        <v>0.81928571428571428</v>
      </c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2">
        <v>1.3</v>
      </c>
      <c r="B205" s="10" t="s">
        <v>17</v>
      </c>
      <c r="C205" s="11" t="s">
        <v>36</v>
      </c>
      <c r="D205" s="13">
        <v>1800</v>
      </c>
      <c r="E205" s="13">
        <f t="shared" si="49"/>
        <v>2340</v>
      </c>
      <c r="F205" s="13">
        <f t="shared" si="50"/>
        <v>2585.6999999999998</v>
      </c>
      <c r="G205" s="2"/>
      <c r="H205" s="7" t="s">
        <v>37</v>
      </c>
      <c r="I205" s="13">
        <v>1000</v>
      </c>
      <c r="J205" s="13">
        <f t="shared" si="51"/>
        <v>1300</v>
      </c>
      <c r="K205" s="13">
        <f t="shared" si="52"/>
        <v>1285.6999999999998</v>
      </c>
      <c r="L205" s="14">
        <f t="shared" si="53"/>
        <v>0.5494444444444444</v>
      </c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2">
        <v>1</v>
      </c>
      <c r="B206" s="10" t="s">
        <v>15</v>
      </c>
      <c r="C206" s="11" t="s">
        <v>40</v>
      </c>
      <c r="D206" s="13">
        <v>12000</v>
      </c>
      <c r="E206" s="13">
        <f t="shared" si="49"/>
        <v>12000</v>
      </c>
      <c r="F206" s="13">
        <f t="shared" si="50"/>
        <v>13260</v>
      </c>
      <c r="G206" s="2"/>
      <c r="H206" s="2"/>
      <c r="I206" s="13">
        <v>7000</v>
      </c>
      <c r="J206" s="13">
        <f t="shared" si="51"/>
        <v>7000</v>
      </c>
      <c r="K206" s="13">
        <f t="shared" si="52"/>
        <v>6260</v>
      </c>
      <c r="L206" s="14">
        <f t="shared" si="53"/>
        <v>0.52166666666666661</v>
      </c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2">
        <v>3</v>
      </c>
      <c r="B207" s="10" t="s">
        <v>17</v>
      </c>
      <c r="C207" s="11" t="s">
        <v>43</v>
      </c>
      <c r="D207" s="13">
        <v>3200</v>
      </c>
      <c r="E207" s="13">
        <f t="shared" si="49"/>
        <v>9600</v>
      </c>
      <c r="F207" s="13">
        <f t="shared" si="50"/>
        <v>10608</v>
      </c>
      <c r="G207" s="2"/>
      <c r="H207" s="2"/>
      <c r="I207" s="13">
        <v>2000</v>
      </c>
      <c r="J207" s="13">
        <f t="shared" si="51"/>
        <v>6000</v>
      </c>
      <c r="K207" s="13">
        <f t="shared" si="52"/>
        <v>4608</v>
      </c>
      <c r="L207" s="14">
        <f t="shared" si="53"/>
        <v>0.48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2">
        <v>10</v>
      </c>
      <c r="B208" s="10" t="s">
        <v>21</v>
      </c>
      <c r="C208" s="11" t="s">
        <v>46</v>
      </c>
      <c r="D208" s="13">
        <v>600</v>
      </c>
      <c r="E208" s="13">
        <f t="shared" si="49"/>
        <v>6000</v>
      </c>
      <c r="F208" s="13">
        <f t="shared" si="50"/>
        <v>6630</v>
      </c>
      <c r="G208" s="2"/>
      <c r="H208" s="2"/>
      <c r="I208" s="13">
        <v>291.67</v>
      </c>
      <c r="J208" s="13">
        <f t="shared" si="51"/>
        <v>2916.7000000000003</v>
      </c>
      <c r="K208" s="13">
        <f t="shared" si="52"/>
        <v>3713.2999999999997</v>
      </c>
      <c r="L208" s="14">
        <f t="shared" si="53"/>
        <v>0.61888333333333334</v>
      </c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2">
        <v>1</v>
      </c>
      <c r="B209" s="10" t="s">
        <v>17</v>
      </c>
      <c r="C209" s="11" t="s">
        <v>35</v>
      </c>
      <c r="D209" s="13">
        <v>2500</v>
      </c>
      <c r="E209" s="13">
        <f t="shared" si="49"/>
        <v>2500</v>
      </c>
      <c r="F209" s="13">
        <f t="shared" si="50"/>
        <v>2762.5</v>
      </c>
      <c r="G209" s="2"/>
      <c r="H209" s="2"/>
      <c r="I209" s="13">
        <f>14000/11</f>
        <v>1272.7272727272727</v>
      </c>
      <c r="J209" s="13">
        <f t="shared" si="51"/>
        <v>1272.7272727272727</v>
      </c>
      <c r="K209" s="13">
        <f t="shared" si="52"/>
        <v>1489.7727272727273</v>
      </c>
      <c r="L209" s="14">
        <f t="shared" si="53"/>
        <v>0.59590909090909094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2">
        <v>5</v>
      </c>
      <c r="B210" s="10" t="s">
        <v>17</v>
      </c>
      <c r="C210" s="11" t="s">
        <v>24</v>
      </c>
      <c r="D210" s="13">
        <v>3400</v>
      </c>
      <c r="E210" s="13">
        <f t="shared" si="49"/>
        <v>17000</v>
      </c>
      <c r="F210" s="13">
        <f t="shared" si="50"/>
        <v>18785</v>
      </c>
      <c r="G210" s="2"/>
      <c r="H210" s="2"/>
      <c r="I210" s="13">
        <f>53000/18</f>
        <v>2944.4444444444443</v>
      </c>
      <c r="J210" s="13">
        <f t="shared" si="51"/>
        <v>14722.222222222223</v>
      </c>
      <c r="K210" s="13">
        <f t="shared" si="52"/>
        <v>4062.7777777777774</v>
      </c>
      <c r="L210" s="14">
        <f t="shared" si="53"/>
        <v>0.23898692810457514</v>
      </c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2">
        <v>1</v>
      </c>
      <c r="B211" s="10" t="s">
        <v>23</v>
      </c>
      <c r="C211" s="11" t="s">
        <v>26</v>
      </c>
      <c r="D211" s="13">
        <v>25000</v>
      </c>
      <c r="E211" s="13">
        <f t="shared" si="49"/>
        <v>25000</v>
      </c>
      <c r="F211" s="13">
        <f t="shared" si="50"/>
        <v>27625</v>
      </c>
      <c r="G211" s="2"/>
      <c r="H211" s="2"/>
      <c r="I211" s="13">
        <v>22000</v>
      </c>
      <c r="J211" s="13">
        <f t="shared" si="51"/>
        <v>22000</v>
      </c>
      <c r="K211" s="13">
        <f t="shared" si="52"/>
        <v>5625</v>
      </c>
      <c r="L211" s="14">
        <f t="shared" si="53"/>
        <v>0.22500000000000001</v>
      </c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2">
        <v>3</v>
      </c>
      <c r="B212" s="10" t="s">
        <v>17</v>
      </c>
      <c r="C212" s="11" t="s">
        <v>62</v>
      </c>
      <c r="D212" s="13">
        <v>3000</v>
      </c>
      <c r="E212" s="13">
        <f t="shared" si="49"/>
        <v>9000</v>
      </c>
      <c r="F212" s="13">
        <f t="shared" si="50"/>
        <v>9945</v>
      </c>
      <c r="G212" s="2"/>
      <c r="H212" s="2"/>
      <c r="I212" s="17">
        <f>30000/17</f>
        <v>1764.7058823529412</v>
      </c>
      <c r="J212" s="13">
        <f t="shared" si="51"/>
        <v>5294.1176470588234</v>
      </c>
      <c r="K212" s="13">
        <f t="shared" si="52"/>
        <v>4650.8823529411766</v>
      </c>
      <c r="L212" s="14">
        <f t="shared" si="53"/>
        <v>0.5167647058823529</v>
      </c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2">
        <v>1</v>
      </c>
      <c r="B213" s="10" t="s">
        <v>17</v>
      </c>
      <c r="C213" s="11" t="s">
        <v>31</v>
      </c>
      <c r="D213" s="13">
        <v>3200</v>
      </c>
      <c r="E213" s="13">
        <f t="shared" si="49"/>
        <v>3200</v>
      </c>
      <c r="F213" s="13">
        <f t="shared" si="50"/>
        <v>3536</v>
      </c>
      <c r="G213" s="2"/>
      <c r="H213" s="2"/>
      <c r="I213" s="13">
        <v>1000</v>
      </c>
      <c r="J213" s="13">
        <f t="shared" si="51"/>
        <v>1000</v>
      </c>
      <c r="K213" s="13">
        <f t="shared" si="52"/>
        <v>2536</v>
      </c>
      <c r="L213" s="14">
        <f t="shared" si="53"/>
        <v>0.79249999999999998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2">
        <v>1</v>
      </c>
      <c r="B214" s="10" t="s">
        <v>17</v>
      </c>
      <c r="C214" s="11" t="s">
        <v>67</v>
      </c>
      <c r="D214" s="13">
        <v>3200</v>
      </c>
      <c r="E214" s="13">
        <f t="shared" si="49"/>
        <v>3200</v>
      </c>
      <c r="F214" s="13">
        <f t="shared" si="50"/>
        <v>3536</v>
      </c>
      <c r="G214" s="2"/>
      <c r="H214" s="2"/>
      <c r="I214" s="17">
        <v>1000</v>
      </c>
      <c r="J214" s="13">
        <f t="shared" si="51"/>
        <v>1000</v>
      </c>
      <c r="K214" s="13">
        <f t="shared" si="52"/>
        <v>2536</v>
      </c>
      <c r="L214" s="14">
        <f t="shared" si="53"/>
        <v>0.79249999999999998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3</v>
      </c>
      <c r="B215" s="10" t="s">
        <v>17</v>
      </c>
      <c r="C215" s="11" t="s">
        <v>34</v>
      </c>
      <c r="D215" s="13">
        <v>5000</v>
      </c>
      <c r="E215" s="13">
        <f t="shared" si="49"/>
        <v>15000</v>
      </c>
      <c r="F215" s="13">
        <f t="shared" si="50"/>
        <v>16575</v>
      </c>
      <c r="G215" s="2"/>
      <c r="H215" s="2"/>
      <c r="I215" s="13">
        <v>2000</v>
      </c>
      <c r="J215" s="13">
        <f t="shared" si="51"/>
        <v>6000</v>
      </c>
      <c r="K215" s="13">
        <f t="shared" si="52"/>
        <v>10575</v>
      </c>
      <c r="L215" s="14">
        <f t="shared" si="53"/>
        <v>0.70499999999999996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1</v>
      </c>
      <c r="B216" s="10" t="s">
        <v>4</v>
      </c>
      <c r="C216" s="11" t="s">
        <v>14</v>
      </c>
      <c r="D216" s="13">
        <v>2600</v>
      </c>
      <c r="E216" s="13">
        <f t="shared" si="49"/>
        <v>2600</v>
      </c>
      <c r="F216" s="13">
        <f t="shared" si="50"/>
        <v>2873</v>
      </c>
      <c r="G216" s="2"/>
      <c r="H216" s="2"/>
      <c r="I216" s="13">
        <f>18000/13</f>
        <v>1384.6153846153845</v>
      </c>
      <c r="J216" s="13">
        <f t="shared" si="51"/>
        <v>1384.6153846153845</v>
      </c>
      <c r="K216" s="13">
        <f t="shared" si="52"/>
        <v>1488.3846153846155</v>
      </c>
      <c r="L216" s="14">
        <f t="shared" si="53"/>
        <v>0.57245562130177519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1</v>
      </c>
      <c r="B217" s="10" t="s">
        <v>21</v>
      </c>
      <c r="C217" s="11" t="s">
        <v>51</v>
      </c>
      <c r="D217" s="13">
        <v>1500</v>
      </c>
      <c r="E217" s="13">
        <f t="shared" si="49"/>
        <v>1500</v>
      </c>
      <c r="F217" s="13">
        <f t="shared" si="50"/>
        <v>1657.5</v>
      </c>
      <c r="G217" s="2"/>
      <c r="H217" s="2"/>
      <c r="I217" s="13">
        <v>1200</v>
      </c>
      <c r="J217" s="13">
        <f t="shared" si="51"/>
        <v>1200</v>
      </c>
      <c r="K217" s="13">
        <f t="shared" si="52"/>
        <v>457.5</v>
      </c>
      <c r="L217" s="14">
        <f t="shared" si="53"/>
        <v>0.30499999999999999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0.3</v>
      </c>
      <c r="B218" s="10" t="s">
        <v>17</v>
      </c>
      <c r="C218" s="11" t="s">
        <v>55</v>
      </c>
      <c r="D218" s="13">
        <v>21000</v>
      </c>
      <c r="E218" s="13">
        <f t="shared" si="49"/>
        <v>6300</v>
      </c>
      <c r="F218" s="13">
        <f t="shared" si="50"/>
        <v>6961.5</v>
      </c>
      <c r="G218" s="2"/>
      <c r="H218" s="2"/>
      <c r="I218" s="13">
        <v>17000</v>
      </c>
      <c r="J218" s="13">
        <f t="shared" si="51"/>
        <v>5100</v>
      </c>
      <c r="K218" s="13">
        <f t="shared" si="52"/>
        <v>1861.5</v>
      </c>
      <c r="L218" s="14">
        <f t="shared" si="53"/>
        <v>0.2954761904761905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"/>
      <c r="B219" s="2"/>
      <c r="C219" s="4"/>
      <c r="D219" s="2"/>
      <c r="E219" s="2"/>
      <c r="F219" s="2"/>
      <c r="G219" s="2"/>
      <c r="H219" s="2"/>
      <c r="I219" s="2"/>
      <c r="J219" s="2"/>
      <c r="K219" s="2"/>
      <c r="L219" s="3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"/>
      <c r="B220" s="2"/>
      <c r="C220" s="4"/>
      <c r="D220" s="2"/>
      <c r="E220" s="13">
        <f t="shared" ref="E220:F220" si="54">SUM(E203:E218)</f>
        <v>133265</v>
      </c>
      <c r="F220" s="13">
        <f t="shared" si="54"/>
        <v>147257.82500000001</v>
      </c>
      <c r="G220" s="2"/>
      <c r="H220" s="2"/>
      <c r="I220" s="2"/>
      <c r="J220" s="2"/>
      <c r="K220" s="13">
        <f>SUM(K203:K218)</f>
        <v>63717.442473376293</v>
      </c>
      <c r="L220" s="14">
        <f>K220/F220</f>
        <v>0.43269308421047431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0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0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0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88" t="s">
        <v>68</v>
      </c>
      <c r="B224" s="89"/>
      <c r="C224" s="89"/>
      <c r="D224" s="2"/>
      <c r="E224" s="7" t="s">
        <v>69</v>
      </c>
      <c r="F224" s="8">
        <v>46113</v>
      </c>
      <c r="G224" s="2"/>
      <c r="H224" s="2"/>
      <c r="I224" s="9" t="s">
        <v>2</v>
      </c>
      <c r="J224" s="9"/>
      <c r="K224" s="9"/>
      <c r="L224" s="3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3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6" t="s">
        <v>3</v>
      </c>
      <c r="B226" s="10" t="s">
        <v>4</v>
      </c>
      <c r="C226" s="11" t="s">
        <v>5</v>
      </c>
      <c r="D226" s="10" t="s">
        <v>6</v>
      </c>
      <c r="E226" s="10" t="s">
        <v>7</v>
      </c>
      <c r="F226" s="10" t="s">
        <v>8</v>
      </c>
      <c r="G226" s="2"/>
      <c r="H226" s="2"/>
      <c r="I226" s="10" t="s">
        <v>9</v>
      </c>
      <c r="J226" s="10" t="s">
        <v>7</v>
      </c>
      <c r="K226" s="10" t="s">
        <v>10</v>
      </c>
      <c r="L226" s="3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2">
        <v>2</v>
      </c>
      <c r="B227" s="10" t="s">
        <v>17</v>
      </c>
      <c r="C227" s="11" t="s">
        <v>18</v>
      </c>
      <c r="D227" s="13">
        <v>1600</v>
      </c>
      <c r="E227" s="13">
        <f t="shared" ref="E227:E236" si="55">A227*D227</f>
        <v>3200</v>
      </c>
      <c r="F227" s="13">
        <f t="shared" ref="F227:F236" si="56">E227*1.105</f>
        <v>3536</v>
      </c>
      <c r="G227" s="2"/>
      <c r="H227" s="2"/>
      <c r="I227" s="13">
        <f>12000/15</f>
        <v>800</v>
      </c>
      <c r="J227" s="13">
        <f t="shared" ref="J227:J236" si="57">I227*A227</f>
        <v>1600</v>
      </c>
      <c r="K227" s="13">
        <f t="shared" ref="K227:K236" si="58">F227-J227</f>
        <v>1936</v>
      </c>
      <c r="L227" s="14">
        <f t="shared" ref="L227:L236" si="59">IFERROR(K227/E227, 0)</f>
        <v>0.60499999999999998</v>
      </c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1</v>
      </c>
      <c r="B228" s="10" t="s">
        <v>17</v>
      </c>
      <c r="C228" s="11" t="s">
        <v>31</v>
      </c>
      <c r="D228" s="13">
        <v>3200</v>
      </c>
      <c r="E228" s="13">
        <f t="shared" si="55"/>
        <v>3200</v>
      </c>
      <c r="F228" s="13">
        <f t="shared" si="56"/>
        <v>3536</v>
      </c>
      <c r="G228" s="2"/>
      <c r="H228" s="2"/>
      <c r="I228" s="13">
        <v>1000</v>
      </c>
      <c r="J228" s="13">
        <f t="shared" si="57"/>
        <v>1000</v>
      </c>
      <c r="K228" s="13">
        <f t="shared" si="58"/>
        <v>2536</v>
      </c>
      <c r="L228" s="14">
        <f t="shared" si="59"/>
        <v>0.79249999999999998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6</v>
      </c>
      <c r="B229" s="10" t="s">
        <v>17</v>
      </c>
      <c r="C229" s="11" t="s">
        <v>39</v>
      </c>
      <c r="D229" s="13">
        <v>2400</v>
      </c>
      <c r="E229" s="13">
        <f t="shared" si="55"/>
        <v>14400</v>
      </c>
      <c r="F229" s="13">
        <f t="shared" si="56"/>
        <v>15912</v>
      </c>
      <c r="G229" s="2"/>
      <c r="H229" s="2"/>
      <c r="I229" s="13">
        <f>15000/15</f>
        <v>1000</v>
      </c>
      <c r="J229" s="13">
        <f t="shared" si="57"/>
        <v>6000</v>
      </c>
      <c r="K229" s="13">
        <f t="shared" si="58"/>
        <v>9912</v>
      </c>
      <c r="L229" s="14">
        <f t="shared" si="59"/>
        <v>0.68833333333333335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8</v>
      </c>
      <c r="B230" s="10" t="s">
        <v>21</v>
      </c>
      <c r="C230" s="11" t="s">
        <v>46</v>
      </c>
      <c r="D230" s="13">
        <v>600</v>
      </c>
      <c r="E230" s="13">
        <f t="shared" si="55"/>
        <v>4800</v>
      </c>
      <c r="F230" s="13">
        <f t="shared" si="56"/>
        <v>5304</v>
      </c>
      <c r="G230" s="2"/>
      <c r="H230" s="2"/>
      <c r="I230" s="13">
        <v>300</v>
      </c>
      <c r="J230" s="13">
        <f t="shared" si="57"/>
        <v>2400</v>
      </c>
      <c r="K230" s="13">
        <f t="shared" si="58"/>
        <v>2904</v>
      </c>
      <c r="L230" s="14">
        <f t="shared" si="59"/>
        <v>0.60499999999999998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1</v>
      </c>
      <c r="B231" s="10" t="s">
        <v>17</v>
      </c>
      <c r="C231" s="11" t="s">
        <v>43</v>
      </c>
      <c r="D231" s="13">
        <v>3200</v>
      </c>
      <c r="E231" s="13">
        <f t="shared" si="55"/>
        <v>3200</v>
      </c>
      <c r="F231" s="13">
        <f t="shared" si="56"/>
        <v>3536</v>
      </c>
      <c r="G231" s="2"/>
      <c r="H231" s="2"/>
      <c r="I231" s="13">
        <v>2000</v>
      </c>
      <c r="J231" s="13">
        <f t="shared" si="57"/>
        <v>2000</v>
      </c>
      <c r="K231" s="13">
        <f t="shared" si="58"/>
        <v>1536</v>
      </c>
      <c r="L231" s="14">
        <f t="shared" si="59"/>
        <v>0.48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1</v>
      </c>
      <c r="B232" s="10" t="s">
        <v>21</v>
      </c>
      <c r="C232" s="11" t="s">
        <v>34</v>
      </c>
      <c r="D232" s="13">
        <v>5000</v>
      </c>
      <c r="E232" s="13">
        <f t="shared" si="55"/>
        <v>5000</v>
      </c>
      <c r="F232" s="13">
        <f t="shared" si="56"/>
        <v>5525</v>
      </c>
      <c r="G232" s="2"/>
      <c r="H232" s="2"/>
      <c r="I232" s="13">
        <v>2000</v>
      </c>
      <c r="J232" s="13">
        <f t="shared" si="57"/>
        <v>2000</v>
      </c>
      <c r="K232" s="13">
        <f t="shared" si="58"/>
        <v>3525</v>
      </c>
      <c r="L232" s="14">
        <f t="shared" si="59"/>
        <v>0.70499999999999996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1</v>
      </c>
      <c r="B233" s="10" t="s">
        <v>17</v>
      </c>
      <c r="C233" s="11" t="s">
        <v>56</v>
      </c>
      <c r="D233" s="13">
        <v>800</v>
      </c>
      <c r="E233" s="13">
        <f t="shared" si="55"/>
        <v>800</v>
      </c>
      <c r="F233" s="13">
        <f t="shared" si="56"/>
        <v>884</v>
      </c>
      <c r="G233" s="2"/>
      <c r="H233" s="2"/>
      <c r="I233" s="13">
        <f>10000/16</f>
        <v>625</v>
      </c>
      <c r="J233" s="13">
        <f t="shared" si="57"/>
        <v>625</v>
      </c>
      <c r="K233" s="13">
        <f t="shared" si="58"/>
        <v>259</v>
      </c>
      <c r="L233" s="14">
        <f t="shared" si="59"/>
        <v>0.32374999999999998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3</v>
      </c>
      <c r="B234" s="10" t="s">
        <v>17</v>
      </c>
      <c r="C234" s="11" t="s">
        <v>67</v>
      </c>
      <c r="D234" s="13">
        <v>3200</v>
      </c>
      <c r="E234" s="13">
        <f t="shared" si="55"/>
        <v>9600</v>
      </c>
      <c r="F234" s="13">
        <f t="shared" si="56"/>
        <v>10608</v>
      </c>
      <c r="G234" s="2"/>
      <c r="H234" s="2"/>
      <c r="I234" s="13">
        <v>1000</v>
      </c>
      <c r="J234" s="13">
        <f t="shared" si="57"/>
        <v>3000</v>
      </c>
      <c r="K234" s="13">
        <f t="shared" si="58"/>
        <v>7608</v>
      </c>
      <c r="L234" s="14">
        <f t="shared" si="59"/>
        <v>0.79249999999999998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1</v>
      </c>
      <c r="B235" s="10" t="s">
        <v>23</v>
      </c>
      <c r="C235" s="11" t="s">
        <v>26</v>
      </c>
      <c r="D235" s="13">
        <v>25000</v>
      </c>
      <c r="E235" s="13">
        <f t="shared" si="55"/>
        <v>25000</v>
      </c>
      <c r="F235" s="13">
        <f t="shared" si="56"/>
        <v>27625</v>
      </c>
      <c r="G235" s="2"/>
      <c r="H235" s="2"/>
      <c r="I235" s="13">
        <v>22000</v>
      </c>
      <c r="J235" s="13">
        <f t="shared" si="57"/>
        <v>22000</v>
      </c>
      <c r="K235" s="13">
        <f t="shared" si="58"/>
        <v>5625</v>
      </c>
      <c r="L235" s="14">
        <f t="shared" si="59"/>
        <v>0.22500000000000001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5</v>
      </c>
      <c r="B236" s="10" t="s">
        <v>21</v>
      </c>
      <c r="C236" s="11" t="s">
        <v>22</v>
      </c>
      <c r="D236" s="13">
        <v>1700</v>
      </c>
      <c r="E236" s="13">
        <f t="shared" si="55"/>
        <v>8500</v>
      </c>
      <c r="F236" s="13">
        <f t="shared" si="56"/>
        <v>9392.5</v>
      </c>
      <c r="G236" s="2"/>
      <c r="H236" s="2"/>
      <c r="I236" s="13">
        <f>12000/10</f>
        <v>1200</v>
      </c>
      <c r="J236" s="13">
        <f t="shared" si="57"/>
        <v>6000</v>
      </c>
      <c r="K236" s="13">
        <f t="shared" si="58"/>
        <v>3392.5</v>
      </c>
      <c r="L236" s="14">
        <f t="shared" si="59"/>
        <v>0.39911764705882352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"/>
      <c r="B237" s="2"/>
      <c r="C237" s="4"/>
      <c r="D237" s="2"/>
      <c r="E237" s="2"/>
      <c r="F237" s="2"/>
      <c r="G237" s="2"/>
      <c r="H237" s="2"/>
      <c r="I237" s="2"/>
      <c r="J237" s="2"/>
      <c r="K237" s="2"/>
      <c r="L237" s="3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"/>
      <c r="B238" s="2"/>
      <c r="C238" s="4"/>
      <c r="D238" s="2"/>
      <c r="E238" s="13">
        <f t="shared" ref="E238:F238" si="60">SUM(E227:E236)</f>
        <v>77700</v>
      </c>
      <c r="F238" s="13">
        <f t="shared" si="60"/>
        <v>85858.5</v>
      </c>
      <c r="G238" s="2"/>
      <c r="H238" s="2"/>
      <c r="I238" s="2"/>
      <c r="J238" s="2"/>
      <c r="K238" s="13">
        <f>SUM(K227:K236)</f>
        <v>39233.5</v>
      </c>
      <c r="L238" s="14">
        <f>K238/F238</f>
        <v>0.45695533930828047</v>
      </c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0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0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0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88" t="s">
        <v>70</v>
      </c>
      <c r="B242" s="89"/>
      <c r="C242" s="89"/>
      <c r="D242" s="2"/>
      <c r="E242" s="7" t="s">
        <v>71</v>
      </c>
      <c r="F242" s="8">
        <v>46113</v>
      </c>
      <c r="G242" s="2"/>
      <c r="H242" s="2"/>
      <c r="I242" s="9" t="s">
        <v>2</v>
      </c>
      <c r="J242" s="9"/>
      <c r="K242" s="9"/>
      <c r="L242" s="3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3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6" t="s">
        <v>3</v>
      </c>
      <c r="B244" s="10" t="s">
        <v>4</v>
      </c>
      <c r="C244" s="11" t="s">
        <v>5</v>
      </c>
      <c r="D244" s="10" t="s">
        <v>6</v>
      </c>
      <c r="E244" s="10" t="s">
        <v>7</v>
      </c>
      <c r="F244" s="10" t="s">
        <v>8</v>
      </c>
      <c r="G244" s="2"/>
      <c r="H244" s="2"/>
      <c r="I244" s="10" t="s">
        <v>9</v>
      </c>
      <c r="J244" s="10" t="s">
        <v>7</v>
      </c>
      <c r="K244" s="10" t="s">
        <v>10</v>
      </c>
      <c r="L244" s="3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2</v>
      </c>
      <c r="B245" s="10" t="s">
        <v>15</v>
      </c>
      <c r="C245" s="11" t="s">
        <v>72</v>
      </c>
      <c r="D245" s="13">
        <v>3000</v>
      </c>
      <c r="E245" s="13">
        <f t="shared" ref="E245:E254" si="61">A245*D245</f>
        <v>6000</v>
      </c>
      <c r="F245" s="13">
        <f t="shared" ref="F245:F254" si="62">E245*1.105</f>
        <v>6630</v>
      </c>
      <c r="G245" s="2"/>
      <c r="H245" s="2"/>
      <c r="I245" s="13">
        <v>2000</v>
      </c>
      <c r="J245" s="13">
        <f t="shared" ref="J245:J254" si="63">I245*A245</f>
        <v>4000</v>
      </c>
      <c r="K245" s="13">
        <f t="shared" ref="K245:K254" si="64">F245-J245</f>
        <v>2630</v>
      </c>
      <c r="L245" s="14">
        <f t="shared" ref="L245:L254" si="65">IFERROR(K245/E245, 0)</f>
        <v>0.43833333333333335</v>
      </c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1</v>
      </c>
      <c r="B246" s="10" t="s">
        <v>17</v>
      </c>
      <c r="C246" s="11" t="s">
        <v>31</v>
      </c>
      <c r="D246" s="13">
        <v>3200</v>
      </c>
      <c r="E246" s="13">
        <f t="shared" si="61"/>
        <v>3200</v>
      </c>
      <c r="F246" s="13">
        <f t="shared" si="62"/>
        <v>3536</v>
      </c>
      <c r="G246" s="2"/>
      <c r="H246" s="2"/>
      <c r="I246" s="13">
        <v>1000</v>
      </c>
      <c r="J246" s="13">
        <f t="shared" si="63"/>
        <v>1000</v>
      </c>
      <c r="K246" s="13">
        <f t="shared" si="64"/>
        <v>2536</v>
      </c>
      <c r="L246" s="14">
        <f t="shared" si="65"/>
        <v>0.79249999999999998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3</v>
      </c>
      <c r="B247" s="10" t="s">
        <v>17</v>
      </c>
      <c r="C247" s="11" t="s">
        <v>56</v>
      </c>
      <c r="D247" s="13">
        <v>800</v>
      </c>
      <c r="E247" s="13">
        <f t="shared" si="61"/>
        <v>2400</v>
      </c>
      <c r="F247" s="13">
        <f t="shared" si="62"/>
        <v>2652</v>
      </c>
      <c r="G247" s="2"/>
      <c r="H247" s="2"/>
      <c r="I247" s="13">
        <f>10000/16</f>
        <v>625</v>
      </c>
      <c r="J247" s="13">
        <f t="shared" si="63"/>
        <v>1875</v>
      </c>
      <c r="K247" s="13">
        <f t="shared" si="64"/>
        <v>777</v>
      </c>
      <c r="L247" s="14">
        <f t="shared" si="65"/>
        <v>0.32374999999999998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1</v>
      </c>
      <c r="B248" s="10" t="s">
        <v>21</v>
      </c>
      <c r="C248" s="11" t="s">
        <v>34</v>
      </c>
      <c r="D248" s="13">
        <v>5000</v>
      </c>
      <c r="E248" s="13">
        <f t="shared" si="61"/>
        <v>5000</v>
      </c>
      <c r="F248" s="13">
        <f t="shared" si="62"/>
        <v>5525</v>
      </c>
      <c r="G248" s="2"/>
      <c r="H248" s="2"/>
      <c r="I248" s="13">
        <v>2000</v>
      </c>
      <c r="J248" s="13">
        <f t="shared" si="63"/>
        <v>2000</v>
      </c>
      <c r="K248" s="13">
        <f t="shared" si="64"/>
        <v>3525</v>
      </c>
      <c r="L248" s="14">
        <f t="shared" si="65"/>
        <v>0.70499999999999996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1.8</v>
      </c>
      <c r="B249" s="10" t="s">
        <v>17</v>
      </c>
      <c r="C249" s="11" t="s">
        <v>36</v>
      </c>
      <c r="D249" s="13">
        <v>1800</v>
      </c>
      <c r="E249" s="13">
        <f t="shared" si="61"/>
        <v>3240</v>
      </c>
      <c r="F249" s="13">
        <f t="shared" si="62"/>
        <v>3580.2</v>
      </c>
      <c r="G249" s="2"/>
      <c r="H249" s="2"/>
      <c r="I249" s="13">
        <v>1000</v>
      </c>
      <c r="J249" s="13">
        <f t="shared" si="63"/>
        <v>1800</v>
      </c>
      <c r="K249" s="13">
        <f t="shared" si="64"/>
        <v>1780.1999999999998</v>
      </c>
      <c r="L249" s="14">
        <f t="shared" si="65"/>
        <v>0.5494444444444444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1</v>
      </c>
      <c r="B250" s="10" t="s">
        <v>17</v>
      </c>
      <c r="C250" s="11" t="s">
        <v>73</v>
      </c>
      <c r="D250" s="13">
        <v>2400</v>
      </c>
      <c r="E250" s="13">
        <f t="shared" si="61"/>
        <v>2400</v>
      </c>
      <c r="F250" s="13">
        <f t="shared" si="62"/>
        <v>2652</v>
      </c>
      <c r="G250" s="2"/>
      <c r="H250" s="2"/>
      <c r="I250" s="13">
        <v>1000</v>
      </c>
      <c r="J250" s="13">
        <f t="shared" si="63"/>
        <v>1000</v>
      </c>
      <c r="K250" s="13">
        <f t="shared" si="64"/>
        <v>1652</v>
      </c>
      <c r="L250" s="14">
        <f t="shared" si="65"/>
        <v>0.68833333333333335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1</v>
      </c>
      <c r="B251" s="10" t="s">
        <v>17</v>
      </c>
      <c r="C251" s="11" t="s">
        <v>40</v>
      </c>
      <c r="D251" s="13">
        <v>1300</v>
      </c>
      <c r="E251" s="13">
        <f t="shared" si="61"/>
        <v>1300</v>
      </c>
      <c r="F251" s="13">
        <f t="shared" si="62"/>
        <v>1436.5</v>
      </c>
      <c r="G251" s="2"/>
      <c r="H251" s="2"/>
      <c r="I251" s="13">
        <v>7000</v>
      </c>
      <c r="J251" s="13">
        <f t="shared" si="63"/>
        <v>7000</v>
      </c>
      <c r="K251" s="13">
        <f t="shared" si="64"/>
        <v>-5563.5</v>
      </c>
      <c r="L251" s="14">
        <f t="shared" si="65"/>
        <v>-4.2796153846153846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</v>
      </c>
      <c r="B252" s="10" t="s">
        <v>21</v>
      </c>
      <c r="C252" s="11" t="s">
        <v>46</v>
      </c>
      <c r="D252" s="13">
        <v>600</v>
      </c>
      <c r="E252" s="13">
        <f t="shared" si="61"/>
        <v>600</v>
      </c>
      <c r="F252" s="13">
        <f t="shared" si="62"/>
        <v>663</v>
      </c>
      <c r="G252" s="2"/>
      <c r="H252" s="2"/>
      <c r="I252" s="13">
        <f>7000/24</f>
        <v>291.66666666666669</v>
      </c>
      <c r="J252" s="13">
        <f t="shared" si="63"/>
        <v>291.66666666666669</v>
      </c>
      <c r="K252" s="13">
        <f t="shared" si="64"/>
        <v>371.33333333333331</v>
      </c>
      <c r="L252" s="14">
        <f t="shared" si="65"/>
        <v>0.61888888888888882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1</v>
      </c>
      <c r="B253" s="10" t="s">
        <v>17</v>
      </c>
      <c r="C253" s="11" t="s">
        <v>26</v>
      </c>
      <c r="D253" s="13">
        <v>1800</v>
      </c>
      <c r="E253" s="13">
        <f t="shared" si="61"/>
        <v>1800</v>
      </c>
      <c r="F253" s="13">
        <f t="shared" si="62"/>
        <v>1989</v>
      </c>
      <c r="G253" s="2"/>
      <c r="H253" s="2"/>
      <c r="I253" s="13">
        <v>0</v>
      </c>
      <c r="J253" s="13">
        <f t="shared" si="63"/>
        <v>0</v>
      </c>
      <c r="K253" s="13">
        <f t="shared" si="64"/>
        <v>1989</v>
      </c>
      <c r="L253" s="14">
        <f t="shared" si="65"/>
        <v>1.105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1</v>
      </c>
      <c r="B254" s="10" t="s">
        <v>17</v>
      </c>
      <c r="C254" s="11" t="s">
        <v>74</v>
      </c>
      <c r="D254" s="13">
        <v>3400</v>
      </c>
      <c r="E254" s="13">
        <f t="shared" si="61"/>
        <v>3400</v>
      </c>
      <c r="F254" s="13">
        <f t="shared" si="62"/>
        <v>3757</v>
      </c>
      <c r="G254" s="2"/>
      <c r="H254" s="2"/>
      <c r="I254" s="13">
        <f>53000/18</f>
        <v>2944.4444444444443</v>
      </c>
      <c r="J254" s="13">
        <f t="shared" si="63"/>
        <v>2944.4444444444443</v>
      </c>
      <c r="K254" s="13">
        <f t="shared" si="64"/>
        <v>812.55555555555566</v>
      </c>
      <c r="L254" s="14">
        <f t="shared" si="65"/>
        <v>0.2389869281045752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"/>
      <c r="B255" s="2"/>
      <c r="C255" s="4"/>
      <c r="D255" s="2"/>
      <c r="E255" s="2"/>
      <c r="F255" s="2"/>
      <c r="G255" s="2"/>
      <c r="H255" s="2"/>
      <c r="I255" s="2"/>
      <c r="J255" s="2"/>
      <c r="K255" s="2"/>
      <c r="L255" s="3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"/>
      <c r="B256" s="2"/>
      <c r="C256" s="4"/>
      <c r="D256" s="2"/>
      <c r="E256" s="13">
        <f t="shared" ref="E256:F256" si="66">SUM(E245:E254)</f>
        <v>29340</v>
      </c>
      <c r="F256" s="13">
        <f t="shared" si="66"/>
        <v>32420.7</v>
      </c>
      <c r="G256" s="2"/>
      <c r="H256" s="2"/>
      <c r="I256" s="2"/>
      <c r="J256" s="2"/>
      <c r="K256" s="13">
        <f>SUM(K245:K254)</f>
        <v>10509.588888888888</v>
      </c>
      <c r="L256" s="14">
        <f>K256/F256</f>
        <v>0.32416292334492741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/>
      <c r="B257" s="10"/>
      <c r="C257" s="11"/>
      <c r="D257" s="13"/>
      <c r="E257" s="13"/>
      <c r="F257" s="2"/>
      <c r="G257" s="2"/>
      <c r="H257" s="2"/>
      <c r="I257" s="2"/>
      <c r="J257" s="13"/>
      <c r="K257" s="13"/>
      <c r="L257" s="2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/>
      <c r="B258" s="10"/>
      <c r="C258" s="11"/>
      <c r="D258" s="13"/>
      <c r="E258" s="13"/>
      <c r="F258" s="2"/>
      <c r="G258" s="2"/>
      <c r="H258" s="2"/>
      <c r="I258" s="2"/>
      <c r="J258" s="13"/>
      <c r="K258" s="13"/>
      <c r="L258" s="2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5"/>
      <c r="B259" s="2"/>
      <c r="C259" s="4"/>
      <c r="D259" s="2"/>
      <c r="E259" s="2"/>
      <c r="F259" s="2"/>
      <c r="G259" s="4"/>
      <c r="H259" s="2"/>
      <c r="I259" s="2"/>
      <c r="J259" s="2"/>
      <c r="K259" s="2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"/>
      <c r="B260" s="2"/>
      <c r="C260" s="4"/>
      <c r="D260" s="2"/>
      <c r="E260" s="13"/>
      <c r="F260" s="2"/>
      <c r="G260" s="2"/>
      <c r="H260" s="2"/>
      <c r="I260" s="2"/>
      <c r="J260" s="2"/>
      <c r="K260" s="13"/>
      <c r="L260" s="1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0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0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6" t="s">
        <v>75</v>
      </c>
      <c r="B263" s="6"/>
      <c r="C263" s="6"/>
      <c r="D263" s="22" t="s">
        <v>76</v>
      </c>
      <c r="E263" s="8">
        <v>46113</v>
      </c>
      <c r="F263" s="23"/>
      <c r="G263" s="2"/>
      <c r="H263" s="2"/>
      <c r="I263" s="2"/>
      <c r="J263" s="13"/>
      <c r="K263" s="13"/>
      <c r="L263" s="14"/>
      <c r="M263" s="4"/>
      <c r="N263" s="2"/>
      <c r="O263" s="4"/>
      <c r="P263" s="2"/>
      <c r="Q263" s="2"/>
      <c r="R263" s="4"/>
      <c r="S263" s="2"/>
      <c r="T263" s="2"/>
      <c r="U263" s="1"/>
      <c r="V263" s="2"/>
      <c r="W263" s="2"/>
      <c r="X263" s="2"/>
      <c r="Y263" s="2"/>
      <c r="Z263" s="2"/>
    </row>
    <row r="264" spans="1:26" ht="15.75" customHeight="1" x14ac:dyDescent="0.2">
      <c r="B264" s="2"/>
      <c r="C264" s="4"/>
      <c r="D264" s="2"/>
      <c r="E264" s="2"/>
      <c r="F264" s="2"/>
      <c r="G264" s="2"/>
      <c r="H264" s="2"/>
      <c r="I264" s="2"/>
      <c r="J264" s="13"/>
      <c r="K264" s="13"/>
      <c r="L264" s="14"/>
      <c r="M264" s="4"/>
      <c r="N264" s="2"/>
      <c r="O264" s="4"/>
      <c r="P264" s="2"/>
      <c r="Q264" s="2"/>
      <c r="R264" s="4"/>
      <c r="S264" s="2"/>
      <c r="T264" s="2"/>
      <c r="U264" s="1"/>
      <c r="V264" s="2"/>
      <c r="W264" s="2"/>
      <c r="X264" s="2"/>
      <c r="Y264" s="2"/>
      <c r="Z264" s="2"/>
    </row>
    <row r="265" spans="1:26" ht="15.75" customHeight="1" x14ac:dyDescent="0.2">
      <c r="A265" s="6" t="s">
        <v>3</v>
      </c>
      <c r="B265" s="10" t="s">
        <v>4</v>
      </c>
      <c r="C265" s="11" t="s">
        <v>5</v>
      </c>
      <c r="D265" s="10" t="s">
        <v>6</v>
      </c>
      <c r="E265" s="10" t="s">
        <v>7</v>
      </c>
      <c r="F265" s="10"/>
      <c r="G265" s="2"/>
      <c r="H265" s="2"/>
      <c r="I265" s="10" t="s">
        <v>6</v>
      </c>
      <c r="J265" s="10" t="s">
        <v>7</v>
      </c>
      <c r="K265" s="10" t="s">
        <v>10</v>
      </c>
      <c r="L265" s="14"/>
      <c r="M265" s="4"/>
      <c r="N265" s="2"/>
      <c r="O265" s="4"/>
      <c r="P265" s="2"/>
      <c r="Q265" s="2"/>
      <c r="R265" s="4"/>
      <c r="S265" s="2"/>
      <c r="T265" s="2"/>
      <c r="U265" s="1"/>
      <c r="V265" s="2"/>
      <c r="W265" s="2"/>
      <c r="X265" s="2"/>
      <c r="Y265" s="2"/>
      <c r="Z265" s="2"/>
    </row>
    <row r="266" spans="1:26" ht="15.75" customHeight="1" x14ac:dyDescent="0.2">
      <c r="A266" s="12">
        <v>1</v>
      </c>
      <c r="B266" s="10" t="s">
        <v>4</v>
      </c>
      <c r="C266" s="11" t="s">
        <v>64</v>
      </c>
      <c r="D266" s="13">
        <v>2500</v>
      </c>
      <c r="E266" s="13">
        <f t="shared" ref="E266:E290" si="67">A266*D266</f>
        <v>2500</v>
      </c>
      <c r="F266" s="13"/>
      <c r="G266" s="2"/>
      <c r="H266" s="7"/>
      <c r="I266" s="13">
        <f>5000/3</f>
        <v>1666.6666666666667</v>
      </c>
      <c r="J266" s="13">
        <f t="shared" ref="J266:J290" si="68">I266*A266</f>
        <v>1666.6666666666667</v>
      </c>
      <c r="K266" s="13">
        <f t="shared" ref="K266:K290" si="69">E266-J266</f>
        <v>833.33333333333326</v>
      </c>
      <c r="L266" s="14">
        <f t="shared" ref="L266:L290" si="70">K266/E266</f>
        <v>0.33333333333333331</v>
      </c>
      <c r="M266" s="4"/>
      <c r="N266" s="2"/>
      <c r="O266" s="4"/>
      <c r="P266" s="2"/>
      <c r="Q266" s="2"/>
      <c r="R266" s="4"/>
      <c r="S266" s="2"/>
      <c r="T266" s="2"/>
      <c r="U266" s="1"/>
      <c r="V266" s="2"/>
      <c r="W266" s="2"/>
      <c r="X266" s="2"/>
      <c r="Y266" s="2"/>
      <c r="Z266" s="2"/>
    </row>
    <row r="267" spans="1:26" ht="15.75" customHeight="1" x14ac:dyDescent="0.2">
      <c r="A267" s="12">
        <v>3</v>
      </c>
      <c r="B267" s="10" t="s">
        <v>4</v>
      </c>
      <c r="C267" s="11" t="s">
        <v>13</v>
      </c>
      <c r="D267" s="13">
        <v>900</v>
      </c>
      <c r="E267" s="13">
        <f t="shared" si="67"/>
        <v>2700</v>
      </c>
      <c r="F267" s="13"/>
      <c r="G267" s="2"/>
      <c r="H267" s="7"/>
      <c r="I267" s="13">
        <v>460</v>
      </c>
      <c r="J267" s="13">
        <f t="shared" si="68"/>
        <v>1380</v>
      </c>
      <c r="K267" s="13">
        <f t="shared" si="69"/>
        <v>1320</v>
      </c>
      <c r="L267" s="14">
        <f t="shared" si="70"/>
        <v>0.48888888888888887</v>
      </c>
      <c r="M267" s="4"/>
      <c r="N267" s="2"/>
      <c r="O267" s="4"/>
      <c r="P267" s="2"/>
      <c r="Q267" s="2"/>
      <c r="R267" s="4"/>
      <c r="S267" s="2"/>
      <c r="T267" s="2"/>
      <c r="U267" s="1"/>
      <c r="V267" s="2"/>
      <c r="W267" s="2"/>
      <c r="X267" s="2"/>
      <c r="Y267" s="2"/>
      <c r="Z267" s="2"/>
    </row>
    <row r="268" spans="1:26" ht="15.75" customHeight="1" x14ac:dyDescent="0.2">
      <c r="A268" s="12">
        <v>4</v>
      </c>
      <c r="B268" s="10" t="s">
        <v>17</v>
      </c>
      <c r="C268" s="11" t="s">
        <v>77</v>
      </c>
      <c r="D268" s="13">
        <v>2400</v>
      </c>
      <c r="E268" s="13">
        <f t="shared" si="67"/>
        <v>9600</v>
      </c>
      <c r="F268" s="13"/>
      <c r="G268" s="2"/>
      <c r="H268" s="7"/>
      <c r="I268" s="13">
        <f>25000/12</f>
        <v>2083.3333333333335</v>
      </c>
      <c r="J268" s="13">
        <f t="shared" si="68"/>
        <v>8333.3333333333339</v>
      </c>
      <c r="K268" s="13">
        <f t="shared" si="69"/>
        <v>1266.6666666666661</v>
      </c>
      <c r="L268" s="14">
        <f t="shared" si="70"/>
        <v>0.13194444444444439</v>
      </c>
      <c r="M268" s="4"/>
      <c r="N268" s="2"/>
      <c r="O268" s="4"/>
      <c r="P268" s="2"/>
      <c r="Q268" s="2"/>
      <c r="R268" s="4"/>
      <c r="S268" s="2"/>
      <c r="T268" s="2"/>
      <c r="U268" s="1"/>
      <c r="V268" s="2"/>
      <c r="W268" s="2"/>
      <c r="X268" s="2"/>
      <c r="Y268" s="2"/>
      <c r="Z268" s="2"/>
    </row>
    <row r="269" spans="1:26" ht="15.75" customHeight="1" x14ac:dyDescent="0.2">
      <c r="A269" s="12">
        <v>1</v>
      </c>
      <c r="B269" s="10" t="s">
        <v>17</v>
      </c>
      <c r="C269" s="11" t="s">
        <v>78</v>
      </c>
      <c r="D269" s="13">
        <v>4000</v>
      </c>
      <c r="E269" s="13">
        <f t="shared" si="67"/>
        <v>4000</v>
      </c>
      <c r="F269" s="13"/>
      <c r="G269" s="2"/>
      <c r="H269" s="7"/>
      <c r="I269" s="13">
        <f>13000/8</f>
        <v>1625</v>
      </c>
      <c r="J269" s="13">
        <f t="shared" si="68"/>
        <v>1625</v>
      </c>
      <c r="K269" s="13">
        <f t="shared" si="69"/>
        <v>2375</v>
      </c>
      <c r="L269" s="14">
        <f t="shared" si="70"/>
        <v>0.59375</v>
      </c>
      <c r="M269" s="4"/>
      <c r="N269" s="2"/>
      <c r="O269" s="4"/>
      <c r="P269" s="2"/>
      <c r="Q269" s="2"/>
      <c r="R269" s="4"/>
      <c r="S269" s="2"/>
      <c r="T269" s="2"/>
      <c r="U269" s="1"/>
      <c r="V269" s="2"/>
      <c r="W269" s="2"/>
      <c r="X269" s="2"/>
      <c r="Y269" s="2"/>
      <c r="Z269" s="2"/>
    </row>
    <row r="270" spans="1:26" ht="15.75" customHeight="1" x14ac:dyDescent="0.2">
      <c r="A270" s="12">
        <v>1</v>
      </c>
      <c r="B270" s="10" t="s">
        <v>17</v>
      </c>
      <c r="C270" s="11" t="s">
        <v>31</v>
      </c>
      <c r="D270" s="13">
        <v>3000</v>
      </c>
      <c r="E270" s="13">
        <f t="shared" si="67"/>
        <v>3000</v>
      </c>
      <c r="F270" s="13"/>
      <c r="G270" s="2"/>
      <c r="H270" s="7"/>
      <c r="I270" s="13">
        <v>1000</v>
      </c>
      <c r="J270" s="13">
        <f t="shared" si="68"/>
        <v>1000</v>
      </c>
      <c r="K270" s="13">
        <f t="shared" si="69"/>
        <v>2000</v>
      </c>
      <c r="L270" s="14">
        <f t="shared" si="70"/>
        <v>0.66666666666666663</v>
      </c>
      <c r="M270" s="4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12">
        <v>2</v>
      </c>
      <c r="B271" s="10" t="s">
        <v>17</v>
      </c>
      <c r="C271" s="11" t="s">
        <v>79</v>
      </c>
      <c r="D271" s="13">
        <v>3500</v>
      </c>
      <c r="E271" s="13">
        <f t="shared" si="67"/>
        <v>7000</v>
      </c>
      <c r="F271" s="13"/>
      <c r="G271" s="2"/>
      <c r="H271" s="7"/>
      <c r="I271" s="13">
        <v>2000</v>
      </c>
      <c r="J271" s="13">
        <f t="shared" si="68"/>
        <v>4000</v>
      </c>
      <c r="K271" s="13">
        <f t="shared" si="69"/>
        <v>3000</v>
      </c>
      <c r="L271" s="14">
        <f t="shared" si="70"/>
        <v>0.42857142857142855</v>
      </c>
      <c r="M271" s="4"/>
      <c r="N271" s="2"/>
      <c r="O271" s="4"/>
      <c r="P271" s="2"/>
      <c r="Q271" s="2"/>
      <c r="R271" s="4"/>
      <c r="S271" s="2"/>
      <c r="T271" s="2"/>
      <c r="U271" s="1"/>
      <c r="V271" s="2"/>
      <c r="W271" s="2"/>
      <c r="X271" s="2"/>
      <c r="Y271" s="2"/>
      <c r="Z271" s="2"/>
    </row>
    <row r="272" spans="1:26" ht="15.75" customHeight="1" x14ac:dyDescent="0.2">
      <c r="A272" s="12">
        <v>4</v>
      </c>
      <c r="B272" s="10" t="s">
        <v>21</v>
      </c>
      <c r="C272" s="11" t="s">
        <v>35</v>
      </c>
      <c r="D272" s="13">
        <v>2500</v>
      </c>
      <c r="E272" s="13">
        <f t="shared" si="67"/>
        <v>10000</v>
      </c>
      <c r="F272" s="13"/>
      <c r="G272" s="2"/>
      <c r="H272" s="7"/>
      <c r="I272" s="13">
        <f>14000/11</f>
        <v>1272.7272727272727</v>
      </c>
      <c r="J272" s="13">
        <f t="shared" si="68"/>
        <v>5090.909090909091</v>
      </c>
      <c r="K272" s="13">
        <f t="shared" si="69"/>
        <v>4909.090909090909</v>
      </c>
      <c r="L272" s="14">
        <f t="shared" si="70"/>
        <v>0.49090909090909091</v>
      </c>
      <c r="M272" s="4"/>
      <c r="N272" s="2"/>
      <c r="O272" s="4"/>
      <c r="P272" s="2"/>
      <c r="Q272" s="2"/>
      <c r="R272" s="4"/>
      <c r="S272" s="2"/>
      <c r="T272" s="2"/>
      <c r="U272" s="1"/>
      <c r="V272" s="2"/>
      <c r="W272" s="2"/>
      <c r="X272" s="2"/>
      <c r="Y272" s="2"/>
      <c r="Z272" s="2"/>
    </row>
    <row r="273" spans="1:26" ht="15.75" customHeight="1" x14ac:dyDescent="0.2">
      <c r="A273" s="12">
        <v>1</v>
      </c>
      <c r="B273" s="10" t="s">
        <v>17</v>
      </c>
      <c r="C273" s="11" t="s">
        <v>80</v>
      </c>
      <c r="D273" s="13">
        <v>1800</v>
      </c>
      <c r="E273" s="13">
        <f t="shared" si="67"/>
        <v>1800</v>
      </c>
      <c r="F273" s="13"/>
      <c r="G273" s="2"/>
      <c r="H273" s="7"/>
      <c r="I273" s="13">
        <v>1000</v>
      </c>
      <c r="J273" s="13">
        <f t="shared" si="68"/>
        <v>1000</v>
      </c>
      <c r="K273" s="13">
        <f t="shared" si="69"/>
        <v>800</v>
      </c>
      <c r="L273" s="14">
        <f t="shared" si="70"/>
        <v>0.44444444444444442</v>
      </c>
      <c r="M273" s="4"/>
      <c r="N273" s="2"/>
      <c r="O273" s="4"/>
      <c r="P273" s="2"/>
      <c r="Q273" s="2"/>
      <c r="R273" s="4"/>
      <c r="S273" s="2"/>
      <c r="T273" s="2"/>
      <c r="U273" s="1"/>
      <c r="V273" s="2"/>
      <c r="W273" s="2"/>
      <c r="X273" s="2"/>
      <c r="Y273" s="2"/>
      <c r="Z273" s="2"/>
    </row>
    <row r="274" spans="1:26" ht="15.75" customHeight="1" x14ac:dyDescent="0.2">
      <c r="A274" s="12">
        <v>3</v>
      </c>
      <c r="B274" s="10" t="s">
        <v>21</v>
      </c>
      <c r="C274" s="11" t="s">
        <v>46</v>
      </c>
      <c r="D274" s="13">
        <v>600</v>
      </c>
      <c r="E274" s="13">
        <f t="shared" si="67"/>
        <v>1800</v>
      </c>
      <c r="F274" s="13"/>
      <c r="G274" s="2"/>
      <c r="H274" s="7"/>
      <c r="I274" s="13">
        <f>7000/24</f>
        <v>291.66666666666669</v>
      </c>
      <c r="J274" s="13">
        <f t="shared" si="68"/>
        <v>875</v>
      </c>
      <c r="K274" s="13">
        <f t="shared" si="69"/>
        <v>925</v>
      </c>
      <c r="L274" s="14">
        <f t="shared" si="70"/>
        <v>0.51388888888888884</v>
      </c>
      <c r="M274" s="4"/>
      <c r="N274" s="2"/>
      <c r="O274" s="4"/>
      <c r="P274" s="2"/>
      <c r="Q274" s="2"/>
      <c r="R274" s="4"/>
      <c r="S274" s="2"/>
      <c r="T274" s="2"/>
      <c r="U274" s="1"/>
      <c r="V274" s="2"/>
      <c r="W274" s="2"/>
      <c r="X274" s="2"/>
      <c r="Y274" s="2"/>
      <c r="Z274" s="2"/>
    </row>
    <row r="275" spans="1:26" ht="15.75" customHeight="1" x14ac:dyDescent="0.2">
      <c r="A275" s="12">
        <v>6</v>
      </c>
      <c r="B275" s="10" t="s">
        <v>17</v>
      </c>
      <c r="C275" s="11" t="s">
        <v>81</v>
      </c>
      <c r="D275" s="13">
        <v>2000</v>
      </c>
      <c r="E275" s="13">
        <f t="shared" si="67"/>
        <v>12000</v>
      </c>
      <c r="F275" s="13"/>
      <c r="G275" s="2"/>
      <c r="H275" s="7"/>
      <c r="I275" s="13">
        <f>12000/15</f>
        <v>800</v>
      </c>
      <c r="J275" s="13">
        <f t="shared" si="68"/>
        <v>4800</v>
      </c>
      <c r="K275" s="13">
        <f t="shared" si="69"/>
        <v>7200</v>
      </c>
      <c r="L275" s="14">
        <f t="shared" si="70"/>
        <v>0.6</v>
      </c>
      <c r="M275" s="4"/>
      <c r="N275" s="2"/>
      <c r="O275" s="4"/>
      <c r="P275" s="2"/>
      <c r="Q275" s="2"/>
      <c r="R275" s="4"/>
      <c r="S275" s="2"/>
      <c r="T275" s="2"/>
      <c r="U275" s="1"/>
      <c r="V275" s="2"/>
      <c r="W275" s="2"/>
      <c r="X275" s="2"/>
      <c r="Y275" s="2"/>
      <c r="Z275" s="2"/>
    </row>
    <row r="276" spans="1:26" ht="15.75" customHeight="1" x14ac:dyDescent="0.2">
      <c r="A276" s="12">
        <v>1</v>
      </c>
      <c r="B276" s="10" t="s">
        <v>21</v>
      </c>
      <c r="C276" s="11" t="s">
        <v>42</v>
      </c>
      <c r="D276" s="13">
        <v>4500</v>
      </c>
      <c r="E276" s="13">
        <f t="shared" si="67"/>
        <v>4500</v>
      </c>
      <c r="F276" s="13"/>
      <c r="G276" s="2"/>
      <c r="H276" s="7"/>
      <c r="I276" s="13">
        <v>1200</v>
      </c>
      <c r="J276" s="13">
        <f t="shared" si="68"/>
        <v>1200</v>
      </c>
      <c r="K276" s="13">
        <f t="shared" si="69"/>
        <v>3300</v>
      </c>
      <c r="L276" s="14">
        <f t="shared" si="70"/>
        <v>0.73333333333333328</v>
      </c>
      <c r="M276" s="4"/>
      <c r="N276" s="2"/>
      <c r="O276" s="4"/>
      <c r="P276" s="2"/>
      <c r="Q276" s="2"/>
      <c r="R276" s="4"/>
      <c r="S276" s="2"/>
      <c r="T276" s="2"/>
      <c r="U276" s="1"/>
      <c r="V276" s="2"/>
      <c r="W276" s="2"/>
      <c r="X276" s="2"/>
      <c r="Y276" s="2"/>
      <c r="Z276" s="2"/>
    </row>
    <row r="277" spans="1:26" ht="15.75" customHeight="1" x14ac:dyDescent="0.2">
      <c r="A277" s="12">
        <v>3</v>
      </c>
      <c r="B277" s="10" t="s">
        <v>17</v>
      </c>
      <c r="C277" s="11" t="s">
        <v>82</v>
      </c>
      <c r="D277" s="13">
        <v>1200</v>
      </c>
      <c r="E277" s="13">
        <f t="shared" si="67"/>
        <v>3600</v>
      </c>
      <c r="F277" s="13"/>
      <c r="G277" s="2"/>
      <c r="H277" s="7"/>
      <c r="I277" s="13">
        <f>12000/15</f>
        <v>800</v>
      </c>
      <c r="J277" s="13">
        <f t="shared" si="68"/>
        <v>2400</v>
      </c>
      <c r="K277" s="13">
        <f t="shared" si="69"/>
        <v>1200</v>
      </c>
      <c r="L277" s="14">
        <f t="shared" si="70"/>
        <v>0.33333333333333331</v>
      </c>
      <c r="M277" s="4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12">
        <v>2</v>
      </c>
      <c r="B278" s="10" t="s">
        <v>17</v>
      </c>
      <c r="C278" s="11" t="s">
        <v>61</v>
      </c>
      <c r="D278" s="13">
        <v>1200</v>
      </c>
      <c r="E278" s="13">
        <f t="shared" si="67"/>
        <v>2400</v>
      </c>
      <c r="F278" s="13"/>
      <c r="G278" s="2"/>
      <c r="H278" s="7"/>
      <c r="I278" s="13">
        <v>1000</v>
      </c>
      <c r="J278" s="13">
        <f t="shared" si="68"/>
        <v>2000</v>
      </c>
      <c r="K278" s="13">
        <f t="shared" si="69"/>
        <v>400</v>
      </c>
      <c r="L278" s="14">
        <f t="shared" si="70"/>
        <v>0.16666666666666666</v>
      </c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2">
        <v>1</v>
      </c>
      <c r="B279" s="10" t="s">
        <v>15</v>
      </c>
      <c r="C279" s="11" t="s">
        <v>83</v>
      </c>
      <c r="D279" s="13">
        <v>14000</v>
      </c>
      <c r="E279" s="13">
        <f t="shared" si="67"/>
        <v>14000</v>
      </c>
      <c r="F279" s="13"/>
      <c r="G279" s="2"/>
      <c r="H279" s="7"/>
      <c r="I279" s="13">
        <v>10000</v>
      </c>
      <c r="J279" s="13">
        <f t="shared" si="68"/>
        <v>10000</v>
      </c>
      <c r="K279" s="13">
        <f t="shared" si="69"/>
        <v>4000</v>
      </c>
      <c r="L279" s="14">
        <f t="shared" si="70"/>
        <v>0.2857142857142857</v>
      </c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12">
        <v>0.5</v>
      </c>
      <c r="B280" s="10" t="s">
        <v>15</v>
      </c>
      <c r="C280" s="11" t="s">
        <v>56</v>
      </c>
      <c r="D280" s="13">
        <v>12000</v>
      </c>
      <c r="E280" s="13">
        <f t="shared" si="67"/>
        <v>6000</v>
      </c>
      <c r="F280" s="13"/>
      <c r="G280" s="2"/>
      <c r="H280" s="7"/>
      <c r="I280" s="13">
        <f>10000/16</f>
        <v>625</v>
      </c>
      <c r="J280" s="13">
        <f t="shared" si="68"/>
        <v>312.5</v>
      </c>
      <c r="K280" s="13">
        <f t="shared" si="69"/>
        <v>5687.5</v>
      </c>
      <c r="L280" s="14">
        <f t="shared" si="70"/>
        <v>0.94791666666666663</v>
      </c>
      <c r="M280" s="4"/>
      <c r="N280" s="2"/>
      <c r="O280" s="4"/>
      <c r="P280" s="2"/>
      <c r="Q280" s="2"/>
      <c r="R280" s="4"/>
      <c r="S280" s="2"/>
      <c r="T280" s="2"/>
      <c r="U280" s="1"/>
      <c r="V280" s="2"/>
      <c r="W280" s="2"/>
      <c r="X280" s="2"/>
      <c r="Y280" s="2"/>
      <c r="Z280" s="2"/>
    </row>
    <row r="281" spans="1:26" ht="15.75" customHeight="1" x14ac:dyDescent="0.2">
      <c r="A281" s="12">
        <v>1</v>
      </c>
      <c r="B281" s="10" t="s">
        <v>15</v>
      </c>
      <c r="C281" s="11" t="s">
        <v>84</v>
      </c>
      <c r="D281" s="13">
        <v>18000</v>
      </c>
      <c r="E281" s="13">
        <f t="shared" si="67"/>
        <v>18000</v>
      </c>
      <c r="F281" s="13"/>
      <c r="G281" s="2"/>
      <c r="H281" s="7"/>
      <c r="I281" s="13">
        <v>13000</v>
      </c>
      <c r="J281" s="13">
        <f t="shared" si="68"/>
        <v>13000</v>
      </c>
      <c r="K281" s="13">
        <f t="shared" si="69"/>
        <v>5000</v>
      </c>
      <c r="L281" s="14">
        <f t="shared" si="70"/>
        <v>0.27777777777777779</v>
      </c>
      <c r="M281" s="4"/>
      <c r="N281" s="2"/>
      <c r="O281" s="4"/>
      <c r="P281" s="2"/>
      <c r="Q281" s="2"/>
      <c r="R281" s="4"/>
      <c r="S281" s="2"/>
      <c r="T281" s="2"/>
      <c r="U281" s="1"/>
      <c r="V281" s="2"/>
      <c r="W281" s="2"/>
      <c r="X281" s="2"/>
      <c r="Y281" s="2"/>
      <c r="Z281" s="2"/>
    </row>
    <row r="282" spans="1:26" ht="15.75" customHeight="1" x14ac:dyDescent="0.2">
      <c r="A282" s="12">
        <v>4</v>
      </c>
      <c r="B282" s="10" t="s">
        <v>17</v>
      </c>
      <c r="C282" s="11" t="s">
        <v>40</v>
      </c>
      <c r="D282" s="13">
        <v>1400</v>
      </c>
      <c r="E282" s="13">
        <f t="shared" si="67"/>
        <v>5600</v>
      </c>
      <c r="F282" s="13"/>
      <c r="G282" s="2"/>
      <c r="H282" s="7"/>
      <c r="I282" s="13">
        <v>1000</v>
      </c>
      <c r="J282" s="13">
        <f t="shared" si="68"/>
        <v>4000</v>
      </c>
      <c r="K282" s="13">
        <f t="shared" si="69"/>
        <v>1600</v>
      </c>
      <c r="L282" s="14">
        <f t="shared" si="70"/>
        <v>0.2857142857142857</v>
      </c>
      <c r="M282" s="4"/>
      <c r="N282" s="2"/>
      <c r="O282" s="4"/>
      <c r="P282" s="2"/>
      <c r="Q282" s="2"/>
      <c r="R282" s="4"/>
      <c r="S282" s="2"/>
      <c r="T282" s="2"/>
      <c r="U282" s="1"/>
      <c r="V282" s="2"/>
      <c r="W282" s="2"/>
      <c r="X282" s="2"/>
      <c r="Y282" s="2"/>
      <c r="Z282" s="2"/>
    </row>
    <row r="283" spans="1:26" ht="15.75" customHeight="1" x14ac:dyDescent="0.2">
      <c r="A283" s="12">
        <v>1</v>
      </c>
      <c r="B283" s="10" t="s">
        <v>23</v>
      </c>
      <c r="C283" s="11" t="s">
        <v>85</v>
      </c>
      <c r="D283" s="13">
        <v>56000</v>
      </c>
      <c r="E283" s="13">
        <f t="shared" si="67"/>
        <v>56000</v>
      </c>
      <c r="F283" s="13"/>
      <c r="G283" s="2"/>
      <c r="H283" s="7"/>
      <c r="I283" s="13">
        <v>52000</v>
      </c>
      <c r="J283" s="13">
        <f t="shared" si="68"/>
        <v>52000</v>
      </c>
      <c r="K283" s="13">
        <f t="shared" si="69"/>
        <v>4000</v>
      </c>
      <c r="L283" s="14">
        <f t="shared" si="70"/>
        <v>7.1428571428571425E-2</v>
      </c>
      <c r="M283" s="4"/>
      <c r="N283" s="2"/>
      <c r="O283" s="4"/>
      <c r="P283" s="2"/>
      <c r="Q283" s="2"/>
      <c r="R283" s="4"/>
      <c r="S283" s="2"/>
      <c r="T283" s="2"/>
      <c r="U283" s="1"/>
      <c r="V283" s="2"/>
      <c r="W283" s="2"/>
      <c r="X283" s="2"/>
      <c r="Y283" s="2"/>
      <c r="Z283" s="2"/>
    </row>
    <row r="284" spans="1:26" ht="15.75" customHeight="1" x14ac:dyDescent="0.2">
      <c r="A284" s="12">
        <v>1</v>
      </c>
      <c r="B284" s="10" t="s">
        <v>86</v>
      </c>
      <c r="C284" s="11" t="s">
        <v>87</v>
      </c>
      <c r="D284" s="13">
        <v>42000</v>
      </c>
      <c r="E284" s="13">
        <f t="shared" si="67"/>
        <v>42000</v>
      </c>
      <c r="F284" s="13"/>
      <c r="G284" s="2"/>
      <c r="H284" s="7"/>
      <c r="I284" s="13">
        <v>30000</v>
      </c>
      <c r="J284" s="13">
        <f t="shared" si="68"/>
        <v>30000</v>
      </c>
      <c r="K284" s="13">
        <f t="shared" si="69"/>
        <v>12000</v>
      </c>
      <c r="L284" s="14">
        <f t="shared" si="70"/>
        <v>0.2857142857142857</v>
      </c>
      <c r="M284" s="4"/>
      <c r="N284" s="2"/>
      <c r="O284" s="4"/>
      <c r="P284" s="2"/>
      <c r="Q284" s="2"/>
      <c r="R284" s="4"/>
      <c r="S284" s="2"/>
      <c r="T284" s="2"/>
      <c r="U284" s="1"/>
      <c r="V284" s="2"/>
      <c r="W284" s="2"/>
      <c r="X284" s="2"/>
      <c r="Y284" s="2"/>
      <c r="Z284" s="2"/>
    </row>
    <row r="285" spans="1:26" ht="15.75" customHeight="1" x14ac:dyDescent="0.2">
      <c r="A285" s="12">
        <v>3</v>
      </c>
      <c r="B285" s="10" t="s">
        <v>17</v>
      </c>
      <c r="C285" s="11" t="s">
        <v>88</v>
      </c>
      <c r="D285" s="13">
        <v>2600</v>
      </c>
      <c r="E285" s="13">
        <f t="shared" si="67"/>
        <v>7800</v>
      </c>
      <c r="F285" s="13"/>
      <c r="G285" s="2"/>
      <c r="H285" s="7"/>
      <c r="I285" s="13">
        <f>21000/15</f>
        <v>1400</v>
      </c>
      <c r="J285" s="13">
        <f t="shared" si="68"/>
        <v>4200</v>
      </c>
      <c r="K285" s="13">
        <f t="shared" si="69"/>
        <v>3600</v>
      </c>
      <c r="L285" s="14">
        <f t="shared" si="70"/>
        <v>0.46153846153846156</v>
      </c>
      <c r="M285" s="4"/>
      <c r="N285" s="2"/>
      <c r="O285" s="4"/>
      <c r="P285" s="2"/>
      <c r="Q285" s="2"/>
      <c r="R285" s="4"/>
      <c r="S285" s="2"/>
      <c r="T285" s="2"/>
      <c r="U285" s="1"/>
      <c r="V285" s="2"/>
      <c r="W285" s="2"/>
      <c r="X285" s="2"/>
      <c r="Y285" s="2"/>
      <c r="Z285" s="2"/>
    </row>
    <row r="286" spans="1:26" ht="15.75" customHeight="1" x14ac:dyDescent="0.2">
      <c r="A286" s="12">
        <v>0.5</v>
      </c>
      <c r="B286" s="10" t="s">
        <v>86</v>
      </c>
      <c r="C286" s="11" t="s">
        <v>24</v>
      </c>
      <c r="D286" s="13">
        <v>57000</v>
      </c>
      <c r="E286" s="13">
        <f t="shared" si="67"/>
        <v>28500</v>
      </c>
      <c r="F286" s="13"/>
      <c r="G286" s="2"/>
      <c r="H286" s="7"/>
      <c r="I286" s="13">
        <v>53000</v>
      </c>
      <c r="J286" s="13">
        <f t="shared" si="68"/>
        <v>26500</v>
      </c>
      <c r="K286" s="13">
        <f t="shared" si="69"/>
        <v>2000</v>
      </c>
      <c r="L286" s="14">
        <f t="shared" si="70"/>
        <v>7.0175438596491224E-2</v>
      </c>
      <c r="M286" s="4"/>
      <c r="N286" s="2"/>
      <c r="O286" s="4"/>
      <c r="P286" s="2"/>
      <c r="Q286" s="2"/>
      <c r="R286" s="4"/>
      <c r="S286" s="2"/>
      <c r="T286" s="2"/>
      <c r="U286" s="1"/>
      <c r="V286" s="2"/>
      <c r="W286" s="2"/>
      <c r="X286" s="2"/>
      <c r="Y286" s="2"/>
      <c r="Z286" s="2"/>
    </row>
    <row r="287" spans="1:26" ht="15.75" customHeight="1" x14ac:dyDescent="0.2">
      <c r="A287" s="12">
        <v>4</v>
      </c>
      <c r="B287" s="10" t="s">
        <v>17</v>
      </c>
      <c r="C287" s="11" t="s">
        <v>26</v>
      </c>
      <c r="D287" s="13">
        <v>1700</v>
      </c>
      <c r="E287" s="13">
        <f t="shared" si="67"/>
        <v>6800</v>
      </c>
      <c r="F287" s="13"/>
      <c r="G287" s="2"/>
      <c r="H287" s="7"/>
      <c r="I287" s="13">
        <v>0</v>
      </c>
      <c r="J287" s="13">
        <f t="shared" si="68"/>
        <v>0</v>
      </c>
      <c r="K287" s="13">
        <f t="shared" si="69"/>
        <v>6800</v>
      </c>
      <c r="L287" s="14">
        <f t="shared" si="70"/>
        <v>1</v>
      </c>
      <c r="M287" s="4"/>
      <c r="N287" s="2"/>
      <c r="O287" s="4"/>
      <c r="P287" s="2"/>
      <c r="Q287" s="2"/>
      <c r="R287" s="4"/>
      <c r="S287" s="2"/>
      <c r="T287" s="2"/>
      <c r="U287" s="1"/>
      <c r="V287" s="2"/>
      <c r="W287" s="2"/>
      <c r="X287" s="2"/>
      <c r="Y287" s="2"/>
      <c r="Z287" s="2"/>
    </row>
    <row r="288" spans="1:26" x14ac:dyDescent="0.2">
      <c r="A288" s="12">
        <v>0.5</v>
      </c>
      <c r="B288" s="10" t="s">
        <v>86</v>
      </c>
      <c r="C288" s="11" t="s">
        <v>49</v>
      </c>
      <c r="D288" s="13">
        <v>28000</v>
      </c>
      <c r="E288" s="13">
        <f t="shared" si="67"/>
        <v>14000</v>
      </c>
      <c r="F288" s="13"/>
      <c r="G288" s="2"/>
      <c r="H288" s="7"/>
      <c r="I288" s="13">
        <v>20000</v>
      </c>
      <c r="J288" s="13">
        <f t="shared" si="68"/>
        <v>10000</v>
      </c>
      <c r="K288" s="13">
        <f t="shared" si="69"/>
        <v>4000</v>
      </c>
      <c r="L288" s="14">
        <f t="shared" si="70"/>
        <v>0.2857142857142857</v>
      </c>
      <c r="M288" s="4"/>
      <c r="N288" s="2"/>
      <c r="O288" s="4"/>
      <c r="P288" s="2"/>
      <c r="Q288" s="2"/>
      <c r="R288" s="4"/>
      <c r="S288" s="2"/>
      <c r="T288" s="2"/>
      <c r="U288" s="1"/>
      <c r="V288" s="2"/>
      <c r="W288" s="2"/>
      <c r="X288" s="2"/>
      <c r="Y288" s="2"/>
      <c r="Z288" s="2"/>
    </row>
    <row r="289" spans="1:26" x14ac:dyDescent="0.2">
      <c r="A289" s="12">
        <v>0.5</v>
      </c>
      <c r="B289" s="10" t="s">
        <v>17</v>
      </c>
      <c r="C289" s="11" t="s">
        <v>89</v>
      </c>
      <c r="D289" s="13">
        <v>10500</v>
      </c>
      <c r="E289" s="13">
        <f t="shared" si="67"/>
        <v>5250</v>
      </c>
      <c r="F289" s="13"/>
      <c r="G289" s="2"/>
      <c r="H289" s="7"/>
      <c r="I289" s="13">
        <v>10000</v>
      </c>
      <c r="J289" s="13">
        <f t="shared" si="68"/>
        <v>5000</v>
      </c>
      <c r="K289" s="13">
        <f t="shared" si="69"/>
        <v>250</v>
      </c>
      <c r="L289" s="14">
        <f t="shared" si="70"/>
        <v>4.7619047619047616E-2</v>
      </c>
      <c r="M289" s="4"/>
      <c r="N289" s="2"/>
      <c r="O289" s="4"/>
      <c r="P289" s="2"/>
      <c r="Q289" s="2"/>
      <c r="R289" s="4"/>
      <c r="S289" s="2"/>
      <c r="T289" s="2"/>
      <c r="U289" s="1"/>
      <c r="V289" s="2"/>
      <c r="W289" s="2"/>
      <c r="X289" s="2"/>
      <c r="Y289" s="2"/>
      <c r="Z289" s="2"/>
    </row>
    <row r="290" spans="1:26" x14ac:dyDescent="0.2">
      <c r="A290" s="12">
        <v>0.5</v>
      </c>
      <c r="B290" s="10" t="s">
        <v>17</v>
      </c>
      <c r="C290" s="11" t="s">
        <v>90</v>
      </c>
      <c r="D290" s="13">
        <v>8000</v>
      </c>
      <c r="E290" s="13">
        <f t="shared" si="67"/>
        <v>4000</v>
      </c>
      <c r="F290" s="13"/>
      <c r="G290" s="2"/>
      <c r="H290" s="7"/>
      <c r="I290" s="13">
        <f>45000/7</f>
        <v>6428.5714285714284</v>
      </c>
      <c r="J290" s="13">
        <f t="shared" si="68"/>
        <v>3214.2857142857142</v>
      </c>
      <c r="K290" s="13">
        <f t="shared" si="69"/>
        <v>785.71428571428578</v>
      </c>
      <c r="L290" s="14">
        <f t="shared" si="70"/>
        <v>0.19642857142857145</v>
      </c>
      <c r="M290" s="4"/>
      <c r="N290" s="2"/>
      <c r="O290" s="4"/>
      <c r="P290" s="2"/>
      <c r="Q290" s="2"/>
      <c r="R290" s="4"/>
      <c r="S290" s="2"/>
      <c r="T290" s="2"/>
      <c r="U290" s="1"/>
      <c r="V290" s="2"/>
      <c r="W290" s="2"/>
      <c r="X290" s="2"/>
      <c r="Y290" s="2"/>
      <c r="Z290" s="2"/>
    </row>
    <row r="291" spans="1:26" ht="15.75" customHeight="1" x14ac:dyDescent="0.2">
      <c r="A291" s="12"/>
      <c r="B291" s="10"/>
      <c r="C291" s="11"/>
      <c r="D291" s="13"/>
      <c r="E291" s="13"/>
      <c r="F291" s="13"/>
      <c r="H291" s="2"/>
      <c r="I291" s="2"/>
      <c r="J291" s="13"/>
      <c r="K291" s="13"/>
      <c r="L291" s="14"/>
      <c r="N291" s="2"/>
      <c r="O291" s="4"/>
      <c r="P291" s="2"/>
      <c r="Q291" s="2"/>
      <c r="R291" s="4"/>
      <c r="S291" s="2"/>
      <c r="T291" s="2"/>
      <c r="U291" s="1"/>
      <c r="V291" s="2"/>
      <c r="W291" s="2"/>
      <c r="X291" s="2"/>
      <c r="Y291" s="2"/>
      <c r="Z291" s="2"/>
    </row>
    <row r="292" spans="1:26" ht="15.75" customHeight="1" x14ac:dyDescent="0.2">
      <c r="A292" s="12"/>
      <c r="B292" s="10"/>
      <c r="C292" s="11"/>
      <c r="D292" s="13"/>
      <c r="E292" s="13">
        <f>SUM(E266:E291)</f>
        <v>272850</v>
      </c>
      <c r="F292" s="13"/>
      <c r="G292" s="2"/>
      <c r="H292" s="2"/>
      <c r="I292" s="2"/>
      <c r="J292" s="13"/>
      <c r="K292" s="13">
        <f>SUM(K266:K290)</f>
        <v>79252.305194805202</v>
      </c>
      <c r="L292" s="14">
        <f>K292/E292</f>
        <v>0.29046107822908263</v>
      </c>
      <c r="M292" s="4"/>
      <c r="N292" s="2"/>
      <c r="O292" s="4"/>
      <c r="P292" s="2"/>
      <c r="Q292" s="2"/>
      <c r="R292" s="4"/>
      <c r="S292" s="2"/>
      <c r="T292" s="2"/>
      <c r="U292" s="1"/>
      <c r="V292" s="2"/>
      <c r="W292" s="2"/>
      <c r="X292" s="2"/>
      <c r="Y292" s="2"/>
      <c r="Z292" s="2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0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0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6" t="s">
        <v>91</v>
      </c>
      <c r="B295" s="1"/>
      <c r="C295" s="1"/>
      <c r="D295" s="22" t="s">
        <v>92</v>
      </c>
      <c r="E295" s="8">
        <v>46113</v>
      </c>
      <c r="F295" s="24" t="s">
        <v>37</v>
      </c>
      <c r="G295" s="2"/>
      <c r="H295" s="2"/>
      <c r="I295" s="2"/>
      <c r="J295" s="2"/>
      <c r="K295" s="2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2"/>
      <c r="C296" s="4"/>
      <c r="D296" s="2"/>
      <c r="E296" s="2"/>
      <c r="F296" s="2"/>
      <c r="G296" s="2"/>
      <c r="H296" s="2"/>
      <c r="I296" s="2"/>
      <c r="J296" s="2"/>
      <c r="K296" s="2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6" t="s">
        <v>3</v>
      </c>
      <c r="B297" s="10" t="s">
        <v>4</v>
      </c>
      <c r="C297" s="11" t="s">
        <v>5</v>
      </c>
      <c r="D297" s="10" t="s">
        <v>6</v>
      </c>
      <c r="E297" s="10" t="s">
        <v>7</v>
      </c>
      <c r="F297" s="2"/>
      <c r="G297" s="2"/>
      <c r="H297" s="2"/>
      <c r="I297" s="10" t="s">
        <v>6</v>
      </c>
      <c r="J297" s="10" t="s">
        <v>7</v>
      </c>
      <c r="K297" s="10" t="s">
        <v>10</v>
      </c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1.1000000000000001</v>
      </c>
      <c r="B298" s="10" t="s">
        <v>17</v>
      </c>
      <c r="C298" s="11" t="s">
        <v>38</v>
      </c>
      <c r="D298" s="13">
        <v>1800</v>
      </c>
      <c r="E298" s="13">
        <f t="shared" ref="E298:E306" si="71">A298*D298</f>
        <v>1980.0000000000002</v>
      </c>
      <c r="F298" s="2"/>
      <c r="G298" s="2"/>
      <c r="H298" s="2"/>
      <c r="I298" s="13">
        <v>1000</v>
      </c>
      <c r="J298" s="13">
        <f t="shared" ref="J298:J306" si="72">I298*A298</f>
        <v>1100</v>
      </c>
      <c r="K298" s="13">
        <f t="shared" ref="K298:K306" si="73">E298-J298</f>
        <v>880.00000000000023</v>
      </c>
      <c r="L298" s="14">
        <f t="shared" ref="L298:L306" si="74">K298/E298</f>
        <v>0.44444444444444453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1.5</v>
      </c>
      <c r="B299" s="10" t="s">
        <v>17</v>
      </c>
      <c r="C299" s="11" t="s">
        <v>40</v>
      </c>
      <c r="D299" s="13">
        <v>1500</v>
      </c>
      <c r="E299" s="13">
        <f t="shared" si="71"/>
        <v>2250</v>
      </c>
      <c r="F299" s="2"/>
      <c r="G299" s="2"/>
      <c r="H299" s="2"/>
      <c r="I299" s="13">
        <v>1000</v>
      </c>
      <c r="J299" s="13">
        <f t="shared" si="72"/>
        <v>1500</v>
      </c>
      <c r="K299" s="13">
        <f t="shared" si="73"/>
        <v>750</v>
      </c>
      <c r="L299" s="14">
        <f t="shared" si="74"/>
        <v>0.33333333333333331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0.25</v>
      </c>
      <c r="B300" s="10" t="s">
        <v>17</v>
      </c>
      <c r="C300" s="11" t="s">
        <v>93</v>
      </c>
      <c r="D300" s="13">
        <v>3500</v>
      </c>
      <c r="E300" s="13">
        <f t="shared" si="71"/>
        <v>875</v>
      </c>
      <c r="F300" s="2"/>
      <c r="G300" s="2"/>
      <c r="H300" s="2"/>
      <c r="I300" s="13">
        <v>1000</v>
      </c>
      <c r="J300" s="13">
        <f t="shared" si="72"/>
        <v>250</v>
      </c>
      <c r="K300" s="13">
        <f t="shared" si="73"/>
        <v>625</v>
      </c>
      <c r="L300" s="14">
        <f t="shared" si="74"/>
        <v>0.7142857142857143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4</v>
      </c>
      <c r="B301" s="10" t="s">
        <v>17</v>
      </c>
      <c r="C301" s="11" t="s">
        <v>73</v>
      </c>
      <c r="D301" s="13">
        <v>2200</v>
      </c>
      <c r="E301" s="13">
        <f t="shared" si="71"/>
        <v>8800</v>
      </c>
      <c r="F301" s="2"/>
      <c r="G301" s="2"/>
      <c r="H301" s="2"/>
      <c r="I301" s="13">
        <v>1000</v>
      </c>
      <c r="J301" s="13">
        <f t="shared" si="72"/>
        <v>4000</v>
      </c>
      <c r="K301" s="13">
        <f t="shared" si="73"/>
        <v>4800</v>
      </c>
      <c r="L301" s="14">
        <f t="shared" si="74"/>
        <v>0.54545454545454541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1</v>
      </c>
      <c r="B302" s="10" t="s">
        <v>4</v>
      </c>
      <c r="C302" s="11" t="s">
        <v>64</v>
      </c>
      <c r="D302" s="13">
        <v>2500</v>
      </c>
      <c r="E302" s="13">
        <f t="shared" si="71"/>
        <v>2500</v>
      </c>
      <c r="F302" s="2"/>
      <c r="G302" s="2"/>
      <c r="H302" s="2"/>
      <c r="I302" s="13">
        <f>5000/3</f>
        <v>1666.6666666666667</v>
      </c>
      <c r="J302" s="13">
        <f t="shared" si="72"/>
        <v>1666.6666666666667</v>
      </c>
      <c r="K302" s="13">
        <f t="shared" si="73"/>
        <v>833.33333333333326</v>
      </c>
      <c r="L302" s="14">
        <f t="shared" si="74"/>
        <v>0.33333333333333331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3</v>
      </c>
      <c r="B303" s="10" t="s">
        <v>21</v>
      </c>
      <c r="C303" s="11" t="s">
        <v>51</v>
      </c>
      <c r="D303" s="13">
        <v>1500</v>
      </c>
      <c r="E303" s="13">
        <f t="shared" si="71"/>
        <v>4500</v>
      </c>
      <c r="F303" s="2"/>
      <c r="G303" s="2"/>
      <c r="H303" s="2"/>
      <c r="I303" s="13">
        <v>1200</v>
      </c>
      <c r="J303" s="13">
        <f t="shared" si="72"/>
        <v>3600</v>
      </c>
      <c r="K303" s="13">
        <f t="shared" si="73"/>
        <v>900</v>
      </c>
      <c r="L303" s="14">
        <f t="shared" si="74"/>
        <v>0.2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4</v>
      </c>
      <c r="B304" s="10" t="s">
        <v>4</v>
      </c>
      <c r="C304" s="11" t="s">
        <v>65</v>
      </c>
      <c r="D304" s="13">
        <v>1600</v>
      </c>
      <c r="E304" s="13">
        <f t="shared" si="71"/>
        <v>6400</v>
      </c>
      <c r="F304" s="2"/>
      <c r="G304" s="2"/>
      <c r="H304" s="2"/>
      <c r="I304" s="19">
        <f>82000/80</f>
        <v>1025</v>
      </c>
      <c r="J304" s="13">
        <f t="shared" si="72"/>
        <v>4100</v>
      </c>
      <c r="K304" s="13">
        <f t="shared" si="73"/>
        <v>2300</v>
      </c>
      <c r="L304" s="14">
        <f t="shared" si="74"/>
        <v>0.359375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1</v>
      </c>
      <c r="B305" s="10" t="s">
        <v>17</v>
      </c>
      <c r="C305" s="11" t="s">
        <v>88</v>
      </c>
      <c r="D305" s="13">
        <v>2600</v>
      </c>
      <c r="E305" s="13">
        <f t="shared" si="71"/>
        <v>2600</v>
      </c>
      <c r="F305" s="2"/>
      <c r="G305" s="2"/>
      <c r="H305" s="2"/>
      <c r="I305" s="13">
        <f>21000/15</f>
        <v>1400</v>
      </c>
      <c r="J305" s="13">
        <f t="shared" si="72"/>
        <v>1400</v>
      </c>
      <c r="K305" s="13">
        <f t="shared" si="73"/>
        <v>1200</v>
      </c>
      <c r="L305" s="14">
        <f t="shared" si="74"/>
        <v>0.46153846153846156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2">
        <v>0.55000000000000004</v>
      </c>
      <c r="B306" s="10" t="s">
        <v>17</v>
      </c>
      <c r="C306" s="11" t="s">
        <v>26</v>
      </c>
      <c r="D306" s="13">
        <v>1800</v>
      </c>
      <c r="E306" s="13">
        <f t="shared" si="71"/>
        <v>990.00000000000011</v>
      </c>
      <c r="F306" s="2"/>
      <c r="G306" s="2"/>
      <c r="H306" s="2"/>
      <c r="I306" s="13">
        <v>0</v>
      </c>
      <c r="J306" s="13">
        <f t="shared" si="72"/>
        <v>0</v>
      </c>
      <c r="K306" s="13">
        <f t="shared" si="73"/>
        <v>990.00000000000011</v>
      </c>
      <c r="L306" s="14">
        <f t="shared" si="74"/>
        <v>1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2"/>
      <c r="C307" s="4"/>
      <c r="D307" s="2"/>
      <c r="E307" s="2"/>
      <c r="F307" s="2"/>
      <c r="G307" s="4"/>
      <c r="H307" s="2"/>
      <c r="I307" s="2"/>
      <c r="J307" s="2"/>
      <c r="K307" s="2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"/>
      <c r="B308" s="2"/>
      <c r="C308" s="4"/>
      <c r="D308" s="2"/>
      <c r="E308" s="13">
        <f>SUM(E298:E306)</f>
        <v>30895</v>
      </c>
      <c r="F308" s="2"/>
      <c r="G308" s="2"/>
      <c r="H308" s="2"/>
      <c r="I308" s="2"/>
      <c r="J308" s="2"/>
      <c r="K308" s="13">
        <f>SUM(K298:K306)</f>
        <v>13278.333333333332</v>
      </c>
      <c r="L308" s="14">
        <f>K308/E308</f>
        <v>0.42978907050763332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0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0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0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"/>
      <c r="B312" s="1"/>
      <c r="C312" s="1"/>
      <c r="D312" s="1"/>
      <c r="E312" s="5"/>
      <c r="F312" s="1"/>
      <c r="G312" s="2"/>
      <c r="H312" s="2"/>
      <c r="I312" s="2"/>
      <c r="J312" s="2"/>
      <c r="K312" s="2"/>
      <c r="L312" s="3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6" t="s">
        <v>94</v>
      </c>
      <c r="B313" s="25"/>
      <c r="C313" s="1"/>
      <c r="D313" s="12" t="s">
        <v>95</v>
      </c>
      <c r="E313" s="8">
        <v>46113</v>
      </c>
      <c r="F313" s="15" t="s">
        <v>37</v>
      </c>
      <c r="G313" s="2"/>
      <c r="H313" s="2"/>
      <c r="I313" s="2"/>
      <c r="J313" s="2"/>
      <c r="K313" s="2"/>
      <c r="L313" s="3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3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6" t="s">
        <v>3</v>
      </c>
      <c r="B315" s="10" t="s">
        <v>4</v>
      </c>
      <c r="C315" s="6" t="s">
        <v>5</v>
      </c>
      <c r="D315" s="10" t="s">
        <v>6</v>
      </c>
      <c r="E315" s="10" t="s">
        <v>7</v>
      </c>
      <c r="F315" s="2"/>
      <c r="G315" s="2"/>
      <c r="H315" s="2"/>
      <c r="I315" s="10" t="s">
        <v>6</v>
      </c>
      <c r="J315" s="10" t="s">
        <v>7</v>
      </c>
      <c r="K315" s="10" t="s">
        <v>10</v>
      </c>
      <c r="L315" s="3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2">
        <v>0.5</v>
      </c>
      <c r="B316" s="10" t="s">
        <v>23</v>
      </c>
      <c r="C316" s="6" t="s">
        <v>85</v>
      </c>
      <c r="D316" s="13">
        <v>56000</v>
      </c>
      <c r="E316" s="13">
        <f t="shared" ref="E316:E318" si="75">A316*D316</f>
        <v>28000</v>
      </c>
      <c r="F316" s="2"/>
      <c r="G316" s="2"/>
      <c r="H316" s="2"/>
      <c r="I316" s="13">
        <v>52000</v>
      </c>
      <c r="J316" s="13">
        <f t="shared" ref="J316:J318" si="76">I316*A316</f>
        <v>26000</v>
      </c>
      <c r="K316" s="13">
        <f t="shared" ref="K316:K318" si="77">E316-J316</f>
        <v>2000</v>
      </c>
      <c r="L316" s="14">
        <f t="shared" ref="L316:L318" si="78">K316/E316</f>
        <v>7.1428571428571425E-2</v>
      </c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2">
        <v>1</v>
      </c>
      <c r="B317" s="10" t="s">
        <v>15</v>
      </c>
      <c r="C317" s="6" t="s">
        <v>84</v>
      </c>
      <c r="D317" s="13">
        <v>18000</v>
      </c>
      <c r="E317" s="13">
        <f t="shared" si="75"/>
        <v>18000</v>
      </c>
      <c r="F317" s="2"/>
      <c r="G317" s="2"/>
      <c r="H317" s="2"/>
      <c r="I317" s="13">
        <v>13000</v>
      </c>
      <c r="J317" s="13">
        <f t="shared" si="76"/>
        <v>13000</v>
      </c>
      <c r="K317" s="13">
        <f t="shared" si="77"/>
        <v>5000</v>
      </c>
      <c r="L317" s="14">
        <f t="shared" si="78"/>
        <v>0.27777777777777779</v>
      </c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2">
        <v>1</v>
      </c>
      <c r="B318" s="10" t="s">
        <v>15</v>
      </c>
      <c r="C318" s="6" t="s">
        <v>83</v>
      </c>
      <c r="D318" s="13">
        <v>14000</v>
      </c>
      <c r="E318" s="13">
        <f t="shared" si="75"/>
        <v>14000</v>
      </c>
      <c r="F318" s="2"/>
      <c r="G318" s="2"/>
      <c r="H318" s="2"/>
      <c r="I318" s="13">
        <v>10000</v>
      </c>
      <c r="J318" s="13">
        <f t="shared" si="76"/>
        <v>10000</v>
      </c>
      <c r="K318" s="13">
        <f t="shared" si="77"/>
        <v>4000</v>
      </c>
      <c r="L318" s="14">
        <f t="shared" si="78"/>
        <v>0.2857142857142857</v>
      </c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"/>
      <c r="B319" s="2"/>
      <c r="C319" s="1"/>
      <c r="D319" s="2"/>
      <c r="E319" s="2"/>
      <c r="F319" s="2"/>
      <c r="G319" s="1"/>
      <c r="H319" s="2"/>
      <c r="I319" s="2"/>
      <c r="J319" s="2"/>
      <c r="K319" s="2"/>
      <c r="L319" s="3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2"/>
      <c r="C320" s="1"/>
      <c r="D320" s="2"/>
      <c r="E320" s="13">
        <f>SUM(E316:E319)</f>
        <v>60000</v>
      </c>
      <c r="F320" s="2"/>
      <c r="G320" s="2"/>
      <c r="H320" s="2"/>
      <c r="I320" s="2"/>
      <c r="J320" s="2"/>
      <c r="K320" s="13">
        <f>SUM(K316:K318)</f>
        <v>11000</v>
      </c>
      <c r="L320" s="14">
        <f>K320/E320</f>
        <v>0.18333333333333332</v>
      </c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0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0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0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0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0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6" t="s">
        <v>96</v>
      </c>
      <c r="B326" s="1"/>
      <c r="C326" s="1"/>
      <c r="D326" s="22" t="s">
        <v>97</v>
      </c>
      <c r="E326" s="8">
        <v>46113</v>
      </c>
      <c r="F326" s="24" t="s">
        <v>37</v>
      </c>
      <c r="G326" s="2"/>
      <c r="H326" s="2"/>
      <c r="I326" s="2"/>
      <c r="J326" s="2"/>
      <c r="K326" s="2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2"/>
      <c r="C327" s="4"/>
      <c r="D327" s="2"/>
      <c r="E327" s="2"/>
      <c r="F327" s="2"/>
      <c r="G327" s="2"/>
      <c r="H327" s="2"/>
      <c r="I327" s="2"/>
      <c r="J327" s="2"/>
      <c r="K327" s="2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6" t="s">
        <v>3</v>
      </c>
      <c r="B328" s="10" t="s">
        <v>4</v>
      </c>
      <c r="C328" s="11" t="s">
        <v>5</v>
      </c>
      <c r="D328" s="10" t="s">
        <v>6</v>
      </c>
      <c r="E328" s="10" t="s">
        <v>7</v>
      </c>
      <c r="F328" s="2"/>
      <c r="G328" s="2"/>
      <c r="H328" s="2"/>
      <c r="I328" s="10" t="s">
        <v>6</v>
      </c>
      <c r="J328" s="10" t="s">
        <v>7</v>
      </c>
      <c r="K328" s="10" t="s">
        <v>10</v>
      </c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2">
        <v>1</v>
      </c>
      <c r="B329" s="10" t="s">
        <v>23</v>
      </c>
      <c r="C329" s="11" t="s">
        <v>31</v>
      </c>
      <c r="D329" s="13">
        <v>14000</v>
      </c>
      <c r="E329" s="13">
        <f t="shared" ref="E329:E338" si="79">A329*D329</f>
        <v>14000</v>
      </c>
      <c r="F329" s="2"/>
      <c r="G329" s="2"/>
      <c r="H329" s="2"/>
      <c r="I329" s="13">
        <v>8000</v>
      </c>
      <c r="J329" s="13">
        <f t="shared" ref="J329:J338" si="80">I329*A329</f>
        <v>8000</v>
      </c>
      <c r="K329" s="13">
        <f t="shared" ref="K329:K338" si="81">E329-J329</f>
        <v>6000</v>
      </c>
      <c r="L329" s="14">
        <f t="shared" ref="L329:L338" si="82">K329/E329</f>
        <v>0.42857142857142855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2">
        <v>1</v>
      </c>
      <c r="B330" s="10" t="s">
        <v>23</v>
      </c>
      <c r="C330" s="11" t="s">
        <v>98</v>
      </c>
      <c r="D330" s="13">
        <v>18000</v>
      </c>
      <c r="E330" s="13">
        <f t="shared" si="79"/>
        <v>18000</v>
      </c>
      <c r="F330" s="2"/>
      <c r="G330" s="2"/>
      <c r="H330" s="2"/>
      <c r="I330" s="13">
        <v>12000</v>
      </c>
      <c r="J330" s="13">
        <f t="shared" si="80"/>
        <v>12000</v>
      </c>
      <c r="K330" s="13">
        <f t="shared" si="81"/>
        <v>6000</v>
      </c>
      <c r="L330" s="14">
        <f t="shared" si="82"/>
        <v>0.33333333333333331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2">
        <v>2</v>
      </c>
      <c r="B331" s="10" t="s">
        <v>15</v>
      </c>
      <c r="C331" s="11" t="s">
        <v>56</v>
      </c>
      <c r="D331" s="13">
        <v>14000</v>
      </c>
      <c r="E331" s="13">
        <f t="shared" si="79"/>
        <v>28000</v>
      </c>
      <c r="F331" s="2"/>
      <c r="G331" s="2"/>
      <c r="H331" s="2"/>
      <c r="I331" s="13">
        <v>10000</v>
      </c>
      <c r="J331" s="13">
        <f t="shared" si="80"/>
        <v>20000</v>
      </c>
      <c r="K331" s="13">
        <f t="shared" si="81"/>
        <v>8000</v>
      </c>
      <c r="L331" s="14">
        <f t="shared" si="82"/>
        <v>0.2857142857142857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2">
        <v>1</v>
      </c>
      <c r="B332" s="10" t="s">
        <v>23</v>
      </c>
      <c r="C332" s="11" t="s">
        <v>99</v>
      </c>
      <c r="D332" s="13">
        <v>10000</v>
      </c>
      <c r="E332" s="13">
        <f t="shared" si="79"/>
        <v>10000</v>
      </c>
      <c r="F332" s="2"/>
      <c r="G332" s="2"/>
      <c r="H332" s="2"/>
      <c r="I332" s="13">
        <v>8000</v>
      </c>
      <c r="J332" s="13">
        <f t="shared" si="80"/>
        <v>8000</v>
      </c>
      <c r="K332" s="13">
        <f t="shared" si="81"/>
        <v>2000</v>
      </c>
      <c r="L332" s="14">
        <f t="shared" si="82"/>
        <v>0.2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2">
        <v>6</v>
      </c>
      <c r="B333" s="10" t="s">
        <v>100</v>
      </c>
      <c r="C333" s="11" t="s">
        <v>55</v>
      </c>
      <c r="D333" s="13">
        <v>5000</v>
      </c>
      <c r="E333" s="13">
        <f t="shared" si="79"/>
        <v>30000</v>
      </c>
      <c r="F333" s="2"/>
      <c r="G333" s="2"/>
      <c r="H333" s="2"/>
      <c r="I333" s="13">
        <v>4000</v>
      </c>
      <c r="J333" s="13">
        <f t="shared" si="80"/>
        <v>24000</v>
      </c>
      <c r="K333" s="13">
        <f t="shared" si="81"/>
        <v>6000</v>
      </c>
      <c r="L333" s="14">
        <f t="shared" si="82"/>
        <v>0.2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2">
        <v>0.5</v>
      </c>
      <c r="B334" s="10" t="s">
        <v>23</v>
      </c>
      <c r="C334" s="11" t="s">
        <v>81</v>
      </c>
      <c r="D334" s="13">
        <v>18000</v>
      </c>
      <c r="E334" s="13">
        <f t="shared" si="79"/>
        <v>9000</v>
      </c>
      <c r="F334" s="2"/>
      <c r="G334" s="2"/>
      <c r="H334" s="2"/>
      <c r="I334" s="13">
        <v>12000</v>
      </c>
      <c r="J334" s="13">
        <f t="shared" si="80"/>
        <v>6000</v>
      </c>
      <c r="K334" s="13">
        <f t="shared" si="81"/>
        <v>3000</v>
      </c>
      <c r="L334" s="14">
        <f t="shared" si="82"/>
        <v>0.33333333333333331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2">
        <v>2</v>
      </c>
      <c r="B335" s="10" t="s">
        <v>15</v>
      </c>
      <c r="C335" s="11" t="s">
        <v>16</v>
      </c>
      <c r="D335" s="13">
        <v>12000</v>
      </c>
      <c r="E335" s="13">
        <f t="shared" si="79"/>
        <v>24000</v>
      </c>
      <c r="F335" s="2"/>
      <c r="G335" s="2"/>
      <c r="H335" s="2"/>
      <c r="I335" s="13">
        <v>9000</v>
      </c>
      <c r="J335" s="13">
        <f t="shared" si="80"/>
        <v>18000</v>
      </c>
      <c r="K335" s="13">
        <f t="shared" si="81"/>
        <v>6000</v>
      </c>
      <c r="L335" s="14">
        <f t="shared" si="82"/>
        <v>0.25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2">
        <v>3</v>
      </c>
      <c r="B336" s="10" t="s">
        <v>21</v>
      </c>
      <c r="C336" s="11" t="s">
        <v>51</v>
      </c>
      <c r="D336" s="13">
        <v>1500</v>
      </c>
      <c r="E336" s="13">
        <f t="shared" si="79"/>
        <v>4500</v>
      </c>
      <c r="F336" s="2"/>
      <c r="G336" s="2"/>
      <c r="H336" s="2"/>
      <c r="I336" s="13">
        <v>1200</v>
      </c>
      <c r="J336" s="13">
        <f t="shared" si="80"/>
        <v>3600</v>
      </c>
      <c r="K336" s="13">
        <f t="shared" si="81"/>
        <v>900</v>
      </c>
      <c r="L336" s="14">
        <f t="shared" si="82"/>
        <v>0.2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2">
        <v>1</v>
      </c>
      <c r="B337" s="10" t="s">
        <v>21</v>
      </c>
      <c r="C337" s="11" t="s">
        <v>29</v>
      </c>
      <c r="D337" s="13">
        <v>3500</v>
      </c>
      <c r="E337" s="13">
        <f t="shared" si="79"/>
        <v>3500</v>
      </c>
      <c r="F337" s="2"/>
      <c r="G337" s="2"/>
      <c r="H337" s="2"/>
      <c r="I337" s="13">
        <v>1000</v>
      </c>
      <c r="J337" s="13">
        <f t="shared" si="80"/>
        <v>1000</v>
      </c>
      <c r="K337" s="13">
        <f t="shared" si="81"/>
        <v>2500</v>
      </c>
      <c r="L337" s="14">
        <f t="shared" si="82"/>
        <v>0.7142857142857143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2">
        <v>1</v>
      </c>
      <c r="B338" s="10" t="s">
        <v>23</v>
      </c>
      <c r="C338" s="11" t="s">
        <v>14</v>
      </c>
      <c r="D338" s="13">
        <v>18000</v>
      </c>
      <c r="E338" s="13">
        <f t="shared" si="79"/>
        <v>18000</v>
      </c>
      <c r="F338" s="2"/>
      <c r="G338" s="2"/>
      <c r="H338" s="2"/>
      <c r="I338" s="13">
        <v>18000</v>
      </c>
      <c r="J338" s="13">
        <f t="shared" si="80"/>
        <v>18000</v>
      </c>
      <c r="K338" s="13">
        <f t="shared" si="81"/>
        <v>0</v>
      </c>
      <c r="L338" s="14">
        <f t="shared" si="82"/>
        <v>0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"/>
      <c r="B339" s="2"/>
      <c r="C339" s="4"/>
      <c r="D339" s="2"/>
      <c r="E339" s="2"/>
      <c r="F339" s="2"/>
      <c r="G339" s="4"/>
      <c r="H339" s="2"/>
      <c r="I339" s="2"/>
      <c r="J339" s="2"/>
      <c r="K339" s="2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"/>
      <c r="B340" s="2"/>
      <c r="C340" s="4"/>
      <c r="D340" s="2"/>
      <c r="E340" s="13">
        <f>SUM(E329:E338)</f>
        <v>159000</v>
      </c>
      <c r="F340" s="2"/>
      <c r="G340" s="2"/>
      <c r="H340" s="2"/>
      <c r="I340" s="2"/>
      <c r="J340" s="2"/>
      <c r="K340" s="13">
        <f>SUM(K329:K338)</f>
        <v>40400</v>
      </c>
      <c r="L340" s="14">
        <f>K340/E340</f>
        <v>0.25408805031446541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0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0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0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5.5" customHeight="1" x14ac:dyDescent="0.25">
      <c r="A344" s="26" t="s">
        <v>101</v>
      </c>
      <c r="B344" s="27">
        <f>E340+E320+E308+E292+F256+F238+F220+F197+F173+F155+F102+F81+F60+F34+F123</f>
        <v>2366687.2499999995</v>
      </c>
      <c r="C344" s="4"/>
      <c r="D344" s="4"/>
      <c r="E344" s="4"/>
      <c r="F344" s="4"/>
      <c r="G344" s="4"/>
      <c r="H344" s="4"/>
      <c r="I344" s="4"/>
      <c r="J344" s="4"/>
      <c r="K344" s="4"/>
      <c r="L344" s="28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8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7" customHeight="1" x14ac:dyDescent="0.25">
      <c r="A346" s="26" t="s">
        <v>102</v>
      </c>
      <c r="B346" s="27">
        <f>K340+K320+K308+K292+K256+K238+K220+K197+K173+K155+K123+K102+K81+K60+K34</f>
        <v>856395.99666118203</v>
      </c>
      <c r="C346" s="4"/>
      <c r="D346" s="4"/>
      <c r="E346" s="4"/>
      <c r="F346" s="4"/>
      <c r="G346" s="4"/>
      <c r="H346" s="4"/>
      <c r="I346" s="4"/>
      <c r="J346" s="4"/>
      <c r="K346" s="4"/>
      <c r="L346" s="28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8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8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6.25" customHeight="1" x14ac:dyDescent="0.25">
      <c r="A349" s="26" t="s">
        <v>103</v>
      </c>
      <c r="B349" s="29">
        <f>B346/B344</f>
        <v>0.36185431626472075</v>
      </c>
      <c r="C349" s="4"/>
      <c r="D349" s="4"/>
      <c r="E349" s="4"/>
      <c r="F349" s="4"/>
      <c r="G349" s="4"/>
      <c r="H349" s="4"/>
      <c r="I349" s="4"/>
      <c r="J349" s="4"/>
      <c r="K349" s="4"/>
      <c r="L349" s="28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8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90" t="s">
        <v>104</v>
      </c>
      <c r="B351" s="89"/>
      <c r="C351" s="4"/>
      <c r="D351" s="4"/>
      <c r="E351" s="4"/>
      <c r="F351" s="4"/>
      <c r="G351" s="4"/>
      <c r="H351" s="4"/>
      <c r="I351" s="4"/>
      <c r="J351" s="4"/>
      <c r="K351" s="4"/>
      <c r="L351" s="28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0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0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0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0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0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0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0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</sheetData>
  <mergeCells count="12">
    <mergeCell ref="A128:C128"/>
    <mergeCell ref="A158:C158"/>
    <mergeCell ref="A3:C3"/>
    <mergeCell ref="A37:C37"/>
    <mergeCell ref="A64:C64"/>
    <mergeCell ref="A84:C84"/>
    <mergeCell ref="A105:C105"/>
    <mergeCell ref="A176:C176"/>
    <mergeCell ref="A200:C200"/>
    <mergeCell ref="A224:C224"/>
    <mergeCell ref="A242:C242"/>
    <mergeCell ref="A351:B351"/>
  </mergeCells>
  <conditionalFormatting sqref="L1:L358">
    <cfRule type="cellIs" dxfId="98" priority="1" operator="greaterThanOrEqual">
      <formula>"30%"</formula>
    </cfRule>
    <cfRule type="cellIs" dxfId="97" priority="2" operator="between">
      <formula>"25%"</formula>
      <formula>"30%"</formula>
    </cfRule>
    <cfRule type="cellIs" dxfId="96" priority="3" operator="less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79"/>
  <sheetViews>
    <sheetView workbookViewId="0"/>
  </sheetViews>
  <sheetFormatPr baseColWidth="10" defaultColWidth="12.6640625" defaultRowHeight="15" customHeight="1" x14ac:dyDescent="0.2"/>
  <cols>
    <col min="1" max="1" width="21" customWidth="1"/>
    <col min="2" max="2" width="18.1640625" customWidth="1"/>
    <col min="3" max="3" width="27.1640625" customWidth="1"/>
    <col min="4" max="4" width="13.83203125" customWidth="1"/>
    <col min="5" max="5" width="13.1640625" customWidth="1"/>
    <col min="6" max="6" width="15.6640625" customWidth="1"/>
    <col min="7" max="7" width="20.332031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4"/>
      <c r="C1" s="4"/>
      <c r="D1" s="2"/>
      <c r="E1" s="2"/>
      <c r="F1" s="2"/>
      <c r="G1" s="4"/>
      <c r="H1" s="4"/>
      <c r="I1" s="4"/>
      <c r="J1" s="4"/>
      <c r="K1" s="2"/>
      <c r="L1" s="31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2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6" t="s">
        <v>91</v>
      </c>
      <c r="B3" s="6"/>
      <c r="C3" s="6"/>
      <c r="D3" s="22" t="s">
        <v>105</v>
      </c>
      <c r="E3" s="8">
        <v>46114</v>
      </c>
      <c r="F3" s="23" t="s">
        <v>106</v>
      </c>
      <c r="G3" s="2"/>
      <c r="H3" s="2"/>
      <c r="I3" s="2"/>
      <c r="J3" s="13"/>
      <c r="K3" s="13"/>
      <c r="L3" s="14"/>
      <c r="M3" s="4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B4" s="2"/>
      <c r="C4" s="4"/>
      <c r="D4" s="2"/>
      <c r="E4" s="2"/>
      <c r="F4" s="2"/>
      <c r="G4" s="2"/>
      <c r="H4" s="2"/>
      <c r="I4" s="2"/>
      <c r="J4" s="13"/>
      <c r="K4" s="13"/>
      <c r="L4" s="14"/>
      <c r="M4" s="4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/>
      <c r="G5" s="2"/>
      <c r="H5" s="2"/>
      <c r="I5" s="10" t="s">
        <v>6</v>
      </c>
      <c r="J5" s="10" t="s">
        <v>7</v>
      </c>
      <c r="K5" s="10" t="s">
        <v>10</v>
      </c>
      <c r="L5" s="14"/>
      <c r="M5" s="4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2">
        <v>1</v>
      </c>
      <c r="B6" s="10" t="s">
        <v>23</v>
      </c>
      <c r="C6" s="11" t="s">
        <v>46</v>
      </c>
      <c r="D6" s="13">
        <v>13000</v>
      </c>
      <c r="E6" s="13">
        <f t="shared" ref="E6:E10" si="0">A6*D6</f>
        <v>13000</v>
      </c>
      <c r="F6" s="13"/>
      <c r="G6" s="2"/>
      <c r="H6" s="7"/>
      <c r="I6" s="13">
        <v>8000</v>
      </c>
      <c r="J6" s="13">
        <f t="shared" ref="J6:J10" si="1">I6*A6</f>
        <v>8000</v>
      </c>
      <c r="K6" s="13">
        <f t="shared" ref="K6:K10" si="2">E6-J6</f>
        <v>5000</v>
      </c>
      <c r="L6" s="14">
        <f t="shared" ref="L6:L10" si="3">K6/E6</f>
        <v>0.38461538461538464</v>
      </c>
      <c r="M6" s="4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2">
        <v>3</v>
      </c>
      <c r="B7" s="10" t="s">
        <v>21</v>
      </c>
      <c r="C7" s="11" t="s">
        <v>51</v>
      </c>
      <c r="D7" s="13">
        <v>1500</v>
      </c>
      <c r="E7" s="13">
        <f t="shared" si="0"/>
        <v>4500</v>
      </c>
      <c r="F7" s="13"/>
      <c r="G7" s="2"/>
      <c r="H7" s="7"/>
      <c r="I7" s="13">
        <v>1500</v>
      </c>
      <c r="J7" s="13">
        <f t="shared" si="1"/>
        <v>4500</v>
      </c>
      <c r="K7" s="13">
        <f t="shared" si="2"/>
        <v>0</v>
      </c>
      <c r="L7" s="14">
        <f t="shared" si="3"/>
        <v>0</v>
      </c>
      <c r="M7" s="4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2">
        <v>5</v>
      </c>
      <c r="B8" s="10" t="s">
        <v>17</v>
      </c>
      <c r="C8" s="11" t="s">
        <v>73</v>
      </c>
      <c r="D8" s="13">
        <v>2200</v>
      </c>
      <c r="E8" s="13">
        <f t="shared" si="0"/>
        <v>11000</v>
      </c>
      <c r="F8" s="13"/>
      <c r="G8" s="2"/>
      <c r="H8" s="7"/>
      <c r="I8" s="13">
        <f>14000/15</f>
        <v>933.33333333333337</v>
      </c>
      <c r="J8" s="13">
        <f t="shared" si="1"/>
        <v>4666.666666666667</v>
      </c>
      <c r="K8" s="13">
        <f t="shared" si="2"/>
        <v>6333.333333333333</v>
      </c>
      <c r="L8" s="14">
        <f t="shared" si="3"/>
        <v>0.57575757575757569</v>
      </c>
      <c r="M8" s="4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2">
        <v>0.5</v>
      </c>
      <c r="B9" s="10" t="s">
        <v>17</v>
      </c>
      <c r="C9" s="11" t="s">
        <v>93</v>
      </c>
      <c r="D9" s="13">
        <v>3000</v>
      </c>
      <c r="E9" s="13">
        <f t="shared" si="0"/>
        <v>1500</v>
      </c>
      <c r="F9" s="13"/>
      <c r="G9" s="2"/>
      <c r="H9" s="7"/>
      <c r="I9" s="13">
        <v>1000</v>
      </c>
      <c r="J9" s="13">
        <f t="shared" si="1"/>
        <v>500</v>
      </c>
      <c r="K9" s="13">
        <f t="shared" si="2"/>
        <v>1000</v>
      </c>
      <c r="L9" s="14">
        <f t="shared" si="3"/>
        <v>0.66666666666666663</v>
      </c>
      <c r="M9" s="4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2">
        <v>1</v>
      </c>
      <c r="B10" s="10" t="s">
        <v>17</v>
      </c>
      <c r="C10" s="11" t="s">
        <v>79</v>
      </c>
      <c r="D10" s="13">
        <v>3500</v>
      </c>
      <c r="E10" s="13">
        <f t="shared" si="0"/>
        <v>3500</v>
      </c>
      <c r="F10" s="13"/>
      <c r="G10" s="2"/>
      <c r="H10" s="7" t="s">
        <v>107</v>
      </c>
      <c r="I10" s="13">
        <v>0</v>
      </c>
      <c r="J10" s="13">
        <f t="shared" si="1"/>
        <v>0</v>
      </c>
      <c r="K10" s="13">
        <f t="shared" si="2"/>
        <v>3500</v>
      </c>
      <c r="L10" s="14">
        <f t="shared" si="3"/>
        <v>1</v>
      </c>
      <c r="M10" s="4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2"/>
      <c r="B11" s="10"/>
      <c r="C11" s="11"/>
      <c r="D11" s="13"/>
      <c r="E11" s="13"/>
      <c r="F11" s="13"/>
      <c r="H11" s="2"/>
      <c r="I11" s="2"/>
      <c r="J11" s="13"/>
      <c r="K11" s="13"/>
      <c r="L11" s="14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ht="15.75" customHeight="1" x14ac:dyDescent="0.2">
      <c r="A12" s="12"/>
      <c r="B12" s="10"/>
      <c r="C12" s="11"/>
      <c r="D12" s="13"/>
      <c r="E12" s="13">
        <f>SUM(E6:E11)</f>
        <v>33500</v>
      </c>
      <c r="F12" s="13"/>
      <c r="G12" s="2"/>
      <c r="H12" s="2"/>
      <c r="I12" s="2"/>
      <c r="J12" s="13"/>
      <c r="K12" s="13">
        <f>SUM(K6:K10)</f>
        <v>15833.333333333332</v>
      </c>
      <c r="L12" s="14">
        <f>K12/E12</f>
        <v>0.47263681592039797</v>
      </c>
      <c r="M12" s="4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2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2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2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2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6" t="s">
        <v>108</v>
      </c>
      <c r="B16" s="6"/>
      <c r="C16" s="6"/>
      <c r="D16" s="22" t="s">
        <v>109</v>
      </c>
      <c r="E16" s="8">
        <v>46114</v>
      </c>
      <c r="F16" s="23" t="s">
        <v>106</v>
      </c>
      <c r="G16" s="2"/>
      <c r="H16" s="2"/>
      <c r="I16" s="2"/>
      <c r="J16" s="13"/>
      <c r="K16" s="13"/>
      <c r="L16" s="14"/>
      <c r="M16" s="4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B17" s="2"/>
      <c r="C17" s="4"/>
      <c r="D17" s="2"/>
      <c r="E17" s="2"/>
      <c r="F17" s="2"/>
      <c r="G17" s="2"/>
      <c r="H17" s="2"/>
      <c r="I17" s="2"/>
      <c r="J17" s="13"/>
      <c r="K17" s="13"/>
      <c r="L17" s="14"/>
      <c r="M17" s="4"/>
      <c r="N17" s="2"/>
      <c r="O17" s="4"/>
      <c r="P17" s="2"/>
      <c r="Q17" s="2"/>
      <c r="R17" s="4"/>
      <c r="S17" s="2"/>
      <c r="T17" s="2"/>
      <c r="U17" s="1"/>
      <c r="V17" s="2"/>
      <c r="W17" s="2"/>
      <c r="X17" s="2"/>
      <c r="Y17" s="2"/>
      <c r="Z17" s="2"/>
    </row>
    <row r="18" spans="1:26" ht="15.75" customHeight="1" x14ac:dyDescent="0.2">
      <c r="A18" s="6" t="s">
        <v>3</v>
      </c>
      <c r="B18" s="10" t="s">
        <v>4</v>
      </c>
      <c r="C18" s="11" t="s">
        <v>5</v>
      </c>
      <c r="D18" s="10" t="s">
        <v>6</v>
      </c>
      <c r="E18" s="10" t="s">
        <v>7</v>
      </c>
      <c r="F18" s="10"/>
      <c r="G18" s="2"/>
      <c r="H18" s="2"/>
      <c r="I18" s="10" t="s">
        <v>6</v>
      </c>
      <c r="J18" s="10" t="s">
        <v>7</v>
      </c>
      <c r="K18" s="10" t="s">
        <v>10</v>
      </c>
      <c r="L18" s="14"/>
      <c r="M18" s="4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ht="15.75" customHeight="1" x14ac:dyDescent="0.2">
      <c r="A19" s="12">
        <v>4</v>
      </c>
      <c r="B19" s="10" t="s">
        <v>23</v>
      </c>
      <c r="C19" s="11" t="s">
        <v>110</v>
      </c>
      <c r="D19" s="13">
        <v>9000</v>
      </c>
      <c r="E19" s="13">
        <f t="shared" ref="E19:E31" si="4">A19*D19</f>
        <v>36000</v>
      </c>
      <c r="F19" s="13"/>
      <c r="G19" s="2"/>
      <c r="H19" s="7"/>
      <c r="I19" s="13">
        <f>18000/4</f>
        <v>4500</v>
      </c>
      <c r="J19" s="13">
        <f t="shared" ref="J19:J31" si="5">I19*A19</f>
        <v>18000</v>
      </c>
      <c r="K19" s="13">
        <f t="shared" ref="K19:K31" si="6">E19-J19</f>
        <v>18000</v>
      </c>
      <c r="L19" s="14">
        <f t="shared" ref="L19:L31" si="7">K19/E19</f>
        <v>0.5</v>
      </c>
      <c r="M19" s="4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ht="15.75" customHeight="1" x14ac:dyDescent="0.2">
      <c r="A20" s="12">
        <v>1</v>
      </c>
      <c r="B20" s="10" t="s">
        <v>17</v>
      </c>
      <c r="C20" s="11" t="s">
        <v>111</v>
      </c>
      <c r="D20" s="13">
        <v>10000</v>
      </c>
      <c r="E20" s="13">
        <f t="shared" si="4"/>
        <v>10000</v>
      </c>
      <c r="F20" s="13"/>
      <c r="G20" s="2"/>
      <c r="H20" s="7"/>
      <c r="I20" s="13">
        <v>8000</v>
      </c>
      <c r="J20" s="13">
        <f t="shared" si="5"/>
        <v>8000</v>
      </c>
      <c r="K20" s="13">
        <f t="shared" si="6"/>
        <v>2000</v>
      </c>
      <c r="L20" s="14">
        <f t="shared" si="7"/>
        <v>0.2</v>
      </c>
      <c r="M20" s="4"/>
      <c r="N20" s="2"/>
      <c r="O20" s="4"/>
      <c r="P20" s="2"/>
      <c r="Q20" s="2"/>
      <c r="R20" s="4"/>
      <c r="S20" s="2"/>
      <c r="T20" s="2"/>
      <c r="U20" s="1"/>
      <c r="V20" s="2"/>
      <c r="W20" s="2"/>
      <c r="X20" s="2"/>
      <c r="Y20" s="2"/>
      <c r="Z20" s="2"/>
    </row>
    <row r="21" spans="1:26" ht="15.75" customHeight="1" x14ac:dyDescent="0.2">
      <c r="A21" s="12">
        <v>4</v>
      </c>
      <c r="B21" s="10" t="s">
        <v>21</v>
      </c>
      <c r="C21" s="11" t="s">
        <v>112</v>
      </c>
      <c r="D21" s="13">
        <v>3000</v>
      </c>
      <c r="E21" s="13">
        <f t="shared" si="4"/>
        <v>12000</v>
      </c>
      <c r="F21" s="13"/>
      <c r="G21" s="2"/>
      <c r="H21" s="7"/>
      <c r="I21" s="13">
        <v>2000</v>
      </c>
      <c r="J21" s="13">
        <f t="shared" si="5"/>
        <v>8000</v>
      </c>
      <c r="K21" s="13">
        <f t="shared" si="6"/>
        <v>4000</v>
      </c>
      <c r="L21" s="14">
        <f t="shared" si="7"/>
        <v>0.33333333333333331</v>
      </c>
      <c r="M21" s="4"/>
      <c r="N21" s="2"/>
      <c r="O21" s="4"/>
      <c r="P21" s="2"/>
      <c r="Q21" s="2"/>
      <c r="R21" s="4"/>
      <c r="S21" s="2"/>
      <c r="T21" s="2"/>
      <c r="U21" s="1"/>
      <c r="V21" s="2"/>
      <c r="W21" s="2"/>
      <c r="X21" s="2"/>
      <c r="Y21" s="2"/>
      <c r="Z21" s="2"/>
    </row>
    <row r="22" spans="1:26" ht="15.75" customHeight="1" x14ac:dyDescent="0.2">
      <c r="A22" s="12">
        <v>3</v>
      </c>
      <c r="B22" s="10" t="s">
        <v>17</v>
      </c>
      <c r="C22" s="11" t="s">
        <v>113</v>
      </c>
      <c r="D22" s="13">
        <v>4000</v>
      </c>
      <c r="E22" s="13">
        <f t="shared" si="4"/>
        <v>12000</v>
      </c>
      <c r="F22" s="13"/>
      <c r="G22" s="2"/>
      <c r="H22" s="7"/>
      <c r="I22" s="13">
        <v>3000</v>
      </c>
      <c r="J22" s="13">
        <f t="shared" si="5"/>
        <v>9000</v>
      </c>
      <c r="K22" s="13">
        <f t="shared" si="6"/>
        <v>3000</v>
      </c>
      <c r="L22" s="14">
        <f t="shared" si="7"/>
        <v>0.25</v>
      </c>
      <c r="M22" s="4"/>
      <c r="N22" s="2"/>
      <c r="O22" s="4"/>
      <c r="P22" s="2"/>
      <c r="Q22" s="2"/>
      <c r="R22" s="4"/>
      <c r="S22" s="2"/>
      <c r="T22" s="2"/>
      <c r="U22" s="1"/>
      <c r="V22" s="2"/>
      <c r="W22" s="2"/>
      <c r="X22" s="2"/>
      <c r="Y22" s="2"/>
      <c r="Z22" s="2"/>
    </row>
    <row r="23" spans="1:26" ht="15.75" customHeight="1" x14ac:dyDescent="0.2">
      <c r="A23" s="12">
        <v>4</v>
      </c>
      <c r="B23" s="10" t="s">
        <v>23</v>
      </c>
      <c r="C23" s="11" t="s">
        <v>88</v>
      </c>
      <c r="D23" s="13">
        <v>28000</v>
      </c>
      <c r="E23" s="13">
        <f t="shared" si="4"/>
        <v>112000</v>
      </c>
      <c r="F23" s="13"/>
      <c r="G23" s="2"/>
      <c r="H23" s="7"/>
      <c r="I23" s="13">
        <v>12000</v>
      </c>
      <c r="J23" s="13">
        <f t="shared" si="5"/>
        <v>48000</v>
      </c>
      <c r="K23" s="13">
        <f t="shared" si="6"/>
        <v>64000</v>
      </c>
      <c r="L23" s="14">
        <f t="shared" si="7"/>
        <v>0.5714285714285714</v>
      </c>
      <c r="M23" s="4"/>
      <c r="N23" s="2"/>
      <c r="O23" s="4"/>
      <c r="P23" s="2"/>
      <c r="Q23" s="2"/>
      <c r="R23" s="4"/>
      <c r="S23" s="2"/>
      <c r="T23" s="2"/>
      <c r="U23" s="1"/>
      <c r="V23" s="2"/>
      <c r="W23" s="2"/>
      <c r="X23" s="2"/>
      <c r="Y23" s="2"/>
      <c r="Z23" s="2"/>
    </row>
    <row r="24" spans="1:26" ht="15.75" customHeight="1" x14ac:dyDescent="0.2">
      <c r="A24" s="12">
        <v>3</v>
      </c>
      <c r="B24" s="10" t="s">
        <v>23</v>
      </c>
      <c r="C24" s="11" t="s">
        <v>26</v>
      </c>
      <c r="D24" s="13">
        <v>26000</v>
      </c>
      <c r="E24" s="13">
        <f t="shared" si="4"/>
        <v>78000</v>
      </c>
      <c r="F24" s="13"/>
      <c r="G24" s="2"/>
      <c r="H24" s="7"/>
      <c r="I24" s="13">
        <v>22000</v>
      </c>
      <c r="J24" s="13">
        <f t="shared" si="5"/>
        <v>66000</v>
      </c>
      <c r="K24" s="13">
        <f t="shared" si="6"/>
        <v>12000</v>
      </c>
      <c r="L24" s="14">
        <f t="shared" si="7"/>
        <v>0.15384615384615385</v>
      </c>
      <c r="M24" s="4"/>
      <c r="N24" s="2"/>
      <c r="O24" s="4"/>
      <c r="P24" s="2"/>
      <c r="Q24" s="2"/>
      <c r="R24" s="4"/>
      <c r="S24" s="2"/>
      <c r="T24" s="2"/>
      <c r="U24" s="1"/>
      <c r="V24" s="2"/>
      <c r="W24" s="2"/>
      <c r="X24" s="2"/>
      <c r="Y24" s="2"/>
      <c r="Z24" s="2"/>
    </row>
    <row r="25" spans="1:26" ht="15.75" customHeight="1" x14ac:dyDescent="0.2">
      <c r="A25" s="12">
        <v>2</v>
      </c>
      <c r="B25" s="10" t="s">
        <v>21</v>
      </c>
      <c r="C25" s="11" t="s">
        <v>29</v>
      </c>
      <c r="D25" s="13">
        <v>3500</v>
      </c>
      <c r="E25" s="13">
        <f t="shared" si="4"/>
        <v>7000</v>
      </c>
      <c r="F25" s="13"/>
      <c r="G25" s="2"/>
      <c r="H25" s="7"/>
      <c r="I25" s="13">
        <v>1000</v>
      </c>
      <c r="J25" s="13">
        <f t="shared" si="5"/>
        <v>2000</v>
      </c>
      <c r="K25" s="13">
        <f t="shared" si="6"/>
        <v>5000</v>
      </c>
      <c r="L25" s="14">
        <f t="shared" si="7"/>
        <v>0.7142857142857143</v>
      </c>
      <c r="M25" s="4"/>
      <c r="N25" s="2"/>
      <c r="O25" s="4"/>
      <c r="P25" s="2"/>
      <c r="Q25" s="2"/>
      <c r="R25" s="4"/>
      <c r="S25" s="2"/>
      <c r="T25" s="2"/>
      <c r="U25" s="1"/>
      <c r="V25" s="2"/>
      <c r="W25" s="2"/>
      <c r="X25" s="2"/>
      <c r="Y25" s="2"/>
      <c r="Z25" s="2"/>
    </row>
    <row r="26" spans="1:26" ht="15.75" customHeight="1" x14ac:dyDescent="0.2">
      <c r="A26" s="12">
        <v>4</v>
      </c>
      <c r="B26" s="10" t="s">
        <v>21</v>
      </c>
      <c r="C26" s="11" t="s">
        <v>42</v>
      </c>
      <c r="D26" s="13">
        <v>4500</v>
      </c>
      <c r="E26" s="13">
        <f t="shared" si="4"/>
        <v>18000</v>
      </c>
      <c r="F26" s="13"/>
      <c r="G26" s="2"/>
      <c r="H26" s="7"/>
      <c r="I26" s="13">
        <v>1200</v>
      </c>
      <c r="J26" s="13">
        <f t="shared" si="5"/>
        <v>4800</v>
      </c>
      <c r="K26" s="13">
        <f t="shared" si="6"/>
        <v>13200</v>
      </c>
      <c r="L26" s="14">
        <f t="shared" si="7"/>
        <v>0.73333333333333328</v>
      </c>
      <c r="M26" s="4"/>
      <c r="N26" s="2"/>
      <c r="O26" s="4"/>
      <c r="P26" s="2"/>
      <c r="Q26" s="2"/>
      <c r="R26" s="4"/>
      <c r="S26" s="2"/>
      <c r="T26" s="2"/>
      <c r="U26" s="1"/>
      <c r="V26" s="2"/>
      <c r="W26" s="2"/>
      <c r="X26" s="2"/>
      <c r="Y26" s="2"/>
      <c r="Z26" s="2"/>
    </row>
    <row r="27" spans="1:26" x14ac:dyDescent="0.2">
      <c r="A27" s="12">
        <v>4</v>
      </c>
      <c r="B27" s="10" t="s">
        <v>4</v>
      </c>
      <c r="C27" s="11" t="s">
        <v>114</v>
      </c>
      <c r="D27" s="13">
        <v>3000</v>
      </c>
      <c r="E27" s="13">
        <f t="shared" si="4"/>
        <v>12000</v>
      </c>
      <c r="F27" s="13"/>
      <c r="G27" s="2"/>
      <c r="H27" s="7"/>
      <c r="I27" s="13">
        <f>20000/9</f>
        <v>2222.2222222222222</v>
      </c>
      <c r="J27" s="13">
        <f t="shared" si="5"/>
        <v>8888.8888888888887</v>
      </c>
      <c r="K27" s="13">
        <f t="shared" si="6"/>
        <v>3111.1111111111113</v>
      </c>
      <c r="L27" s="14">
        <f t="shared" si="7"/>
        <v>0.2592592592592593</v>
      </c>
      <c r="M27" s="4"/>
      <c r="N27" s="2"/>
      <c r="O27" s="4"/>
      <c r="P27" s="2"/>
      <c r="Q27" s="2"/>
      <c r="R27" s="4"/>
      <c r="S27" s="2"/>
      <c r="T27" s="2"/>
      <c r="U27" s="1"/>
      <c r="V27" s="2"/>
      <c r="W27" s="2"/>
      <c r="X27" s="2"/>
      <c r="Y27" s="2"/>
      <c r="Z27" s="2"/>
    </row>
    <row r="28" spans="1:26" ht="15.75" customHeight="1" x14ac:dyDescent="0.2">
      <c r="A28" s="12">
        <v>2</v>
      </c>
      <c r="B28" s="10" t="s">
        <v>21</v>
      </c>
      <c r="C28" s="11" t="s">
        <v>34</v>
      </c>
      <c r="D28" s="13">
        <v>4000</v>
      </c>
      <c r="E28" s="13">
        <f t="shared" si="4"/>
        <v>8000</v>
      </c>
      <c r="F28" s="13"/>
      <c r="G28" s="2"/>
      <c r="H28" s="7"/>
      <c r="I28" s="13">
        <v>2000</v>
      </c>
      <c r="J28" s="13">
        <f t="shared" si="5"/>
        <v>4000</v>
      </c>
      <c r="K28" s="13">
        <f t="shared" si="6"/>
        <v>4000</v>
      </c>
      <c r="L28" s="14">
        <f t="shared" si="7"/>
        <v>0.5</v>
      </c>
      <c r="M28" s="4"/>
      <c r="N28" s="2"/>
      <c r="O28" s="4"/>
      <c r="P28" s="2"/>
      <c r="Q28" s="2"/>
      <c r="R28" s="4"/>
      <c r="S28" s="2"/>
      <c r="T28" s="2"/>
      <c r="U28" s="1"/>
      <c r="V28" s="2"/>
      <c r="W28" s="2"/>
      <c r="X28" s="2"/>
      <c r="Y28" s="2"/>
      <c r="Z28" s="2"/>
    </row>
    <row r="29" spans="1:26" ht="15.75" customHeight="1" x14ac:dyDescent="0.2">
      <c r="A29" s="12">
        <v>1</v>
      </c>
      <c r="B29" s="10" t="s">
        <v>23</v>
      </c>
      <c r="C29" s="11" t="s">
        <v>39</v>
      </c>
      <c r="D29" s="13">
        <v>20000</v>
      </c>
      <c r="E29" s="13">
        <f t="shared" si="4"/>
        <v>20000</v>
      </c>
      <c r="F29" s="13"/>
      <c r="G29" s="2"/>
      <c r="H29" s="7"/>
      <c r="I29" s="13">
        <v>15000</v>
      </c>
      <c r="J29" s="13">
        <f t="shared" si="5"/>
        <v>15000</v>
      </c>
      <c r="K29" s="13">
        <f t="shared" si="6"/>
        <v>5000</v>
      </c>
      <c r="L29" s="14">
        <f t="shared" si="7"/>
        <v>0.25</v>
      </c>
      <c r="M29" s="4"/>
      <c r="N29" s="2"/>
      <c r="O29" s="4"/>
      <c r="P29" s="2"/>
      <c r="Q29" s="2"/>
      <c r="R29" s="4"/>
      <c r="S29" s="2"/>
      <c r="T29" s="2"/>
      <c r="U29" s="1"/>
      <c r="V29" s="2"/>
      <c r="W29" s="2"/>
      <c r="X29" s="2"/>
      <c r="Y29" s="2"/>
      <c r="Z29" s="2"/>
    </row>
    <row r="30" spans="1:26" ht="15.75" customHeight="1" x14ac:dyDescent="0.2">
      <c r="A30" s="12">
        <v>2</v>
      </c>
      <c r="B30" s="10" t="s">
        <v>17</v>
      </c>
      <c r="C30" s="11" t="s">
        <v>30</v>
      </c>
      <c r="D30" s="13">
        <v>1500</v>
      </c>
      <c r="E30" s="13">
        <f t="shared" si="4"/>
        <v>3000</v>
      </c>
      <c r="F30" s="13"/>
      <c r="G30" s="7"/>
      <c r="H30" s="7"/>
      <c r="I30" s="13">
        <v>1500</v>
      </c>
      <c r="J30" s="13">
        <f t="shared" si="5"/>
        <v>3000</v>
      </c>
      <c r="K30" s="13">
        <f t="shared" si="6"/>
        <v>0</v>
      </c>
      <c r="L30" s="14">
        <f t="shared" si="7"/>
        <v>0</v>
      </c>
      <c r="M30" s="4"/>
      <c r="N30" s="2"/>
      <c r="O30" s="4"/>
      <c r="P30" s="2"/>
      <c r="Q30" s="2"/>
      <c r="R30" s="4"/>
      <c r="S30" s="2"/>
      <c r="T30" s="2"/>
      <c r="U30" s="1"/>
      <c r="V30" s="2"/>
      <c r="W30" s="2"/>
      <c r="X30" s="2"/>
      <c r="Y30" s="2"/>
      <c r="Z30" s="2"/>
    </row>
    <row r="31" spans="1:26" ht="15.75" customHeight="1" x14ac:dyDescent="0.2">
      <c r="A31" s="12">
        <v>0.5</v>
      </c>
      <c r="B31" s="10" t="s">
        <v>86</v>
      </c>
      <c r="C31" s="11" t="s">
        <v>115</v>
      </c>
      <c r="D31" s="13">
        <v>85000</v>
      </c>
      <c r="E31" s="13">
        <f t="shared" si="4"/>
        <v>42500</v>
      </c>
      <c r="F31" s="13"/>
      <c r="G31" s="7"/>
      <c r="H31" s="7"/>
      <c r="I31" s="13">
        <v>82000</v>
      </c>
      <c r="J31" s="13">
        <f t="shared" si="5"/>
        <v>41000</v>
      </c>
      <c r="K31" s="13">
        <f t="shared" si="6"/>
        <v>1500</v>
      </c>
      <c r="L31" s="14">
        <f t="shared" si="7"/>
        <v>3.5294117647058823E-2</v>
      </c>
      <c r="M31" s="4"/>
      <c r="N31" s="2"/>
      <c r="O31" s="4"/>
      <c r="P31" s="2"/>
      <c r="Q31" s="2"/>
      <c r="R31" s="4"/>
      <c r="S31" s="2"/>
      <c r="T31" s="2"/>
      <c r="U31" s="1"/>
      <c r="V31" s="2"/>
      <c r="W31" s="2"/>
      <c r="X31" s="2"/>
      <c r="Y31" s="2"/>
      <c r="Z31" s="2"/>
    </row>
    <row r="32" spans="1:26" ht="15.75" customHeight="1" x14ac:dyDescent="0.2">
      <c r="A32" s="12"/>
      <c r="B32" s="10"/>
      <c r="C32" s="11"/>
      <c r="D32" s="13"/>
      <c r="E32" s="13"/>
      <c r="F32" s="13"/>
      <c r="G32" s="2"/>
      <c r="H32" s="2"/>
      <c r="I32" s="2"/>
      <c r="J32" s="13"/>
      <c r="K32" s="13"/>
      <c r="L32" s="14"/>
      <c r="M32" s="4"/>
      <c r="N32" s="2"/>
      <c r="O32" s="4"/>
      <c r="P32" s="2"/>
      <c r="Q32" s="2"/>
      <c r="R32" s="4"/>
      <c r="S32" s="2"/>
      <c r="T32" s="2"/>
      <c r="U32" s="1"/>
      <c r="V32" s="2"/>
      <c r="W32" s="2"/>
      <c r="X32" s="2"/>
      <c r="Y32" s="2"/>
      <c r="Z32" s="2"/>
    </row>
    <row r="33" spans="1:26" ht="15.75" customHeight="1" x14ac:dyDescent="0.2">
      <c r="A33" s="12"/>
      <c r="B33" s="10"/>
      <c r="C33" s="11"/>
      <c r="D33" s="13"/>
      <c r="E33" s="13">
        <f>SUM(E19:E31)</f>
        <v>370500</v>
      </c>
      <c r="F33" s="13"/>
      <c r="G33" s="2"/>
      <c r="H33" s="2"/>
      <c r="I33" s="2"/>
      <c r="J33" s="13"/>
      <c r="K33" s="13">
        <f>SUM(K19:K31)</f>
        <v>134811.11111111112</v>
      </c>
      <c r="L33" s="14">
        <f>K33/E33</f>
        <v>0.36386264807317442</v>
      </c>
      <c r="M33" s="4"/>
      <c r="N33" s="2"/>
      <c r="O33" s="4"/>
      <c r="P33" s="2"/>
      <c r="Q33" s="2"/>
      <c r="R33" s="4"/>
      <c r="S33" s="2"/>
      <c r="T33" s="2"/>
      <c r="U33" s="1"/>
      <c r="V33" s="2"/>
      <c r="W33" s="2"/>
      <c r="X33" s="2"/>
      <c r="Y33" s="2"/>
      <c r="Z33" s="2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2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28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6" t="s">
        <v>116</v>
      </c>
      <c r="B36" s="6"/>
      <c r="C36" s="6"/>
      <c r="D36" s="22" t="s">
        <v>117</v>
      </c>
      <c r="E36" s="8">
        <v>46114</v>
      </c>
      <c r="F36" s="23" t="s">
        <v>106</v>
      </c>
      <c r="G36" s="2"/>
      <c r="H36" s="2"/>
      <c r="I36" s="2"/>
      <c r="J36" s="13"/>
      <c r="K36" s="13"/>
      <c r="L36" s="14"/>
      <c r="M36" s="4"/>
      <c r="N36" s="2"/>
      <c r="O36" s="4"/>
      <c r="P36" s="2"/>
      <c r="Q36" s="2"/>
      <c r="R36" s="4"/>
      <c r="S36" s="2"/>
      <c r="T36" s="2"/>
      <c r="U36" s="1"/>
      <c r="V36" s="2"/>
      <c r="W36" s="2"/>
      <c r="X36" s="2"/>
      <c r="Y36" s="2"/>
      <c r="Z36" s="2"/>
    </row>
    <row r="37" spans="1:26" ht="15.75" customHeight="1" x14ac:dyDescent="0.2">
      <c r="B37" s="2"/>
      <c r="C37" s="4"/>
      <c r="D37" s="2"/>
      <c r="E37" s="2"/>
      <c r="F37" s="2"/>
      <c r="G37" s="2"/>
      <c r="H37" s="2"/>
      <c r="I37" s="2"/>
      <c r="J37" s="13"/>
      <c r="K37" s="13"/>
      <c r="L37" s="14"/>
      <c r="M37" s="4"/>
      <c r="N37" s="2"/>
      <c r="O37" s="4"/>
      <c r="P37" s="2"/>
      <c r="Q37" s="2"/>
      <c r="R37" s="4"/>
      <c r="S37" s="2"/>
      <c r="T37" s="2"/>
      <c r="U37" s="1"/>
      <c r="V37" s="2"/>
      <c r="W37" s="2"/>
      <c r="X37" s="2"/>
      <c r="Y37" s="2"/>
      <c r="Z37" s="2"/>
    </row>
    <row r="38" spans="1:26" ht="15.75" customHeight="1" x14ac:dyDescent="0.2">
      <c r="A38" s="6" t="s">
        <v>3</v>
      </c>
      <c r="B38" s="10" t="s">
        <v>4</v>
      </c>
      <c r="C38" s="11" t="s">
        <v>5</v>
      </c>
      <c r="D38" s="10" t="s">
        <v>6</v>
      </c>
      <c r="E38" s="10" t="s">
        <v>7</v>
      </c>
      <c r="F38" s="10"/>
      <c r="G38" s="2"/>
      <c r="H38" s="2"/>
      <c r="I38" s="10" t="s">
        <v>6</v>
      </c>
      <c r="J38" s="10" t="s">
        <v>7</v>
      </c>
      <c r="K38" s="10" t="s">
        <v>10</v>
      </c>
      <c r="L38" s="14"/>
      <c r="M38" s="4"/>
      <c r="N38" s="2"/>
      <c r="O38" s="4"/>
      <c r="P38" s="2"/>
      <c r="Q38" s="2"/>
      <c r="R38" s="4"/>
      <c r="S38" s="2"/>
      <c r="T38" s="2"/>
      <c r="U38" s="1"/>
      <c r="V38" s="2"/>
      <c r="W38" s="2"/>
      <c r="X38" s="2"/>
      <c r="Y38" s="2"/>
      <c r="Z38" s="2"/>
    </row>
    <row r="39" spans="1:26" ht="15.75" customHeight="1" x14ac:dyDescent="0.2">
      <c r="A39" s="12">
        <v>1</v>
      </c>
      <c r="B39" s="10" t="s">
        <v>21</v>
      </c>
      <c r="C39" s="11" t="s">
        <v>64</v>
      </c>
      <c r="D39" s="13">
        <v>2500</v>
      </c>
      <c r="E39" s="13">
        <f t="shared" ref="E39:E51" si="8">A39*D39</f>
        <v>2500</v>
      </c>
      <c r="F39" s="13"/>
      <c r="G39" s="2"/>
      <c r="H39" s="7"/>
      <c r="I39" s="13">
        <v>1000</v>
      </c>
      <c r="J39" s="13">
        <f t="shared" ref="J39:J51" si="9">I39*A39</f>
        <v>1000</v>
      </c>
      <c r="K39" s="13">
        <f t="shared" ref="K39:K51" si="10">E39-J39</f>
        <v>1500</v>
      </c>
      <c r="L39" s="14">
        <f t="shared" ref="L39:L51" si="11">K39/E39</f>
        <v>0.6</v>
      </c>
      <c r="M39" s="4"/>
      <c r="N39" s="2"/>
      <c r="O39" s="4"/>
      <c r="P39" s="2"/>
      <c r="Q39" s="2"/>
      <c r="R39" s="4"/>
      <c r="S39" s="2"/>
      <c r="T39" s="2"/>
      <c r="U39" s="1"/>
      <c r="V39" s="2"/>
      <c r="W39" s="2"/>
      <c r="X39" s="2"/>
      <c r="Y39" s="2"/>
      <c r="Z39" s="2"/>
    </row>
    <row r="40" spans="1:26" ht="15.75" customHeight="1" x14ac:dyDescent="0.2">
      <c r="A40" s="12">
        <v>1</v>
      </c>
      <c r="B40" s="10" t="s">
        <v>21</v>
      </c>
      <c r="C40" s="11" t="s">
        <v>34</v>
      </c>
      <c r="D40" s="13">
        <v>5000</v>
      </c>
      <c r="E40" s="13">
        <f t="shared" si="8"/>
        <v>5000</v>
      </c>
      <c r="F40" s="13"/>
      <c r="G40" s="2"/>
      <c r="H40" s="7"/>
      <c r="I40" s="13">
        <v>2000</v>
      </c>
      <c r="J40" s="13">
        <f t="shared" si="9"/>
        <v>2000</v>
      </c>
      <c r="K40" s="13">
        <f t="shared" si="10"/>
        <v>3000</v>
      </c>
      <c r="L40" s="14">
        <f t="shared" si="11"/>
        <v>0.6</v>
      </c>
      <c r="M40" s="4"/>
      <c r="N40" s="2"/>
      <c r="O40" s="4"/>
      <c r="P40" s="2"/>
      <c r="Q40" s="2"/>
      <c r="R40" s="4"/>
      <c r="S40" s="2"/>
      <c r="T40" s="2"/>
      <c r="U40" s="1"/>
      <c r="V40" s="2"/>
      <c r="W40" s="2"/>
      <c r="X40" s="2"/>
      <c r="Y40" s="2"/>
      <c r="Z40" s="2"/>
    </row>
    <row r="41" spans="1:26" ht="15.75" customHeight="1" x14ac:dyDescent="0.2">
      <c r="A41" s="12">
        <v>2</v>
      </c>
      <c r="B41" s="10" t="s">
        <v>17</v>
      </c>
      <c r="C41" s="11" t="s">
        <v>18</v>
      </c>
      <c r="D41" s="13">
        <v>1600</v>
      </c>
      <c r="E41" s="13">
        <f t="shared" si="8"/>
        <v>3200</v>
      </c>
      <c r="F41" s="13"/>
      <c r="G41" s="2"/>
      <c r="H41" s="7"/>
      <c r="I41" s="13">
        <v>1000</v>
      </c>
      <c r="J41" s="13">
        <f t="shared" si="9"/>
        <v>2000</v>
      </c>
      <c r="K41" s="13">
        <f t="shared" si="10"/>
        <v>1200</v>
      </c>
      <c r="L41" s="14">
        <f t="shared" si="11"/>
        <v>0.375</v>
      </c>
      <c r="M41" s="4"/>
      <c r="N41" s="2"/>
      <c r="O41" s="4"/>
      <c r="P41" s="2"/>
      <c r="Q41" s="2"/>
      <c r="R41" s="4"/>
      <c r="S41" s="2"/>
      <c r="T41" s="2"/>
      <c r="U41" s="1"/>
      <c r="V41" s="2"/>
      <c r="W41" s="2"/>
      <c r="X41" s="2"/>
      <c r="Y41" s="2"/>
      <c r="Z41" s="2"/>
    </row>
    <row r="42" spans="1:26" ht="15.75" customHeight="1" x14ac:dyDescent="0.2">
      <c r="A42" s="12">
        <v>8</v>
      </c>
      <c r="B42" s="10" t="s">
        <v>17</v>
      </c>
      <c r="C42" s="11" t="s">
        <v>39</v>
      </c>
      <c r="D42" s="13">
        <v>2200</v>
      </c>
      <c r="E42" s="13">
        <f t="shared" si="8"/>
        <v>17600</v>
      </c>
      <c r="F42" s="13"/>
      <c r="G42" s="2"/>
      <c r="H42" s="7"/>
      <c r="I42" s="13">
        <v>1000</v>
      </c>
      <c r="J42" s="13">
        <f t="shared" si="9"/>
        <v>8000</v>
      </c>
      <c r="K42" s="13">
        <f t="shared" si="10"/>
        <v>9600</v>
      </c>
      <c r="L42" s="14">
        <f t="shared" si="11"/>
        <v>0.54545454545454541</v>
      </c>
      <c r="M42" s="4"/>
      <c r="N42" s="2"/>
      <c r="O42" s="4"/>
      <c r="P42" s="2"/>
      <c r="Q42" s="2"/>
      <c r="R42" s="4"/>
      <c r="S42" s="2"/>
      <c r="T42" s="2"/>
      <c r="U42" s="1"/>
      <c r="V42" s="2"/>
      <c r="W42" s="2"/>
      <c r="X42" s="2"/>
      <c r="Y42" s="2"/>
      <c r="Z42" s="2"/>
    </row>
    <row r="43" spans="1:26" ht="15.75" customHeight="1" x14ac:dyDescent="0.2">
      <c r="A43" s="12">
        <v>1</v>
      </c>
      <c r="B43" s="10" t="s">
        <v>21</v>
      </c>
      <c r="C43" s="11" t="s">
        <v>28</v>
      </c>
      <c r="D43" s="13">
        <v>3000</v>
      </c>
      <c r="E43" s="13">
        <f t="shared" si="8"/>
        <v>3000</v>
      </c>
      <c r="F43" s="13"/>
      <c r="G43" s="2"/>
      <c r="H43" s="7"/>
      <c r="I43" s="13">
        <v>2000</v>
      </c>
      <c r="J43" s="13">
        <f t="shared" si="9"/>
        <v>2000</v>
      </c>
      <c r="K43" s="13">
        <f t="shared" si="10"/>
        <v>1000</v>
      </c>
      <c r="L43" s="14">
        <f t="shared" si="11"/>
        <v>0.33333333333333331</v>
      </c>
      <c r="M43" s="4"/>
      <c r="N43" s="2"/>
      <c r="O43" s="4"/>
      <c r="P43" s="2"/>
      <c r="Q43" s="2"/>
      <c r="R43" s="4"/>
      <c r="S43" s="2"/>
      <c r="T43" s="2"/>
      <c r="U43" s="1"/>
      <c r="V43" s="2"/>
      <c r="W43" s="2"/>
      <c r="X43" s="2"/>
      <c r="Y43" s="2"/>
      <c r="Z43" s="2"/>
    </row>
    <row r="44" spans="1:26" ht="15.75" customHeight="1" x14ac:dyDescent="0.2">
      <c r="A44" s="12">
        <v>2</v>
      </c>
      <c r="B44" s="10" t="s">
        <v>21</v>
      </c>
      <c r="C44" s="11" t="s">
        <v>51</v>
      </c>
      <c r="D44" s="13">
        <v>1500</v>
      </c>
      <c r="E44" s="13">
        <f t="shared" si="8"/>
        <v>3000</v>
      </c>
      <c r="F44" s="13"/>
      <c r="G44" s="2"/>
      <c r="H44" s="7"/>
      <c r="I44" s="13">
        <v>1500</v>
      </c>
      <c r="J44" s="13">
        <f t="shared" si="9"/>
        <v>3000</v>
      </c>
      <c r="K44" s="13">
        <f t="shared" si="10"/>
        <v>0</v>
      </c>
      <c r="L44" s="14">
        <f t="shared" si="11"/>
        <v>0</v>
      </c>
      <c r="M44" s="4"/>
      <c r="N44" s="2"/>
      <c r="O44" s="4"/>
      <c r="P44" s="2"/>
      <c r="Q44" s="2"/>
      <c r="R44" s="4"/>
      <c r="S44" s="2"/>
      <c r="T44" s="2"/>
      <c r="U44" s="1"/>
      <c r="V44" s="2"/>
      <c r="W44" s="2"/>
      <c r="X44" s="2"/>
      <c r="Y44" s="2"/>
      <c r="Z44" s="2"/>
    </row>
    <row r="45" spans="1:26" ht="15.75" customHeight="1" x14ac:dyDescent="0.2">
      <c r="A45" s="12">
        <v>3</v>
      </c>
      <c r="B45" s="10" t="s">
        <v>4</v>
      </c>
      <c r="C45" s="11" t="s">
        <v>114</v>
      </c>
      <c r="D45" s="13">
        <v>3000</v>
      </c>
      <c r="E45" s="13">
        <f t="shared" si="8"/>
        <v>9000</v>
      </c>
      <c r="F45" s="13"/>
      <c r="G45" s="2"/>
      <c r="H45" s="7"/>
      <c r="I45" s="13">
        <v>2222</v>
      </c>
      <c r="J45" s="13">
        <f t="shared" si="9"/>
        <v>6666</v>
      </c>
      <c r="K45" s="13">
        <f t="shared" si="10"/>
        <v>2334</v>
      </c>
      <c r="L45" s="14">
        <f t="shared" si="11"/>
        <v>0.25933333333333336</v>
      </c>
      <c r="M45" s="4"/>
      <c r="N45" s="2"/>
      <c r="O45" s="4"/>
      <c r="P45" s="2"/>
      <c r="Q45" s="2"/>
      <c r="R45" s="4"/>
      <c r="S45" s="2"/>
      <c r="T45" s="2"/>
      <c r="U45" s="1"/>
      <c r="V45" s="2"/>
      <c r="W45" s="2"/>
      <c r="X45" s="2"/>
      <c r="Y45" s="2"/>
      <c r="Z45" s="2"/>
    </row>
    <row r="46" spans="1:26" ht="15.75" customHeight="1" x14ac:dyDescent="0.2">
      <c r="A46" s="12">
        <v>2</v>
      </c>
      <c r="B46" s="10" t="s">
        <v>21</v>
      </c>
      <c r="C46" s="11" t="s">
        <v>112</v>
      </c>
      <c r="D46" s="13">
        <v>3000</v>
      </c>
      <c r="E46" s="13">
        <f t="shared" si="8"/>
        <v>6000</v>
      </c>
      <c r="F46" s="13"/>
      <c r="G46" s="2"/>
      <c r="H46" s="7"/>
      <c r="I46" s="13">
        <v>2000</v>
      </c>
      <c r="J46" s="13">
        <f t="shared" si="9"/>
        <v>4000</v>
      </c>
      <c r="K46" s="13">
        <f t="shared" si="10"/>
        <v>2000</v>
      </c>
      <c r="L46" s="14">
        <f t="shared" si="11"/>
        <v>0.33333333333333331</v>
      </c>
      <c r="M46" s="4"/>
      <c r="N46" s="2"/>
      <c r="O46" s="4"/>
      <c r="P46" s="2"/>
      <c r="Q46" s="2"/>
      <c r="R46" s="4"/>
      <c r="S46" s="2"/>
      <c r="T46" s="2"/>
      <c r="U46" s="1"/>
      <c r="V46" s="2"/>
      <c r="W46" s="2"/>
      <c r="X46" s="2"/>
      <c r="Y46" s="2"/>
      <c r="Z46" s="2"/>
    </row>
    <row r="47" spans="1:26" ht="15.75" customHeight="1" x14ac:dyDescent="0.2">
      <c r="A47" s="12">
        <v>6</v>
      </c>
      <c r="B47" s="10" t="s">
        <v>17</v>
      </c>
      <c r="C47" s="11" t="s">
        <v>88</v>
      </c>
      <c r="D47" s="13">
        <v>2400</v>
      </c>
      <c r="E47" s="13">
        <f t="shared" si="8"/>
        <v>14400</v>
      </c>
      <c r="F47" s="13"/>
      <c r="G47" s="2"/>
      <c r="H47" s="7"/>
      <c r="I47" s="13">
        <f>12000/14</f>
        <v>857.14285714285711</v>
      </c>
      <c r="J47" s="13">
        <f t="shared" si="9"/>
        <v>5142.8571428571431</v>
      </c>
      <c r="K47" s="13">
        <f t="shared" si="10"/>
        <v>9257.1428571428569</v>
      </c>
      <c r="L47" s="14">
        <f t="shared" si="11"/>
        <v>0.64285714285714279</v>
      </c>
      <c r="M47" s="4"/>
      <c r="N47" s="2"/>
      <c r="O47" s="4"/>
      <c r="P47" s="2"/>
      <c r="Q47" s="2"/>
      <c r="R47" s="4"/>
      <c r="S47" s="2"/>
      <c r="T47" s="2"/>
      <c r="U47" s="1"/>
      <c r="V47" s="2"/>
      <c r="W47" s="2"/>
      <c r="X47" s="2"/>
      <c r="Y47" s="2"/>
      <c r="Z47" s="2"/>
    </row>
    <row r="48" spans="1:26" ht="15.75" customHeight="1" x14ac:dyDescent="0.2">
      <c r="A48" s="12">
        <v>6</v>
      </c>
      <c r="B48" s="10" t="s">
        <v>17</v>
      </c>
      <c r="C48" s="11" t="s">
        <v>26</v>
      </c>
      <c r="D48" s="13">
        <v>1800</v>
      </c>
      <c r="E48" s="13">
        <f t="shared" si="8"/>
        <v>10800</v>
      </c>
      <c r="F48" s="13"/>
      <c r="G48" s="2"/>
      <c r="H48" s="7"/>
      <c r="I48" s="13">
        <f>22000/15</f>
        <v>1466.6666666666667</v>
      </c>
      <c r="J48" s="13">
        <f t="shared" si="9"/>
        <v>8800</v>
      </c>
      <c r="K48" s="13">
        <f t="shared" si="10"/>
        <v>2000</v>
      </c>
      <c r="L48" s="14">
        <f t="shared" si="11"/>
        <v>0.18518518518518517</v>
      </c>
      <c r="M48" s="4"/>
      <c r="N48" s="2"/>
      <c r="O48" s="4"/>
      <c r="P48" s="2"/>
      <c r="Q48" s="2"/>
      <c r="R48" s="4"/>
      <c r="S48" s="2"/>
      <c r="T48" s="2"/>
      <c r="U48" s="1"/>
      <c r="V48" s="2"/>
      <c r="W48" s="2"/>
      <c r="X48" s="2"/>
      <c r="Y48" s="2"/>
      <c r="Z48" s="2"/>
    </row>
    <row r="49" spans="1:26" ht="15.75" customHeight="1" x14ac:dyDescent="0.2">
      <c r="A49" s="12">
        <v>2</v>
      </c>
      <c r="B49" s="10" t="s">
        <v>4</v>
      </c>
      <c r="C49" s="11" t="s">
        <v>41</v>
      </c>
      <c r="D49" s="13">
        <v>2800</v>
      </c>
      <c r="E49" s="13">
        <f t="shared" si="8"/>
        <v>5600</v>
      </c>
      <c r="F49" s="13"/>
      <c r="G49" s="2"/>
      <c r="H49" s="7"/>
      <c r="I49" s="13">
        <f>18000/10</f>
        <v>1800</v>
      </c>
      <c r="J49" s="13">
        <f t="shared" si="9"/>
        <v>3600</v>
      </c>
      <c r="K49" s="13">
        <f t="shared" si="10"/>
        <v>2000</v>
      </c>
      <c r="L49" s="14">
        <f t="shared" si="11"/>
        <v>0.35714285714285715</v>
      </c>
      <c r="M49" s="4"/>
      <c r="N49" s="2"/>
      <c r="O49" s="4"/>
      <c r="P49" s="2"/>
      <c r="Q49" s="2"/>
      <c r="R49" s="4"/>
      <c r="S49" s="2"/>
      <c r="T49" s="2"/>
      <c r="U49" s="1"/>
      <c r="V49" s="2"/>
      <c r="W49" s="2"/>
      <c r="X49" s="2"/>
      <c r="Y49" s="2"/>
      <c r="Z49" s="2"/>
    </row>
    <row r="50" spans="1:26" ht="15.75" customHeight="1" x14ac:dyDescent="0.2">
      <c r="A50" s="12">
        <v>1</v>
      </c>
      <c r="B50" s="10" t="s">
        <v>23</v>
      </c>
      <c r="C50" s="11" t="s">
        <v>118</v>
      </c>
      <c r="D50" s="13">
        <v>11000</v>
      </c>
      <c r="E50" s="13">
        <f t="shared" si="8"/>
        <v>11000</v>
      </c>
      <c r="F50" s="13"/>
      <c r="G50" s="2"/>
      <c r="H50" s="7"/>
      <c r="I50" s="13">
        <v>6000</v>
      </c>
      <c r="J50" s="13">
        <f t="shared" si="9"/>
        <v>6000</v>
      </c>
      <c r="K50" s="13">
        <f t="shared" si="10"/>
        <v>5000</v>
      </c>
      <c r="L50" s="14">
        <f t="shared" si="11"/>
        <v>0.45454545454545453</v>
      </c>
      <c r="M50" s="4"/>
      <c r="N50" s="2"/>
      <c r="O50" s="4"/>
      <c r="P50" s="2"/>
      <c r="Q50" s="2"/>
      <c r="R50" s="4"/>
      <c r="S50" s="2"/>
      <c r="T50" s="2"/>
      <c r="U50" s="1"/>
      <c r="V50" s="2"/>
      <c r="W50" s="2"/>
      <c r="X50" s="2"/>
      <c r="Y50" s="2"/>
      <c r="Z50" s="2"/>
    </row>
    <row r="51" spans="1:26" ht="15.75" customHeight="1" x14ac:dyDescent="0.2">
      <c r="A51" s="12">
        <v>0.5</v>
      </c>
      <c r="B51" s="10" t="s">
        <v>23</v>
      </c>
      <c r="C51" s="11" t="s">
        <v>46</v>
      </c>
      <c r="D51" s="13">
        <v>12000</v>
      </c>
      <c r="E51" s="13">
        <f t="shared" si="8"/>
        <v>6000</v>
      </c>
      <c r="F51" s="13"/>
      <c r="H51" s="2"/>
      <c r="I51" s="13">
        <v>8000</v>
      </c>
      <c r="J51" s="13">
        <f t="shared" si="9"/>
        <v>4000</v>
      </c>
      <c r="K51" s="13">
        <f t="shared" si="10"/>
        <v>2000</v>
      </c>
      <c r="L51" s="14">
        <f t="shared" si="11"/>
        <v>0.33333333333333331</v>
      </c>
      <c r="N51" s="2"/>
      <c r="O51" s="4"/>
      <c r="P51" s="2"/>
      <c r="Q51" s="2"/>
      <c r="R51" s="4"/>
      <c r="S51" s="2"/>
      <c r="T51" s="2"/>
      <c r="U51" s="1"/>
      <c r="V51" s="2"/>
      <c r="W51" s="2"/>
      <c r="X51" s="2"/>
      <c r="Y51" s="2"/>
      <c r="Z51" s="2"/>
    </row>
    <row r="52" spans="1:26" ht="15.75" customHeight="1" x14ac:dyDescent="0.2">
      <c r="A52" s="12"/>
      <c r="B52" s="10"/>
      <c r="C52" s="11"/>
      <c r="D52" s="13"/>
      <c r="E52" s="13"/>
      <c r="F52" s="13"/>
      <c r="G52" s="2"/>
      <c r="H52" s="2"/>
      <c r="I52" s="2"/>
      <c r="J52" s="13"/>
      <c r="K52" s="13"/>
      <c r="L52" s="14"/>
      <c r="M52" s="4"/>
      <c r="N52" s="2"/>
      <c r="O52" s="4"/>
      <c r="P52" s="2"/>
      <c r="Q52" s="2"/>
      <c r="R52" s="4"/>
      <c r="S52" s="2"/>
      <c r="T52" s="2"/>
      <c r="U52" s="1"/>
      <c r="V52" s="2"/>
      <c r="W52" s="2"/>
      <c r="X52" s="2"/>
      <c r="Y52" s="2"/>
      <c r="Z52" s="2"/>
    </row>
    <row r="53" spans="1:26" ht="15.75" customHeight="1" x14ac:dyDescent="0.2">
      <c r="A53" s="12"/>
      <c r="B53" s="10"/>
      <c r="C53" s="11"/>
      <c r="D53" s="13"/>
      <c r="E53" s="13">
        <f>SUM(E39:E51)</f>
        <v>97100</v>
      </c>
      <c r="F53" s="13"/>
      <c r="G53" s="2"/>
      <c r="H53" s="2"/>
      <c r="I53" s="2"/>
      <c r="J53" s="13"/>
      <c r="K53" s="13">
        <f>SUM(K39:K52)</f>
        <v>40891.142857142855</v>
      </c>
      <c r="L53" s="14">
        <f>K53/E53</f>
        <v>0.4211240253052817</v>
      </c>
      <c r="M53" s="4"/>
      <c r="N53" s="2"/>
      <c r="O53" s="4"/>
      <c r="P53" s="2"/>
      <c r="Q53" s="2"/>
      <c r="R53" s="4"/>
      <c r="S53" s="2"/>
      <c r="T53" s="2"/>
      <c r="U53" s="1"/>
      <c r="V53" s="2"/>
      <c r="W53" s="2"/>
      <c r="X53" s="2"/>
      <c r="Y53" s="2"/>
      <c r="Z53" s="2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2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28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6" t="s">
        <v>119</v>
      </c>
      <c r="B56" s="1"/>
      <c r="C56" s="1"/>
      <c r="D56" s="12" t="s">
        <v>120</v>
      </c>
      <c r="E56" s="8">
        <v>46114</v>
      </c>
      <c r="F56" s="15"/>
      <c r="G56" s="2"/>
      <c r="H56" s="2"/>
      <c r="I56" s="2"/>
      <c r="J56" s="2"/>
      <c r="K56" s="2"/>
      <c r="L56" s="3"/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"/>
      <c r="B57" s="2"/>
      <c r="C57" s="1"/>
      <c r="D57" s="2"/>
      <c r="E57" s="2"/>
      <c r="F57" s="2"/>
      <c r="G57" s="2"/>
      <c r="H57" s="2"/>
      <c r="I57" s="2"/>
      <c r="J57" s="2"/>
      <c r="K57" s="2"/>
      <c r="L57" s="3"/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6" t="s">
        <v>3</v>
      </c>
      <c r="B58" s="10" t="s">
        <v>4</v>
      </c>
      <c r="C58" s="6" t="s">
        <v>5</v>
      </c>
      <c r="D58" s="10" t="s">
        <v>6</v>
      </c>
      <c r="E58" s="10" t="s">
        <v>7</v>
      </c>
      <c r="F58" s="2"/>
      <c r="G58" s="2"/>
      <c r="H58" s="2"/>
      <c r="I58" s="10" t="s">
        <v>6</v>
      </c>
      <c r="J58" s="10" t="s">
        <v>7</v>
      </c>
      <c r="K58" s="10" t="s">
        <v>10</v>
      </c>
      <c r="L58" s="3"/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0.5</v>
      </c>
      <c r="B59" s="10" t="s">
        <v>17</v>
      </c>
      <c r="C59" s="6" t="s">
        <v>90</v>
      </c>
      <c r="D59" s="13">
        <v>8500</v>
      </c>
      <c r="E59" s="13">
        <f t="shared" ref="E59:E63" si="12">A59*D59</f>
        <v>4250</v>
      </c>
      <c r="F59" s="2"/>
      <c r="G59" s="2"/>
      <c r="H59" s="7"/>
      <c r="I59" s="13">
        <f>45000/7</f>
        <v>6428.5714285714284</v>
      </c>
      <c r="J59" s="13">
        <f t="shared" ref="J59:J63" si="13">I59*A59</f>
        <v>3214.2857142857142</v>
      </c>
      <c r="K59" s="13">
        <f t="shared" ref="K59:K63" si="14">E59-J59</f>
        <v>1035.7142857142858</v>
      </c>
      <c r="L59" s="14">
        <f t="shared" ref="L59:L63" si="15">K59/E59</f>
        <v>0.24369747899159666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1</v>
      </c>
      <c r="B60" s="10" t="s">
        <v>17</v>
      </c>
      <c r="C60" s="6" t="s">
        <v>87</v>
      </c>
      <c r="D60" s="13">
        <v>3000</v>
      </c>
      <c r="E60" s="13">
        <f t="shared" si="12"/>
        <v>3000</v>
      </c>
      <c r="F60" s="2"/>
      <c r="G60" s="2"/>
      <c r="H60" s="7" t="s">
        <v>37</v>
      </c>
      <c r="I60" s="13">
        <f>30000/18</f>
        <v>1666.6666666666667</v>
      </c>
      <c r="J60" s="13">
        <f t="shared" si="13"/>
        <v>1666.6666666666667</v>
      </c>
      <c r="K60" s="13">
        <f t="shared" si="14"/>
        <v>1333.3333333333333</v>
      </c>
      <c r="L60" s="14">
        <f t="shared" si="15"/>
        <v>0.44444444444444442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15</v>
      </c>
      <c r="B61" s="10" t="s">
        <v>4</v>
      </c>
      <c r="C61" s="6" t="s">
        <v>65</v>
      </c>
      <c r="D61" s="13">
        <v>1400</v>
      </c>
      <c r="E61" s="13">
        <f t="shared" si="12"/>
        <v>21000</v>
      </c>
      <c r="F61" s="2"/>
      <c r="G61" s="2"/>
      <c r="H61" s="7"/>
      <c r="I61" s="13">
        <v>1078</v>
      </c>
      <c r="J61" s="13">
        <f t="shared" si="13"/>
        <v>16170</v>
      </c>
      <c r="K61" s="13">
        <f t="shared" si="14"/>
        <v>4830</v>
      </c>
      <c r="L61" s="14">
        <f t="shared" si="15"/>
        <v>0.23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1</v>
      </c>
      <c r="B62" s="10" t="s">
        <v>21</v>
      </c>
      <c r="C62" s="6" t="s">
        <v>51</v>
      </c>
      <c r="D62" s="13">
        <v>1500</v>
      </c>
      <c r="E62" s="13">
        <f t="shared" si="12"/>
        <v>1500</v>
      </c>
      <c r="F62" s="2"/>
      <c r="G62" s="2"/>
      <c r="H62" s="7"/>
      <c r="I62" s="13">
        <v>1500</v>
      </c>
      <c r="J62" s="13">
        <f t="shared" si="13"/>
        <v>1500</v>
      </c>
      <c r="K62" s="13">
        <f t="shared" si="14"/>
        <v>0</v>
      </c>
      <c r="L62" s="14">
        <f t="shared" si="15"/>
        <v>0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1</v>
      </c>
      <c r="B63" s="10" t="s">
        <v>23</v>
      </c>
      <c r="C63" s="6" t="s">
        <v>26</v>
      </c>
      <c r="D63" s="13">
        <v>26000</v>
      </c>
      <c r="E63" s="13">
        <f t="shared" si="12"/>
        <v>26000</v>
      </c>
      <c r="F63" s="2"/>
      <c r="G63" s="2"/>
      <c r="H63" s="2"/>
      <c r="I63" s="13">
        <v>22000</v>
      </c>
      <c r="J63" s="13">
        <f t="shared" si="13"/>
        <v>22000</v>
      </c>
      <c r="K63" s="13">
        <f t="shared" si="14"/>
        <v>4000</v>
      </c>
      <c r="L63" s="14">
        <f t="shared" si="15"/>
        <v>0.15384615384615385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"/>
      <c r="B64" s="2"/>
      <c r="C64" s="1"/>
      <c r="D64" s="2"/>
      <c r="E64" s="2"/>
      <c r="F64" s="2"/>
      <c r="G64" s="1"/>
      <c r="H64" s="2"/>
      <c r="I64" s="2"/>
      <c r="J64" s="2"/>
      <c r="K64" s="2"/>
      <c r="L64" s="3"/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"/>
      <c r="B65" s="2"/>
      <c r="C65" s="1"/>
      <c r="D65" s="2"/>
      <c r="E65" s="13">
        <f>SUM(E59:E63)</f>
        <v>55750</v>
      </c>
      <c r="F65" s="2"/>
      <c r="G65" s="2"/>
      <c r="H65" s="2"/>
      <c r="I65" s="2"/>
      <c r="J65" s="2"/>
      <c r="K65" s="13">
        <f>SUM(K59:K63)</f>
        <v>11199.047619047618</v>
      </c>
      <c r="L65" s="14">
        <f>K65/E65</f>
        <v>0.20087977792013664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0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6" t="s">
        <v>121</v>
      </c>
      <c r="B69" s="1"/>
      <c r="C69" s="1"/>
      <c r="D69" s="12" t="s">
        <v>122</v>
      </c>
      <c r="E69" s="8">
        <v>46114</v>
      </c>
      <c r="F69" s="15" t="s">
        <v>106</v>
      </c>
      <c r="G69" s="2"/>
      <c r="H69" s="2"/>
      <c r="I69" s="2"/>
      <c r="J69" s="2"/>
      <c r="K69" s="2"/>
      <c r="L69" s="3"/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"/>
      <c r="B70" s="2"/>
      <c r="C70" s="1"/>
      <c r="D70" s="2"/>
      <c r="E70" s="2"/>
      <c r="F70" s="2"/>
      <c r="G70" s="2"/>
      <c r="H70" s="2"/>
      <c r="I70" s="2"/>
      <c r="J70" s="2"/>
      <c r="K70" s="2"/>
      <c r="L70" s="3"/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6" t="s">
        <v>3</v>
      </c>
      <c r="B71" s="10" t="s">
        <v>4</v>
      </c>
      <c r="C71" s="6" t="s">
        <v>5</v>
      </c>
      <c r="D71" s="10" t="s">
        <v>6</v>
      </c>
      <c r="E71" s="10" t="s">
        <v>7</v>
      </c>
      <c r="F71" s="2"/>
      <c r="G71" s="2"/>
      <c r="H71" s="2"/>
      <c r="I71" s="10" t="s">
        <v>6</v>
      </c>
      <c r="J71" s="10" t="s">
        <v>7</v>
      </c>
      <c r="K71" s="10" t="s">
        <v>10</v>
      </c>
      <c r="L71" s="3"/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1</v>
      </c>
      <c r="B72" s="10" t="s">
        <v>23</v>
      </c>
      <c r="C72" s="6" t="s">
        <v>26</v>
      </c>
      <c r="D72" s="13">
        <v>26000</v>
      </c>
      <c r="E72" s="13">
        <f t="shared" ref="E72:E76" si="16">A72*D72</f>
        <v>26000</v>
      </c>
      <c r="F72" s="2"/>
      <c r="G72" s="2"/>
      <c r="H72" s="2"/>
      <c r="I72" s="13">
        <v>22000</v>
      </c>
      <c r="J72" s="13">
        <f t="shared" ref="J72:J76" si="17">I72*A72</f>
        <v>22000</v>
      </c>
      <c r="K72" s="13">
        <f t="shared" ref="K72:K76" si="18">E72-J72</f>
        <v>4000</v>
      </c>
      <c r="L72" s="14">
        <f t="shared" ref="L72:L76" si="19">K72/E72</f>
        <v>0.15384615384615385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1</v>
      </c>
      <c r="B73" s="10" t="s">
        <v>21</v>
      </c>
      <c r="C73" s="6" t="s">
        <v>51</v>
      </c>
      <c r="D73" s="13">
        <v>1500</v>
      </c>
      <c r="E73" s="13">
        <f t="shared" si="16"/>
        <v>1500</v>
      </c>
      <c r="F73" s="2"/>
      <c r="G73" s="2"/>
      <c r="H73" s="2"/>
      <c r="I73" s="13">
        <v>1500</v>
      </c>
      <c r="J73" s="13">
        <f t="shared" si="17"/>
        <v>1500</v>
      </c>
      <c r="K73" s="13">
        <f t="shared" si="18"/>
        <v>0</v>
      </c>
      <c r="L73" s="14">
        <f t="shared" si="19"/>
        <v>0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12</v>
      </c>
      <c r="B74" s="10" t="s">
        <v>4</v>
      </c>
      <c r="C74" s="6" t="s">
        <v>65</v>
      </c>
      <c r="D74" s="13">
        <v>1400</v>
      </c>
      <c r="E74" s="13">
        <f t="shared" si="16"/>
        <v>16800</v>
      </c>
      <c r="F74" s="2"/>
      <c r="G74" s="2"/>
      <c r="H74" s="7"/>
      <c r="I74" s="13">
        <v>1078</v>
      </c>
      <c r="J74" s="13">
        <f t="shared" si="17"/>
        <v>12936</v>
      </c>
      <c r="K74" s="13">
        <f t="shared" si="18"/>
        <v>3864</v>
      </c>
      <c r="L74" s="14">
        <f t="shared" si="19"/>
        <v>0.23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2</v>
      </c>
      <c r="B75" s="10" t="s">
        <v>17</v>
      </c>
      <c r="C75" s="6" t="s">
        <v>81</v>
      </c>
      <c r="D75" s="13">
        <v>1800</v>
      </c>
      <c r="E75" s="13">
        <f t="shared" si="16"/>
        <v>3600</v>
      </c>
      <c r="F75" s="2"/>
      <c r="G75" s="2"/>
      <c r="H75" s="2"/>
      <c r="I75" s="13">
        <f>14000/15</f>
        <v>933.33333333333337</v>
      </c>
      <c r="J75" s="13">
        <f t="shared" si="17"/>
        <v>1866.6666666666667</v>
      </c>
      <c r="K75" s="13">
        <f t="shared" si="18"/>
        <v>1733.3333333333333</v>
      </c>
      <c r="L75" s="14">
        <f t="shared" si="19"/>
        <v>0.48148148148148145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2</v>
      </c>
      <c r="B76" s="10" t="s">
        <v>17</v>
      </c>
      <c r="C76" s="6" t="s">
        <v>123</v>
      </c>
      <c r="D76" s="13">
        <v>3200</v>
      </c>
      <c r="E76" s="13">
        <f t="shared" si="16"/>
        <v>6400</v>
      </c>
      <c r="F76" s="2"/>
      <c r="G76" s="2"/>
      <c r="H76" s="2"/>
      <c r="I76" s="13">
        <v>800</v>
      </c>
      <c r="J76" s="13">
        <f t="shared" si="17"/>
        <v>1600</v>
      </c>
      <c r="K76" s="13">
        <f t="shared" si="18"/>
        <v>4800</v>
      </c>
      <c r="L76" s="14">
        <f t="shared" si="19"/>
        <v>0.75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"/>
      <c r="B77" s="2"/>
      <c r="C77" s="1"/>
      <c r="D77" s="2"/>
      <c r="E77" s="2"/>
      <c r="F77" s="2"/>
      <c r="G77" s="1"/>
      <c r="H77" s="2"/>
      <c r="I77" s="2"/>
      <c r="J77" s="2"/>
      <c r="K77" s="2"/>
      <c r="L77" s="3"/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"/>
      <c r="B78" s="2"/>
      <c r="C78" s="1"/>
      <c r="D78" s="2"/>
      <c r="E78" s="13">
        <f>SUM(E72:E76)</f>
        <v>54300</v>
      </c>
      <c r="F78" s="2"/>
      <c r="G78" s="2"/>
      <c r="H78" s="2"/>
      <c r="I78" s="2"/>
      <c r="J78" s="2"/>
      <c r="K78" s="13">
        <f>SUM(K72:K76)</f>
        <v>14397.333333333334</v>
      </c>
      <c r="L78" s="14">
        <f>K78/E78</f>
        <v>0.26514426028238186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0"/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28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6" t="s">
        <v>124</v>
      </c>
      <c r="B81" s="1"/>
      <c r="C81" s="1"/>
      <c r="D81" s="22" t="s">
        <v>125</v>
      </c>
      <c r="E81" s="8">
        <v>46114</v>
      </c>
      <c r="F81" s="24" t="s">
        <v>37</v>
      </c>
      <c r="G81" s="2"/>
      <c r="H81" s="2"/>
      <c r="I81" s="2"/>
      <c r="J81" s="2"/>
      <c r="K81" s="2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2"/>
      <c r="C82" s="4"/>
      <c r="D82" s="2"/>
      <c r="E82" s="2"/>
      <c r="F82" s="2"/>
      <c r="G82" s="2"/>
      <c r="H82" s="2"/>
      <c r="I82" s="2"/>
      <c r="J82" s="2"/>
      <c r="K82" s="2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6" t="s">
        <v>3</v>
      </c>
      <c r="B83" s="10" t="s">
        <v>4</v>
      </c>
      <c r="C83" s="11" t="s">
        <v>5</v>
      </c>
      <c r="D83" s="10" t="s">
        <v>6</v>
      </c>
      <c r="E83" s="10" t="s">
        <v>7</v>
      </c>
      <c r="F83" s="7" t="s">
        <v>106</v>
      </c>
      <c r="G83" s="2"/>
      <c r="H83" s="2"/>
      <c r="I83" s="10" t="s">
        <v>6</v>
      </c>
      <c r="J83" s="10" t="s">
        <v>7</v>
      </c>
      <c r="K83" s="10" t="s">
        <v>10</v>
      </c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4</v>
      </c>
      <c r="B84" s="10" t="s">
        <v>17</v>
      </c>
      <c r="C84" s="11" t="s">
        <v>43</v>
      </c>
      <c r="D84" s="13">
        <v>3500</v>
      </c>
      <c r="E84" s="13">
        <f t="shared" ref="E84:E91" si="20">A84*D84</f>
        <v>14000</v>
      </c>
      <c r="F84" s="2"/>
      <c r="G84" s="2"/>
      <c r="H84" s="7"/>
      <c r="I84" s="13">
        <v>2000</v>
      </c>
      <c r="J84" s="13">
        <f t="shared" ref="J84:J91" si="21">I84*A84</f>
        <v>8000</v>
      </c>
      <c r="K84" s="13">
        <f t="shared" ref="K84:K91" si="22">E84-J84</f>
        <v>6000</v>
      </c>
      <c r="L84" s="32">
        <f t="shared" ref="L84:L91" si="23">K84/E84</f>
        <v>0.42857142857142855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31</v>
      </c>
      <c r="B85" s="10" t="s">
        <v>126</v>
      </c>
      <c r="C85" s="11" t="s">
        <v>46</v>
      </c>
      <c r="D85" s="13">
        <v>500</v>
      </c>
      <c r="E85" s="13">
        <f t="shared" si="20"/>
        <v>15500</v>
      </c>
      <c r="F85" s="2"/>
      <c r="G85" s="2"/>
      <c r="H85" s="2"/>
      <c r="I85" s="13">
        <f>8000/24</f>
        <v>333.33333333333331</v>
      </c>
      <c r="J85" s="13">
        <f t="shared" si="21"/>
        <v>10333.333333333332</v>
      </c>
      <c r="K85" s="13">
        <f t="shared" si="22"/>
        <v>5166.6666666666679</v>
      </c>
      <c r="L85" s="32">
        <f t="shared" si="23"/>
        <v>0.33333333333333343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1.7</v>
      </c>
      <c r="B86" s="10" t="s">
        <v>17</v>
      </c>
      <c r="C86" s="11" t="s">
        <v>38</v>
      </c>
      <c r="D86" s="13">
        <v>1800</v>
      </c>
      <c r="E86" s="13">
        <f t="shared" si="20"/>
        <v>3060</v>
      </c>
      <c r="F86" s="2"/>
      <c r="G86" s="2"/>
      <c r="H86" s="2"/>
      <c r="I86" s="13">
        <v>1000</v>
      </c>
      <c r="J86" s="13">
        <f t="shared" si="21"/>
        <v>1700</v>
      </c>
      <c r="K86" s="13">
        <f t="shared" si="22"/>
        <v>1360</v>
      </c>
      <c r="L86" s="21">
        <f t="shared" si="23"/>
        <v>0.44444444444444442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12</v>
      </c>
      <c r="B87" s="10" t="s">
        <v>4</v>
      </c>
      <c r="C87" s="11" t="s">
        <v>13</v>
      </c>
      <c r="D87" s="13">
        <v>900</v>
      </c>
      <c r="E87" s="13">
        <f t="shared" si="20"/>
        <v>10800</v>
      </c>
      <c r="F87" s="2"/>
      <c r="G87" s="2"/>
      <c r="H87" s="2"/>
      <c r="I87" s="13">
        <v>460</v>
      </c>
      <c r="J87" s="13">
        <f t="shared" si="21"/>
        <v>5520</v>
      </c>
      <c r="K87" s="13">
        <f t="shared" si="22"/>
        <v>5280</v>
      </c>
      <c r="L87" s="21">
        <f t="shared" si="23"/>
        <v>0.48888888888888887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3</v>
      </c>
      <c r="B88" s="10" t="s">
        <v>23</v>
      </c>
      <c r="C88" s="11" t="s">
        <v>127</v>
      </c>
      <c r="D88" s="13">
        <v>25000</v>
      </c>
      <c r="E88" s="13">
        <f t="shared" si="20"/>
        <v>75000</v>
      </c>
      <c r="F88" s="2"/>
      <c r="G88" s="2"/>
      <c r="H88" s="2"/>
      <c r="I88" s="13">
        <v>22000</v>
      </c>
      <c r="J88" s="13">
        <f t="shared" si="21"/>
        <v>66000</v>
      </c>
      <c r="K88" s="13">
        <f t="shared" si="22"/>
        <v>9000</v>
      </c>
      <c r="L88" s="21">
        <f t="shared" si="23"/>
        <v>0.12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1</v>
      </c>
      <c r="B89" s="10" t="s">
        <v>23</v>
      </c>
      <c r="C89" s="11" t="s">
        <v>88</v>
      </c>
      <c r="D89" s="13">
        <v>28000</v>
      </c>
      <c r="E89" s="13">
        <f t="shared" si="20"/>
        <v>28000</v>
      </c>
      <c r="F89" s="2"/>
      <c r="G89" s="2"/>
      <c r="H89" s="7" t="s">
        <v>37</v>
      </c>
      <c r="I89" s="13">
        <v>12000</v>
      </c>
      <c r="J89" s="13">
        <f t="shared" si="21"/>
        <v>12000</v>
      </c>
      <c r="K89" s="13">
        <f t="shared" si="22"/>
        <v>16000</v>
      </c>
      <c r="L89" s="21">
        <f t="shared" si="23"/>
        <v>0.5714285714285714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21</v>
      </c>
      <c r="C90" s="11" t="s">
        <v>112</v>
      </c>
      <c r="D90" s="13">
        <v>3000</v>
      </c>
      <c r="E90" s="13">
        <f t="shared" si="20"/>
        <v>3000</v>
      </c>
      <c r="F90" s="2"/>
      <c r="G90" s="2"/>
      <c r="H90" s="2"/>
      <c r="I90" s="13">
        <v>2000</v>
      </c>
      <c r="J90" s="13">
        <f t="shared" si="21"/>
        <v>2000</v>
      </c>
      <c r="K90" s="13">
        <f t="shared" si="22"/>
        <v>1000</v>
      </c>
      <c r="L90" s="21">
        <f t="shared" si="23"/>
        <v>0.33333333333333331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4</v>
      </c>
      <c r="B91" s="10" t="s">
        <v>17</v>
      </c>
      <c r="C91" s="11" t="s">
        <v>113</v>
      </c>
      <c r="D91" s="13">
        <v>4000</v>
      </c>
      <c r="E91" s="13">
        <f t="shared" si="20"/>
        <v>16000</v>
      </c>
      <c r="F91" s="2"/>
      <c r="G91" s="2"/>
      <c r="H91" s="2"/>
      <c r="I91" s="13">
        <v>3000</v>
      </c>
      <c r="J91" s="13">
        <f t="shared" si="21"/>
        <v>12000</v>
      </c>
      <c r="K91" s="13">
        <f t="shared" si="22"/>
        <v>4000</v>
      </c>
      <c r="L91" s="21">
        <f t="shared" si="23"/>
        <v>0.25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5"/>
      <c r="B92" s="2"/>
      <c r="C92" s="4"/>
      <c r="D92" s="2"/>
      <c r="E92" s="2"/>
      <c r="F92" s="2"/>
      <c r="G92" s="4"/>
      <c r="H92" s="2"/>
      <c r="I92" s="2"/>
      <c r="J92" s="2"/>
      <c r="K92" s="2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"/>
      <c r="B93" s="2"/>
      <c r="C93" s="4"/>
      <c r="D93" s="2"/>
      <c r="E93" s="13">
        <f>SUM(E84:E91)</f>
        <v>165360</v>
      </c>
      <c r="F93" s="2"/>
      <c r="G93" s="2"/>
      <c r="H93" s="2"/>
      <c r="I93" s="2"/>
      <c r="J93" s="2"/>
      <c r="K93" s="13">
        <f>SUM(K84:K91)</f>
        <v>47806.666666666672</v>
      </c>
      <c r="L93" s="14">
        <f>K93/E93</f>
        <v>0.28910659571036934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28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8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88" t="s">
        <v>128</v>
      </c>
      <c r="B96" s="89"/>
      <c r="C96" s="89"/>
      <c r="D96" s="2"/>
      <c r="E96" s="7" t="s">
        <v>1</v>
      </c>
      <c r="F96" s="8">
        <v>46114</v>
      </c>
      <c r="G96" s="7" t="s">
        <v>106</v>
      </c>
      <c r="H96" s="2"/>
      <c r="I96" s="9" t="s">
        <v>2</v>
      </c>
      <c r="J96" s="9"/>
      <c r="K96" s="9"/>
      <c r="L96" s="3"/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"/>
      <c r="B97" s="2"/>
      <c r="C97" s="5"/>
      <c r="D97" s="2"/>
      <c r="E97" s="2"/>
      <c r="F97" s="2"/>
      <c r="G97" s="2"/>
      <c r="H97" s="2"/>
      <c r="I97" s="2"/>
      <c r="J97" s="2"/>
      <c r="K97" s="2"/>
      <c r="L97" s="3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6" t="s">
        <v>3</v>
      </c>
      <c r="B98" s="10" t="s">
        <v>4</v>
      </c>
      <c r="C98" s="11" t="s">
        <v>5</v>
      </c>
      <c r="D98" s="10" t="s">
        <v>6</v>
      </c>
      <c r="E98" s="10" t="s">
        <v>7</v>
      </c>
      <c r="F98" s="10" t="s">
        <v>8</v>
      </c>
      <c r="G98" s="2"/>
      <c r="H98" s="2"/>
      <c r="I98" s="10" t="s">
        <v>9</v>
      </c>
      <c r="J98" s="10" t="s">
        <v>7</v>
      </c>
      <c r="K98" s="10" t="s">
        <v>10</v>
      </c>
      <c r="L98" s="3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1</v>
      </c>
      <c r="B99" s="10" t="s">
        <v>23</v>
      </c>
      <c r="C99" s="11" t="s">
        <v>20</v>
      </c>
      <c r="D99" s="13">
        <v>12000</v>
      </c>
      <c r="E99" s="13">
        <f t="shared" ref="E99:E103" si="24">A99*D99</f>
        <v>12000</v>
      </c>
      <c r="F99" s="13">
        <f t="shared" ref="F99:F103" si="25">E99*1.105</f>
        <v>13260</v>
      </c>
      <c r="G99" s="2"/>
      <c r="H99" s="2"/>
      <c r="I99" s="13">
        <v>8000</v>
      </c>
      <c r="J99" s="13">
        <f t="shared" ref="J99:J103" si="26">I99*A99</f>
        <v>8000</v>
      </c>
      <c r="K99" s="13">
        <f t="shared" ref="K99:K103" si="27">F99-J99</f>
        <v>5260</v>
      </c>
      <c r="L99" s="14">
        <f t="shared" ref="L99:L103" si="28">IFERROR(K99/E99, 0)</f>
        <v>0.43833333333333335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5</v>
      </c>
      <c r="B100" s="10" t="s">
        <v>15</v>
      </c>
      <c r="C100" s="11" t="s">
        <v>84</v>
      </c>
      <c r="D100" s="13">
        <v>14000</v>
      </c>
      <c r="E100" s="13">
        <f t="shared" si="24"/>
        <v>70000</v>
      </c>
      <c r="F100" s="13">
        <f t="shared" si="25"/>
        <v>77350</v>
      </c>
      <c r="G100" s="2"/>
      <c r="H100" s="2"/>
      <c r="I100" s="13">
        <v>10000</v>
      </c>
      <c r="J100" s="13">
        <f t="shared" si="26"/>
        <v>50000</v>
      </c>
      <c r="K100" s="13">
        <f t="shared" si="27"/>
        <v>27350</v>
      </c>
      <c r="L100" s="14">
        <f t="shared" si="28"/>
        <v>0.39071428571428574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15</v>
      </c>
      <c r="C101" s="11" t="s">
        <v>129</v>
      </c>
      <c r="D101" s="13">
        <v>15000</v>
      </c>
      <c r="E101" s="13">
        <f t="shared" si="24"/>
        <v>15000</v>
      </c>
      <c r="F101" s="13">
        <f t="shared" si="25"/>
        <v>16575</v>
      </c>
      <c r="G101" s="2"/>
      <c r="H101" s="2"/>
      <c r="I101" s="13">
        <v>12000</v>
      </c>
      <c r="J101" s="13">
        <f t="shared" si="26"/>
        <v>12000</v>
      </c>
      <c r="K101" s="13">
        <f t="shared" si="27"/>
        <v>4575</v>
      </c>
      <c r="L101" s="14">
        <f t="shared" si="28"/>
        <v>0.30499999999999999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1</v>
      </c>
      <c r="B102" s="10" t="s">
        <v>15</v>
      </c>
      <c r="C102" s="11" t="s">
        <v>48</v>
      </c>
      <c r="D102" s="13">
        <v>13000</v>
      </c>
      <c r="E102" s="13">
        <f t="shared" si="24"/>
        <v>13000</v>
      </c>
      <c r="F102" s="13">
        <f t="shared" si="25"/>
        <v>14365</v>
      </c>
      <c r="G102" s="2"/>
      <c r="H102" s="2"/>
      <c r="I102" s="13">
        <v>9000</v>
      </c>
      <c r="J102" s="13">
        <f t="shared" si="26"/>
        <v>9000</v>
      </c>
      <c r="K102" s="13">
        <f t="shared" si="27"/>
        <v>5365</v>
      </c>
      <c r="L102" s="14">
        <f t="shared" si="28"/>
        <v>0.41269230769230769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4</v>
      </c>
      <c r="B103" s="10" t="s">
        <v>23</v>
      </c>
      <c r="C103" s="11" t="s">
        <v>130</v>
      </c>
      <c r="D103" s="13">
        <v>11000</v>
      </c>
      <c r="E103" s="13">
        <f t="shared" si="24"/>
        <v>44000</v>
      </c>
      <c r="F103" s="13">
        <f t="shared" si="25"/>
        <v>48620</v>
      </c>
      <c r="G103" s="2"/>
      <c r="H103" s="2"/>
      <c r="I103" s="13">
        <v>8000</v>
      </c>
      <c r="J103" s="13">
        <f t="shared" si="26"/>
        <v>32000</v>
      </c>
      <c r="K103" s="13">
        <f t="shared" si="27"/>
        <v>16620</v>
      </c>
      <c r="L103" s="14">
        <f t="shared" si="28"/>
        <v>0.37772727272727274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"/>
      <c r="B104" s="2"/>
      <c r="C104" s="4"/>
      <c r="D104" s="2"/>
      <c r="E104" s="2"/>
      <c r="F104" s="13"/>
      <c r="G104" s="2"/>
      <c r="H104" s="2"/>
      <c r="I104" s="2"/>
      <c r="J104" s="2"/>
      <c r="K104" s="2"/>
      <c r="L104" s="3"/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"/>
      <c r="B105" s="2"/>
      <c r="C105" s="4"/>
      <c r="D105" s="2"/>
      <c r="E105" s="13">
        <f t="shared" ref="E105:F105" si="29">SUM(E99:E103)</f>
        <v>154000</v>
      </c>
      <c r="F105" s="13">
        <f t="shared" si="29"/>
        <v>170170</v>
      </c>
      <c r="G105" s="2"/>
      <c r="H105" s="2"/>
      <c r="I105" s="2"/>
      <c r="J105" s="2"/>
      <c r="K105" s="13">
        <f>SUM(K99:K103)</f>
        <v>59170</v>
      </c>
      <c r="L105" s="14">
        <f>K105/F105</f>
        <v>0.34771111241699476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28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28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28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6" t="s">
        <v>131</v>
      </c>
      <c r="B109" s="1"/>
      <c r="C109" s="1"/>
      <c r="D109" s="12" t="s">
        <v>132</v>
      </c>
      <c r="E109" s="8">
        <v>46114</v>
      </c>
      <c r="F109" s="15" t="s">
        <v>37</v>
      </c>
      <c r="G109" s="2"/>
      <c r="H109" s="2"/>
      <c r="I109" s="2"/>
      <c r="J109" s="2"/>
      <c r="K109" s="2"/>
      <c r="L109" s="3"/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3"/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6" t="s">
        <v>3</v>
      </c>
      <c r="B111" s="10" t="s">
        <v>4</v>
      </c>
      <c r="C111" s="6" t="s">
        <v>5</v>
      </c>
      <c r="D111" s="10" t="s">
        <v>6</v>
      </c>
      <c r="E111" s="10" t="s">
        <v>7</v>
      </c>
      <c r="F111" s="2"/>
      <c r="G111" s="2"/>
      <c r="H111" s="2"/>
      <c r="I111" s="10" t="s">
        <v>6</v>
      </c>
      <c r="J111" s="10" t="s">
        <v>7</v>
      </c>
      <c r="K111" s="10" t="s">
        <v>10</v>
      </c>
      <c r="L111" s="3"/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1</v>
      </c>
      <c r="B112" s="10" t="s">
        <v>21</v>
      </c>
      <c r="C112" s="6" t="s">
        <v>34</v>
      </c>
      <c r="D112" s="13">
        <v>5000</v>
      </c>
      <c r="E112" s="13">
        <f t="shared" ref="E112:E129" si="30">A112*D112</f>
        <v>5000</v>
      </c>
      <c r="F112" s="2"/>
      <c r="G112" s="2"/>
      <c r="H112" s="2"/>
      <c r="I112" s="13">
        <v>2000</v>
      </c>
      <c r="J112" s="13">
        <f t="shared" ref="J112:J129" si="31">I112*A112</f>
        <v>2000</v>
      </c>
      <c r="K112" s="13">
        <f t="shared" ref="K112:K129" si="32">E112-J112</f>
        <v>3000</v>
      </c>
      <c r="L112" s="14">
        <f t="shared" ref="L112:L129" si="33">K112/E112</f>
        <v>0.6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0.65</v>
      </c>
      <c r="B113" s="10" t="s">
        <v>17</v>
      </c>
      <c r="C113" s="6" t="s">
        <v>73</v>
      </c>
      <c r="D113" s="13">
        <v>2200</v>
      </c>
      <c r="E113" s="13">
        <f t="shared" si="30"/>
        <v>1430</v>
      </c>
      <c r="F113" s="2"/>
      <c r="G113" s="2"/>
      <c r="H113" s="7"/>
      <c r="I113" s="13">
        <f>14000/15</f>
        <v>933.33333333333337</v>
      </c>
      <c r="J113" s="13">
        <f t="shared" si="31"/>
        <v>606.66666666666674</v>
      </c>
      <c r="K113" s="13">
        <f t="shared" si="32"/>
        <v>823.33333333333326</v>
      </c>
      <c r="L113" s="14">
        <f t="shared" si="33"/>
        <v>0.57575757575757569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4</v>
      </c>
      <c r="B114" s="10" t="s">
        <v>21</v>
      </c>
      <c r="C114" s="6" t="s">
        <v>28</v>
      </c>
      <c r="D114" s="13">
        <v>3000</v>
      </c>
      <c r="E114" s="13">
        <f t="shared" si="30"/>
        <v>12000</v>
      </c>
      <c r="F114" s="2"/>
      <c r="G114" s="2"/>
      <c r="H114" s="2"/>
      <c r="I114" s="13">
        <v>2000</v>
      </c>
      <c r="J114" s="13">
        <f t="shared" si="31"/>
        <v>8000</v>
      </c>
      <c r="K114" s="13">
        <f t="shared" si="32"/>
        <v>4000</v>
      </c>
      <c r="L114" s="14">
        <f t="shared" si="33"/>
        <v>0.33333333333333331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3</v>
      </c>
      <c r="B115" s="10" t="s">
        <v>21</v>
      </c>
      <c r="C115" s="6" t="s">
        <v>133</v>
      </c>
      <c r="D115" s="13">
        <v>2000</v>
      </c>
      <c r="E115" s="13">
        <f t="shared" si="30"/>
        <v>6000</v>
      </c>
      <c r="F115" s="2"/>
      <c r="G115" s="2"/>
      <c r="H115" s="2"/>
      <c r="I115" s="13">
        <v>500</v>
      </c>
      <c r="J115" s="13">
        <f t="shared" si="31"/>
        <v>1500</v>
      </c>
      <c r="K115" s="13">
        <f t="shared" si="32"/>
        <v>4500</v>
      </c>
      <c r="L115" s="14">
        <f t="shared" si="33"/>
        <v>0.75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21</v>
      </c>
      <c r="C116" s="6" t="s">
        <v>42</v>
      </c>
      <c r="D116" s="13">
        <v>4500</v>
      </c>
      <c r="E116" s="13">
        <f t="shared" si="30"/>
        <v>4500</v>
      </c>
      <c r="F116" s="2"/>
      <c r="G116" s="2"/>
      <c r="H116" s="7"/>
      <c r="I116" s="13">
        <v>1200</v>
      </c>
      <c r="J116" s="13">
        <f t="shared" si="31"/>
        <v>1200</v>
      </c>
      <c r="K116" s="13">
        <f t="shared" si="32"/>
        <v>3300</v>
      </c>
      <c r="L116" s="14">
        <f t="shared" si="33"/>
        <v>0.73333333333333328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2</v>
      </c>
      <c r="B117" s="10" t="s">
        <v>100</v>
      </c>
      <c r="C117" s="6" t="s">
        <v>134</v>
      </c>
      <c r="D117" s="13">
        <v>6000</v>
      </c>
      <c r="E117" s="13">
        <f t="shared" si="30"/>
        <v>12000</v>
      </c>
      <c r="F117" s="2"/>
      <c r="G117" s="2"/>
      <c r="H117" s="7"/>
      <c r="I117" s="13">
        <v>4500</v>
      </c>
      <c r="J117" s="13">
        <f t="shared" si="31"/>
        <v>9000</v>
      </c>
      <c r="K117" s="13">
        <f t="shared" si="32"/>
        <v>3000</v>
      </c>
      <c r="L117" s="14">
        <f t="shared" si="33"/>
        <v>0.25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4</v>
      </c>
      <c r="B118" s="10" t="s">
        <v>17</v>
      </c>
      <c r="C118" s="6" t="s">
        <v>30</v>
      </c>
      <c r="D118" s="13">
        <v>1500</v>
      </c>
      <c r="E118" s="13">
        <f t="shared" si="30"/>
        <v>6000</v>
      </c>
      <c r="F118" s="2"/>
      <c r="G118" s="2"/>
      <c r="H118" s="7"/>
      <c r="I118" s="13">
        <v>1500</v>
      </c>
      <c r="J118" s="13">
        <f t="shared" si="31"/>
        <v>6000</v>
      </c>
      <c r="K118" s="13">
        <f t="shared" si="32"/>
        <v>0</v>
      </c>
      <c r="L118" s="14">
        <f t="shared" si="33"/>
        <v>0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0.5</v>
      </c>
      <c r="B119" s="10" t="s">
        <v>15</v>
      </c>
      <c r="C119" s="6" t="s">
        <v>135</v>
      </c>
      <c r="D119" s="13">
        <v>18000</v>
      </c>
      <c r="E119" s="13">
        <f t="shared" si="30"/>
        <v>9000</v>
      </c>
      <c r="F119" s="2"/>
      <c r="G119" s="2"/>
      <c r="H119" s="7"/>
      <c r="I119" s="13">
        <v>10000</v>
      </c>
      <c r="J119" s="13">
        <f t="shared" si="31"/>
        <v>5000</v>
      </c>
      <c r="K119" s="13">
        <f t="shared" si="32"/>
        <v>4000</v>
      </c>
      <c r="L119" s="14">
        <f t="shared" si="33"/>
        <v>0.44444444444444442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3</v>
      </c>
      <c r="B120" s="10" t="s">
        <v>17</v>
      </c>
      <c r="C120" s="6" t="s">
        <v>18</v>
      </c>
      <c r="D120" s="13">
        <v>1600</v>
      </c>
      <c r="E120" s="13">
        <f t="shared" si="30"/>
        <v>4800</v>
      </c>
      <c r="F120" s="2"/>
      <c r="G120" s="2"/>
      <c r="H120" s="7"/>
      <c r="I120" s="13">
        <v>1000</v>
      </c>
      <c r="J120" s="13">
        <f t="shared" si="31"/>
        <v>3000</v>
      </c>
      <c r="K120" s="13">
        <f t="shared" si="32"/>
        <v>1800</v>
      </c>
      <c r="L120" s="14">
        <f t="shared" si="33"/>
        <v>0.375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2</v>
      </c>
      <c r="B121" s="10" t="s">
        <v>17</v>
      </c>
      <c r="C121" s="6" t="s">
        <v>136</v>
      </c>
      <c r="D121" s="13">
        <v>2800</v>
      </c>
      <c r="E121" s="13">
        <f t="shared" si="30"/>
        <v>5600</v>
      </c>
      <c r="F121" s="2"/>
      <c r="G121" s="2"/>
      <c r="H121" s="7"/>
      <c r="I121" s="13">
        <v>1000</v>
      </c>
      <c r="J121" s="13">
        <f t="shared" si="31"/>
        <v>2000</v>
      </c>
      <c r="K121" s="13">
        <f t="shared" si="32"/>
        <v>3600</v>
      </c>
      <c r="L121" s="14">
        <f t="shared" si="33"/>
        <v>0.6428571428571429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1</v>
      </c>
      <c r="B122" s="10" t="s">
        <v>17</v>
      </c>
      <c r="C122" s="6" t="s">
        <v>32</v>
      </c>
      <c r="D122" s="13">
        <v>2500</v>
      </c>
      <c r="E122" s="13">
        <f t="shared" si="30"/>
        <v>2500</v>
      </c>
      <c r="F122" s="2"/>
      <c r="G122" s="2"/>
      <c r="H122" s="7"/>
      <c r="I122" s="13">
        <v>1000</v>
      </c>
      <c r="J122" s="13">
        <f t="shared" si="31"/>
        <v>1000</v>
      </c>
      <c r="K122" s="13">
        <f t="shared" si="32"/>
        <v>1500</v>
      </c>
      <c r="L122" s="14">
        <f t="shared" si="33"/>
        <v>0.6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2</v>
      </c>
      <c r="B123" s="10" t="s">
        <v>17</v>
      </c>
      <c r="C123" s="6" t="s">
        <v>61</v>
      </c>
      <c r="D123" s="13">
        <v>1400</v>
      </c>
      <c r="E123" s="13">
        <f t="shared" si="30"/>
        <v>2800</v>
      </c>
      <c r="F123" s="2"/>
      <c r="G123" s="2"/>
      <c r="H123" s="7"/>
      <c r="I123" s="13">
        <v>1000</v>
      </c>
      <c r="J123" s="13">
        <f t="shared" si="31"/>
        <v>2000</v>
      </c>
      <c r="K123" s="13">
        <f t="shared" si="32"/>
        <v>800</v>
      </c>
      <c r="L123" s="14">
        <f t="shared" si="33"/>
        <v>0.2857142857142857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4</v>
      </c>
      <c r="B124" s="10" t="s">
        <v>4</v>
      </c>
      <c r="C124" s="6" t="s">
        <v>13</v>
      </c>
      <c r="D124" s="13">
        <v>900</v>
      </c>
      <c r="E124" s="13">
        <f t="shared" si="30"/>
        <v>3600</v>
      </c>
      <c r="F124" s="2"/>
      <c r="G124" s="2"/>
      <c r="H124" s="7"/>
      <c r="I124" s="13">
        <v>460</v>
      </c>
      <c r="J124" s="13">
        <f t="shared" si="31"/>
        <v>1840</v>
      </c>
      <c r="K124" s="13">
        <f t="shared" si="32"/>
        <v>1760</v>
      </c>
      <c r="L124" s="14">
        <f t="shared" si="33"/>
        <v>0.48888888888888887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0.5</v>
      </c>
      <c r="B125" s="10" t="s">
        <v>17</v>
      </c>
      <c r="C125" s="6" t="s">
        <v>137</v>
      </c>
      <c r="D125" s="13">
        <v>12000</v>
      </c>
      <c r="E125" s="13">
        <f t="shared" si="30"/>
        <v>6000</v>
      </c>
      <c r="F125" s="2"/>
      <c r="G125" s="2"/>
      <c r="H125" s="2"/>
      <c r="I125" s="13">
        <v>8000</v>
      </c>
      <c r="J125" s="13">
        <f t="shared" si="31"/>
        <v>4000</v>
      </c>
      <c r="K125" s="13">
        <f t="shared" si="32"/>
        <v>2000</v>
      </c>
      <c r="L125" s="14">
        <f t="shared" si="33"/>
        <v>0.33333333333333331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0.5</v>
      </c>
      <c r="B126" s="10" t="s">
        <v>17</v>
      </c>
      <c r="C126" s="6" t="s">
        <v>138</v>
      </c>
      <c r="D126" s="13">
        <v>12000</v>
      </c>
      <c r="E126" s="13">
        <f t="shared" si="30"/>
        <v>6000</v>
      </c>
      <c r="F126" s="2"/>
      <c r="G126" s="2"/>
      <c r="H126" s="7"/>
      <c r="I126" s="13">
        <v>7000</v>
      </c>
      <c r="J126" s="13">
        <f t="shared" si="31"/>
        <v>3500</v>
      </c>
      <c r="K126" s="13">
        <f t="shared" si="32"/>
        <v>2500</v>
      </c>
      <c r="L126" s="14">
        <f t="shared" si="33"/>
        <v>0.41666666666666669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0.5</v>
      </c>
      <c r="B127" s="10" t="s">
        <v>17</v>
      </c>
      <c r="C127" s="6" t="s">
        <v>139</v>
      </c>
      <c r="D127" s="13">
        <v>20000</v>
      </c>
      <c r="E127" s="13">
        <f t="shared" si="30"/>
        <v>10000</v>
      </c>
      <c r="F127" s="2"/>
      <c r="G127" s="2"/>
      <c r="H127" s="2"/>
      <c r="I127" s="13">
        <v>16000</v>
      </c>
      <c r="J127" s="13">
        <f t="shared" si="31"/>
        <v>8000</v>
      </c>
      <c r="K127" s="13">
        <f t="shared" si="32"/>
        <v>2000</v>
      </c>
      <c r="L127" s="14">
        <f t="shared" si="33"/>
        <v>0.2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2</v>
      </c>
      <c r="B128" s="10" t="s">
        <v>17</v>
      </c>
      <c r="C128" s="6" t="s">
        <v>113</v>
      </c>
      <c r="D128" s="13">
        <v>4000</v>
      </c>
      <c r="E128" s="13">
        <f t="shared" si="30"/>
        <v>8000</v>
      </c>
      <c r="F128" s="2"/>
      <c r="G128" s="2"/>
      <c r="H128" s="7"/>
      <c r="I128" s="13">
        <v>3000</v>
      </c>
      <c r="J128" s="13">
        <f t="shared" si="31"/>
        <v>6000</v>
      </c>
      <c r="K128" s="13">
        <f t="shared" si="32"/>
        <v>2000</v>
      </c>
      <c r="L128" s="14">
        <f t="shared" si="33"/>
        <v>0.25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1</v>
      </c>
      <c r="B129" s="10" t="s">
        <v>86</v>
      </c>
      <c r="C129" s="6" t="s">
        <v>88</v>
      </c>
      <c r="D129" s="13">
        <v>28000</v>
      </c>
      <c r="E129" s="13">
        <f t="shared" si="30"/>
        <v>28000</v>
      </c>
      <c r="F129" s="2"/>
      <c r="G129" s="2"/>
      <c r="H129" s="2"/>
      <c r="I129" s="13">
        <v>12000</v>
      </c>
      <c r="J129" s="13">
        <f t="shared" si="31"/>
        <v>12000</v>
      </c>
      <c r="K129" s="13">
        <f t="shared" si="32"/>
        <v>16000</v>
      </c>
      <c r="L129" s="14">
        <f t="shared" si="33"/>
        <v>0.5714285714285714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"/>
      <c r="B130" s="2"/>
      <c r="C130" s="1"/>
      <c r="D130" s="2"/>
      <c r="E130" s="2"/>
      <c r="F130" s="2"/>
      <c r="G130" s="1"/>
      <c r="H130" s="2"/>
      <c r="I130" s="2"/>
      <c r="J130" s="2"/>
      <c r="K130" s="2"/>
      <c r="L130" s="3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"/>
      <c r="B131" s="2"/>
      <c r="C131" s="1"/>
      <c r="D131" s="2"/>
      <c r="E131" s="13">
        <f>SUM(E112:E130)</f>
        <v>133230</v>
      </c>
      <c r="F131" s="2"/>
      <c r="G131" s="2"/>
      <c r="H131" s="2"/>
      <c r="I131" s="2"/>
      <c r="J131" s="2"/>
      <c r="K131" s="13">
        <f>SUM(K112:K129)</f>
        <v>56583.333333333328</v>
      </c>
      <c r="L131" s="14">
        <f>K131/E131</f>
        <v>0.42470414571292747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8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8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6" t="s">
        <v>140</v>
      </c>
      <c r="B134" s="6"/>
      <c r="C134" s="6"/>
      <c r="D134" s="22" t="s">
        <v>97</v>
      </c>
      <c r="E134" s="8">
        <v>46114</v>
      </c>
      <c r="F134" s="23" t="s">
        <v>106</v>
      </c>
      <c r="G134" s="2"/>
      <c r="H134" s="2"/>
      <c r="I134" s="2"/>
      <c r="J134" s="13"/>
      <c r="K134" s="13"/>
      <c r="L134" s="14"/>
      <c r="M134" s="4"/>
      <c r="N134" s="2"/>
      <c r="O134" s="4"/>
      <c r="P134" s="2"/>
      <c r="Q134" s="2"/>
      <c r="R134" s="4"/>
      <c r="S134" s="2"/>
      <c r="T134" s="2"/>
      <c r="U134" s="1"/>
      <c r="V134" s="2"/>
      <c r="W134" s="2"/>
      <c r="X134" s="2"/>
      <c r="Y134" s="2"/>
      <c r="Z134" s="2"/>
    </row>
    <row r="135" spans="1:26" ht="15.75" customHeight="1" x14ac:dyDescent="0.2">
      <c r="B135" s="2"/>
      <c r="C135" s="4"/>
      <c r="D135" s="2"/>
      <c r="E135" s="2"/>
      <c r="F135" s="2"/>
      <c r="G135" s="2"/>
      <c r="H135" s="2"/>
      <c r="I135" s="2"/>
      <c r="J135" s="13"/>
      <c r="K135" s="13"/>
      <c r="L135" s="14"/>
      <c r="M135" s="4"/>
      <c r="N135" s="2"/>
      <c r="O135" s="4"/>
      <c r="P135" s="2"/>
      <c r="Q135" s="2"/>
      <c r="R135" s="4"/>
      <c r="S135" s="2"/>
      <c r="T135" s="2"/>
      <c r="U135" s="1"/>
      <c r="V135" s="2"/>
      <c r="W135" s="2"/>
      <c r="X135" s="2"/>
      <c r="Y135" s="2"/>
      <c r="Z135" s="2"/>
    </row>
    <row r="136" spans="1:26" ht="15.75" customHeight="1" x14ac:dyDescent="0.2">
      <c r="A136" s="6" t="s">
        <v>3</v>
      </c>
      <c r="B136" s="10" t="s">
        <v>4</v>
      </c>
      <c r="C136" s="11" t="s">
        <v>5</v>
      </c>
      <c r="D136" s="10" t="s">
        <v>6</v>
      </c>
      <c r="E136" s="10" t="s">
        <v>7</v>
      </c>
      <c r="F136" s="10" t="s">
        <v>8</v>
      </c>
      <c r="G136" s="2"/>
      <c r="H136" s="2"/>
      <c r="I136" s="10" t="s">
        <v>6</v>
      </c>
      <c r="J136" s="10" t="s">
        <v>7</v>
      </c>
      <c r="K136" s="10" t="s">
        <v>10</v>
      </c>
      <c r="L136" s="14"/>
      <c r="M136" s="4"/>
      <c r="N136" s="2"/>
      <c r="O136" s="4"/>
      <c r="P136" s="2"/>
      <c r="Q136" s="2"/>
      <c r="R136" s="4"/>
      <c r="S136" s="2"/>
      <c r="T136" s="2"/>
      <c r="U136" s="1"/>
      <c r="V136" s="2"/>
      <c r="W136" s="2"/>
      <c r="X136" s="2"/>
      <c r="Y136" s="2"/>
      <c r="Z136" s="2"/>
    </row>
    <row r="137" spans="1:26" ht="15.75" customHeight="1" x14ac:dyDescent="0.2">
      <c r="A137" s="12">
        <v>1</v>
      </c>
      <c r="B137" s="10" t="s">
        <v>23</v>
      </c>
      <c r="C137" s="11" t="s">
        <v>130</v>
      </c>
      <c r="D137" s="13">
        <v>11000</v>
      </c>
      <c r="E137" s="13">
        <f t="shared" ref="E137:E140" si="34">A137*D137</f>
        <v>11000</v>
      </c>
      <c r="F137" s="13">
        <f t="shared" ref="F137:F140" si="35">E137*1.105</f>
        <v>12155</v>
      </c>
      <c r="G137" s="2"/>
      <c r="H137" s="7"/>
      <c r="I137" s="13">
        <v>8000</v>
      </c>
      <c r="J137" s="13">
        <f t="shared" ref="J137:J140" si="36">I137*A137</f>
        <v>8000</v>
      </c>
      <c r="K137" s="13">
        <f t="shared" ref="K137:K140" si="37">E137-J137</f>
        <v>3000</v>
      </c>
      <c r="L137" s="14">
        <f t="shared" ref="L137:L140" si="38">K137/E137</f>
        <v>0.27272727272727271</v>
      </c>
      <c r="M137" s="4"/>
      <c r="N137" s="2"/>
      <c r="O137" s="4"/>
      <c r="P137" s="2"/>
      <c r="Q137" s="2"/>
      <c r="R137" s="4"/>
      <c r="S137" s="2"/>
      <c r="T137" s="2"/>
      <c r="U137" s="1"/>
      <c r="V137" s="2"/>
      <c r="W137" s="2"/>
      <c r="X137" s="2"/>
      <c r="Y137" s="2"/>
      <c r="Z137" s="2"/>
    </row>
    <row r="138" spans="1:26" ht="15.75" customHeight="1" x14ac:dyDescent="0.2">
      <c r="A138" s="12">
        <v>3</v>
      </c>
      <c r="B138" s="10" t="s">
        <v>15</v>
      </c>
      <c r="C138" s="11" t="s">
        <v>141</v>
      </c>
      <c r="D138" s="13">
        <v>14000</v>
      </c>
      <c r="E138" s="13">
        <f t="shared" si="34"/>
        <v>42000</v>
      </c>
      <c r="F138" s="13">
        <f t="shared" si="35"/>
        <v>46410</v>
      </c>
      <c r="G138" s="2"/>
      <c r="H138" s="7"/>
      <c r="I138" s="13">
        <v>9000</v>
      </c>
      <c r="J138" s="13">
        <f t="shared" si="36"/>
        <v>27000</v>
      </c>
      <c r="K138" s="13">
        <f t="shared" si="37"/>
        <v>15000</v>
      </c>
      <c r="L138" s="14">
        <f t="shared" si="38"/>
        <v>0.35714285714285715</v>
      </c>
      <c r="M138" s="4"/>
      <c r="N138" s="2"/>
      <c r="O138" s="4"/>
      <c r="P138" s="2"/>
      <c r="Q138" s="2"/>
      <c r="R138" s="4"/>
      <c r="S138" s="2"/>
      <c r="T138" s="2"/>
      <c r="U138" s="1"/>
      <c r="V138" s="2"/>
      <c r="W138" s="2"/>
      <c r="X138" s="2"/>
      <c r="Y138" s="2"/>
      <c r="Z138" s="2"/>
    </row>
    <row r="139" spans="1:26" ht="15.75" customHeight="1" x14ac:dyDescent="0.2">
      <c r="A139" s="12">
        <v>3</v>
      </c>
      <c r="B139" s="10" t="s">
        <v>15</v>
      </c>
      <c r="C139" s="11" t="s">
        <v>142</v>
      </c>
      <c r="D139" s="13">
        <v>0</v>
      </c>
      <c r="E139" s="13">
        <f t="shared" si="34"/>
        <v>0</v>
      </c>
      <c r="F139" s="13">
        <f t="shared" si="35"/>
        <v>0</v>
      </c>
      <c r="G139" s="2"/>
      <c r="H139" s="7"/>
      <c r="I139" s="2"/>
      <c r="J139" s="13">
        <f t="shared" si="36"/>
        <v>0</v>
      </c>
      <c r="K139" s="13">
        <f t="shared" si="37"/>
        <v>0</v>
      </c>
      <c r="L139" s="14" t="e">
        <f t="shared" si="38"/>
        <v>#DIV/0!</v>
      </c>
      <c r="M139" s="4"/>
      <c r="N139" s="2"/>
      <c r="O139" s="4"/>
      <c r="P139" s="2"/>
      <c r="Q139" s="2"/>
      <c r="R139" s="4"/>
      <c r="S139" s="2"/>
      <c r="T139" s="2"/>
      <c r="U139" s="1"/>
      <c r="V139" s="2"/>
      <c r="W139" s="2"/>
      <c r="X139" s="2"/>
      <c r="Y139" s="2"/>
      <c r="Z139" s="2"/>
    </row>
    <row r="140" spans="1:26" ht="15.75" customHeight="1" x14ac:dyDescent="0.2">
      <c r="A140" s="12">
        <v>1</v>
      </c>
      <c r="B140" s="10" t="s">
        <v>23</v>
      </c>
      <c r="C140" s="11" t="s">
        <v>73</v>
      </c>
      <c r="D140" s="13">
        <v>20000</v>
      </c>
      <c r="E140" s="13">
        <f t="shared" si="34"/>
        <v>20000</v>
      </c>
      <c r="F140" s="13">
        <f t="shared" si="35"/>
        <v>22100</v>
      </c>
      <c r="G140" s="2"/>
      <c r="H140" s="7"/>
      <c r="I140" s="13">
        <v>15000</v>
      </c>
      <c r="J140" s="13">
        <f t="shared" si="36"/>
        <v>15000</v>
      </c>
      <c r="K140" s="13">
        <f t="shared" si="37"/>
        <v>5000</v>
      </c>
      <c r="L140" s="14">
        <f t="shared" si="38"/>
        <v>0.25</v>
      </c>
      <c r="M140" s="4"/>
      <c r="N140" s="2"/>
      <c r="O140" s="4"/>
      <c r="P140" s="2"/>
      <c r="Q140" s="2"/>
      <c r="R140" s="4"/>
      <c r="S140" s="2"/>
      <c r="T140" s="2"/>
      <c r="U140" s="1"/>
      <c r="V140" s="2"/>
      <c r="W140" s="2"/>
      <c r="X140" s="2"/>
      <c r="Y140" s="2"/>
      <c r="Z140" s="2"/>
    </row>
    <row r="141" spans="1:26" ht="15.75" customHeight="1" x14ac:dyDescent="0.2">
      <c r="A141" s="12"/>
      <c r="B141" s="10"/>
      <c r="C141" s="11"/>
      <c r="D141" s="13"/>
      <c r="E141" s="13"/>
      <c r="F141" s="13"/>
      <c r="H141" s="2"/>
      <c r="I141" s="2"/>
      <c r="J141" s="13"/>
      <c r="K141" s="13"/>
      <c r="L141" s="14"/>
      <c r="N141" s="2"/>
      <c r="O141" s="4"/>
      <c r="P141" s="2"/>
      <c r="Q141" s="2"/>
      <c r="R141" s="4"/>
      <c r="S141" s="2"/>
      <c r="T141" s="2"/>
      <c r="U141" s="1"/>
      <c r="V141" s="2"/>
      <c r="W141" s="2"/>
      <c r="X141" s="2"/>
      <c r="Y141" s="2"/>
      <c r="Z141" s="2"/>
    </row>
    <row r="142" spans="1:26" ht="15.75" customHeight="1" x14ac:dyDescent="0.2">
      <c r="A142" s="12"/>
      <c r="B142" s="10"/>
      <c r="C142" s="11"/>
      <c r="D142" s="13"/>
      <c r="E142" s="13">
        <f>SUM(E137:E141)</f>
        <v>73000</v>
      </c>
      <c r="F142" s="13">
        <f>SUM(F137:F140)</f>
        <v>80665</v>
      </c>
      <c r="G142" s="2"/>
      <c r="H142" s="2"/>
      <c r="I142" s="2"/>
      <c r="J142" s="13"/>
      <c r="K142" s="13">
        <f>SUM(K137:K140)</f>
        <v>23000</v>
      </c>
      <c r="L142" s="14">
        <f>K142/E142</f>
        <v>0.31506849315068491</v>
      </c>
      <c r="M142" s="4"/>
      <c r="N142" s="2"/>
      <c r="O142" s="4"/>
      <c r="P142" s="2"/>
      <c r="Q142" s="2"/>
      <c r="R142" s="4"/>
      <c r="S142" s="2"/>
      <c r="T142" s="2"/>
      <c r="U142" s="1"/>
      <c r="V142" s="2"/>
      <c r="W142" s="2"/>
      <c r="X142" s="2"/>
      <c r="Y142" s="2"/>
      <c r="Z142" s="2"/>
    </row>
    <row r="143" spans="1:26" ht="15.75" customHeight="1" x14ac:dyDescent="0.2">
      <c r="A143" s="4"/>
      <c r="B143" s="4"/>
      <c r="C143" s="4"/>
      <c r="D143" s="4"/>
      <c r="E143" s="4"/>
      <c r="F143" s="13"/>
      <c r="G143" s="4"/>
      <c r="H143" s="4"/>
      <c r="I143" s="4"/>
      <c r="J143" s="4"/>
      <c r="K143" s="4"/>
      <c r="L143" s="28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13"/>
      <c r="G144" s="4"/>
      <c r="H144" s="4"/>
      <c r="I144" s="4"/>
      <c r="J144" s="4"/>
      <c r="K144" s="4"/>
      <c r="L144" s="28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13"/>
      <c r="G145" s="4"/>
      <c r="H145" s="4"/>
      <c r="I145" s="4"/>
      <c r="J145" s="4"/>
      <c r="K145" s="4"/>
      <c r="L145" s="28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2.5" customHeight="1" x14ac:dyDescent="0.25">
      <c r="A146" s="26" t="s">
        <v>101</v>
      </c>
      <c r="B146" s="27">
        <f>F142+E131+F105+E93+E78+E65+E53+E33+E12</f>
        <v>1160575</v>
      </c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2.5" customHeight="1" x14ac:dyDescent="0.2">
      <c r="A147" s="1"/>
      <c r="B147" s="4"/>
      <c r="C147" s="1"/>
      <c r="D147" s="1"/>
      <c r="E147" s="1"/>
      <c r="F147" s="13"/>
      <c r="G147" s="1"/>
      <c r="H147" s="1"/>
      <c r="I147" s="1"/>
      <c r="J147" s="1"/>
      <c r="K147" s="1"/>
      <c r="L147" s="1"/>
      <c r="M147" s="1"/>
      <c r="N147" s="1"/>
      <c r="O147" s="1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2.5" customHeight="1" x14ac:dyDescent="0.25">
      <c r="A148" s="26" t="s">
        <v>102</v>
      </c>
      <c r="B148" s="27">
        <f>K142+K131+K105+K93+K78+K65+K53+K33+K12</f>
        <v>403691.96825396823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2.5" customHeight="1" x14ac:dyDescent="0.2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3.25" customHeight="1" x14ac:dyDescent="0.25">
      <c r="A151" s="26" t="s">
        <v>103</v>
      </c>
      <c r="B151" s="29">
        <f>B148/B146</f>
        <v>0.34783789781269475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90" t="s">
        <v>104</v>
      </c>
      <c r="B153" s="8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8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8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8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8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8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8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8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8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8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8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8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8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8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8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8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8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8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8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8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8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8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8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8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8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8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8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8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8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8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8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8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8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8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8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8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8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8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8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8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8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8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8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8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28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28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28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28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28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28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28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28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28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28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28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28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28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28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28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28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28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28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28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28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28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28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28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28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28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28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28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28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28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28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28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28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28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28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28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28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28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28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28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28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28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28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8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28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28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28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28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8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28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28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28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28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28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28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28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8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28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28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8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28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28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28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28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28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28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28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8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28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8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8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2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2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28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8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28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28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28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28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28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28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28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28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28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28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28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28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28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28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28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28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28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8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28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8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8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28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8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28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28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28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28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28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8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28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8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8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28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8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8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8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8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8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8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8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28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28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28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8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28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8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8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28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8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28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28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28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28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28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28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28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28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28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28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28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28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28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28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28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28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28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28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28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8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28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8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8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28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8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28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28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28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28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28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28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28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28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28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28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2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28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28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28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28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28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28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28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28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28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28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28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28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28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28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28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28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28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28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28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28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28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28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28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28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28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28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28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28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28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28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28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28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28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28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28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28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28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8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28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8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8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28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8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28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28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28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28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28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28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28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28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28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28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28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28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28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28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28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28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28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28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28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28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28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28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28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28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28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28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28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28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28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28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28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28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28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28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28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28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28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28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28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28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28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28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28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28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28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28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28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28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28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28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28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28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28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28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28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28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28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28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28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28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28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28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28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28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28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28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28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28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28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28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28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28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28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28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28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28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28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28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28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28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28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28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28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28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28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28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28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28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28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28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28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28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28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28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28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28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28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28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28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28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28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28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28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28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28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28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28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28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28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28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28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28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28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28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28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8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28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28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28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28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28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28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28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28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28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28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28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28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28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28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28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28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28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28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28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28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28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28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28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28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28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28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28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28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28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28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28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28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28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28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28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28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28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28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28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28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28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28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28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28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28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28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28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28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28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28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28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28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</sheetData>
  <mergeCells count="2">
    <mergeCell ref="A96:C96"/>
    <mergeCell ref="A153:B153"/>
  </mergeCells>
  <conditionalFormatting sqref="L1:L579">
    <cfRule type="cellIs" dxfId="95" priority="1" operator="greaterThanOrEqual">
      <formula>"30%"</formula>
    </cfRule>
    <cfRule type="cellIs" dxfId="94" priority="2" operator="between">
      <formula>"25%"</formula>
      <formula>"30%"</formula>
    </cfRule>
    <cfRule type="cellIs" dxfId="93" priority="3" operator="less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679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58</v>
      </c>
      <c r="F3" s="8">
        <v>46118</v>
      </c>
      <c r="G3" s="7"/>
      <c r="H3" s="2"/>
      <c r="I3" s="9" t="s">
        <v>2</v>
      </c>
      <c r="J3" s="9"/>
      <c r="K3" s="9"/>
      <c r="L3" s="3"/>
      <c r="M3" s="1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2">
        <v>1</v>
      </c>
      <c r="B6" s="10" t="s">
        <v>21</v>
      </c>
      <c r="C6" s="11" t="s">
        <v>51</v>
      </c>
      <c r="D6" s="13">
        <v>1500</v>
      </c>
      <c r="E6" s="13">
        <f t="shared" ref="E6:E11" si="0">A6*D6</f>
        <v>1500</v>
      </c>
      <c r="F6" s="13">
        <f t="shared" ref="F6:F11" si="1">E6*1.21</f>
        <v>1815</v>
      </c>
      <c r="G6" s="2"/>
      <c r="H6" s="2"/>
      <c r="I6" s="13">
        <v>1500</v>
      </c>
      <c r="J6" s="13">
        <f t="shared" ref="J6:J11" si="2">I6*A6</f>
        <v>1500</v>
      </c>
      <c r="K6" s="13">
        <f t="shared" ref="K6:K11" si="3">F6-J6</f>
        <v>315</v>
      </c>
      <c r="L6" s="14">
        <f t="shared" ref="L6:L11" si="4">IFERROR(K6/E6, 0)</f>
        <v>0.21</v>
      </c>
      <c r="M6" s="1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2">
        <v>1</v>
      </c>
      <c r="B7" s="10" t="s">
        <v>17</v>
      </c>
      <c r="C7" s="11" t="s">
        <v>89</v>
      </c>
      <c r="D7" s="13">
        <v>11000</v>
      </c>
      <c r="E7" s="13">
        <f t="shared" si="0"/>
        <v>11000</v>
      </c>
      <c r="F7" s="13">
        <f t="shared" si="1"/>
        <v>13310</v>
      </c>
      <c r="G7" s="2"/>
      <c r="H7" s="2"/>
      <c r="I7" s="13">
        <f>38000/4</f>
        <v>9500</v>
      </c>
      <c r="J7" s="13">
        <f t="shared" si="2"/>
        <v>9500</v>
      </c>
      <c r="K7" s="13">
        <f t="shared" si="3"/>
        <v>3810</v>
      </c>
      <c r="L7" s="14">
        <f t="shared" si="4"/>
        <v>0.34636363636363637</v>
      </c>
      <c r="M7" s="1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2">
        <v>1</v>
      </c>
      <c r="B8" s="10" t="s">
        <v>21</v>
      </c>
      <c r="C8" s="11" t="s">
        <v>133</v>
      </c>
      <c r="D8" s="13">
        <v>3000</v>
      </c>
      <c r="E8" s="13">
        <f t="shared" si="0"/>
        <v>3000</v>
      </c>
      <c r="F8" s="13">
        <f t="shared" si="1"/>
        <v>3630</v>
      </c>
      <c r="G8" s="2"/>
      <c r="H8" s="2"/>
      <c r="I8" s="13">
        <v>500</v>
      </c>
      <c r="J8" s="13">
        <f t="shared" si="2"/>
        <v>500</v>
      </c>
      <c r="K8" s="13">
        <f t="shared" si="3"/>
        <v>3130</v>
      </c>
      <c r="L8" s="14">
        <f t="shared" si="4"/>
        <v>1.0433333333333332</v>
      </c>
      <c r="M8" s="1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2">
        <v>1.5</v>
      </c>
      <c r="B9" s="10" t="s">
        <v>17</v>
      </c>
      <c r="C9" s="11" t="s">
        <v>43</v>
      </c>
      <c r="D9" s="13">
        <v>3200</v>
      </c>
      <c r="E9" s="13">
        <f t="shared" si="0"/>
        <v>4800</v>
      </c>
      <c r="F9" s="13">
        <f t="shared" si="1"/>
        <v>5808</v>
      </c>
      <c r="G9" s="2"/>
      <c r="H9" s="2"/>
      <c r="I9" s="13">
        <f>10000/4</f>
        <v>2500</v>
      </c>
      <c r="J9" s="13">
        <f t="shared" si="2"/>
        <v>3750</v>
      </c>
      <c r="K9" s="13">
        <f t="shared" si="3"/>
        <v>2058</v>
      </c>
      <c r="L9" s="14">
        <f t="shared" si="4"/>
        <v>0.42875000000000002</v>
      </c>
      <c r="M9" s="1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2">
        <v>5</v>
      </c>
      <c r="B10" s="10" t="s">
        <v>21</v>
      </c>
      <c r="C10" s="11" t="s">
        <v>46</v>
      </c>
      <c r="D10" s="13">
        <v>600</v>
      </c>
      <c r="E10" s="13">
        <f t="shared" si="0"/>
        <v>3000</v>
      </c>
      <c r="F10" s="13">
        <f t="shared" si="1"/>
        <v>3630</v>
      </c>
      <c r="G10" s="2"/>
      <c r="H10" s="2"/>
      <c r="I10" s="13">
        <f>5000/24</f>
        <v>208.33333333333334</v>
      </c>
      <c r="J10" s="13">
        <f t="shared" si="2"/>
        <v>1041.6666666666667</v>
      </c>
      <c r="K10" s="13">
        <f t="shared" si="3"/>
        <v>2588.333333333333</v>
      </c>
      <c r="L10" s="14">
        <f t="shared" si="4"/>
        <v>0.86277777777777764</v>
      </c>
      <c r="M10" s="1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2">
        <v>5</v>
      </c>
      <c r="B11" s="10" t="s">
        <v>17</v>
      </c>
      <c r="C11" s="11" t="s">
        <v>62</v>
      </c>
      <c r="D11" s="13">
        <v>3000</v>
      </c>
      <c r="E11" s="13">
        <f t="shared" si="0"/>
        <v>15000</v>
      </c>
      <c r="F11" s="13">
        <f t="shared" si="1"/>
        <v>18150</v>
      </c>
      <c r="G11" s="2"/>
      <c r="H11" s="2"/>
      <c r="I11" s="13">
        <f>32000/18</f>
        <v>1777.7777777777778</v>
      </c>
      <c r="J11" s="13">
        <f t="shared" si="2"/>
        <v>8888.8888888888887</v>
      </c>
      <c r="K11" s="13">
        <f t="shared" si="3"/>
        <v>9261.1111111111113</v>
      </c>
      <c r="L11" s="14">
        <f t="shared" si="4"/>
        <v>0.6174074074074074</v>
      </c>
      <c r="M11" s="1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x14ac:dyDescent="0.2">
      <c r="A12" s="1"/>
      <c r="B12" s="2"/>
      <c r="C12" s="4"/>
      <c r="D12" s="2"/>
      <c r="E12" s="2"/>
      <c r="F12" s="2"/>
      <c r="G12" s="2"/>
      <c r="H12" s="2"/>
      <c r="I12" s="2"/>
      <c r="J12" s="2"/>
      <c r="K12" s="2"/>
      <c r="L12" s="3"/>
      <c r="M12" s="1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2"/>
    </row>
    <row r="13" spans="1:26" x14ac:dyDescent="0.2">
      <c r="A13" s="1"/>
      <c r="B13" s="2"/>
      <c r="C13" s="4"/>
      <c r="D13" s="2"/>
      <c r="E13" s="13">
        <f t="shared" ref="E13:F13" si="5">SUM(E6:E11)</f>
        <v>38300</v>
      </c>
      <c r="F13" s="13">
        <f t="shared" si="5"/>
        <v>46343</v>
      </c>
      <c r="G13" s="2"/>
      <c r="H13" s="2"/>
      <c r="I13" s="2"/>
      <c r="J13" s="2"/>
      <c r="K13" s="13">
        <f>SUM(K6:K11)</f>
        <v>21162.444444444445</v>
      </c>
      <c r="L13" s="14">
        <f>K13/F13</f>
        <v>0.45664813336306337</v>
      </c>
      <c r="M13" s="1"/>
      <c r="N13" s="2"/>
      <c r="O13" s="4"/>
      <c r="P13" s="2"/>
      <c r="Q13" s="2"/>
      <c r="R13" s="4"/>
      <c r="S13" s="2"/>
      <c r="T13" s="2"/>
      <c r="U13" s="1"/>
      <c r="V13" s="2"/>
      <c r="W13" s="2"/>
      <c r="X13" s="2"/>
      <c r="Y13" s="2"/>
      <c r="Z13" s="2"/>
    </row>
    <row r="14" spans="1:26" x14ac:dyDescent="0.2">
      <c r="A14" s="1"/>
      <c r="B14" s="2"/>
      <c r="C14" s="4"/>
      <c r="D14" s="2"/>
      <c r="E14" s="2"/>
      <c r="F14" s="2"/>
      <c r="G14" s="2"/>
      <c r="H14" s="2"/>
      <c r="I14" s="2"/>
      <c r="J14" s="2"/>
      <c r="K14" s="2"/>
      <c r="L14" s="3"/>
      <c r="M14" s="1"/>
      <c r="N14" s="2"/>
      <c r="O14" s="4"/>
      <c r="P14" s="2"/>
      <c r="Q14" s="2"/>
      <c r="R14" s="4"/>
      <c r="S14" s="2"/>
      <c r="T14" s="2"/>
      <c r="U14" s="1"/>
      <c r="V14" s="2"/>
      <c r="W14" s="2"/>
      <c r="X14" s="2"/>
      <c r="Y14" s="2"/>
      <c r="Z14" s="2"/>
    </row>
    <row r="15" spans="1:26" ht="15.75" customHeight="1" x14ac:dyDescent="0.2">
      <c r="A15" s="1"/>
      <c r="B15" s="1"/>
      <c r="C15" s="1"/>
      <c r="D15" s="2"/>
      <c r="E15" s="2"/>
      <c r="F15" s="5"/>
      <c r="G15" s="2"/>
      <c r="H15" s="2"/>
      <c r="I15" s="2"/>
      <c r="J15" s="2"/>
      <c r="K15" s="2"/>
      <c r="L15" s="3"/>
      <c r="M15" s="4"/>
      <c r="N15" s="2"/>
      <c r="O15" s="4"/>
      <c r="P15" s="2"/>
      <c r="Q15" s="2"/>
      <c r="R15" s="4"/>
      <c r="S15" s="2"/>
      <c r="T15" s="2"/>
      <c r="U15" s="1"/>
      <c r="V15" s="2"/>
      <c r="W15" s="2"/>
      <c r="X15" s="2"/>
      <c r="Y15" s="2"/>
      <c r="Z15" s="2"/>
    </row>
    <row r="16" spans="1:26" ht="15.75" customHeight="1" x14ac:dyDescent="0.2">
      <c r="A16" s="1"/>
      <c r="B16" s="1"/>
      <c r="C16" s="1"/>
      <c r="D16" s="2"/>
      <c r="E16" s="2"/>
      <c r="F16" s="5"/>
      <c r="G16" s="2"/>
      <c r="H16" s="2"/>
      <c r="I16" s="2"/>
      <c r="J16" s="2"/>
      <c r="K16" s="2"/>
      <c r="L16" s="3"/>
      <c r="M16" s="4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A17" s="1"/>
      <c r="B17" s="1"/>
      <c r="C17" s="1"/>
      <c r="D17" s="2"/>
      <c r="E17" s="2"/>
      <c r="F17" s="5"/>
      <c r="G17" s="2"/>
      <c r="H17" s="2"/>
      <c r="I17" s="2"/>
      <c r="J17" s="2"/>
      <c r="K17" s="2"/>
      <c r="L17" s="3"/>
      <c r="M17" s="4"/>
      <c r="N17" s="2"/>
      <c r="O17" s="4"/>
      <c r="P17" s="2"/>
      <c r="Q17" s="2"/>
      <c r="R17" s="4"/>
      <c r="S17" s="2"/>
      <c r="T17" s="2"/>
      <c r="U17" s="1"/>
      <c r="V17" s="2"/>
      <c r="W17" s="2"/>
      <c r="X17" s="2"/>
      <c r="Y17" s="2"/>
      <c r="Z17" s="2"/>
    </row>
    <row r="18" spans="1:26" x14ac:dyDescent="0.2">
      <c r="A18" s="88" t="s">
        <v>47</v>
      </c>
      <c r="B18" s="89"/>
      <c r="C18" s="89"/>
      <c r="D18" s="2"/>
      <c r="E18" s="7" t="s">
        <v>58</v>
      </c>
      <c r="F18" s="8">
        <v>46118</v>
      </c>
      <c r="G18" s="7"/>
      <c r="H18" s="2"/>
      <c r="I18" s="9" t="s">
        <v>2</v>
      </c>
      <c r="J18" s="9"/>
      <c r="K18" s="9"/>
      <c r="L18" s="3"/>
      <c r="M18" s="1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ht="15.75" customHeight="1" x14ac:dyDescent="0.2">
      <c r="A19" s="1"/>
      <c r="B19" s="1"/>
      <c r="C19" s="1"/>
      <c r="D19" s="2"/>
      <c r="E19" s="2"/>
      <c r="F19" s="5"/>
      <c r="G19" s="2"/>
      <c r="H19" s="2"/>
      <c r="I19" s="2"/>
      <c r="J19" s="2"/>
      <c r="K19" s="2"/>
      <c r="L19" s="3"/>
      <c r="M19" s="4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ht="15.75" customHeight="1" x14ac:dyDescent="0.2">
      <c r="A20" s="6" t="s">
        <v>3</v>
      </c>
      <c r="B20" s="10" t="s">
        <v>4</v>
      </c>
      <c r="C20" s="6" t="s">
        <v>5</v>
      </c>
      <c r="D20" s="10" t="s">
        <v>6</v>
      </c>
      <c r="E20" s="10" t="s">
        <v>7</v>
      </c>
      <c r="F20" s="10" t="s">
        <v>8</v>
      </c>
      <c r="G20" s="2"/>
      <c r="H20" s="2"/>
      <c r="I20" s="10" t="s">
        <v>9</v>
      </c>
      <c r="J20" s="10" t="s">
        <v>7</v>
      </c>
      <c r="K20" s="10" t="s">
        <v>10</v>
      </c>
      <c r="L20" s="3"/>
      <c r="M20" s="1"/>
      <c r="N20" s="1"/>
      <c r="O20" s="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3</v>
      </c>
      <c r="B21" s="10" t="s">
        <v>15</v>
      </c>
      <c r="C21" s="6" t="s">
        <v>27</v>
      </c>
      <c r="D21" s="13">
        <v>23000</v>
      </c>
      <c r="E21" s="13">
        <f t="shared" ref="E21:E56" si="6">A21*D21</f>
        <v>69000</v>
      </c>
      <c r="F21" s="13">
        <f t="shared" ref="F21:F55" si="7">E21*1.105</f>
        <v>76245</v>
      </c>
      <c r="G21" s="2"/>
      <c r="H21" s="2"/>
      <c r="I21" s="13">
        <v>18000</v>
      </c>
      <c r="J21" s="13">
        <f t="shared" ref="J21:J56" si="8">I21*A21</f>
        <v>54000</v>
      </c>
      <c r="K21" s="13">
        <f t="shared" ref="K21:K56" si="9">F21-J21</f>
        <v>22245</v>
      </c>
      <c r="L21" s="14">
        <f t="shared" ref="L21:L56" si="10">IFERROR(K21/E21, 0)</f>
        <v>0.32239130434782609</v>
      </c>
      <c r="M21" s="1"/>
      <c r="N21" s="1"/>
      <c r="O21" s="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1</v>
      </c>
      <c r="B22" s="10" t="s">
        <v>15</v>
      </c>
      <c r="C22" s="6" t="s">
        <v>129</v>
      </c>
      <c r="D22" s="13">
        <v>16000</v>
      </c>
      <c r="E22" s="13">
        <f t="shared" si="6"/>
        <v>16000</v>
      </c>
      <c r="F22" s="13">
        <f t="shared" si="7"/>
        <v>17680</v>
      </c>
      <c r="G22" s="2"/>
      <c r="H22" s="2"/>
      <c r="I22" s="13">
        <v>12000</v>
      </c>
      <c r="J22" s="13">
        <f t="shared" si="8"/>
        <v>12000</v>
      </c>
      <c r="K22" s="13">
        <f t="shared" si="9"/>
        <v>5680</v>
      </c>
      <c r="L22" s="14">
        <f t="shared" si="10"/>
        <v>0.35499999999999998</v>
      </c>
      <c r="M22" s="1"/>
      <c r="N22" s="1"/>
      <c r="O22" s="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1</v>
      </c>
      <c r="B23" s="10" t="s">
        <v>15</v>
      </c>
      <c r="C23" s="6" t="s">
        <v>40</v>
      </c>
      <c r="D23" s="13">
        <v>12000</v>
      </c>
      <c r="E23" s="13">
        <f t="shared" si="6"/>
        <v>12000</v>
      </c>
      <c r="F23" s="13">
        <f t="shared" si="7"/>
        <v>13260</v>
      </c>
      <c r="G23" s="2"/>
      <c r="H23" s="2"/>
      <c r="I23" s="13">
        <v>7000</v>
      </c>
      <c r="J23" s="13">
        <f t="shared" si="8"/>
        <v>7000</v>
      </c>
      <c r="K23" s="13">
        <f t="shared" si="9"/>
        <v>6260</v>
      </c>
      <c r="L23" s="14">
        <f t="shared" si="10"/>
        <v>0.52166666666666661</v>
      </c>
      <c r="M23" s="1"/>
      <c r="N23" s="1"/>
      <c r="O23" s="1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8</v>
      </c>
      <c r="B24" s="10" t="s">
        <v>17</v>
      </c>
      <c r="C24" s="11" t="s">
        <v>39</v>
      </c>
      <c r="D24" s="13">
        <v>2400</v>
      </c>
      <c r="E24" s="13">
        <f t="shared" si="6"/>
        <v>19200</v>
      </c>
      <c r="F24" s="13">
        <f t="shared" si="7"/>
        <v>21216</v>
      </c>
      <c r="G24" s="2"/>
      <c r="H24" s="2"/>
      <c r="I24" s="13">
        <v>1666</v>
      </c>
      <c r="J24" s="13">
        <f t="shared" si="8"/>
        <v>13328</v>
      </c>
      <c r="K24" s="13">
        <f t="shared" si="9"/>
        <v>7888</v>
      </c>
      <c r="L24" s="14">
        <f t="shared" si="10"/>
        <v>0.41083333333333333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3</v>
      </c>
      <c r="B25" s="10" t="s">
        <v>17</v>
      </c>
      <c r="C25" s="11" t="s">
        <v>18</v>
      </c>
      <c r="D25" s="13">
        <v>1600</v>
      </c>
      <c r="E25" s="13">
        <f t="shared" si="6"/>
        <v>4800</v>
      </c>
      <c r="F25" s="13">
        <f t="shared" si="7"/>
        <v>5304</v>
      </c>
      <c r="G25" s="2"/>
      <c r="H25" s="2"/>
      <c r="I25" s="13">
        <v>1000</v>
      </c>
      <c r="J25" s="13">
        <f t="shared" si="8"/>
        <v>3000</v>
      </c>
      <c r="K25" s="13">
        <f t="shared" si="9"/>
        <v>2304</v>
      </c>
      <c r="L25" s="14">
        <f t="shared" si="10"/>
        <v>0.48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2</v>
      </c>
      <c r="B26" s="10" t="s">
        <v>17</v>
      </c>
      <c r="C26" s="11" t="s">
        <v>56</v>
      </c>
      <c r="D26" s="13">
        <v>800</v>
      </c>
      <c r="E26" s="13">
        <f t="shared" si="6"/>
        <v>1600</v>
      </c>
      <c r="F26" s="13">
        <f t="shared" si="7"/>
        <v>1768</v>
      </c>
      <c r="G26" s="2"/>
      <c r="H26" s="2"/>
      <c r="I26" s="13">
        <f>10000/15</f>
        <v>666.66666666666663</v>
      </c>
      <c r="J26" s="13">
        <f t="shared" si="8"/>
        <v>1333.3333333333333</v>
      </c>
      <c r="K26" s="13">
        <f t="shared" si="9"/>
        <v>434.66666666666674</v>
      </c>
      <c r="L26" s="14">
        <f t="shared" si="10"/>
        <v>0.27166666666666672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2</v>
      </c>
      <c r="B27" s="10" t="s">
        <v>17</v>
      </c>
      <c r="C27" s="11" t="s">
        <v>78</v>
      </c>
      <c r="D27" s="13">
        <v>4000</v>
      </c>
      <c r="E27" s="13">
        <f t="shared" si="6"/>
        <v>8000</v>
      </c>
      <c r="F27" s="13">
        <f t="shared" si="7"/>
        <v>8840</v>
      </c>
      <c r="G27" s="2"/>
      <c r="H27" s="2"/>
      <c r="I27" s="13">
        <f>18000/8</f>
        <v>2250</v>
      </c>
      <c r="J27" s="13">
        <f t="shared" si="8"/>
        <v>4500</v>
      </c>
      <c r="K27" s="13">
        <f t="shared" si="9"/>
        <v>4340</v>
      </c>
      <c r="L27" s="14">
        <f t="shared" si="10"/>
        <v>0.54249999999999998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2</v>
      </c>
      <c r="B28" s="10" t="s">
        <v>17</v>
      </c>
      <c r="C28" s="11" t="s">
        <v>61</v>
      </c>
      <c r="D28" s="13">
        <v>1400</v>
      </c>
      <c r="E28" s="13">
        <f t="shared" si="6"/>
        <v>2800</v>
      </c>
      <c r="F28" s="13">
        <f t="shared" si="7"/>
        <v>3094</v>
      </c>
      <c r="G28" s="2"/>
      <c r="H28" s="2"/>
      <c r="I28" s="13">
        <v>1000</v>
      </c>
      <c r="J28" s="13">
        <f t="shared" si="8"/>
        <v>2000</v>
      </c>
      <c r="K28" s="13">
        <f t="shared" si="9"/>
        <v>1094</v>
      </c>
      <c r="L28" s="14">
        <f t="shared" si="10"/>
        <v>0.39071428571428574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1</v>
      </c>
      <c r="B29" s="10" t="s">
        <v>17</v>
      </c>
      <c r="C29" s="11" t="s">
        <v>35</v>
      </c>
      <c r="D29" s="13">
        <v>2500</v>
      </c>
      <c r="E29" s="13">
        <f t="shared" si="6"/>
        <v>2500</v>
      </c>
      <c r="F29" s="13">
        <f t="shared" si="7"/>
        <v>2762.5</v>
      </c>
      <c r="G29" s="2"/>
      <c r="H29" s="2"/>
      <c r="I29" s="13">
        <v>1400</v>
      </c>
      <c r="J29" s="13">
        <f t="shared" si="8"/>
        <v>1400</v>
      </c>
      <c r="K29" s="13">
        <f t="shared" si="9"/>
        <v>1362.5</v>
      </c>
      <c r="L29" s="14">
        <f t="shared" si="10"/>
        <v>0.54500000000000004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3</v>
      </c>
      <c r="B30" s="10" t="s">
        <v>4</v>
      </c>
      <c r="C30" s="11" t="s">
        <v>14</v>
      </c>
      <c r="D30" s="13">
        <v>2600</v>
      </c>
      <c r="E30" s="13">
        <f t="shared" si="6"/>
        <v>7800</v>
      </c>
      <c r="F30" s="13">
        <f t="shared" si="7"/>
        <v>8619</v>
      </c>
      <c r="G30" s="2"/>
      <c r="H30" s="2"/>
      <c r="I30" s="13">
        <f>15000/8</f>
        <v>1875</v>
      </c>
      <c r="J30" s="13">
        <f t="shared" si="8"/>
        <v>5625</v>
      </c>
      <c r="K30" s="13">
        <f t="shared" si="9"/>
        <v>2994</v>
      </c>
      <c r="L30" s="14">
        <f t="shared" si="10"/>
        <v>0.38384615384615384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2</v>
      </c>
      <c r="B31" s="10" t="s">
        <v>17</v>
      </c>
      <c r="C31" s="11" t="s">
        <v>82</v>
      </c>
      <c r="D31" s="13">
        <v>1400</v>
      </c>
      <c r="E31" s="13">
        <f t="shared" si="6"/>
        <v>2800</v>
      </c>
      <c r="F31" s="13">
        <f t="shared" si="7"/>
        <v>3094</v>
      </c>
      <c r="G31" s="2"/>
      <c r="H31" s="2"/>
      <c r="I31" s="13">
        <f>16000/15</f>
        <v>1066.6666666666667</v>
      </c>
      <c r="J31" s="13">
        <f t="shared" si="8"/>
        <v>2133.3333333333335</v>
      </c>
      <c r="K31" s="13">
        <f t="shared" si="9"/>
        <v>960.66666666666652</v>
      </c>
      <c r="L31" s="14">
        <f t="shared" si="10"/>
        <v>0.34309523809523806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2</v>
      </c>
      <c r="B32" s="10" t="s">
        <v>17</v>
      </c>
      <c r="C32" s="11" t="s">
        <v>31</v>
      </c>
      <c r="D32" s="13">
        <v>3200</v>
      </c>
      <c r="E32" s="13">
        <f t="shared" si="6"/>
        <v>6400</v>
      </c>
      <c r="F32" s="13">
        <f t="shared" si="7"/>
        <v>7072</v>
      </c>
      <c r="G32" s="2"/>
      <c r="H32" s="2"/>
      <c r="I32" s="13">
        <f t="shared" ref="I32:I33" si="11">15000/7</f>
        <v>2142.8571428571427</v>
      </c>
      <c r="J32" s="13">
        <f t="shared" si="8"/>
        <v>4285.7142857142853</v>
      </c>
      <c r="K32" s="13">
        <f t="shared" si="9"/>
        <v>2786.2857142857147</v>
      </c>
      <c r="L32" s="14">
        <f t="shared" si="10"/>
        <v>0.43535714285714294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1</v>
      </c>
      <c r="B33" s="10" t="s">
        <v>17</v>
      </c>
      <c r="C33" s="11" t="s">
        <v>32</v>
      </c>
      <c r="D33" s="13">
        <v>2400</v>
      </c>
      <c r="E33" s="13">
        <f t="shared" si="6"/>
        <v>2400</v>
      </c>
      <c r="F33" s="13">
        <f t="shared" si="7"/>
        <v>2652</v>
      </c>
      <c r="G33" s="2"/>
      <c r="H33" s="2"/>
      <c r="I33" s="13">
        <f t="shared" si="11"/>
        <v>2142.8571428571427</v>
      </c>
      <c r="J33" s="13">
        <f t="shared" si="8"/>
        <v>2142.8571428571427</v>
      </c>
      <c r="K33" s="13">
        <f t="shared" si="9"/>
        <v>509.14285714285734</v>
      </c>
      <c r="L33" s="14">
        <f t="shared" si="10"/>
        <v>0.21214285714285722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1</v>
      </c>
      <c r="B34" s="10" t="s">
        <v>17</v>
      </c>
      <c r="C34" s="11" t="s">
        <v>38</v>
      </c>
      <c r="D34" s="13">
        <v>1800</v>
      </c>
      <c r="E34" s="13">
        <f t="shared" si="6"/>
        <v>1800</v>
      </c>
      <c r="F34" s="13">
        <f t="shared" si="7"/>
        <v>1989</v>
      </c>
      <c r="G34" s="2"/>
      <c r="H34" s="2"/>
      <c r="I34" s="13">
        <v>1000</v>
      </c>
      <c r="J34" s="13">
        <f t="shared" si="8"/>
        <v>1000</v>
      </c>
      <c r="K34" s="13">
        <f t="shared" si="9"/>
        <v>989</v>
      </c>
      <c r="L34" s="14">
        <f t="shared" si="10"/>
        <v>0.5494444444444444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1.8</v>
      </c>
      <c r="B35" s="10" t="s">
        <v>17</v>
      </c>
      <c r="C35" s="11" t="s">
        <v>36</v>
      </c>
      <c r="D35" s="13">
        <v>1800</v>
      </c>
      <c r="E35" s="13">
        <f t="shared" si="6"/>
        <v>3240</v>
      </c>
      <c r="F35" s="13">
        <f t="shared" si="7"/>
        <v>3580.2</v>
      </c>
      <c r="G35" s="2"/>
      <c r="H35" s="2"/>
      <c r="I35" s="13">
        <v>1000</v>
      </c>
      <c r="J35" s="13">
        <f t="shared" si="8"/>
        <v>1800</v>
      </c>
      <c r="K35" s="13">
        <f t="shared" si="9"/>
        <v>1780.1999999999998</v>
      </c>
      <c r="L35" s="14">
        <f t="shared" si="10"/>
        <v>0.5494444444444444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</v>
      </c>
      <c r="B36" s="10" t="s">
        <v>17</v>
      </c>
      <c r="C36" s="11" t="s">
        <v>30</v>
      </c>
      <c r="D36" s="13">
        <v>1500</v>
      </c>
      <c r="E36" s="13">
        <f t="shared" si="6"/>
        <v>1500</v>
      </c>
      <c r="F36" s="13">
        <f t="shared" si="7"/>
        <v>1657.5</v>
      </c>
      <c r="G36" s="2"/>
      <c r="H36" s="2"/>
      <c r="I36" s="13">
        <v>1500</v>
      </c>
      <c r="J36" s="13">
        <f t="shared" si="8"/>
        <v>1500</v>
      </c>
      <c r="K36" s="13">
        <f t="shared" si="9"/>
        <v>157.5</v>
      </c>
      <c r="L36" s="14">
        <f t="shared" si="10"/>
        <v>0.105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20</v>
      </c>
      <c r="B37" s="10" t="s">
        <v>21</v>
      </c>
      <c r="C37" s="11" t="s">
        <v>46</v>
      </c>
      <c r="D37" s="13">
        <v>600</v>
      </c>
      <c r="E37" s="13">
        <f t="shared" si="6"/>
        <v>12000</v>
      </c>
      <c r="F37" s="13">
        <f t="shared" si="7"/>
        <v>13260</v>
      </c>
      <c r="G37" s="2"/>
      <c r="H37" s="2"/>
      <c r="I37" s="13">
        <v>208</v>
      </c>
      <c r="J37" s="13">
        <f t="shared" si="8"/>
        <v>4160</v>
      </c>
      <c r="K37" s="13">
        <f t="shared" si="9"/>
        <v>9100</v>
      </c>
      <c r="L37" s="14">
        <f t="shared" si="10"/>
        <v>0.7583333333333333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2</v>
      </c>
      <c r="B38" s="10" t="s">
        <v>17</v>
      </c>
      <c r="C38" s="11" t="s">
        <v>43</v>
      </c>
      <c r="D38" s="13">
        <v>3200</v>
      </c>
      <c r="E38" s="13">
        <f t="shared" si="6"/>
        <v>6400</v>
      </c>
      <c r="F38" s="13">
        <f t="shared" si="7"/>
        <v>7072</v>
      </c>
      <c r="G38" s="2"/>
      <c r="H38" s="2"/>
      <c r="I38" s="13">
        <f>10000/4</f>
        <v>2500</v>
      </c>
      <c r="J38" s="13">
        <f t="shared" si="8"/>
        <v>5000</v>
      </c>
      <c r="K38" s="13">
        <f t="shared" si="9"/>
        <v>2072</v>
      </c>
      <c r="L38" s="14">
        <f t="shared" si="10"/>
        <v>0.32374999999999998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10</v>
      </c>
      <c r="B39" s="10" t="s">
        <v>21</v>
      </c>
      <c r="C39" s="11" t="s">
        <v>22</v>
      </c>
      <c r="D39" s="13">
        <v>1700</v>
      </c>
      <c r="E39" s="13">
        <f t="shared" si="6"/>
        <v>17000</v>
      </c>
      <c r="F39" s="13">
        <f t="shared" si="7"/>
        <v>18785</v>
      </c>
      <c r="G39" s="2"/>
      <c r="H39" s="2"/>
      <c r="I39" s="13">
        <v>1200</v>
      </c>
      <c r="J39" s="13">
        <f t="shared" si="8"/>
        <v>12000</v>
      </c>
      <c r="K39" s="13">
        <f t="shared" si="9"/>
        <v>6785</v>
      </c>
      <c r="L39" s="14">
        <f t="shared" si="10"/>
        <v>0.39911764705882352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2">
        <v>1</v>
      </c>
      <c r="B40" s="10" t="s">
        <v>21</v>
      </c>
      <c r="C40" s="11" t="s">
        <v>133</v>
      </c>
      <c r="D40" s="13">
        <v>3000</v>
      </c>
      <c r="E40" s="13">
        <f t="shared" si="6"/>
        <v>3000</v>
      </c>
      <c r="F40" s="13">
        <f t="shared" si="7"/>
        <v>3315</v>
      </c>
      <c r="G40" s="2"/>
      <c r="H40" s="2"/>
      <c r="I40" s="13">
        <v>500</v>
      </c>
      <c r="J40" s="13">
        <f t="shared" si="8"/>
        <v>500</v>
      </c>
      <c r="K40" s="13">
        <f t="shared" si="9"/>
        <v>2815</v>
      </c>
      <c r="L40" s="14">
        <f t="shared" si="10"/>
        <v>0.93833333333333335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2">
        <v>1</v>
      </c>
      <c r="B41" s="10" t="s">
        <v>21</v>
      </c>
      <c r="C41" s="11" t="s">
        <v>28</v>
      </c>
      <c r="D41" s="13">
        <v>3000</v>
      </c>
      <c r="E41" s="13">
        <f t="shared" si="6"/>
        <v>3000</v>
      </c>
      <c r="F41" s="13">
        <f t="shared" si="7"/>
        <v>3315</v>
      </c>
      <c r="G41" s="2"/>
      <c r="H41" s="2"/>
      <c r="I41" s="13">
        <v>2000</v>
      </c>
      <c r="J41" s="13">
        <f t="shared" si="8"/>
        <v>2000</v>
      </c>
      <c r="K41" s="13">
        <f t="shared" si="9"/>
        <v>1315</v>
      </c>
      <c r="L41" s="14">
        <f t="shared" si="10"/>
        <v>0.43833333333333335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2">
        <v>2</v>
      </c>
      <c r="B42" s="10" t="s">
        <v>21</v>
      </c>
      <c r="C42" s="11" t="s">
        <v>51</v>
      </c>
      <c r="D42" s="13">
        <v>1500</v>
      </c>
      <c r="E42" s="13">
        <f t="shared" si="6"/>
        <v>3000</v>
      </c>
      <c r="F42" s="13">
        <f t="shared" si="7"/>
        <v>3315</v>
      </c>
      <c r="G42" s="2"/>
      <c r="H42" s="2"/>
      <c r="I42" s="13">
        <v>1500</v>
      </c>
      <c r="J42" s="13">
        <f t="shared" si="8"/>
        <v>3000</v>
      </c>
      <c r="K42" s="13">
        <f t="shared" si="9"/>
        <v>315</v>
      </c>
      <c r="L42" s="14">
        <f t="shared" si="10"/>
        <v>0.105</v>
      </c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3</v>
      </c>
      <c r="B43" s="10" t="s">
        <v>4</v>
      </c>
      <c r="C43" s="11" t="s">
        <v>65</v>
      </c>
      <c r="D43" s="13">
        <v>1600</v>
      </c>
      <c r="E43" s="13">
        <f t="shared" si="6"/>
        <v>4800</v>
      </c>
      <c r="F43" s="13">
        <f t="shared" si="7"/>
        <v>5304</v>
      </c>
      <c r="G43" s="2"/>
      <c r="H43" s="2"/>
      <c r="I43" s="13">
        <v>1078</v>
      </c>
      <c r="J43" s="13">
        <f t="shared" si="8"/>
        <v>3234</v>
      </c>
      <c r="K43" s="13">
        <f t="shared" si="9"/>
        <v>2070</v>
      </c>
      <c r="L43" s="14">
        <f t="shared" si="10"/>
        <v>0.43125000000000002</v>
      </c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0.8</v>
      </c>
      <c r="B44" s="10" t="s">
        <v>17</v>
      </c>
      <c r="C44" s="11" t="s">
        <v>93</v>
      </c>
      <c r="D44" s="13">
        <v>3000</v>
      </c>
      <c r="E44" s="13">
        <f t="shared" si="6"/>
        <v>2400</v>
      </c>
      <c r="F44" s="13">
        <f t="shared" si="7"/>
        <v>2652</v>
      </c>
      <c r="G44" s="2"/>
      <c r="H44" s="2"/>
      <c r="I44" s="13">
        <f>13000/7</f>
        <v>1857.1428571428571</v>
      </c>
      <c r="J44" s="13">
        <f t="shared" si="8"/>
        <v>1485.7142857142858</v>
      </c>
      <c r="K44" s="13">
        <f t="shared" si="9"/>
        <v>1166.2857142857142</v>
      </c>
      <c r="L44" s="14">
        <f t="shared" si="10"/>
        <v>0.48595238095238091</v>
      </c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0.5</v>
      </c>
      <c r="B45" s="10" t="s">
        <v>21</v>
      </c>
      <c r="C45" s="11" t="s">
        <v>29</v>
      </c>
      <c r="D45" s="13">
        <v>3500</v>
      </c>
      <c r="E45" s="13">
        <f t="shared" si="6"/>
        <v>1750</v>
      </c>
      <c r="F45" s="13">
        <f t="shared" si="7"/>
        <v>1933.75</v>
      </c>
      <c r="G45" s="2"/>
      <c r="H45" s="2"/>
      <c r="I45" s="13">
        <v>1500</v>
      </c>
      <c r="J45" s="13">
        <f t="shared" si="8"/>
        <v>750</v>
      </c>
      <c r="K45" s="13">
        <f t="shared" si="9"/>
        <v>1183.75</v>
      </c>
      <c r="L45" s="14">
        <f t="shared" si="10"/>
        <v>0.67642857142857138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0.5</v>
      </c>
      <c r="B46" s="10" t="s">
        <v>21</v>
      </c>
      <c r="C46" s="11" t="s">
        <v>42</v>
      </c>
      <c r="D46" s="13">
        <v>4500</v>
      </c>
      <c r="E46" s="13">
        <f t="shared" si="6"/>
        <v>2250</v>
      </c>
      <c r="F46" s="13">
        <f t="shared" si="7"/>
        <v>2486.25</v>
      </c>
      <c r="G46" s="2"/>
      <c r="H46" s="2"/>
      <c r="I46" s="13">
        <v>1200</v>
      </c>
      <c r="J46" s="13">
        <f t="shared" si="8"/>
        <v>600</v>
      </c>
      <c r="K46" s="13">
        <f t="shared" si="9"/>
        <v>1886.25</v>
      </c>
      <c r="L46" s="14">
        <f t="shared" si="10"/>
        <v>0.83833333333333337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1</v>
      </c>
      <c r="B47" s="10" t="s">
        <v>21</v>
      </c>
      <c r="C47" s="11" t="s">
        <v>64</v>
      </c>
      <c r="D47" s="13">
        <v>2500</v>
      </c>
      <c r="E47" s="13">
        <f t="shared" si="6"/>
        <v>2500</v>
      </c>
      <c r="F47" s="13">
        <f t="shared" si="7"/>
        <v>2762.5</v>
      </c>
      <c r="G47" s="2"/>
      <c r="H47" s="2"/>
      <c r="I47" s="13">
        <v>1000</v>
      </c>
      <c r="J47" s="13">
        <f t="shared" si="8"/>
        <v>1000</v>
      </c>
      <c r="K47" s="13">
        <f t="shared" si="9"/>
        <v>1762.5</v>
      </c>
      <c r="L47" s="14">
        <f t="shared" si="10"/>
        <v>0.70499999999999996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3</v>
      </c>
      <c r="B48" s="10" t="s">
        <v>23</v>
      </c>
      <c r="C48" s="11" t="s">
        <v>26</v>
      </c>
      <c r="D48" s="13">
        <v>26000</v>
      </c>
      <c r="E48" s="13">
        <f t="shared" si="6"/>
        <v>78000</v>
      </c>
      <c r="F48" s="13">
        <f t="shared" si="7"/>
        <v>86190</v>
      </c>
      <c r="G48" s="2"/>
      <c r="H48" s="2"/>
      <c r="I48" s="13">
        <v>22000</v>
      </c>
      <c r="J48" s="13">
        <f t="shared" si="8"/>
        <v>66000</v>
      </c>
      <c r="K48" s="13">
        <f t="shared" si="9"/>
        <v>20190</v>
      </c>
      <c r="L48" s="14">
        <f t="shared" si="10"/>
        <v>0.25884615384615384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7</v>
      </c>
      <c r="B49" s="10" t="s">
        <v>17</v>
      </c>
      <c r="C49" s="11" t="s">
        <v>123</v>
      </c>
      <c r="D49" s="13">
        <v>3200</v>
      </c>
      <c r="E49" s="13">
        <f t="shared" si="6"/>
        <v>22400</v>
      </c>
      <c r="F49" s="13">
        <f t="shared" si="7"/>
        <v>24752</v>
      </c>
      <c r="G49" s="2"/>
      <c r="H49" s="2"/>
      <c r="I49" s="13">
        <f>32000/15</f>
        <v>2133.3333333333335</v>
      </c>
      <c r="J49" s="13">
        <f t="shared" si="8"/>
        <v>14933.333333333334</v>
      </c>
      <c r="K49" s="13">
        <f t="shared" si="9"/>
        <v>9818.6666666666661</v>
      </c>
      <c r="L49" s="14">
        <f t="shared" si="10"/>
        <v>0.4383333333333333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4</v>
      </c>
      <c r="B50" s="10" t="s">
        <v>17</v>
      </c>
      <c r="C50" s="11" t="s">
        <v>24</v>
      </c>
      <c r="D50" s="13">
        <v>3600</v>
      </c>
      <c r="E50" s="13">
        <f t="shared" si="6"/>
        <v>14400</v>
      </c>
      <c r="F50" s="13">
        <f t="shared" si="7"/>
        <v>15912</v>
      </c>
      <c r="G50" s="2"/>
      <c r="H50" s="2"/>
      <c r="I50" s="13">
        <f>52000/17</f>
        <v>3058.8235294117649</v>
      </c>
      <c r="J50" s="13">
        <f t="shared" si="8"/>
        <v>12235.294117647059</v>
      </c>
      <c r="K50" s="13">
        <f t="shared" si="9"/>
        <v>3676.7058823529405</v>
      </c>
      <c r="L50" s="14">
        <f t="shared" si="10"/>
        <v>0.25532679738562086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4</v>
      </c>
      <c r="B51" s="10" t="s">
        <v>17</v>
      </c>
      <c r="C51" s="11" t="s">
        <v>25</v>
      </c>
      <c r="D51" s="13">
        <v>4500</v>
      </c>
      <c r="E51" s="13">
        <f t="shared" si="6"/>
        <v>18000</v>
      </c>
      <c r="F51" s="13">
        <f t="shared" si="7"/>
        <v>19890</v>
      </c>
      <c r="G51" s="2"/>
      <c r="H51" s="2"/>
      <c r="I51" s="13">
        <f>65000/17</f>
        <v>3823.5294117647059</v>
      </c>
      <c r="J51" s="13">
        <f t="shared" si="8"/>
        <v>15294.117647058823</v>
      </c>
      <c r="K51" s="13">
        <f t="shared" si="9"/>
        <v>4595.8823529411766</v>
      </c>
      <c r="L51" s="14">
        <f t="shared" si="10"/>
        <v>0.25532679738562092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3</v>
      </c>
      <c r="B52" s="10" t="s">
        <v>17</v>
      </c>
      <c r="C52" s="11" t="s">
        <v>49</v>
      </c>
      <c r="D52" s="13">
        <v>3000</v>
      </c>
      <c r="E52" s="13">
        <f t="shared" si="6"/>
        <v>9000</v>
      </c>
      <c r="F52" s="13">
        <f t="shared" si="7"/>
        <v>9945</v>
      </c>
      <c r="G52" s="2"/>
      <c r="H52" s="2"/>
      <c r="I52" s="13">
        <f>20000/9</f>
        <v>2222.2222222222222</v>
      </c>
      <c r="J52" s="13">
        <f t="shared" si="8"/>
        <v>6666.6666666666661</v>
      </c>
      <c r="K52" s="13">
        <f t="shared" si="9"/>
        <v>3278.3333333333339</v>
      </c>
      <c r="L52" s="14">
        <f t="shared" si="10"/>
        <v>0.36425925925925934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2</v>
      </c>
      <c r="B53" s="10" t="s">
        <v>17</v>
      </c>
      <c r="C53" s="11" t="s">
        <v>67</v>
      </c>
      <c r="D53" s="13">
        <v>3200</v>
      </c>
      <c r="E53" s="13">
        <f t="shared" si="6"/>
        <v>6400</v>
      </c>
      <c r="F53" s="13">
        <f t="shared" si="7"/>
        <v>7072</v>
      </c>
      <c r="G53" s="2"/>
      <c r="H53" s="13"/>
      <c r="I53" s="13">
        <v>1000</v>
      </c>
      <c r="J53" s="13">
        <f t="shared" si="8"/>
        <v>2000</v>
      </c>
      <c r="K53" s="13">
        <f t="shared" si="9"/>
        <v>5072</v>
      </c>
      <c r="L53" s="14">
        <f t="shared" si="10"/>
        <v>0.79249999999999998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0.5</v>
      </c>
      <c r="B54" s="10" t="s">
        <v>17</v>
      </c>
      <c r="C54" s="11" t="s">
        <v>89</v>
      </c>
      <c r="D54" s="13">
        <v>11000</v>
      </c>
      <c r="E54" s="13">
        <f t="shared" si="6"/>
        <v>5500</v>
      </c>
      <c r="F54" s="13">
        <f t="shared" si="7"/>
        <v>6077.5</v>
      </c>
      <c r="G54" s="2"/>
      <c r="H54" s="2"/>
      <c r="I54" s="13">
        <v>9500</v>
      </c>
      <c r="J54" s="13">
        <f t="shared" si="8"/>
        <v>4750</v>
      </c>
      <c r="K54" s="13">
        <f t="shared" si="9"/>
        <v>1327.5</v>
      </c>
      <c r="L54" s="14">
        <f t="shared" si="10"/>
        <v>0.24136363636363636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2</v>
      </c>
      <c r="B55" s="10" t="s">
        <v>17</v>
      </c>
      <c r="C55" s="11" t="s">
        <v>62</v>
      </c>
      <c r="D55" s="13">
        <v>3000</v>
      </c>
      <c r="E55" s="13">
        <f t="shared" si="6"/>
        <v>6000</v>
      </c>
      <c r="F55" s="13">
        <f t="shared" si="7"/>
        <v>6630</v>
      </c>
      <c r="G55" s="2"/>
      <c r="H55" s="2"/>
      <c r="I55" s="13">
        <f>32000/18</f>
        <v>1777.7777777777778</v>
      </c>
      <c r="J55" s="13">
        <f t="shared" si="8"/>
        <v>3555.5555555555557</v>
      </c>
      <c r="K55" s="13">
        <f t="shared" si="9"/>
        <v>3074.4444444444443</v>
      </c>
      <c r="L55" s="14">
        <f t="shared" si="10"/>
        <v>0.51240740740740742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0.5</v>
      </c>
      <c r="B56" s="10" t="s">
        <v>23</v>
      </c>
      <c r="C56" s="11" t="s">
        <v>12</v>
      </c>
      <c r="D56" s="13">
        <v>54000</v>
      </c>
      <c r="E56" s="13">
        <f t="shared" si="6"/>
        <v>27000</v>
      </c>
      <c r="F56" s="13">
        <f>E56*1.21</f>
        <v>32670</v>
      </c>
      <c r="G56" s="2"/>
      <c r="H56" s="2"/>
      <c r="I56" s="13">
        <v>54000</v>
      </c>
      <c r="J56" s="13">
        <f t="shared" si="8"/>
        <v>27000</v>
      </c>
      <c r="K56" s="13">
        <f t="shared" si="9"/>
        <v>5670</v>
      </c>
      <c r="L56" s="14">
        <f t="shared" si="10"/>
        <v>0.21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"/>
      <c r="B57" s="2"/>
      <c r="C57" s="4"/>
      <c r="D57" s="2"/>
      <c r="E57" s="2"/>
      <c r="F57" s="2"/>
      <c r="G57" s="2"/>
      <c r="H57" s="2"/>
      <c r="I57" s="2"/>
      <c r="J57" s="2"/>
      <c r="K57" s="2"/>
      <c r="L57" s="3"/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"/>
      <c r="B58" s="2"/>
      <c r="C58" s="4"/>
      <c r="D58" s="2"/>
      <c r="E58" s="13">
        <f t="shared" ref="E58:F58" si="12">SUM(E21:E56)</f>
        <v>406640</v>
      </c>
      <c r="F58" s="13">
        <f t="shared" si="12"/>
        <v>452172.2</v>
      </c>
      <c r="G58" s="2"/>
      <c r="H58" s="2"/>
      <c r="I58" s="2"/>
      <c r="J58" s="2"/>
      <c r="K58" s="13">
        <f>SUM(K21:K56)</f>
        <v>148959.28029878618</v>
      </c>
      <c r="L58" s="14">
        <f>K58/F58</f>
        <v>0.32943042561835112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88" t="s">
        <v>50</v>
      </c>
      <c r="B61" s="89"/>
      <c r="C61" s="89"/>
      <c r="D61" s="2"/>
      <c r="E61" s="7" t="s">
        <v>58</v>
      </c>
      <c r="F61" s="8">
        <v>46118</v>
      </c>
      <c r="G61" s="2"/>
      <c r="H61" s="2"/>
      <c r="I61" s="9" t="s">
        <v>2</v>
      </c>
      <c r="J61" s="9"/>
      <c r="K61" s="9"/>
      <c r="L61" s="3"/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"/>
      <c r="B62" s="2"/>
      <c r="C62" s="5"/>
      <c r="D62" s="2"/>
      <c r="E62" s="2"/>
      <c r="F62" s="2"/>
      <c r="G62" s="2"/>
      <c r="H62" s="2"/>
      <c r="I62" s="2"/>
      <c r="J62" s="2"/>
      <c r="K62" s="2"/>
      <c r="L62" s="3"/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6" t="s">
        <v>3</v>
      </c>
      <c r="B63" s="10" t="s">
        <v>4</v>
      </c>
      <c r="C63" s="11" t="s">
        <v>5</v>
      </c>
      <c r="D63" s="10" t="s">
        <v>6</v>
      </c>
      <c r="E63" s="10" t="s">
        <v>7</v>
      </c>
      <c r="F63" s="10" t="s">
        <v>8</v>
      </c>
      <c r="G63" s="2"/>
      <c r="H63" s="2"/>
      <c r="I63" s="10" t="s">
        <v>9</v>
      </c>
      <c r="J63" s="10" t="s">
        <v>7</v>
      </c>
      <c r="K63" s="10" t="s">
        <v>10</v>
      </c>
      <c r="L63" s="3"/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4</v>
      </c>
      <c r="B64" s="10" t="s">
        <v>17</v>
      </c>
      <c r="C64" s="11" t="s">
        <v>43</v>
      </c>
      <c r="D64" s="13">
        <v>3200</v>
      </c>
      <c r="E64" s="13">
        <f t="shared" ref="E64:E92" si="13">A64*D64</f>
        <v>12800</v>
      </c>
      <c r="F64" s="13">
        <f t="shared" ref="F64:F83" si="14">E64*1.105</f>
        <v>14144</v>
      </c>
      <c r="G64" s="2"/>
      <c r="H64" s="2"/>
      <c r="I64" s="13">
        <f>10000/4</f>
        <v>2500</v>
      </c>
      <c r="J64" s="13">
        <f t="shared" ref="J64:J92" si="15">I64*A64</f>
        <v>10000</v>
      </c>
      <c r="K64" s="13">
        <f t="shared" ref="K64:K92" si="16">F64-J64</f>
        <v>4144</v>
      </c>
      <c r="L64" s="14">
        <f t="shared" ref="L64:L92" si="17">IFERROR(K64/E64, 0)</f>
        <v>0.32374999999999998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15</v>
      </c>
      <c r="B65" s="10" t="s">
        <v>21</v>
      </c>
      <c r="C65" s="11" t="s">
        <v>46</v>
      </c>
      <c r="D65" s="13">
        <v>600</v>
      </c>
      <c r="E65" s="13">
        <f t="shared" si="13"/>
        <v>9000</v>
      </c>
      <c r="F65" s="13">
        <f t="shared" si="14"/>
        <v>9945</v>
      </c>
      <c r="G65" s="2"/>
      <c r="H65" s="2"/>
      <c r="I65" s="13">
        <v>208</v>
      </c>
      <c r="J65" s="13">
        <f t="shared" si="15"/>
        <v>3120</v>
      </c>
      <c r="K65" s="13">
        <f t="shared" si="16"/>
        <v>6825</v>
      </c>
      <c r="L65" s="14">
        <f t="shared" si="17"/>
        <v>0.7583333333333333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5</v>
      </c>
      <c r="B66" s="10" t="s">
        <v>17</v>
      </c>
      <c r="C66" s="11" t="s">
        <v>62</v>
      </c>
      <c r="D66" s="13">
        <v>3000</v>
      </c>
      <c r="E66" s="13">
        <f t="shared" si="13"/>
        <v>15000</v>
      </c>
      <c r="F66" s="13">
        <f t="shared" si="14"/>
        <v>16575</v>
      </c>
      <c r="G66" s="2"/>
      <c r="H66" s="2"/>
      <c r="I66" s="13">
        <f>32000/18</f>
        <v>1777.7777777777778</v>
      </c>
      <c r="J66" s="13">
        <f t="shared" si="15"/>
        <v>8888.8888888888887</v>
      </c>
      <c r="K66" s="13">
        <f t="shared" si="16"/>
        <v>7686.1111111111113</v>
      </c>
      <c r="L66" s="14">
        <f t="shared" si="17"/>
        <v>0.51240740740740742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1</v>
      </c>
      <c r="B67" s="10" t="s">
        <v>23</v>
      </c>
      <c r="C67" s="11" t="s">
        <v>26</v>
      </c>
      <c r="D67" s="13">
        <v>26000</v>
      </c>
      <c r="E67" s="13">
        <f t="shared" si="13"/>
        <v>26000</v>
      </c>
      <c r="F67" s="13">
        <f t="shared" si="14"/>
        <v>28730</v>
      </c>
      <c r="G67" s="2"/>
      <c r="H67" s="2"/>
      <c r="I67" s="13">
        <v>22000</v>
      </c>
      <c r="J67" s="13">
        <f t="shared" si="15"/>
        <v>22000</v>
      </c>
      <c r="K67" s="13">
        <f t="shared" si="16"/>
        <v>6730</v>
      </c>
      <c r="L67" s="14">
        <f t="shared" si="17"/>
        <v>0.25884615384615384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13</v>
      </c>
      <c r="B68" s="10" t="s">
        <v>21</v>
      </c>
      <c r="C68" s="11" t="s">
        <v>22</v>
      </c>
      <c r="D68" s="13">
        <v>1700</v>
      </c>
      <c r="E68" s="13">
        <f t="shared" si="13"/>
        <v>22100</v>
      </c>
      <c r="F68" s="13">
        <f t="shared" si="14"/>
        <v>24420.5</v>
      </c>
      <c r="G68" s="2"/>
      <c r="H68" s="2"/>
      <c r="I68" s="13">
        <v>1200</v>
      </c>
      <c r="J68" s="13">
        <f t="shared" si="15"/>
        <v>15600</v>
      </c>
      <c r="K68" s="13">
        <f t="shared" si="16"/>
        <v>8820.5</v>
      </c>
      <c r="L68" s="14">
        <f t="shared" si="17"/>
        <v>0.39911764705882352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2</v>
      </c>
      <c r="B69" s="10" t="s">
        <v>21</v>
      </c>
      <c r="C69" s="11" t="s">
        <v>28</v>
      </c>
      <c r="D69" s="13">
        <v>3000</v>
      </c>
      <c r="E69" s="13">
        <f t="shared" si="13"/>
        <v>6000</v>
      </c>
      <c r="F69" s="13">
        <f t="shared" si="14"/>
        <v>6630</v>
      </c>
      <c r="G69" s="2"/>
      <c r="H69" s="2"/>
      <c r="I69" s="13">
        <v>2000</v>
      </c>
      <c r="J69" s="13">
        <f t="shared" si="15"/>
        <v>4000</v>
      </c>
      <c r="K69" s="13">
        <f t="shared" si="16"/>
        <v>2630</v>
      </c>
      <c r="L69" s="14">
        <f t="shared" si="17"/>
        <v>0.43833333333333335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0.5</v>
      </c>
      <c r="B70" s="10" t="s">
        <v>21</v>
      </c>
      <c r="C70" s="11" t="s">
        <v>29</v>
      </c>
      <c r="D70" s="13">
        <v>3500</v>
      </c>
      <c r="E70" s="13">
        <f t="shared" si="13"/>
        <v>1750</v>
      </c>
      <c r="F70" s="13">
        <f t="shared" si="14"/>
        <v>1933.75</v>
      </c>
      <c r="G70" s="2"/>
      <c r="H70" s="2"/>
      <c r="I70" s="13">
        <v>1500</v>
      </c>
      <c r="J70" s="13">
        <f t="shared" si="15"/>
        <v>750</v>
      </c>
      <c r="K70" s="13">
        <f t="shared" si="16"/>
        <v>1183.75</v>
      </c>
      <c r="L70" s="14">
        <f t="shared" si="17"/>
        <v>0.67642857142857138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8</v>
      </c>
      <c r="B71" s="10" t="s">
        <v>17</v>
      </c>
      <c r="C71" s="11" t="s">
        <v>39</v>
      </c>
      <c r="D71" s="13">
        <v>2400</v>
      </c>
      <c r="E71" s="13">
        <f t="shared" si="13"/>
        <v>19200</v>
      </c>
      <c r="F71" s="13">
        <f t="shared" si="14"/>
        <v>21216</v>
      </c>
      <c r="G71" s="2"/>
      <c r="H71" s="2"/>
      <c r="I71" s="13">
        <v>1666</v>
      </c>
      <c r="J71" s="13">
        <f t="shared" si="15"/>
        <v>13328</v>
      </c>
      <c r="K71" s="13">
        <f t="shared" si="16"/>
        <v>7888</v>
      </c>
      <c r="L71" s="14">
        <f t="shared" si="17"/>
        <v>0.41083333333333333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4.5</v>
      </c>
      <c r="B72" s="10" t="s">
        <v>17</v>
      </c>
      <c r="C72" s="11" t="s">
        <v>78</v>
      </c>
      <c r="D72" s="13">
        <v>4000</v>
      </c>
      <c r="E72" s="13">
        <f t="shared" si="13"/>
        <v>18000</v>
      </c>
      <c r="F72" s="13">
        <f t="shared" si="14"/>
        <v>19890</v>
      </c>
      <c r="G72" s="2"/>
      <c r="H72" s="2"/>
      <c r="I72" s="13">
        <f>18000/8</f>
        <v>2250</v>
      </c>
      <c r="J72" s="13">
        <f t="shared" si="15"/>
        <v>10125</v>
      </c>
      <c r="K72" s="13">
        <f t="shared" si="16"/>
        <v>9765</v>
      </c>
      <c r="L72" s="14">
        <f t="shared" si="17"/>
        <v>0.54249999999999998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2</v>
      </c>
      <c r="B73" s="10" t="s">
        <v>4</v>
      </c>
      <c r="C73" s="11" t="s">
        <v>65</v>
      </c>
      <c r="D73" s="13">
        <v>1600</v>
      </c>
      <c r="E73" s="13">
        <f t="shared" si="13"/>
        <v>3200</v>
      </c>
      <c r="F73" s="13">
        <f t="shared" si="14"/>
        <v>3536</v>
      </c>
      <c r="G73" s="2"/>
      <c r="H73" s="2"/>
      <c r="I73" s="13">
        <v>1078</v>
      </c>
      <c r="J73" s="13">
        <f t="shared" si="15"/>
        <v>2156</v>
      </c>
      <c r="K73" s="13">
        <f t="shared" si="16"/>
        <v>1380</v>
      </c>
      <c r="L73" s="14">
        <f t="shared" si="17"/>
        <v>0.43125000000000002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5</v>
      </c>
      <c r="B74" s="10" t="s">
        <v>17</v>
      </c>
      <c r="C74" s="11" t="s">
        <v>129</v>
      </c>
      <c r="D74" s="13">
        <v>1600</v>
      </c>
      <c r="E74" s="13">
        <f t="shared" si="13"/>
        <v>8000</v>
      </c>
      <c r="F74" s="13">
        <f t="shared" si="14"/>
        <v>8840</v>
      </c>
      <c r="G74" s="2"/>
      <c r="H74" s="2"/>
      <c r="I74" s="13">
        <v>1200</v>
      </c>
      <c r="J74" s="13">
        <f t="shared" si="15"/>
        <v>6000</v>
      </c>
      <c r="K74" s="13">
        <f t="shared" si="16"/>
        <v>2840</v>
      </c>
      <c r="L74" s="14">
        <f t="shared" si="17"/>
        <v>0.35499999999999998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10</v>
      </c>
      <c r="B75" s="10" t="s">
        <v>17</v>
      </c>
      <c r="C75" s="11" t="s">
        <v>48</v>
      </c>
      <c r="D75" s="13">
        <v>1000</v>
      </c>
      <c r="E75" s="13">
        <f t="shared" si="13"/>
        <v>10000</v>
      </c>
      <c r="F75" s="13">
        <f t="shared" si="14"/>
        <v>11050</v>
      </c>
      <c r="G75" s="2"/>
      <c r="H75" s="2"/>
      <c r="I75" s="13">
        <v>500</v>
      </c>
      <c r="J75" s="13">
        <f t="shared" si="15"/>
        <v>5000</v>
      </c>
      <c r="K75" s="13">
        <f t="shared" si="16"/>
        <v>6050</v>
      </c>
      <c r="L75" s="18">
        <f t="shared" si="17"/>
        <v>0.60499999999999998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4</v>
      </c>
      <c r="B76" s="10" t="s">
        <v>15</v>
      </c>
      <c r="C76" s="11" t="s">
        <v>27</v>
      </c>
      <c r="D76" s="13">
        <v>23000</v>
      </c>
      <c r="E76" s="13">
        <f t="shared" si="13"/>
        <v>92000</v>
      </c>
      <c r="F76" s="13">
        <f t="shared" si="14"/>
        <v>101660</v>
      </c>
      <c r="G76" s="2"/>
      <c r="H76" s="2"/>
      <c r="I76" s="13">
        <v>18000</v>
      </c>
      <c r="J76" s="13">
        <f t="shared" si="15"/>
        <v>72000</v>
      </c>
      <c r="K76" s="13">
        <f t="shared" si="16"/>
        <v>29660</v>
      </c>
      <c r="L76" s="18">
        <f t="shared" si="17"/>
        <v>0.32239130434782609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2</v>
      </c>
      <c r="B77" s="10" t="s">
        <v>17</v>
      </c>
      <c r="C77" s="11" t="s">
        <v>82</v>
      </c>
      <c r="D77" s="13">
        <v>1400</v>
      </c>
      <c r="E77" s="13">
        <f t="shared" si="13"/>
        <v>2800</v>
      </c>
      <c r="F77" s="13">
        <f t="shared" si="14"/>
        <v>3094</v>
      </c>
      <c r="G77" s="2"/>
      <c r="H77" s="2"/>
      <c r="I77" s="13">
        <f>16000/15</f>
        <v>1066.6666666666667</v>
      </c>
      <c r="J77" s="13">
        <f t="shared" si="15"/>
        <v>2133.3333333333335</v>
      </c>
      <c r="K77" s="13">
        <f t="shared" si="16"/>
        <v>960.66666666666652</v>
      </c>
      <c r="L77" s="18">
        <f t="shared" si="17"/>
        <v>0.34309523809523806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2</v>
      </c>
      <c r="B78" s="10" t="s">
        <v>4</v>
      </c>
      <c r="C78" s="11" t="s">
        <v>14</v>
      </c>
      <c r="D78" s="13">
        <v>2600</v>
      </c>
      <c r="E78" s="13">
        <f t="shared" si="13"/>
        <v>5200</v>
      </c>
      <c r="F78" s="13">
        <f t="shared" si="14"/>
        <v>5746</v>
      </c>
      <c r="G78" s="2"/>
      <c r="H78" s="2"/>
      <c r="I78" s="13">
        <f>15000/8</f>
        <v>1875</v>
      </c>
      <c r="J78" s="13">
        <f t="shared" si="15"/>
        <v>3750</v>
      </c>
      <c r="K78" s="13">
        <f t="shared" si="16"/>
        <v>1996</v>
      </c>
      <c r="L78" s="18">
        <f t="shared" si="17"/>
        <v>0.38384615384615384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1</v>
      </c>
      <c r="B79" s="10" t="s">
        <v>17</v>
      </c>
      <c r="C79" s="11" t="s">
        <v>35</v>
      </c>
      <c r="D79" s="13">
        <v>2500</v>
      </c>
      <c r="E79" s="13">
        <f t="shared" si="13"/>
        <v>2500</v>
      </c>
      <c r="F79" s="13">
        <f t="shared" si="14"/>
        <v>2762.5</v>
      </c>
      <c r="G79" s="2"/>
      <c r="H79" s="2"/>
      <c r="I79" s="13">
        <v>1400</v>
      </c>
      <c r="J79" s="13">
        <f t="shared" si="15"/>
        <v>1400</v>
      </c>
      <c r="K79" s="13">
        <f t="shared" si="16"/>
        <v>1362.5</v>
      </c>
      <c r="L79" s="18">
        <f t="shared" si="17"/>
        <v>0.54500000000000004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1</v>
      </c>
      <c r="B80" s="10" t="s">
        <v>15</v>
      </c>
      <c r="C80" s="11" t="s">
        <v>40</v>
      </c>
      <c r="D80" s="13">
        <v>12000</v>
      </c>
      <c r="E80" s="13">
        <f t="shared" si="13"/>
        <v>12000</v>
      </c>
      <c r="F80" s="13">
        <f t="shared" si="14"/>
        <v>13260</v>
      </c>
      <c r="G80" s="2"/>
      <c r="H80" s="2"/>
      <c r="I80" s="13">
        <v>7000</v>
      </c>
      <c r="J80" s="13">
        <f t="shared" si="15"/>
        <v>7000</v>
      </c>
      <c r="K80" s="13">
        <f t="shared" si="16"/>
        <v>6260</v>
      </c>
      <c r="L80" s="33">
        <f t="shared" si="17"/>
        <v>0.52166666666666661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3</v>
      </c>
      <c r="B81" s="10" t="s">
        <v>17</v>
      </c>
      <c r="C81" s="11" t="s">
        <v>40</v>
      </c>
      <c r="D81" s="13">
        <v>1300</v>
      </c>
      <c r="E81" s="13">
        <f t="shared" si="13"/>
        <v>3900</v>
      </c>
      <c r="F81" s="13">
        <f t="shared" si="14"/>
        <v>4309.5</v>
      </c>
      <c r="G81" s="2"/>
      <c r="H81" s="2"/>
      <c r="I81" s="13">
        <f>7000/9</f>
        <v>777.77777777777783</v>
      </c>
      <c r="J81" s="13">
        <f t="shared" si="15"/>
        <v>2333.3333333333335</v>
      </c>
      <c r="K81" s="13">
        <f t="shared" si="16"/>
        <v>1976.1666666666665</v>
      </c>
      <c r="L81" s="33">
        <f t="shared" si="17"/>
        <v>0.50670940170940171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1</v>
      </c>
      <c r="B82" s="10" t="s">
        <v>23</v>
      </c>
      <c r="C82" s="11" t="s">
        <v>25</v>
      </c>
      <c r="D82" s="13">
        <v>72000</v>
      </c>
      <c r="E82" s="13">
        <f t="shared" si="13"/>
        <v>72000</v>
      </c>
      <c r="F82" s="13">
        <f t="shared" si="14"/>
        <v>79560</v>
      </c>
      <c r="G82" s="2"/>
      <c r="H82" s="2"/>
      <c r="I82" s="13">
        <v>65000</v>
      </c>
      <c r="J82" s="13">
        <f t="shared" si="15"/>
        <v>65000</v>
      </c>
      <c r="K82" s="13">
        <f t="shared" si="16"/>
        <v>14560</v>
      </c>
      <c r="L82" s="18">
        <f t="shared" si="17"/>
        <v>0.20222222222222222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1</v>
      </c>
      <c r="B83" s="10" t="s">
        <v>23</v>
      </c>
      <c r="C83" s="11" t="s">
        <v>24</v>
      </c>
      <c r="D83" s="13">
        <v>60000</v>
      </c>
      <c r="E83" s="13">
        <f t="shared" si="13"/>
        <v>60000</v>
      </c>
      <c r="F83" s="13">
        <f t="shared" si="14"/>
        <v>66300</v>
      </c>
      <c r="G83" s="2"/>
      <c r="H83" s="2"/>
      <c r="I83" s="13">
        <v>52000</v>
      </c>
      <c r="J83" s="13">
        <f t="shared" si="15"/>
        <v>52000</v>
      </c>
      <c r="K83" s="13">
        <f t="shared" si="16"/>
        <v>14300</v>
      </c>
      <c r="L83" s="18">
        <f t="shared" si="17"/>
        <v>0.23833333333333334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0.5</v>
      </c>
      <c r="B84" s="10" t="s">
        <v>23</v>
      </c>
      <c r="C84" s="11" t="s">
        <v>12</v>
      </c>
      <c r="D84" s="13">
        <v>54000</v>
      </c>
      <c r="E84" s="13">
        <f t="shared" si="13"/>
        <v>27000</v>
      </c>
      <c r="F84" s="13">
        <f>E84*1.21</f>
        <v>32670</v>
      </c>
      <c r="G84" s="2"/>
      <c r="H84" s="2"/>
      <c r="I84" s="13">
        <v>54000</v>
      </c>
      <c r="J84" s="13">
        <f t="shared" si="15"/>
        <v>27000</v>
      </c>
      <c r="K84" s="13">
        <f t="shared" si="16"/>
        <v>5670</v>
      </c>
      <c r="L84" s="33">
        <f t="shared" si="17"/>
        <v>0.21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1.65</v>
      </c>
      <c r="B85" s="10" t="s">
        <v>17</v>
      </c>
      <c r="C85" s="11" t="s">
        <v>36</v>
      </c>
      <c r="D85" s="13">
        <v>1800</v>
      </c>
      <c r="E85" s="13">
        <f t="shared" si="13"/>
        <v>2970</v>
      </c>
      <c r="F85" s="13">
        <f t="shared" ref="F85:F92" si="18">E85*1.105</f>
        <v>3281.85</v>
      </c>
      <c r="G85" s="2"/>
      <c r="H85" s="2"/>
      <c r="I85" s="13">
        <v>1000</v>
      </c>
      <c r="J85" s="13">
        <f t="shared" si="15"/>
        <v>1650</v>
      </c>
      <c r="K85" s="13">
        <f t="shared" si="16"/>
        <v>1631.85</v>
      </c>
      <c r="L85" s="18">
        <f t="shared" si="17"/>
        <v>0.5494444444444444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1.4</v>
      </c>
      <c r="B86" s="10" t="s">
        <v>17</v>
      </c>
      <c r="C86" s="11" t="s">
        <v>38</v>
      </c>
      <c r="D86" s="13">
        <v>1800</v>
      </c>
      <c r="E86" s="13">
        <f t="shared" si="13"/>
        <v>2520</v>
      </c>
      <c r="F86" s="13">
        <f t="shared" si="18"/>
        <v>2784.6</v>
      </c>
      <c r="G86" s="2"/>
      <c r="H86" s="2"/>
      <c r="I86" s="13">
        <v>1000</v>
      </c>
      <c r="J86" s="13">
        <f t="shared" si="15"/>
        <v>1400</v>
      </c>
      <c r="K86" s="13">
        <f t="shared" si="16"/>
        <v>1384.6</v>
      </c>
      <c r="L86" s="14">
        <f t="shared" si="17"/>
        <v>0.5494444444444444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1</v>
      </c>
      <c r="B87" s="10" t="s">
        <v>17</v>
      </c>
      <c r="C87" s="11" t="s">
        <v>89</v>
      </c>
      <c r="D87" s="13">
        <v>11000</v>
      </c>
      <c r="E87" s="13">
        <f t="shared" si="13"/>
        <v>11000</v>
      </c>
      <c r="F87" s="13">
        <f t="shared" si="18"/>
        <v>12155</v>
      </c>
      <c r="G87" s="2"/>
      <c r="H87" s="2"/>
      <c r="I87" s="13">
        <f>38000/4</f>
        <v>9500</v>
      </c>
      <c r="J87" s="13">
        <f t="shared" si="15"/>
        <v>9500</v>
      </c>
      <c r="K87" s="13">
        <f t="shared" si="16"/>
        <v>2655</v>
      </c>
      <c r="L87" s="14">
        <f t="shared" si="17"/>
        <v>0.24136363636363636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4</v>
      </c>
      <c r="B88" s="10" t="s">
        <v>17</v>
      </c>
      <c r="C88" s="11" t="s">
        <v>123</v>
      </c>
      <c r="D88" s="13">
        <v>3200</v>
      </c>
      <c r="E88" s="13">
        <f t="shared" si="13"/>
        <v>12800</v>
      </c>
      <c r="F88" s="13">
        <f t="shared" si="18"/>
        <v>14144</v>
      </c>
      <c r="G88" s="2"/>
      <c r="H88" s="2"/>
      <c r="I88" s="13">
        <f>32000/15</f>
        <v>2133.3333333333335</v>
      </c>
      <c r="J88" s="13">
        <f t="shared" si="15"/>
        <v>8533.3333333333339</v>
      </c>
      <c r="K88" s="13">
        <f t="shared" si="16"/>
        <v>5610.6666666666661</v>
      </c>
      <c r="L88" s="14">
        <f t="shared" si="17"/>
        <v>0.4383333333333333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2</v>
      </c>
      <c r="B89" s="10" t="s">
        <v>17</v>
      </c>
      <c r="C89" s="11" t="s">
        <v>31</v>
      </c>
      <c r="D89" s="13">
        <v>3200</v>
      </c>
      <c r="E89" s="13">
        <f t="shared" si="13"/>
        <v>6400</v>
      </c>
      <c r="F89" s="13">
        <f t="shared" si="18"/>
        <v>7072</v>
      </c>
      <c r="G89" s="2"/>
      <c r="H89" s="2"/>
      <c r="I89" s="13">
        <f t="shared" ref="I89:I90" si="19">15000/7</f>
        <v>2142.8571428571427</v>
      </c>
      <c r="J89" s="13">
        <f t="shared" si="15"/>
        <v>4285.7142857142853</v>
      </c>
      <c r="K89" s="13">
        <f t="shared" si="16"/>
        <v>2786.2857142857147</v>
      </c>
      <c r="L89" s="14">
        <f t="shared" si="17"/>
        <v>0.43535714285714294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17</v>
      </c>
      <c r="C90" s="11" t="s">
        <v>32</v>
      </c>
      <c r="D90" s="13">
        <v>2400</v>
      </c>
      <c r="E90" s="13">
        <f t="shared" si="13"/>
        <v>2400</v>
      </c>
      <c r="F90" s="13">
        <f t="shared" si="18"/>
        <v>2652</v>
      </c>
      <c r="G90" s="2"/>
      <c r="H90" s="2"/>
      <c r="I90" s="13">
        <f t="shared" si="19"/>
        <v>2142.8571428571427</v>
      </c>
      <c r="J90" s="13">
        <f t="shared" si="15"/>
        <v>2142.8571428571427</v>
      </c>
      <c r="K90" s="13">
        <f t="shared" si="16"/>
        <v>509.14285714285734</v>
      </c>
      <c r="L90" s="14">
        <f t="shared" si="17"/>
        <v>0.21214285714285722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2</v>
      </c>
      <c r="B91" s="10" t="s">
        <v>17</v>
      </c>
      <c r="C91" s="11" t="s">
        <v>34</v>
      </c>
      <c r="D91" s="13">
        <v>5000</v>
      </c>
      <c r="E91" s="13">
        <f t="shared" si="13"/>
        <v>10000</v>
      </c>
      <c r="F91" s="13">
        <f t="shared" si="18"/>
        <v>11050</v>
      </c>
      <c r="G91" s="2"/>
      <c r="H91" s="2"/>
      <c r="I91" s="13">
        <v>2500</v>
      </c>
      <c r="J91" s="13">
        <f t="shared" si="15"/>
        <v>5000</v>
      </c>
      <c r="K91" s="13">
        <f t="shared" si="16"/>
        <v>6050</v>
      </c>
      <c r="L91" s="14">
        <f t="shared" si="17"/>
        <v>0.60499999999999998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1</v>
      </c>
      <c r="B92" s="10" t="s">
        <v>17</v>
      </c>
      <c r="C92" s="11" t="s">
        <v>64</v>
      </c>
      <c r="D92" s="13">
        <v>2500</v>
      </c>
      <c r="E92" s="13">
        <f t="shared" si="13"/>
        <v>2500</v>
      </c>
      <c r="F92" s="13">
        <f t="shared" si="18"/>
        <v>2762.5</v>
      </c>
      <c r="G92" s="2"/>
      <c r="H92" s="2"/>
      <c r="I92" s="13">
        <v>1000</v>
      </c>
      <c r="J92" s="13">
        <f t="shared" si="15"/>
        <v>1000</v>
      </c>
      <c r="K92" s="13">
        <f t="shared" si="16"/>
        <v>1762.5</v>
      </c>
      <c r="L92" s="14">
        <f t="shared" si="17"/>
        <v>0.70499999999999996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5"/>
      <c r="B93" s="2"/>
      <c r="C93" s="4"/>
      <c r="D93" s="2"/>
      <c r="E93" s="2"/>
      <c r="F93" s="2"/>
      <c r="G93" s="2"/>
      <c r="H93" s="2"/>
      <c r="I93" s="2"/>
      <c r="J93" s="2"/>
      <c r="K93" s="2"/>
      <c r="L93" s="3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"/>
      <c r="B94" s="2"/>
      <c r="C94" s="4"/>
      <c r="D94" s="2"/>
      <c r="E94" s="13">
        <f t="shared" ref="E94:F94" si="20">SUM(E64:E92)</f>
        <v>479040</v>
      </c>
      <c r="F94" s="13">
        <f t="shared" si="20"/>
        <v>532174.19999999995</v>
      </c>
      <c r="G94" s="2"/>
      <c r="H94" s="2"/>
      <c r="I94" s="2"/>
      <c r="J94" s="2"/>
      <c r="K94" s="13">
        <f>SUM(K64:K92)</f>
        <v>165077.73968253969</v>
      </c>
      <c r="L94" s="14">
        <f>K94/F94</f>
        <v>0.31019493181469471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88" t="s">
        <v>53</v>
      </c>
      <c r="B97" s="89"/>
      <c r="C97" s="89"/>
      <c r="D97" s="2"/>
      <c r="E97" s="7" t="s">
        <v>69</v>
      </c>
      <c r="F97" s="8">
        <v>46118</v>
      </c>
      <c r="G97" s="2"/>
      <c r="H97" s="2"/>
      <c r="I97" s="9" t="s">
        <v>2</v>
      </c>
      <c r="J97" s="9"/>
      <c r="K97" s="9"/>
      <c r="L97" s="3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"/>
      <c r="B98" s="2"/>
      <c r="C98" s="5"/>
      <c r="D98" s="2"/>
      <c r="E98" s="2"/>
      <c r="F98" s="2"/>
      <c r="G98" s="2"/>
      <c r="H98" s="2"/>
      <c r="I98" s="2"/>
      <c r="J98" s="2"/>
      <c r="K98" s="2"/>
      <c r="L98" s="3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6" t="s">
        <v>3</v>
      </c>
      <c r="B99" s="10" t="s">
        <v>4</v>
      </c>
      <c r="C99" s="11" t="s">
        <v>5</v>
      </c>
      <c r="D99" s="10" t="s">
        <v>6</v>
      </c>
      <c r="E99" s="10" t="s">
        <v>7</v>
      </c>
      <c r="F99" s="10" t="s">
        <v>8</v>
      </c>
      <c r="G99" s="2"/>
      <c r="H99" s="2"/>
      <c r="I99" s="10" t="s">
        <v>9</v>
      </c>
      <c r="J99" s="10" t="s">
        <v>7</v>
      </c>
      <c r="K99" s="10" t="s">
        <v>10</v>
      </c>
      <c r="L99" s="3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2</v>
      </c>
      <c r="B100" s="10" t="s">
        <v>23</v>
      </c>
      <c r="C100" s="11" t="s">
        <v>39</v>
      </c>
      <c r="D100" s="13">
        <v>36000</v>
      </c>
      <c r="E100" s="13">
        <f t="shared" ref="E100:E135" si="21">A100*D100</f>
        <v>72000</v>
      </c>
      <c r="F100" s="13">
        <f t="shared" ref="F100:F134" si="22">E100*1.105</f>
        <v>79560</v>
      </c>
      <c r="G100" s="2"/>
      <c r="H100" s="2"/>
      <c r="I100" s="13">
        <v>25000</v>
      </c>
      <c r="J100" s="13">
        <f t="shared" ref="J100:J135" si="23">I100*A100</f>
        <v>50000</v>
      </c>
      <c r="K100" s="13">
        <f t="shared" ref="K100:K135" si="24">F100-J100</f>
        <v>29560</v>
      </c>
      <c r="L100" s="14">
        <f t="shared" ref="L100:L135" si="25">IFERROR(K100/E100, 0)</f>
        <v>0.41055555555555556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23</v>
      </c>
      <c r="C101" s="11" t="s">
        <v>43</v>
      </c>
      <c r="D101" s="13">
        <v>21000</v>
      </c>
      <c r="E101" s="13">
        <f t="shared" si="21"/>
        <v>21000</v>
      </c>
      <c r="F101" s="13">
        <f t="shared" si="22"/>
        <v>23205</v>
      </c>
      <c r="G101" s="2"/>
      <c r="H101" s="2"/>
      <c r="I101" s="13">
        <v>17000</v>
      </c>
      <c r="J101" s="13">
        <f t="shared" si="23"/>
        <v>17000</v>
      </c>
      <c r="K101" s="13">
        <f t="shared" si="24"/>
        <v>6205</v>
      </c>
      <c r="L101" s="14">
        <f t="shared" si="25"/>
        <v>0.2954761904761905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1</v>
      </c>
      <c r="B102" s="10" t="s">
        <v>23</v>
      </c>
      <c r="C102" s="11" t="s">
        <v>46</v>
      </c>
      <c r="D102" s="13">
        <v>9000</v>
      </c>
      <c r="E102" s="13">
        <f t="shared" si="21"/>
        <v>9000</v>
      </c>
      <c r="F102" s="13">
        <f t="shared" si="22"/>
        <v>9945</v>
      </c>
      <c r="G102" s="2"/>
      <c r="H102" s="2"/>
      <c r="I102" s="13">
        <v>5000</v>
      </c>
      <c r="J102" s="13">
        <f t="shared" si="23"/>
        <v>5000</v>
      </c>
      <c r="K102" s="13">
        <f t="shared" si="24"/>
        <v>4945</v>
      </c>
      <c r="L102" s="14">
        <f t="shared" si="25"/>
        <v>0.5494444444444444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4</v>
      </c>
      <c r="B103" s="10" t="s">
        <v>15</v>
      </c>
      <c r="C103" s="11" t="s">
        <v>40</v>
      </c>
      <c r="D103" s="13">
        <v>12000</v>
      </c>
      <c r="E103" s="13">
        <f t="shared" si="21"/>
        <v>48000</v>
      </c>
      <c r="F103" s="13">
        <f t="shared" si="22"/>
        <v>53040</v>
      </c>
      <c r="G103" s="2"/>
      <c r="H103" s="2"/>
      <c r="I103" s="13">
        <v>7000</v>
      </c>
      <c r="J103" s="13">
        <f t="shared" si="23"/>
        <v>28000</v>
      </c>
      <c r="K103" s="13">
        <f t="shared" si="24"/>
        <v>25040</v>
      </c>
      <c r="L103" s="14">
        <f t="shared" si="25"/>
        <v>0.52166666666666661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5</v>
      </c>
      <c r="B104" s="10" t="s">
        <v>15</v>
      </c>
      <c r="C104" s="11" t="s">
        <v>27</v>
      </c>
      <c r="D104" s="13">
        <v>23000</v>
      </c>
      <c r="E104" s="13">
        <f t="shared" si="21"/>
        <v>115000</v>
      </c>
      <c r="F104" s="13">
        <f t="shared" si="22"/>
        <v>127075</v>
      </c>
      <c r="G104" s="2"/>
      <c r="H104" s="2"/>
      <c r="I104" s="13">
        <v>18000</v>
      </c>
      <c r="J104" s="13">
        <f t="shared" si="23"/>
        <v>90000</v>
      </c>
      <c r="K104" s="13">
        <f t="shared" si="24"/>
        <v>37075</v>
      </c>
      <c r="L104" s="14">
        <f t="shared" si="25"/>
        <v>0.32239130434782609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15</v>
      </c>
      <c r="C105" s="11" t="s">
        <v>16</v>
      </c>
      <c r="D105" s="13">
        <v>13000</v>
      </c>
      <c r="E105" s="13">
        <f t="shared" si="21"/>
        <v>26000</v>
      </c>
      <c r="F105" s="13">
        <f t="shared" si="22"/>
        <v>28730</v>
      </c>
      <c r="G105" s="2"/>
      <c r="H105" s="2"/>
      <c r="I105" s="13">
        <v>8000</v>
      </c>
      <c r="J105" s="13">
        <f t="shared" si="23"/>
        <v>16000</v>
      </c>
      <c r="K105" s="13">
        <f t="shared" si="24"/>
        <v>12730</v>
      </c>
      <c r="L105" s="14">
        <f t="shared" si="25"/>
        <v>0.48961538461538462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1</v>
      </c>
      <c r="B106" s="10" t="s">
        <v>15</v>
      </c>
      <c r="C106" s="11" t="s">
        <v>129</v>
      </c>
      <c r="D106" s="13">
        <v>15000</v>
      </c>
      <c r="E106" s="13">
        <f t="shared" si="21"/>
        <v>15000</v>
      </c>
      <c r="F106" s="13">
        <f t="shared" si="22"/>
        <v>16575</v>
      </c>
      <c r="G106" s="2"/>
      <c r="H106" s="2"/>
      <c r="I106" s="13">
        <v>12000</v>
      </c>
      <c r="J106" s="13">
        <f t="shared" si="23"/>
        <v>12000</v>
      </c>
      <c r="K106" s="13">
        <f t="shared" si="24"/>
        <v>4575</v>
      </c>
      <c r="L106" s="14">
        <f t="shared" si="25"/>
        <v>0.30499999999999999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6.2</v>
      </c>
      <c r="B107" s="10" t="s">
        <v>17</v>
      </c>
      <c r="C107" s="11" t="s">
        <v>36</v>
      </c>
      <c r="D107" s="13">
        <v>1800</v>
      </c>
      <c r="E107" s="13">
        <f t="shared" si="21"/>
        <v>11160</v>
      </c>
      <c r="F107" s="13">
        <f t="shared" si="22"/>
        <v>12331.8</v>
      </c>
      <c r="G107" s="2"/>
      <c r="H107" s="2"/>
      <c r="I107" s="13">
        <v>1000</v>
      </c>
      <c r="J107" s="13">
        <f t="shared" si="23"/>
        <v>6200</v>
      </c>
      <c r="K107" s="13">
        <f t="shared" si="24"/>
        <v>6131.7999999999993</v>
      </c>
      <c r="L107" s="14">
        <f t="shared" si="25"/>
        <v>0.5494444444444444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7.4</v>
      </c>
      <c r="B108" s="10" t="s">
        <v>17</v>
      </c>
      <c r="C108" s="11" t="s">
        <v>38</v>
      </c>
      <c r="D108" s="13">
        <v>1800</v>
      </c>
      <c r="E108" s="13">
        <f t="shared" si="21"/>
        <v>13320</v>
      </c>
      <c r="F108" s="13">
        <f t="shared" si="22"/>
        <v>14718.6</v>
      </c>
      <c r="G108" s="2"/>
      <c r="H108" s="2"/>
      <c r="I108" s="13">
        <v>1000</v>
      </c>
      <c r="J108" s="13">
        <f t="shared" si="23"/>
        <v>7400</v>
      </c>
      <c r="K108" s="13">
        <f t="shared" si="24"/>
        <v>7318.6</v>
      </c>
      <c r="L108" s="14">
        <f t="shared" si="25"/>
        <v>0.54944444444444451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6</v>
      </c>
      <c r="B109" s="10" t="s">
        <v>17</v>
      </c>
      <c r="C109" s="34" t="s">
        <v>82</v>
      </c>
      <c r="D109" s="13">
        <v>1400</v>
      </c>
      <c r="E109" s="13">
        <f t="shared" si="21"/>
        <v>8400</v>
      </c>
      <c r="F109" s="13">
        <f t="shared" si="22"/>
        <v>9282</v>
      </c>
      <c r="G109" s="2"/>
      <c r="H109" s="2"/>
      <c r="I109" s="13">
        <f>16000/15</f>
        <v>1066.6666666666667</v>
      </c>
      <c r="J109" s="13">
        <f t="shared" si="23"/>
        <v>6400</v>
      </c>
      <c r="K109" s="13">
        <f t="shared" si="24"/>
        <v>2882</v>
      </c>
      <c r="L109" s="14">
        <f t="shared" si="25"/>
        <v>0.34309523809523812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3</v>
      </c>
      <c r="B110" s="10" t="s">
        <v>17</v>
      </c>
      <c r="C110" s="11" t="s">
        <v>31</v>
      </c>
      <c r="D110" s="13">
        <v>3200</v>
      </c>
      <c r="E110" s="13">
        <f t="shared" si="21"/>
        <v>9600</v>
      </c>
      <c r="F110" s="13">
        <f t="shared" si="22"/>
        <v>10608</v>
      </c>
      <c r="G110" s="2"/>
      <c r="H110" s="2"/>
      <c r="I110" s="13">
        <f t="shared" ref="I110:I112" si="26">15000/7</f>
        <v>2142.8571428571427</v>
      </c>
      <c r="J110" s="13">
        <f t="shared" si="23"/>
        <v>6428.5714285714275</v>
      </c>
      <c r="K110" s="13">
        <f t="shared" si="24"/>
        <v>4179.4285714285725</v>
      </c>
      <c r="L110" s="14">
        <f t="shared" si="25"/>
        <v>0.43535714285714294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2</v>
      </c>
      <c r="B111" s="10" t="s">
        <v>17</v>
      </c>
      <c r="C111" s="11" t="s">
        <v>32</v>
      </c>
      <c r="D111" s="13">
        <v>2400</v>
      </c>
      <c r="E111" s="13">
        <f t="shared" si="21"/>
        <v>4800</v>
      </c>
      <c r="F111" s="13">
        <f t="shared" si="22"/>
        <v>5304</v>
      </c>
      <c r="G111" s="2"/>
      <c r="H111" s="2"/>
      <c r="I111" s="13">
        <f t="shared" si="26"/>
        <v>2142.8571428571427</v>
      </c>
      <c r="J111" s="13">
        <f t="shared" si="23"/>
        <v>4285.7142857142853</v>
      </c>
      <c r="K111" s="13">
        <f t="shared" si="24"/>
        <v>1018.2857142857147</v>
      </c>
      <c r="L111" s="14">
        <f t="shared" si="25"/>
        <v>0.21214285714285722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2</v>
      </c>
      <c r="B112" s="10" t="s">
        <v>17</v>
      </c>
      <c r="C112" s="11" t="s">
        <v>33</v>
      </c>
      <c r="D112" s="13">
        <v>2800</v>
      </c>
      <c r="E112" s="13">
        <f t="shared" si="21"/>
        <v>5600</v>
      </c>
      <c r="F112" s="13">
        <f t="shared" si="22"/>
        <v>6188</v>
      </c>
      <c r="G112" s="2"/>
      <c r="H112" s="13"/>
      <c r="I112" s="13">
        <f t="shared" si="26"/>
        <v>2142.8571428571427</v>
      </c>
      <c r="J112" s="13">
        <f t="shared" si="23"/>
        <v>4285.7142857142853</v>
      </c>
      <c r="K112" s="13">
        <f t="shared" si="24"/>
        <v>1902.2857142857147</v>
      </c>
      <c r="L112" s="14">
        <f t="shared" si="25"/>
        <v>0.33969387755102048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1</v>
      </c>
      <c r="B113" s="10" t="s">
        <v>17</v>
      </c>
      <c r="C113" s="11" t="s">
        <v>19</v>
      </c>
      <c r="D113" s="13">
        <v>4000</v>
      </c>
      <c r="E113" s="13">
        <f t="shared" si="21"/>
        <v>4000</v>
      </c>
      <c r="F113" s="13">
        <f t="shared" si="22"/>
        <v>4420</v>
      </c>
      <c r="G113" s="2"/>
      <c r="H113" s="13"/>
      <c r="I113" s="13">
        <f>18000/8</f>
        <v>2250</v>
      </c>
      <c r="J113" s="13">
        <f t="shared" si="23"/>
        <v>2250</v>
      </c>
      <c r="K113" s="13">
        <f t="shared" si="24"/>
        <v>2170</v>
      </c>
      <c r="L113" s="14">
        <f t="shared" si="25"/>
        <v>0.54249999999999998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5</v>
      </c>
      <c r="B114" s="10" t="s">
        <v>17</v>
      </c>
      <c r="C114" s="11" t="s">
        <v>78</v>
      </c>
      <c r="D114" s="13">
        <v>4000</v>
      </c>
      <c r="E114" s="13">
        <f t="shared" si="21"/>
        <v>20000</v>
      </c>
      <c r="F114" s="13">
        <f t="shared" si="22"/>
        <v>22100</v>
      </c>
      <c r="G114" s="2"/>
      <c r="H114" s="2"/>
      <c r="I114" s="13">
        <f>13000/8</f>
        <v>1625</v>
      </c>
      <c r="J114" s="13">
        <f t="shared" si="23"/>
        <v>8125</v>
      </c>
      <c r="K114" s="13">
        <f t="shared" si="24"/>
        <v>13975</v>
      </c>
      <c r="L114" s="14">
        <f t="shared" si="25"/>
        <v>0.69874999999999998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1</v>
      </c>
      <c r="B115" s="10" t="s">
        <v>21</v>
      </c>
      <c r="C115" s="11" t="s">
        <v>42</v>
      </c>
      <c r="D115" s="13">
        <v>4500</v>
      </c>
      <c r="E115" s="13">
        <f t="shared" si="21"/>
        <v>4500</v>
      </c>
      <c r="F115" s="13">
        <f t="shared" si="22"/>
        <v>4972.5</v>
      </c>
      <c r="G115" s="2"/>
      <c r="H115" s="2"/>
      <c r="I115" s="13">
        <v>1200</v>
      </c>
      <c r="J115" s="13">
        <f t="shared" si="23"/>
        <v>1200</v>
      </c>
      <c r="K115" s="13">
        <f t="shared" si="24"/>
        <v>3772.5</v>
      </c>
      <c r="L115" s="14">
        <f t="shared" si="25"/>
        <v>0.83833333333333337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4</v>
      </c>
      <c r="C116" s="11" t="s">
        <v>64</v>
      </c>
      <c r="D116" s="13">
        <v>2500</v>
      </c>
      <c r="E116" s="13">
        <f t="shared" si="21"/>
        <v>2500</v>
      </c>
      <c r="F116" s="13">
        <f t="shared" si="22"/>
        <v>2762.5</v>
      </c>
      <c r="G116" s="2"/>
      <c r="H116" s="2"/>
      <c r="I116" s="13">
        <v>1000</v>
      </c>
      <c r="J116" s="13">
        <f t="shared" si="23"/>
        <v>1000</v>
      </c>
      <c r="K116" s="13">
        <f t="shared" si="24"/>
        <v>1762.5</v>
      </c>
      <c r="L116" s="14">
        <f t="shared" si="25"/>
        <v>0.70499999999999996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4</v>
      </c>
      <c r="B117" s="10" t="s">
        <v>4</v>
      </c>
      <c r="C117" s="11" t="s">
        <v>65</v>
      </c>
      <c r="D117" s="13">
        <v>1600</v>
      </c>
      <c r="E117" s="13">
        <f t="shared" si="21"/>
        <v>6400</v>
      </c>
      <c r="F117" s="13">
        <f t="shared" si="22"/>
        <v>7072</v>
      </c>
      <c r="G117" s="2"/>
      <c r="H117" s="2"/>
      <c r="I117" s="13">
        <v>1078</v>
      </c>
      <c r="J117" s="13">
        <f t="shared" si="23"/>
        <v>4312</v>
      </c>
      <c r="K117" s="13">
        <f t="shared" si="24"/>
        <v>2760</v>
      </c>
      <c r="L117" s="14">
        <f t="shared" si="25"/>
        <v>0.43125000000000002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1</v>
      </c>
      <c r="B118" s="10" t="s">
        <v>17</v>
      </c>
      <c r="C118" s="11" t="s">
        <v>93</v>
      </c>
      <c r="D118" s="13">
        <v>3000</v>
      </c>
      <c r="E118" s="13">
        <f t="shared" si="21"/>
        <v>3000</v>
      </c>
      <c r="F118" s="13">
        <f t="shared" si="22"/>
        <v>3315</v>
      </c>
      <c r="G118" s="2"/>
      <c r="H118" s="2"/>
      <c r="I118" s="13">
        <v>1857.14</v>
      </c>
      <c r="J118" s="13">
        <f t="shared" si="23"/>
        <v>1857.14</v>
      </c>
      <c r="K118" s="13">
        <f t="shared" si="24"/>
        <v>1457.86</v>
      </c>
      <c r="L118" s="14">
        <f t="shared" si="25"/>
        <v>0.48595333333333329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2</v>
      </c>
      <c r="B119" s="10" t="s">
        <v>21</v>
      </c>
      <c r="C119" s="11" t="s">
        <v>133</v>
      </c>
      <c r="D119" s="13">
        <v>3000</v>
      </c>
      <c r="E119" s="13">
        <f t="shared" si="21"/>
        <v>6000</v>
      </c>
      <c r="F119" s="13">
        <f t="shared" si="22"/>
        <v>6630</v>
      </c>
      <c r="G119" s="2"/>
      <c r="H119" s="2"/>
      <c r="I119" s="17">
        <v>500</v>
      </c>
      <c r="J119" s="13">
        <f t="shared" si="23"/>
        <v>1000</v>
      </c>
      <c r="K119" s="13">
        <f t="shared" si="24"/>
        <v>5630</v>
      </c>
      <c r="L119" s="14">
        <f t="shared" si="25"/>
        <v>0.93833333333333335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2</v>
      </c>
      <c r="B120" s="10" t="s">
        <v>21</v>
      </c>
      <c r="C120" s="11" t="s">
        <v>28</v>
      </c>
      <c r="D120" s="13">
        <v>3000</v>
      </c>
      <c r="E120" s="13">
        <f t="shared" si="21"/>
        <v>6000</v>
      </c>
      <c r="F120" s="13">
        <f t="shared" si="22"/>
        <v>6630</v>
      </c>
      <c r="G120" s="2"/>
      <c r="H120" s="2"/>
      <c r="I120" s="13">
        <v>2000</v>
      </c>
      <c r="J120" s="13">
        <f t="shared" si="23"/>
        <v>4000</v>
      </c>
      <c r="K120" s="13">
        <f t="shared" si="24"/>
        <v>2630</v>
      </c>
      <c r="L120" s="14">
        <f t="shared" si="25"/>
        <v>0.43833333333333335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0.5</v>
      </c>
      <c r="B121" s="10" t="s">
        <v>17</v>
      </c>
      <c r="C121" s="11" t="s">
        <v>30</v>
      </c>
      <c r="D121" s="13">
        <v>1500</v>
      </c>
      <c r="E121" s="13">
        <f t="shared" si="21"/>
        <v>750</v>
      </c>
      <c r="F121" s="13">
        <f t="shared" si="22"/>
        <v>828.75</v>
      </c>
      <c r="G121" s="2"/>
      <c r="H121" s="2"/>
      <c r="I121" s="13">
        <v>1500</v>
      </c>
      <c r="J121" s="13">
        <f t="shared" si="23"/>
        <v>750</v>
      </c>
      <c r="K121" s="13">
        <f t="shared" si="24"/>
        <v>78.75</v>
      </c>
      <c r="L121" s="14">
        <f t="shared" si="25"/>
        <v>0.105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2</v>
      </c>
      <c r="B122" s="10" t="s">
        <v>17</v>
      </c>
      <c r="C122" s="11" t="s">
        <v>61</v>
      </c>
      <c r="D122" s="13">
        <v>1400</v>
      </c>
      <c r="E122" s="13">
        <f t="shared" si="21"/>
        <v>2800</v>
      </c>
      <c r="F122" s="13">
        <f t="shared" si="22"/>
        <v>3094</v>
      </c>
      <c r="G122" s="2"/>
      <c r="H122" s="2"/>
      <c r="I122" s="13">
        <v>1000</v>
      </c>
      <c r="J122" s="13">
        <f t="shared" si="23"/>
        <v>2000</v>
      </c>
      <c r="K122" s="13">
        <f t="shared" si="24"/>
        <v>1094</v>
      </c>
      <c r="L122" s="14">
        <f t="shared" si="25"/>
        <v>0.39071428571428574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4</v>
      </c>
      <c r="B123" s="10" t="s">
        <v>17</v>
      </c>
      <c r="C123" s="11" t="s">
        <v>56</v>
      </c>
      <c r="D123" s="13">
        <v>800</v>
      </c>
      <c r="E123" s="13">
        <f t="shared" si="21"/>
        <v>3200</v>
      </c>
      <c r="F123" s="13">
        <f t="shared" si="22"/>
        <v>3536</v>
      </c>
      <c r="G123" s="2"/>
      <c r="H123" s="2"/>
      <c r="I123" s="13">
        <f>10000/15</f>
        <v>666.66666666666663</v>
      </c>
      <c r="J123" s="13">
        <f t="shared" si="23"/>
        <v>2666.6666666666665</v>
      </c>
      <c r="K123" s="13">
        <f t="shared" si="24"/>
        <v>869.33333333333348</v>
      </c>
      <c r="L123" s="14">
        <f t="shared" si="25"/>
        <v>0.27166666666666672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4</v>
      </c>
      <c r="B124" s="10" t="s">
        <v>17</v>
      </c>
      <c r="C124" s="11" t="s">
        <v>18</v>
      </c>
      <c r="D124" s="13">
        <v>1600</v>
      </c>
      <c r="E124" s="13">
        <f t="shared" si="21"/>
        <v>6400</v>
      </c>
      <c r="F124" s="13">
        <f t="shared" si="22"/>
        <v>7072</v>
      </c>
      <c r="G124" s="2"/>
      <c r="H124" s="2"/>
      <c r="I124" s="13">
        <v>1000</v>
      </c>
      <c r="J124" s="13">
        <f t="shared" si="23"/>
        <v>4000</v>
      </c>
      <c r="K124" s="13">
        <f t="shared" si="24"/>
        <v>3072</v>
      </c>
      <c r="L124" s="14">
        <f t="shared" si="25"/>
        <v>0.48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5</v>
      </c>
      <c r="B125" s="10" t="s">
        <v>21</v>
      </c>
      <c r="C125" s="11" t="s">
        <v>22</v>
      </c>
      <c r="D125" s="13">
        <v>1700</v>
      </c>
      <c r="E125" s="13">
        <f t="shared" si="21"/>
        <v>8500</v>
      </c>
      <c r="F125" s="13">
        <f t="shared" si="22"/>
        <v>9392.5</v>
      </c>
      <c r="G125" s="2"/>
      <c r="H125" s="2"/>
      <c r="I125" s="13">
        <v>1200</v>
      </c>
      <c r="J125" s="13">
        <f t="shared" si="23"/>
        <v>6000</v>
      </c>
      <c r="K125" s="13">
        <f t="shared" si="24"/>
        <v>3392.5</v>
      </c>
      <c r="L125" s="14">
        <f t="shared" si="25"/>
        <v>0.39911764705882352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1</v>
      </c>
      <c r="B126" s="10" t="s">
        <v>21</v>
      </c>
      <c r="C126" s="11" t="s">
        <v>51</v>
      </c>
      <c r="D126" s="13">
        <v>1500</v>
      </c>
      <c r="E126" s="13">
        <f t="shared" si="21"/>
        <v>1500</v>
      </c>
      <c r="F126" s="13">
        <f t="shared" si="22"/>
        <v>1657.5</v>
      </c>
      <c r="G126" s="2"/>
      <c r="H126" s="2"/>
      <c r="I126" s="13">
        <v>1500</v>
      </c>
      <c r="J126" s="13">
        <f t="shared" si="23"/>
        <v>1500</v>
      </c>
      <c r="K126" s="13">
        <f t="shared" si="24"/>
        <v>157.5</v>
      </c>
      <c r="L126" s="14">
        <f t="shared" si="25"/>
        <v>0.105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3</v>
      </c>
      <c r="B127" s="10" t="s">
        <v>4</v>
      </c>
      <c r="C127" s="11" t="s">
        <v>41</v>
      </c>
      <c r="D127" s="13">
        <v>2800</v>
      </c>
      <c r="E127" s="13">
        <f t="shared" si="21"/>
        <v>8400</v>
      </c>
      <c r="F127" s="13">
        <f t="shared" si="22"/>
        <v>9282</v>
      </c>
      <c r="G127" s="2"/>
      <c r="H127" s="2"/>
      <c r="I127" s="13">
        <f>18000/10</f>
        <v>1800</v>
      </c>
      <c r="J127" s="13">
        <f t="shared" si="23"/>
        <v>5400</v>
      </c>
      <c r="K127" s="13">
        <f t="shared" si="24"/>
        <v>3882</v>
      </c>
      <c r="L127" s="14">
        <f t="shared" si="25"/>
        <v>0.46214285714285713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24</v>
      </c>
      <c r="B128" s="10" t="s">
        <v>4</v>
      </c>
      <c r="C128" s="11" t="s">
        <v>20</v>
      </c>
      <c r="D128" s="13">
        <v>800</v>
      </c>
      <c r="E128" s="13">
        <f t="shared" si="21"/>
        <v>19200</v>
      </c>
      <c r="F128" s="13">
        <f t="shared" si="22"/>
        <v>21216</v>
      </c>
      <c r="G128" s="2"/>
      <c r="H128" s="2"/>
      <c r="I128" s="13">
        <f>30000/94</f>
        <v>319.14893617021278</v>
      </c>
      <c r="J128" s="13">
        <f t="shared" si="23"/>
        <v>7659.5744680851067</v>
      </c>
      <c r="K128" s="13">
        <f t="shared" si="24"/>
        <v>13556.425531914894</v>
      </c>
      <c r="L128" s="14">
        <f t="shared" si="25"/>
        <v>0.70606382978723403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1</v>
      </c>
      <c r="B129" s="10" t="s">
        <v>23</v>
      </c>
      <c r="C129" s="11" t="s">
        <v>24</v>
      </c>
      <c r="D129" s="13">
        <v>60000</v>
      </c>
      <c r="E129" s="13">
        <f t="shared" si="21"/>
        <v>60000</v>
      </c>
      <c r="F129" s="13">
        <f t="shared" si="22"/>
        <v>66300</v>
      </c>
      <c r="G129" s="2"/>
      <c r="H129" s="2"/>
      <c r="I129" s="13">
        <v>50000</v>
      </c>
      <c r="J129" s="13">
        <f t="shared" si="23"/>
        <v>50000</v>
      </c>
      <c r="K129" s="13">
        <f t="shared" si="24"/>
        <v>16300</v>
      </c>
      <c r="L129" s="14">
        <f t="shared" si="25"/>
        <v>0.27166666666666667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1</v>
      </c>
      <c r="B130" s="10" t="s">
        <v>23</v>
      </c>
      <c r="C130" s="11" t="s">
        <v>25</v>
      </c>
      <c r="D130" s="13">
        <v>72000</v>
      </c>
      <c r="E130" s="13">
        <f t="shared" si="21"/>
        <v>72000</v>
      </c>
      <c r="F130" s="13">
        <f t="shared" si="22"/>
        <v>79560</v>
      </c>
      <c r="G130" s="2"/>
      <c r="H130" s="2"/>
      <c r="I130" s="13">
        <v>65000</v>
      </c>
      <c r="J130" s="13">
        <f t="shared" si="23"/>
        <v>65000</v>
      </c>
      <c r="K130" s="13">
        <f t="shared" si="24"/>
        <v>14560</v>
      </c>
      <c r="L130" s="14">
        <f t="shared" si="25"/>
        <v>0.20222222222222222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3</v>
      </c>
      <c r="B131" s="10" t="s">
        <v>23</v>
      </c>
      <c r="C131" s="11" t="s">
        <v>26</v>
      </c>
      <c r="D131" s="13">
        <v>26000</v>
      </c>
      <c r="E131" s="13">
        <f t="shared" si="21"/>
        <v>78000</v>
      </c>
      <c r="F131" s="13">
        <f t="shared" si="22"/>
        <v>86190</v>
      </c>
      <c r="G131" s="2"/>
      <c r="H131" s="7" t="s">
        <v>37</v>
      </c>
      <c r="I131" s="13">
        <v>22000</v>
      </c>
      <c r="J131" s="13">
        <f t="shared" si="23"/>
        <v>66000</v>
      </c>
      <c r="K131" s="13">
        <f t="shared" si="24"/>
        <v>20190</v>
      </c>
      <c r="L131" s="14">
        <f t="shared" si="25"/>
        <v>0.25884615384615384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20</v>
      </c>
      <c r="B132" s="10" t="s">
        <v>17</v>
      </c>
      <c r="C132" s="11" t="s">
        <v>49</v>
      </c>
      <c r="D132" s="13">
        <v>3000</v>
      </c>
      <c r="E132" s="13">
        <f t="shared" si="21"/>
        <v>60000</v>
      </c>
      <c r="F132" s="13">
        <f t="shared" si="22"/>
        <v>66300</v>
      </c>
      <c r="G132" s="2"/>
      <c r="H132" s="2"/>
      <c r="I132" s="13">
        <f>20000/9</f>
        <v>2222.2222222222222</v>
      </c>
      <c r="J132" s="13">
        <f t="shared" si="23"/>
        <v>44444.444444444445</v>
      </c>
      <c r="K132" s="13">
        <f t="shared" si="24"/>
        <v>21855.555555555555</v>
      </c>
      <c r="L132" s="14">
        <f t="shared" si="25"/>
        <v>0.36425925925925923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13.85</v>
      </c>
      <c r="B133" s="10" t="s">
        <v>4</v>
      </c>
      <c r="C133" s="11" t="s">
        <v>62</v>
      </c>
      <c r="D133" s="13">
        <v>3000</v>
      </c>
      <c r="E133" s="13">
        <f t="shared" si="21"/>
        <v>41550</v>
      </c>
      <c r="F133" s="13">
        <f t="shared" si="22"/>
        <v>45912.75</v>
      </c>
      <c r="G133" s="2"/>
      <c r="H133" s="2"/>
      <c r="I133" s="13">
        <f>32000/18</f>
        <v>1777.7777777777778</v>
      </c>
      <c r="J133" s="13">
        <f t="shared" si="23"/>
        <v>24622.222222222223</v>
      </c>
      <c r="K133" s="13">
        <f t="shared" si="24"/>
        <v>21290.527777777777</v>
      </c>
      <c r="L133" s="14">
        <f t="shared" si="25"/>
        <v>0.51240740740740742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2</v>
      </c>
      <c r="B134" s="10" t="s">
        <v>17</v>
      </c>
      <c r="C134" s="11" t="s">
        <v>89</v>
      </c>
      <c r="D134" s="13">
        <v>11000</v>
      </c>
      <c r="E134" s="13">
        <f t="shared" si="21"/>
        <v>22000</v>
      </c>
      <c r="F134" s="13">
        <f t="shared" si="22"/>
        <v>24310</v>
      </c>
      <c r="G134" s="2"/>
      <c r="H134" s="13"/>
      <c r="I134" s="13">
        <v>9500</v>
      </c>
      <c r="J134" s="13">
        <f t="shared" si="23"/>
        <v>19000</v>
      </c>
      <c r="K134" s="13">
        <f t="shared" si="24"/>
        <v>5310</v>
      </c>
      <c r="L134" s="14">
        <f t="shared" si="25"/>
        <v>0.24136363636363636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0.5</v>
      </c>
      <c r="B135" s="10" t="s">
        <v>23</v>
      </c>
      <c r="C135" s="11" t="s">
        <v>12</v>
      </c>
      <c r="D135" s="13">
        <v>54000</v>
      </c>
      <c r="E135" s="13">
        <f t="shared" si="21"/>
        <v>27000</v>
      </c>
      <c r="F135" s="13">
        <f>E135*1.21</f>
        <v>32670</v>
      </c>
      <c r="G135" s="2"/>
      <c r="H135" s="2"/>
      <c r="I135" s="13">
        <v>54000</v>
      </c>
      <c r="J135" s="13">
        <f t="shared" si="23"/>
        <v>27000</v>
      </c>
      <c r="K135" s="13">
        <f t="shared" si="24"/>
        <v>5670</v>
      </c>
      <c r="L135" s="14">
        <f t="shared" si="25"/>
        <v>0.21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5"/>
      <c r="B136" s="2"/>
      <c r="C136" s="4"/>
      <c r="D136" s="2"/>
      <c r="E136" s="2"/>
      <c r="F136" s="2"/>
      <c r="G136" s="2"/>
      <c r="H136" s="2"/>
      <c r="I136" s="2"/>
      <c r="J136" s="2"/>
      <c r="K136" s="2"/>
      <c r="L136" s="3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"/>
      <c r="B137" s="2"/>
      <c r="C137" s="4"/>
      <c r="D137" s="2"/>
      <c r="E137" s="13">
        <f t="shared" ref="E137:F137" si="27">SUM(E100:E135)</f>
        <v>822580</v>
      </c>
      <c r="F137" s="13">
        <f t="shared" si="27"/>
        <v>911785.89999999991</v>
      </c>
      <c r="G137" s="2"/>
      <c r="H137" s="2"/>
      <c r="I137" s="2"/>
      <c r="J137" s="2"/>
      <c r="K137" s="13">
        <f>SUM(K100:K135)</f>
        <v>308998.8521985815</v>
      </c>
      <c r="L137" s="14">
        <f>K137/F137</f>
        <v>0.33889408927971088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"/>
      <c r="B138" s="2"/>
      <c r="C138" s="4"/>
      <c r="D138" s="2"/>
      <c r="E138" s="2"/>
      <c r="F138" s="2"/>
      <c r="G138" s="2"/>
      <c r="H138" s="2"/>
      <c r="I138" s="2"/>
      <c r="J138" s="2"/>
      <c r="K138" s="2"/>
      <c r="L138" s="3"/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"/>
      <c r="B139" s="2"/>
      <c r="C139" s="4"/>
      <c r="D139" s="2"/>
      <c r="E139" s="2"/>
      <c r="F139" s="2"/>
      <c r="G139" s="2"/>
      <c r="H139" s="2"/>
      <c r="I139" s="2"/>
      <c r="J139" s="2"/>
      <c r="K139" s="2"/>
      <c r="L139" s="3"/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"/>
      <c r="B140" s="2"/>
      <c r="C140" s="4"/>
      <c r="D140" s="2"/>
      <c r="E140" s="2"/>
      <c r="F140" s="2"/>
      <c r="G140" s="2"/>
      <c r="H140" s="2"/>
      <c r="I140" s="2"/>
      <c r="J140" s="2"/>
      <c r="K140" s="2"/>
      <c r="L140" s="3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"/>
      <c r="B141" s="1"/>
      <c r="C141" s="1"/>
      <c r="D141" s="2"/>
      <c r="E141" s="2"/>
      <c r="F141" s="5"/>
      <c r="G141" s="2"/>
      <c r="H141" s="2"/>
      <c r="I141" s="2"/>
      <c r="J141" s="2"/>
      <c r="K141" s="2"/>
      <c r="L141" s="3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88" t="s">
        <v>57</v>
      </c>
      <c r="B142" s="89"/>
      <c r="C142" s="89"/>
      <c r="D142" s="2"/>
      <c r="E142" s="7" t="s">
        <v>143</v>
      </c>
      <c r="F142" s="8">
        <v>46118</v>
      </c>
      <c r="G142" s="2"/>
      <c r="H142" s="2"/>
      <c r="I142" s="9" t="s">
        <v>2</v>
      </c>
      <c r="J142" s="9"/>
      <c r="K142" s="9"/>
      <c r="L142" s="3"/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3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6" t="s">
        <v>3</v>
      </c>
      <c r="B144" s="10" t="s">
        <v>4</v>
      </c>
      <c r="C144" s="11" t="s">
        <v>5</v>
      </c>
      <c r="D144" s="10" t="s">
        <v>6</v>
      </c>
      <c r="E144" s="10" t="s">
        <v>7</v>
      </c>
      <c r="F144" s="10" t="s">
        <v>8</v>
      </c>
      <c r="G144" s="2"/>
      <c r="H144" s="2"/>
      <c r="I144" s="10" t="s">
        <v>9</v>
      </c>
      <c r="J144" s="10" t="s">
        <v>7</v>
      </c>
      <c r="K144" s="10" t="s">
        <v>10</v>
      </c>
      <c r="L144" s="3"/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25</v>
      </c>
      <c r="B145" s="10" t="s">
        <v>4</v>
      </c>
      <c r="C145" s="11" t="s">
        <v>20</v>
      </c>
      <c r="D145" s="13">
        <v>800</v>
      </c>
      <c r="E145" s="13">
        <f t="shared" ref="E145:E158" si="28">A145*D145</f>
        <v>20000</v>
      </c>
      <c r="F145" s="13">
        <f t="shared" ref="F145:F157" si="29">E145*1.105</f>
        <v>22100</v>
      </c>
      <c r="G145" s="2"/>
      <c r="H145" s="2"/>
      <c r="I145" s="13">
        <f>30000/94</f>
        <v>319.14893617021278</v>
      </c>
      <c r="J145" s="13">
        <f t="shared" ref="J145:J158" si="30">I145*A145</f>
        <v>7978.7234042553191</v>
      </c>
      <c r="K145" s="13">
        <f t="shared" ref="K145:K158" si="31">F145-J145</f>
        <v>14121.276595744681</v>
      </c>
      <c r="L145" s="14">
        <f t="shared" ref="L145:L158" si="32">IFERROR(K145/E145, 0)</f>
        <v>0.70606382978723403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1</v>
      </c>
      <c r="B146" s="10" t="s">
        <v>15</v>
      </c>
      <c r="C146" s="11" t="s">
        <v>129</v>
      </c>
      <c r="D146" s="13">
        <v>16000</v>
      </c>
      <c r="E146" s="13">
        <f t="shared" si="28"/>
        <v>16000</v>
      </c>
      <c r="F146" s="13">
        <f t="shared" si="29"/>
        <v>17680</v>
      </c>
      <c r="G146" s="2"/>
      <c r="H146" s="2"/>
      <c r="I146" s="13">
        <v>12000</v>
      </c>
      <c r="J146" s="13">
        <f t="shared" si="30"/>
        <v>12000</v>
      </c>
      <c r="K146" s="13">
        <f t="shared" si="31"/>
        <v>5680</v>
      </c>
      <c r="L146" s="14">
        <f t="shared" si="32"/>
        <v>0.35499999999999998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5</v>
      </c>
      <c r="B147" s="10" t="s">
        <v>17</v>
      </c>
      <c r="C147" s="11" t="s">
        <v>144</v>
      </c>
      <c r="D147" s="13">
        <v>4000</v>
      </c>
      <c r="E147" s="13">
        <f t="shared" si="28"/>
        <v>20000</v>
      </c>
      <c r="F147" s="13">
        <f t="shared" si="29"/>
        <v>22100</v>
      </c>
      <c r="G147" s="2"/>
      <c r="H147" s="2"/>
      <c r="I147" s="13">
        <f t="shared" ref="I147:I148" si="33">18000/8</f>
        <v>2250</v>
      </c>
      <c r="J147" s="13">
        <f t="shared" si="30"/>
        <v>11250</v>
      </c>
      <c r="K147" s="13">
        <f t="shared" si="31"/>
        <v>10850</v>
      </c>
      <c r="L147" s="14">
        <f t="shared" si="32"/>
        <v>0.54249999999999998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2</v>
      </c>
      <c r="B148" s="10" t="s">
        <v>17</v>
      </c>
      <c r="C148" s="11" t="s">
        <v>19</v>
      </c>
      <c r="D148" s="13">
        <v>4000</v>
      </c>
      <c r="E148" s="13">
        <f t="shared" si="28"/>
        <v>8000</v>
      </c>
      <c r="F148" s="13">
        <f t="shared" si="29"/>
        <v>8840</v>
      </c>
      <c r="G148" s="2"/>
      <c r="H148" s="2"/>
      <c r="I148" s="13">
        <f t="shared" si="33"/>
        <v>2250</v>
      </c>
      <c r="J148" s="13">
        <f t="shared" si="30"/>
        <v>4500</v>
      </c>
      <c r="K148" s="13">
        <f t="shared" si="31"/>
        <v>4340</v>
      </c>
      <c r="L148" s="14">
        <f t="shared" si="32"/>
        <v>0.54249999999999998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4</v>
      </c>
      <c r="B149" s="10" t="s">
        <v>17</v>
      </c>
      <c r="C149" s="11" t="s">
        <v>62</v>
      </c>
      <c r="D149" s="13">
        <v>3000</v>
      </c>
      <c r="E149" s="13">
        <f t="shared" si="28"/>
        <v>12000</v>
      </c>
      <c r="F149" s="13">
        <f t="shared" si="29"/>
        <v>13260</v>
      </c>
      <c r="G149" s="2"/>
      <c r="H149" s="2"/>
      <c r="I149" s="13">
        <f>32000/18</f>
        <v>1777.7777777777778</v>
      </c>
      <c r="J149" s="13">
        <f t="shared" si="30"/>
        <v>7111.1111111111113</v>
      </c>
      <c r="K149" s="13">
        <f t="shared" si="31"/>
        <v>6148.8888888888887</v>
      </c>
      <c r="L149" s="14">
        <f t="shared" si="32"/>
        <v>0.51240740740740742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0.5</v>
      </c>
      <c r="B150" s="10" t="s">
        <v>17</v>
      </c>
      <c r="C150" s="11" t="s">
        <v>89</v>
      </c>
      <c r="D150" s="13">
        <v>11000</v>
      </c>
      <c r="E150" s="13">
        <f t="shared" si="28"/>
        <v>5500</v>
      </c>
      <c r="F150" s="13">
        <f t="shared" si="29"/>
        <v>6077.5</v>
      </c>
      <c r="G150" s="2"/>
      <c r="H150" s="2"/>
      <c r="I150" s="13">
        <v>9500</v>
      </c>
      <c r="J150" s="13">
        <f t="shared" si="30"/>
        <v>4750</v>
      </c>
      <c r="K150" s="13">
        <f t="shared" si="31"/>
        <v>1327.5</v>
      </c>
      <c r="L150" s="14">
        <f t="shared" si="32"/>
        <v>0.24136363636363636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2</v>
      </c>
      <c r="B151" s="10" t="s">
        <v>4</v>
      </c>
      <c r="C151" s="11" t="s">
        <v>41</v>
      </c>
      <c r="D151" s="13">
        <v>2800</v>
      </c>
      <c r="E151" s="13">
        <f t="shared" si="28"/>
        <v>5600</v>
      </c>
      <c r="F151" s="13">
        <f t="shared" si="29"/>
        <v>6188</v>
      </c>
      <c r="G151" s="2"/>
      <c r="H151" s="2"/>
      <c r="I151" s="13">
        <v>1800</v>
      </c>
      <c r="J151" s="13">
        <f t="shared" si="30"/>
        <v>3600</v>
      </c>
      <c r="K151" s="13">
        <f t="shared" si="31"/>
        <v>2588</v>
      </c>
      <c r="L151" s="14">
        <f t="shared" si="32"/>
        <v>0.46214285714285713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1</v>
      </c>
      <c r="B152" s="10" t="s">
        <v>21</v>
      </c>
      <c r="C152" s="11" t="s">
        <v>51</v>
      </c>
      <c r="D152" s="13">
        <v>1500</v>
      </c>
      <c r="E152" s="13">
        <f t="shared" si="28"/>
        <v>1500</v>
      </c>
      <c r="F152" s="13">
        <f t="shared" si="29"/>
        <v>1657.5</v>
      </c>
      <c r="G152" s="2"/>
      <c r="H152" s="2"/>
      <c r="I152" s="13">
        <v>1500</v>
      </c>
      <c r="J152" s="13">
        <f t="shared" si="30"/>
        <v>1500</v>
      </c>
      <c r="K152" s="13">
        <f t="shared" si="31"/>
        <v>157.5</v>
      </c>
      <c r="L152" s="14">
        <f t="shared" si="32"/>
        <v>0.105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3</v>
      </c>
      <c r="B153" s="10" t="s">
        <v>17</v>
      </c>
      <c r="C153" s="11" t="s">
        <v>43</v>
      </c>
      <c r="D153" s="13">
        <v>3200</v>
      </c>
      <c r="E153" s="13">
        <f t="shared" si="28"/>
        <v>9600</v>
      </c>
      <c r="F153" s="13">
        <f t="shared" si="29"/>
        <v>10608</v>
      </c>
      <c r="G153" s="2"/>
      <c r="H153" s="2"/>
      <c r="I153" s="13">
        <v>2500</v>
      </c>
      <c r="J153" s="13">
        <f t="shared" si="30"/>
        <v>7500</v>
      </c>
      <c r="K153" s="13">
        <f t="shared" si="31"/>
        <v>3108</v>
      </c>
      <c r="L153" s="14">
        <f t="shared" si="32"/>
        <v>0.32374999999999998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25</v>
      </c>
      <c r="B154" s="10" t="s">
        <v>21</v>
      </c>
      <c r="C154" s="11" t="s">
        <v>46</v>
      </c>
      <c r="D154" s="13">
        <v>600</v>
      </c>
      <c r="E154" s="13">
        <f t="shared" si="28"/>
        <v>15000</v>
      </c>
      <c r="F154" s="13">
        <f t="shared" si="29"/>
        <v>16575</v>
      </c>
      <c r="G154" s="2"/>
      <c r="H154" s="2"/>
      <c r="I154" s="13">
        <f>5000/24</f>
        <v>208.33333333333334</v>
      </c>
      <c r="J154" s="13">
        <f t="shared" si="30"/>
        <v>5208.3333333333339</v>
      </c>
      <c r="K154" s="13">
        <f t="shared" si="31"/>
        <v>11366.666666666666</v>
      </c>
      <c r="L154" s="14">
        <f t="shared" si="32"/>
        <v>0.75777777777777777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</v>
      </c>
      <c r="B155" s="10" t="s">
        <v>23</v>
      </c>
      <c r="C155" s="11" t="s">
        <v>26</v>
      </c>
      <c r="D155" s="13">
        <v>26000</v>
      </c>
      <c r="E155" s="13">
        <f t="shared" si="28"/>
        <v>26000</v>
      </c>
      <c r="F155" s="13">
        <f t="shared" si="29"/>
        <v>28730</v>
      </c>
      <c r="G155" s="2"/>
      <c r="H155" s="2"/>
      <c r="I155" s="13">
        <v>22000</v>
      </c>
      <c r="J155" s="13">
        <f t="shared" si="30"/>
        <v>22000</v>
      </c>
      <c r="K155" s="13">
        <f t="shared" si="31"/>
        <v>6730</v>
      </c>
      <c r="L155" s="14">
        <f t="shared" si="32"/>
        <v>0.25884615384615384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</v>
      </c>
      <c r="B156" s="10" t="s">
        <v>23</v>
      </c>
      <c r="C156" s="11" t="s">
        <v>25</v>
      </c>
      <c r="D156" s="13">
        <v>72000</v>
      </c>
      <c r="E156" s="13">
        <f t="shared" si="28"/>
        <v>72000</v>
      </c>
      <c r="F156" s="13">
        <f t="shared" si="29"/>
        <v>79560</v>
      </c>
      <c r="G156" s="2"/>
      <c r="H156" s="2"/>
      <c r="I156" s="13">
        <v>65000</v>
      </c>
      <c r="J156" s="13">
        <f t="shared" si="30"/>
        <v>65000</v>
      </c>
      <c r="K156" s="13">
        <f t="shared" si="31"/>
        <v>14560</v>
      </c>
      <c r="L156" s="14">
        <f t="shared" si="32"/>
        <v>0.20222222222222222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1</v>
      </c>
      <c r="B157" s="10" t="s">
        <v>23</v>
      </c>
      <c r="C157" s="11" t="s">
        <v>24</v>
      </c>
      <c r="D157" s="13">
        <v>60000</v>
      </c>
      <c r="E157" s="13">
        <f t="shared" si="28"/>
        <v>60000</v>
      </c>
      <c r="F157" s="13">
        <f t="shared" si="29"/>
        <v>66300</v>
      </c>
      <c r="G157" s="2"/>
      <c r="H157" s="2"/>
      <c r="I157" s="13">
        <v>53000</v>
      </c>
      <c r="J157" s="13">
        <f t="shared" si="30"/>
        <v>53000</v>
      </c>
      <c r="K157" s="13">
        <f t="shared" si="31"/>
        <v>13300</v>
      </c>
      <c r="L157" s="14">
        <f t="shared" si="32"/>
        <v>0.22166666666666668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4</v>
      </c>
      <c r="B158" s="10" t="s">
        <v>11</v>
      </c>
      <c r="C158" s="11" t="s">
        <v>12</v>
      </c>
      <c r="D158" s="13">
        <v>4500</v>
      </c>
      <c r="E158" s="13">
        <f t="shared" si="28"/>
        <v>18000</v>
      </c>
      <c r="F158" s="13">
        <f>E158*1.21</f>
        <v>21780</v>
      </c>
      <c r="G158" s="2"/>
      <c r="H158" s="2"/>
      <c r="I158" s="13">
        <v>4500</v>
      </c>
      <c r="J158" s="13">
        <f t="shared" si="30"/>
        <v>18000</v>
      </c>
      <c r="K158" s="13">
        <f t="shared" si="31"/>
        <v>3780</v>
      </c>
      <c r="L158" s="14">
        <f t="shared" si="32"/>
        <v>0.21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5"/>
      <c r="B159" s="2"/>
      <c r="C159" s="4"/>
      <c r="D159" s="2"/>
      <c r="E159" s="2"/>
      <c r="F159" s="2"/>
      <c r="G159" s="2"/>
      <c r="H159" s="2"/>
      <c r="I159" s="2"/>
      <c r="J159" s="2"/>
      <c r="K159" s="2"/>
      <c r="L159" s="3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"/>
      <c r="B160" s="2"/>
      <c r="C160" s="4"/>
      <c r="D160" s="2"/>
      <c r="E160" s="13">
        <f t="shared" ref="E160:F160" si="34">SUM(E145:E158)</f>
        <v>289200</v>
      </c>
      <c r="F160" s="13">
        <f t="shared" si="34"/>
        <v>321456</v>
      </c>
      <c r="G160" s="2"/>
      <c r="H160" s="2"/>
      <c r="I160" s="2"/>
      <c r="J160" s="2"/>
      <c r="K160" s="13">
        <f>SUM(K145:K158)</f>
        <v>98057.832151300245</v>
      </c>
      <c r="L160" s="14">
        <f>K160/F160</f>
        <v>0.3050427808200819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88" t="s">
        <v>59</v>
      </c>
      <c r="B163" s="89"/>
      <c r="C163" s="89"/>
      <c r="D163" s="2"/>
      <c r="E163" s="7" t="s">
        <v>54</v>
      </c>
      <c r="F163" s="8">
        <v>46118</v>
      </c>
      <c r="G163" s="2"/>
      <c r="H163" s="2"/>
      <c r="I163" s="9" t="s">
        <v>2</v>
      </c>
      <c r="J163" s="9"/>
      <c r="K163" s="9"/>
      <c r="L163" s="3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3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6" t="s">
        <v>3</v>
      </c>
      <c r="B165" s="10" t="s">
        <v>4</v>
      </c>
      <c r="C165" s="11" t="s">
        <v>5</v>
      </c>
      <c r="D165" s="10" t="s">
        <v>6</v>
      </c>
      <c r="E165" s="10" t="s">
        <v>7</v>
      </c>
      <c r="F165" s="10" t="s">
        <v>8</v>
      </c>
      <c r="G165" s="2"/>
      <c r="H165" s="2"/>
      <c r="I165" s="10" t="s">
        <v>9</v>
      </c>
      <c r="J165" s="10" t="s">
        <v>7</v>
      </c>
      <c r="K165" s="10" t="s">
        <v>10</v>
      </c>
      <c r="L165" s="3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5</v>
      </c>
      <c r="B166" s="10" t="s">
        <v>17</v>
      </c>
      <c r="C166" s="11" t="s">
        <v>43</v>
      </c>
      <c r="D166" s="13">
        <v>3200</v>
      </c>
      <c r="E166" s="13">
        <f t="shared" ref="E166:E200" si="35">A166*D166</f>
        <v>16000</v>
      </c>
      <c r="F166" s="13">
        <f t="shared" ref="F166:F193" si="36">E166*1.105</f>
        <v>17680</v>
      </c>
      <c r="G166" s="2"/>
      <c r="H166" s="2"/>
      <c r="I166" s="13">
        <v>2500</v>
      </c>
      <c r="J166" s="13">
        <f t="shared" ref="J166:J200" si="37">I166*A166</f>
        <v>12500</v>
      </c>
      <c r="K166" s="13">
        <f t="shared" ref="K166:K200" si="38">F166-J166</f>
        <v>5180</v>
      </c>
      <c r="L166" s="14">
        <f t="shared" ref="L166:L200" si="39">IFERROR(K166/E166, 0)</f>
        <v>0.32374999999999998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15</v>
      </c>
      <c r="B167" s="10" t="s">
        <v>21</v>
      </c>
      <c r="C167" s="11" t="s">
        <v>46</v>
      </c>
      <c r="D167" s="13">
        <v>600</v>
      </c>
      <c r="E167" s="13">
        <f t="shared" si="35"/>
        <v>9000</v>
      </c>
      <c r="F167" s="13">
        <f t="shared" si="36"/>
        <v>9945</v>
      </c>
      <c r="G167" s="2"/>
      <c r="H167" s="2"/>
      <c r="I167" s="13">
        <v>208</v>
      </c>
      <c r="J167" s="13">
        <f t="shared" si="37"/>
        <v>3120</v>
      </c>
      <c r="K167" s="13">
        <f t="shared" si="38"/>
        <v>6825</v>
      </c>
      <c r="L167" s="14">
        <f t="shared" si="39"/>
        <v>0.7583333333333333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12</v>
      </c>
      <c r="B168" s="10" t="s">
        <v>17</v>
      </c>
      <c r="C168" s="11" t="s">
        <v>39</v>
      </c>
      <c r="D168" s="13">
        <v>2400</v>
      </c>
      <c r="E168" s="13">
        <f t="shared" si="35"/>
        <v>28800</v>
      </c>
      <c r="F168" s="13">
        <f t="shared" si="36"/>
        <v>31824</v>
      </c>
      <c r="G168" s="2"/>
      <c r="H168" s="2"/>
      <c r="I168" s="13">
        <v>1666</v>
      </c>
      <c r="J168" s="13">
        <f t="shared" si="37"/>
        <v>19992</v>
      </c>
      <c r="K168" s="13">
        <f t="shared" si="38"/>
        <v>11832</v>
      </c>
      <c r="L168" s="14">
        <f t="shared" si="39"/>
        <v>0.41083333333333333</v>
      </c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3</v>
      </c>
      <c r="B169" s="10" t="s">
        <v>17</v>
      </c>
      <c r="C169" s="11" t="s">
        <v>38</v>
      </c>
      <c r="D169" s="13">
        <v>1800</v>
      </c>
      <c r="E169" s="13">
        <f t="shared" si="35"/>
        <v>5400</v>
      </c>
      <c r="F169" s="13">
        <f t="shared" si="36"/>
        <v>5967</v>
      </c>
      <c r="G169" s="2"/>
      <c r="H169" s="2"/>
      <c r="I169" s="13">
        <v>1000</v>
      </c>
      <c r="J169" s="13">
        <f t="shared" si="37"/>
        <v>3000</v>
      </c>
      <c r="K169" s="13">
        <f t="shared" si="38"/>
        <v>2967</v>
      </c>
      <c r="L169" s="14">
        <f t="shared" si="39"/>
        <v>0.5494444444444444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3</v>
      </c>
      <c r="B170" s="10" t="s">
        <v>17</v>
      </c>
      <c r="C170" s="11" t="s">
        <v>36</v>
      </c>
      <c r="D170" s="13">
        <v>1800</v>
      </c>
      <c r="E170" s="13">
        <f t="shared" si="35"/>
        <v>5400</v>
      </c>
      <c r="F170" s="13">
        <f t="shared" si="36"/>
        <v>5967</v>
      </c>
      <c r="G170" s="2"/>
      <c r="H170" s="2"/>
      <c r="I170" s="13">
        <v>1000</v>
      </c>
      <c r="J170" s="13">
        <f t="shared" si="37"/>
        <v>3000</v>
      </c>
      <c r="K170" s="13">
        <f t="shared" si="38"/>
        <v>2967</v>
      </c>
      <c r="L170" s="14">
        <f t="shared" si="39"/>
        <v>0.5494444444444444</v>
      </c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10</v>
      </c>
      <c r="B171" s="10" t="s">
        <v>4</v>
      </c>
      <c r="C171" s="11" t="s">
        <v>20</v>
      </c>
      <c r="D171" s="13">
        <v>800</v>
      </c>
      <c r="E171" s="13">
        <f t="shared" si="35"/>
        <v>8000</v>
      </c>
      <c r="F171" s="13">
        <f t="shared" si="36"/>
        <v>8840</v>
      </c>
      <c r="G171" s="2"/>
      <c r="H171" s="2"/>
      <c r="I171" s="13">
        <f>30000/94</f>
        <v>319.14893617021278</v>
      </c>
      <c r="J171" s="13">
        <f t="shared" si="37"/>
        <v>3191.489361702128</v>
      </c>
      <c r="K171" s="13">
        <f t="shared" si="38"/>
        <v>5648.510638297872</v>
      </c>
      <c r="L171" s="14">
        <f t="shared" si="39"/>
        <v>0.70606382978723403</v>
      </c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3</v>
      </c>
      <c r="B172" s="10" t="s">
        <v>4</v>
      </c>
      <c r="C172" s="11" t="s">
        <v>41</v>
      </c>
      <c r="D172" s="13">
        <v>2800</v>
      </c>
      <c r="E172" s="13">
        <f t="shared" si="35"/>
        <v>8400</v>
      </c>
      <c r="F172" s="13">
        <f t="shared" si="36"/>
        <v>9282</v>
      </c>
      <c r="G172" s="2"/>
      <c r="H172" s="2"/>
      <c r="I172" s="13">
        <v>1800</v>
      </c>
      <c r="J172" s="13">
        <f t="shared" si="37"/>
        <v>5400</v>
      </c>
      <c r="K172" s="13">
        <f t="shared" si="38"/>
        <v>3882</v>
      </c>
      <c r="L172" s="14">
        <f t="shared" si="39"/>
        <v>0.46214285714285713</v>
      </c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2</v>
      </c>
      <c r="B173" s="10" t="s">
        <v>17</v>
      </c>
      <c r="C173" s="11" t="s">
        <v>19</v>
      </c>
      <c r="D173" s="13">
        <v>4000</v>
      </c>
      <c r="E173" s="13">
        <f t="shared" si="35"/>
        <v>8000</v>
      </c>
      <c r="F173" s="13">
        <f t="shared" si="36"/>
        <v>8840</v>
      </c>
      <c r="G173" s="2"/>
      <c r="H173" s="2"/>
      <c r="I173" s="13">
        <f>13000/8</f>
        <v>1625</v>
      </c>
      <c r="J173" s="13">
        <f t="shared" si="37"/>
        <v>3250</v>
      </c>
      <c r="K173" s="13">
        <f t="shared" si="38"/>
        <v>5590</v>
      </c>
      <c r="L173" s="14">
        <f t="shared" si="39"/>
        <v>0.69874999999999998</v>
      </c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2">
        <v>2.5</v>
      </c>
      <c r="B174" s="10" t="s">
        <v>17</v>
      </c>
      <c r="C174" s="11" t="s">
        <v>78</v>
      </c>
      <c r="D174" s="13">
        <v>4000</v>
      </c>
      <c r="E174" s="13">
        <f t="shared" si="35"/>
        <v>10000</v>
      </c>
      <c r="F174" s="13">
        <f t="shared" si="36"/>
        <v>11050</v>
      </c>
      <c r="G174" s="2"/>
      <c r="H174" s="2"/>
      <c r="I174" s="13">
        <f>18000/8</f>
        <v>2250</v>
      </c>
      <c r="J174" s="13">
        <f t="shared" si="37"/>
        <v>5625</v>
      </c>
      <c r="K174" s="13">
        <f t="shared" si="38"/>
        <v>5425</v>
      </c>
      <c r="L174" s="14">
        <f t="shared" si="39"/>
        <v>0.54249999999999998</v>
      </c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3</v>
      </c>
      <c r="B175" s="10" t="s">
        <v>17</v>
      </c>
      <c r="C175" s="11" t="s">
        <v>31</v>
      </c>
      <c r="D175" s="13">
        <v>3200</v>
      </c>
      <c r="E175" s="13">
        <f t="shared" si="35"/>
        <v>9600</v>
      </c>
      <c r="F175" s="13">
        <f t="shared" si="36"/>
        <v>10608</v>
      </c>
      <c r="G175" s="2"/>
      <c r="H175" s="2"/>
      <c r="I175" s="13">
        <f t="shared" ref="I175:I177" si="40">15000/7</f>
        <v>2142.8571428571427</v>
      </c>
      <c r="J175" s="13">
        <f t="shared" si="37"/>
        <v>6428.5714285714275</v>
      </c>
      <c r="K175" s="13">
        <f t="shared" si="38"/>
        <v>4179.4285714285725</v>
      </c>
      <c r="L175" s="14">
        <f t="shared" si="39"/>
        <v>0.43535714285714294</v>
      </c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2</v>
      </c>
      <c r="B176" s="10" t="s">
        <v>17</v>
      </c>
      <c r="C176" s="11" t="s">
        <v>32</v>
      </c>
      <c r="D176" s="13">
        <v>2400</v>
      </c>
      <c r="E176" s="13">
        <f t="shared" si="35"/>
        <v>4800</v>
      </c>
      <c r="F176" s="13">
        <f t="shared" si="36"/>
        <v>5304</v>
      </c>
      <c r="G176" s="2"/>
      <c r="H176" s="2"/>
      <c r="I176" s="13">
        <f t="shared" si="40"/>
        <v>2142.8571428571427</v>
      </c>
      <c r="J176" s="13">
        <f t="shared" si="37"/>
        <v>4285.7142857142853</v>
      </c>
      <c r="K176" s="13">
        <f t="shared" si="38"/>
        <v>1018.2857142857147</v>
      </c>
      <c r="L176" s="14">
        <f t="shared" si="39"/>
        <v>0.21214285714285722</v>
      </c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2">
        <v>1</v>
      </c>
      <c r="B177" s="10" t="s">
        <v>17</v>
      </c>
      <c r="C177" s="11" t="s">
        <v>33</v>
      </c>
      <c r="D177" s="13">
        <v>2800</v>
      </c>
      <c r="E177" s="13">
        <f t="shared" si="35"/>
        <v>2800</v>
      </c>
      <c r="F177" s="13">
        <f t="shared" si="36"/>
        <v>3094</v>
      </c>
      <c r="G177" s="2"/>
      <c r="H177" s="2"/>
      <c r="I177" s="13">
        <f t="shared" si="40"/>
        <v>2142.8571428571427</v>
      </c>
      <c r="J177" s="13">
        <f t="shared" si="37"/>
        <v>2142.8571428571427</v>
      </c>
      <c r="K177" s="13">
        <f t="shared" si="38"/>
        <v>951.14285714285734</v>
      </c>
      <c r="L177" s="14">
        <f t="shared" si="39"/>
        <v>0.33969387755102048</v>
      </c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2">
        <v>2</v>
      </c>
      <c r="B178" s="10" t="s">
        <v>17</v>
      </c>
      <c r="C178" s="11" t="s">
        <v>18</v>
      </c>
      <c r="D178" s="13">
        <v>1600</v>
      </c>
      <c r="E178" s="13">
        <f t="shared" si="35"/>
        <v>3200</v>
      </c>
      <c r="F178" s="13">
        <f t="shared" si="36"/>
        <v>3536</v>
      </c>
      <c r="G178" s="2"/>
      <c r="H178" s="2"/>
      <c r="I178" s="13">
        <v>1000</v>
      </c>
      <c r="J178" s="13">
        <f t="shared" si="37"/>
        <v>2000</v>
      </c>
      <c r="K178" s="13">
        <f t="shared" si="38"/>
        <v>1536</v>
      </c>
      <c r="L178" s="14">
        <f t="shared" si="39"/>
        <v>0.48</v>
      </c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2">
        <v>1</v>
      </c>
      <c r="B179" s="10" t="s">
        <v>17</v>
      </c>
      <c r="C179" s="11" t="s">
        <v>56</v>
      </c>
      <c r="D179" s="13">
        <v>800</v>
      </c>
      <c r="E179" s="13">
        <f t="shared" si="35"/>
        <v>800</v>
      </c>
      <c r="F179" s="13">
        <f t="shared" si="36"/>
        <v>884</v>
      </c>
      <c r="G179" s="2"/>
      <c r="H179" s="2"/>
      <c r="I179" s="13">
        <f>10000/15</f>
        <v>666.66666666666663</v>
      </c>
      <c r="J179" s="13">
        <f t="shared" si="37"/>
        <v>666.66666666666663</v>
      </c>
      <c r="K179" s="13">
        <f t="shared" si="38"/>
        <v>217.33333333333337</v>
      </c>
      <c r="L179" s="14">
        <f t="shared" si="39"/>
        <v>0.27166666666666672</v>
      </c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2">
        <v>1</v>
      </c>
      <c r="B180" s="10" t="s">
        <v>17</v>
      </c>
      <c r="C180" s="11" t="s">
        <v>30</v>
      </c>
      <c r="D180" s="13">
        <v>1500</v>
      </c>
      <c r="E180" s="13">
        <f t="shared" si="35"/>
        <v>1500</v>
      </c>
      <c r="F180" s="13">
        <f t="shared" si="36"/>
        <v>1657.5</v>
      </c>
      <c r="G180" s="2"/>
      <c r="H180" s="2"/>
      <c r="I180" s="13">
        <v>1500</v>
      </c>
      <c r="J180" s="13">
        <f t="shared" si="37"/>
        <v>1500</v>
      </c>
      <c r="K180" s="13">
        <f t="shared" si="38"/>
        <v>157.5</v>
      </c>
      <c r="L180" s="14">
        <f t="shared" si="39"/>
        <v>0.105</v>
      </c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2</v>
      </c>
      <c r="B181" s="10" t="s">
        <v>17</v>
      </c>
      <c r="C181" s="11" t="s">
        <v>35</v>
      </c>
      <c r="D181" s="13">
        <v>2500</v>
      </c>
      <c r="E181" s="13">
        <f t="shared" si="35"/>
        <v>5000</v>
      </c>
      <c r="F181" s="13">
        <f t="shared" si="36"/>
        <v>5525</v>
      </c>
      <c r="G181" s="2"/>
      <c r="H181" s="2"/>
      <c r="I181" s="13">
        <v>1400</v>
      </c>
      <c r="J181" s="13">
        <f t="shared" si="37"/>
        <v>2800</v>
      </c>
      <c r="K181" s="13">
        <f t="shared" si="38"/>
        <v>2725</v>
      </c>
      <c r="L181" s="14">
        <f t="shared" si="39"/>
        <v>0.54500000000000004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2">
        <v>0.5</v>
      </c>
      <c r="B182" s="10" t="s">
        <v>17</v>
      </c>
      <c r="C182" s="11" t="s">
        <v>93</v>
      </c>
      <c r="D182" s="13">
        <v>3000</v>
      </c>
      <c r="E182" s="13">
        <f t="shared" si="35"/>
        <v>1500</v>
      </c>
      <c r="F182" s="13">
        <f t="shared" si="36"/>
        <v>1657.5</v>
      </c>
      <c r="G182" s="2"/>
      <c r="H182" s="2"/>
      <c r="I182" s="13">
        <f>13000/7</f>
        <v>1857.1428571428571</v>
      </c>
      <c r="J182" s="13">
        <f t="shared" si="37"/>
        <v>928.57142857142856</v>
      </c>
      <c r="K182" s="13">
        <f t="shared" si="38"/>
        <v>728.92857142857144</v>
      </c>
      <c r="L182" s="14">
        <f t="shared" si="39"/>
        <v>0.48595238095238097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2</v>
      </c>
      <c r="B183" s="10" t="s">
        <v>4</v>
      </c>
      <c r="C183" s="11" t="s">
        <v>65</v>
      </c>
      <c r="D183" s="13">
        <v>1600</v>
      </c>
      <c r="E183" s="13">
        <f t="shared" si="35"/>
        <v>3200</v>
      </c>
      <c r="F183" s="13">
        <f t="shared" si="36"/>
        <v>3536</v>
      </c>
      <c r="G183" s="2"/>
      <c r="H183" s="2"/>
      <c r="I183" s="13">
        <v>1078</v>
      </c>
      <c r="J183" s="13">
        <f t="shared" si="37"/>
        <v>2156</v>
      </c>
      <c r="K183" s="13">
        <f t="shared" si="38"/>
        <v>1380</v>
      </c>
      <c r="L183" s="14">
        <f t="shared" si="39"/>
        <v>0.43125000000000002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2</v>
      </c>
      <c r="B184" s="10" t="s">
        <v>17</v>
      </c>
      <c r="C184" s="11" t="s">
        <v>34</v>
      </c>
      <c r="D184" s="13">
        <v>5000</v>
      </c>
      <c r="E184" s="13">
        <f t="shared" si="35"/>
        <v>10000</v>
      </c>
      <c r="F184" s="13">
        <f t="shared" si="36"/>
        <v>11050</v>
      </c>
      <c r="G184" s="2"/>
      <c r="H184" s="2"/>
      <c r="I184" s="17">
        <v>2000</v>
      </c>
      <c r="J184" s="13">
        <f t="shared" si="37"/>
        <v>4000</v>
      </c>
      <c r="K184" s="13">
        <f t="shared" si="38"/>
        <v>7050</v>
      </c>
      <c r="L184" s="14">
        <f t="shared" si="39"/>
        <v>0.70499999999999996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2</v>
      </c>
      <c r="B185" s="10" t="s">
        <v>4</v>
      </c>
      <c r="C185" s="11" t="s">
        <v>13</v>
      </c>
      <c r="D185" s="13">
        <v>900</v>
      </c>
      <c r="E185" s="13">
        <f t="shared" si="35"/>
        <v>1800</v>
      </c>
      <c r="F185" s="13">
        <f t="shared" si="36"/>
        <v>1989</v>
      </c>
      <c r="G185" s="2"/>
      <c r="H185" s="2"/>
      <c r="I185" s="13">
        <v>460</v>
      </c>
      <c r="J185" s="13">
        <f t="shared" si="37"/>
        <v>920</v>
      </c>
      <c r="K185" s="13">
        <f t="shared" si="38"/>
        <v>1069</v>
      </c>
      <c r="L185" s="14">
        <f t="shared" si="39"/>
        <v>0.59388888888888891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1</v>
      </c>
      <c r="B186" s="10" t="s">
        <v>21</v>
      </c>
      <c r="C186" s="11" t="s">
        <v>51</v>
      </c>
      <c r="D186" s="13">
        <v>1500</v>
      </c>
      <c r="E186" s="13">
        <f t="shared" si="35"/>
        <v>1500</v>
      </c>
      <c r="F186" s="13">
        <f t="shared" si="36"/>
        <v>1657.5</v>
      </c>
      <c r="G186" s="2"/>
      <c r="H186" s="2"/>
      <c r="I186" s="13">
        <v>1500</v>
      </c>
      <c r="J186" s="13">
        <f t="shared" si="37"/>
        <v>1500</v>
      </c>
      <c r="K186" s="13">
        <f t="shared" si="38"/>
        <v>157.5</v>
      </c>
      <c r="L186" s="14">
        <f t="shared" si="39"/>
        <v>0.105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1</v>
      </c>
      <c r="B187" s="10" t="s">
        <v>21</v>
      </c>
      <c r="C187" s="11" t="s">
        <v>28</v>
      </c>
      <c r="D187" s="13">
        <v>3000</v>
      </c>
      <c r="E187" s="13">
        <f t="shared" si="35"/>
        <v>3000</v>
      </c>
      <c r="F187" s="13">
        <f t="shared" si="36"/>
        <v>3315</v>
      </c>
      <c r="G187" s="2"/>
      <c r="H187" s="2"/>
      <c r="I187" s="13">
        <v>2000</v>
      </c>
      <c r="J187" s="13">
        <f t="shared" si="37"/>
        <v>2000</v>
      </c>
      <c r="K187" s="13">
        <f t="shared" si="38"/>
        <v>1315</v>
      </c>
      <c r="L187" s="14">
        <f t="shared" si="39"/>
        <v>0.43833333333333335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1</v>
      </c>
      <c r="B188" s="10" t="s">
        <v>21</v>
      </c>
      <c r="C188" s="11" t="s">
        <v>29</v>
      </c>
      <c r="D188" s="13">
        <v>3500</v>
      </c>
      <c r="E188" s="13">
        <f t="shared" si="35"/>
        <v>3500</v>
      </c>
      <c r="F188" s="13">
        <f t="shared" si="36"/>
        <v>3867.5</v>
      </c>
      <c r="G188" s="2"/>
      <c r="H188" s="2"/>
      <c r="I188" s="13">
        <v>1500</v>
      </c>
      <c r="J188" s="13">
        <f t="shared" si="37"/>
        <v>1500</v>
      </c>
      <c r="K188" s="13">
        <f t="shared" si="38"/>
        <v>2367.5</v>
      </c>
      <c r="L188" s="14">
        <f t="shared" si="39"/>
        <v>0.67642857142857138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1</v>
      </c>
      <c r="B189" s="10" t="s">
        <v>21</v>
      </c>
      <c r="C189" s="11" t="s">
        <v>42</v>
      </c>
      <c r="D189" s="13">
        <v>4500</v>
      </c>
      <c r="E189" s="13">
        <f t="shared" si="35"/>
        <v>4500</v>
      </c>
      <c r="F189" s="13">
        <f t="shared" si="36"/>
        <v>4972.5</v>
      </c>
      <c r="G189" s="2"/>
      <c r="H189" s="2"/>
      <c r="I189" s="13">
        <v>1200</v>
      </c>
      <c r="J189" s="13">
        <f t="shared" si="37"/>
        <v>1200</v>
      </c>
      <c r="K189" s="13">
        <f t="shared" si="38"/>
        <v>3772.5</v>
      </c>
      <c r="L189" s="14">
        <f t="shared" si="39"/>
        <v>0.83833333333333337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4</v>
      </c>
      <c r="B190" s="10" t="s">
        <v>15</v>
      </c>
      <c r="C190" s="11" t="s">
        <v>27</v>
      </c>
      <c r="D190" s="13">
        <v>23000</v>
      </c>
      <c r="E190" s="13">
        <f t="shared" si="35"/>
        <v>92000</v>
      </c>
      <c r="F190" s="13">
        <f t="shared" si="36"/>
        <v>101660</v>
      </c>
      <c r="G190" s="2"/>
      <c r="H190" s="2"/>
      <c r="I190" s="13">
        <v>18000</v>
      </c>
      <c r="J190" s="13">
        <f t="shared" si="37"/>
        <v>72000</v>
      </c>
      <c r="K190" s="13">
        <f t="shared" si="38"/>
        <v>29660</v>
      </c>
      <c r="L190" s="14">
        <f t="shared" si="39"/>
        <v>0.32239130434782609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1</v>
      </c>
      <c r="B191" s="10" t="s">
        <v>15</v>
      </c>
      <c r="C191" s="11" t="s">
        <v>129</v>
      </c>
      <c r="D191" s="13">
        <v>16000</v>
      </c>
      <c r="E191" s="13">
        <f t="shared" si="35"/>
        <v>16000</v>
      </c>
      <c r="F191" s="13">
        <f t="shared" si="36"/>
        <v>17680</v>
      </c>
      <c r="G191" s="2"/>
      <c r="H191" s="2"/>
      <c r="I191" s="13">
        <v>12000</v>
      </c>
      <c r="J191" s="13">
        <f t="shared" si="37"/>
        <v>12000</v>
      </c>
      <c r="K191" s="13">
        <f t="shared" si="38"/>
        <v>5680</v>
      </c>
      <c r="L191" s="14">
        <f t="shared" si="39"/>
        <v>0.35499999999999998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1</v>
      </c>
      <c r="B192" s="10" t="s">
        <v>15</v>
      </c>
      <c r="C192" s="11" t="s">
        <v>40</v>
      </c>
      <c r="D192" s="13">
        <v>12000</v>
      </c>
      <c r="E192" s="13">
        <f t="shared" si="35"/>
        <v>12000</v>
      </c>
      <c r="F192" s="13">
        <f t="shared" si="36"/>
        <v>13260</v>
      </c>
      <c r="G192" s="2"/>
      <c r="H192" s="2"/>
      <c r="I192" s="13">
        <v>7000</v>
      </c>
      <c r="J192" s="13">
        <f t="shared" si="37"/>
        <v>7000</v>
      </c>
      <c r="K192" s="13">
        <f t="shared" si="38"/>
        <v>6260</v>
      </c>
      <c r="L192" s="14">
        <f t="shared" si="39"/>
        <v>0.52166666666666661</v>
      </c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1</v>
      </c>
      <c r="B193" s="10" t="s">
        <v>15</v>
      </c>
      <c r="C193" s="11" t="s">
        <v>48</v>
      </c>
      <c r="D193" s="13">
        <v>13000</v>
      </c>
      <c r="E193" s="13">
        <f t="shared" si="35"/>
        <v>13000</v>
      </c>
      <c r="F193" s="13">
        <f t="shared" si="36"/>
        <v>14365</v>
      </c>
      <c r="G193" s="2"/>
      <c r="H193" s="2"/>
      <c r="I193" s="13">
        <v>8000</v>
      </c>
      <c r="J193" s="13">
        <f t="shared" si="37"/>
        <v>8000</v>
      </c>
      <c r="K193" s="13">
        <f t="shared" si="38"/>
        <v>6365</v>
      </c>
      <c r="L193" s="14">
        <f t="shared" si="39"/>
        <v>0.48961538461538462</v>
      </c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0.5</v>
      </c>
      <c r="B194" s="10" t="s">
        <v>23</v>
      </c>
      <c r="C194" s="11" t="s">
        <v>12</v>
      </c>
      <c r="D194" s="13">
        <v>54000</v>
      </c>
      <c r="E194" s="13">
        <f t="shared" si="35"/>
        <v>27000</v>
      </c>
      <c r="F194" s="13">
        <f>E194*1.21</f>
        <v>32670</v>
      </c>
      <c r="G194" s="2"/>
      <c r="H194" s="2"/>
      <c r="I194" s="13">
        <v>54000</v>
      </c>
      <c r="J194" s="13">
        <f t="shared" si="37"/>
        <v>27000</v>
      </c>
      <c r="K194" s="13">
        <f t="shared" si="38"/>
        <v>5670</v>
      </c>
      <c r="L194" s="14">
        <f t="shared" si="39"/>
        <v>0.21</v>
      </c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2</v>
      </c>
      <c r="B195" s="10" t="s">
        <v>23</v>
      </c>
      <c r="C195" s="11" t="s">
        <v>26</v>
      </c>
      <c r="D195" s="13">
        <v>26000</v>
      </c>
      <c r="E195" s="13">
        <f t="shared" si="35"/>
        <v>52000</v>
      </c>
      <c r="F195" s="13">
        <f t="shared" ref="F195:F200" si="41">E195*1.105</f>
        <v>57460</v>
      </c>
      <c r="G195" s="2"/>
      <c r="H195" s="2"/>
      <c r="I195" s="13">
        <v>22000</v>
      </c>
      <c r="J195" s="13">
        <f t="shared" si="37"/>
        <v>44000</v>
      </c>
      <c r="K195" s="13">
        <f t="shared" si="38"/>
        <v>13460</v>
      </c>
      <c r="L195" s="14">
        <f t="shared" si="39"/>
        <v>0.25884615384615384</v>
      </c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2">
        <v>5</v>
      </c>
      <c r="B196" s="10" t="s">
        <v>17</v>
      </c>
      <c r="C196" s="11" t="s">
        <v>123</v>
      </c>
      <c r="D196" s="13">
        <v>3200</v>
      </c>
      <c r="E196" s="13">
        <f t="shared" si="35"/>
        <v>16000</v>
      </c>
      <c r="F196" s="13">
        <f t="shared" si="41"/>
        <v>17680</v>
      </c>
      <c r="G196" s="2"/>
      <c r="H196" s="2"/>
      <c r="I196" s="13">
        <f>32000/15</f>
        <v>2133.3333333333335</v>
      </c>
      <c r="J196" s="13">
        <f t="shared" si="37"/>
        <v>10666.666666666668</v>
      </c>
      <c r="K196" s="13">
        <f t="shared" si="38"/>
        <v>7013.3333333333321</v>
      </c>
      <c r="L196" s="14">
        <f t="shared" si="39"/>
        <v>0.43833333333333324</v>
      </c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2">
        <v>1</v>
      </c>
      <c r="B197" s="10" t="s">
        <v>17</v>
      </c>
      <c r="C197" s="11" t="s">
        <v>89</v>
      </c>
      <c r="D197" s="13">
        <v>11000</v>
      </c>
      <c r="E197" s="13">
        <f t="shared" si="35"/>
        <v>11000</v>
      </c>
      <c r="F197" s="13">
        <f t="shared" si="41"/>
        <v>12155</v>
      </c>
      <c r="G197" s="2"/>
      <c r="H197" s="2"/>
      <c r="I197" s="17">
        <v>9500</v>
      </c>
      <c r="J197" s="13">
        <f t="shared" si="37"/>
        <v>9500</v>
      </c>
      <c r="K197" s="13">
        <f t="shared" si="38"/>
        <v>2655</v>
      </c>
      <c r="L197" s="14">
        <f t="shared" si="39"/>
        <v>0.24136363636363636</v>
      </c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2">
        <v>4</v>
      </c>
      <c r="B198" s="10" t="s">
        <v>17</v>
      </c>
      <c r="C198" s="11" t="s">
        <v>62</v>
      </c>
      <c r="D198" s="13">
        <v>3000</v>
      </c>
      <c r="E198" s="13">
        <f t="shared" si="35"/>
        <v>12000</v>
      </c>
      <c r="F198" s="13">
        <f t="shared" si="41"/>
        <v>13260</v>
      </c>
      <c r="G198" s="2"/>
      <c r="H198" s="2"/>
      <c r="I198" s="13">
        <f>32000/18</f>
        <v>1777.7777777777778</v>
      </c>
      <c r="J198" s="13">
        <f t="shared" si="37"/>
        <v>7111.1111111111113</v>
      </c>
      <c r="K198" s="13">
        <f t="shared" si="38"/>
        <v>6148.8888888888887</v>
      </c>
      <c r="L198" s="14">
        <f t="shared" si="39"/>
        <v>0.51240740740740742</v>
      </c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2">
        <v>5</v>
      </c>
      <c r="B199" s="10" t="s">
        <v>17</v>
      </c>
      <c r="C199" s="11" t="s">
        <v>24</v>
      </c>
      <c r="D199" s="13">
        <v>3600</v>
      </c>
      <c r="E199" s="13">
        <f t="shared" si="35"/>
        <v>18000</v>
      </c>
      <c r="F199" s="13">
        <f t="shared" si="41"/>
        <v>19890</v>
      </c>
      <c r="G199" s="2"/>
      <c r="H199" s="2"/>
      <c r="I199" s="13">
        <f>52000/17</f>
        <v>3058.8235294117649</v>
      </c>
      <c r="J199" s="13">
        <f t="shared" si="37"/>
        <v>15294.117647058825</v>
      </c>
      <c r="K199" s="13">
        <f t="shared" si="38"/>
        <v>4595.8823529411748</v>
      </c>
      <c r="L199" s="14">
        <f t="shared" si="39"/>
        <v>0.25532679738562081</v>
      </c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2">
        <v>5</v>
      </c>
      <c r="B200" s="10" t="s">
        <v>17</v>
      </c>
      <c r="C200" s="11" t="s">
        <v>25</v>
      </c>
      <c r="D200" s="13">
        <v>4500</v>
      </c>
      <c r="E200" s="13">
        <f t="shared" si="35"/>
        <v>22500</v>
      </c>
      <c r="F200" s="13">
        <f t="shared" si="41"/>
        <v>24862.5</v>
      </c>
      <c r="G200" s="2"/>
      <c r="H200" s="2"/>
      <c r="I200" s="13">
        <f>65000/17</f>
        <v>3823.5294117647059</v>
      </c>
      <c r="J200" s="13">
        <f t="shared" si="37"/>
        <v>19117.647058823528</v>
      </c>
      <c r="K200" s="13">
        <f t="shared" si="38"/>
        <v>5744.8529411764721</v>
      </c>
      <c r="L200" s="14">
        <f t="shared" si="39"/>
        <v>0.25532679738562097</v>
      </c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5"/>
      <c r="B201" s="2"/>
      <c r="C201" s="4"/>
      <c r="D201" s="2"/>
      <c r="E201" s="2"/>
      <c r="F201" s="2"/>
      <c r="G201" s="2"/>
      <c r="H201" s="2"/>
      <c r="I201" s="2"/>
      <c r="J201" s="2"/>
      <c r="K201" s="2"/>
      <c r="L201" s="3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"/>
      <c r="B202" s="2"/>
      <c r="C202" s="4"/>
      <c r="D202" s="2"/>
      <c r="E202" s="13">
        <f t="shared" ref="E202:F202" si="42">SUM(E166:E200)</f>
        <v>447200</v>
      </c>
      <c r="F202" s="13">
        <f t="shared" si="42"/>
        <v>496991</v>
      </c>
      <c r="G202" s="2"/>
      <c r="H202" s="2"/>
      <c r="I202" s="2"/>
      <c r="J202" s="2"/>
      <c r="K202" s="13">
        <f>SUM(K166:K200)</f>
        <v>172194.58720225681</v>
      </c>
      <c r="L202" s="14">
        <f>K202/F202</f>
        <v>0.34647425648001029</v>
      </c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88" t="s">
        <v>63</v>
      </c>
      <c r="B205" s="89"/>
      <c r="C205" s="89"/>
      <c r="D205" s="2"/>
      <c r="E205" s="7" t="s">
        <v>143</v>
      </c>
      <c r="F205" s="8">
        <v>46118</v>
      </c>
      <c r="G205" s="7"/>
      <c r="H205" s="2"/>
      <c r="I205" s="9" t="s">
        <v>2</v>
      </c>
      <c r="J205" s="9"/>
      <c r="K205" s="9"/>
      <c r="L205" s="3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3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6" t="s">
        <v>3</v>
      </c>
      <c r="B207" s="10" t="s">
        <v>4</v>
      </c>
      <c r="C207" s="11" t="s">
        <v>5</v>
      </c>
      <c r="D207" s="10" t="s">
        <v>6</v>
      </c>
      <c r="E207" s="10" t="s">
        <v>7</v>
      </c>
      <c r="F207" s="10" t="s">
        <v>8</v>
      </c>
      <c r="G207" s="2"/>
      <c r="H207" s="2"/>
      <c r="I207" s="10" t="s">
        <v>9</v>
      </c>
      <c r="J207" s="10" t="s">
        <v>7</v>
      </c>
      <c r="K207" s="10" t="s">
        <v>10</v>
      </c>
      <c r="L207" s="3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2">
        <v>3</v>
      </c>
      <c r="B208" s="10" t="s">
        <v>4</v>
      </c>
      <c r="C208" s="11" t="s">
        <v>13</v>
      </c>
      <c r="D208" s="13">
        <v>900</v>
      </c>
      <c r="E208" s="13">
        <f t="shared" ref="E208:E240" si="43">A208*D208</f>
        <v>2700</v>
      </c>
      <c r="F208" s="13">
        <f t="shared" ref="F208:F222" si="44">E208*1.105</f>
        <v>2983.5</v>
      </c>
      <c r="G208" s="2"/>
      <c r="H208" s="2"/>
      <c r="I208" s="13">
        <v>460</v>
      </c>
      <c r="J208" s="13">
        <f t="shared" ref="J208:J240" si="45">I208*A208</f>
        <v>1380</v>
      </c>
      <c r="K208" s="13">
        <f t="shared" ref="K208:K240" si="46">F208-J208</f>
        <v>1603.5</v>
      </c>
      <c r="L208" s="14">
        <f t="shared" ref="L208:L240" si="47">IFERROR(K208/E208, 0)</f>
        <v>0.59388888888888891</v>
      </c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2">
        <v>1</v>
      </c>
      <c r="B209" s="10" t="s">
        <v>21</v>
      </c>
      <c r="C209" s="11" t="s">
        <v>51</v>
      </c>
      <c r="D209" s="13">
        <v>1500</v>
      </c>
      <c r="E209" s="13">
        <f t="shared" si="43"/>
        <v>1500</v>
      </c>
      <c r="F209" s="13">
        <f t="shared" si="44"/>
        <v>1657.5</v>
      </c>
      <c r="G209" s="2"/>
      <c r="H209" s="2"/>
      <c r="I209" s="13">
        <v>1500</v>
      </c>
      <c r="J209" s="13">
        <f t="shared" si="45"/>
        <v>1500</v>
      </c>
      <c r="K209" s="13">
        <f t="shared" si="46"/>
        <v>157.5</v>
      </c>
      <c r="L209" s="14">
        <f t="shared" si="47"/>
        <v>0.105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2">
        <v>6.25</v>
      </c>
      <c r="B210" s="10" t="s">
        <v>17</v>
      </c>
      <c r="C210" s="11" t="s">
        <v>62</v>
      </c>
      <c r="D210" s="13">
        <v>3000</v>
      </c>
      <c r="E210" s="13">
        <f t="shared" si="43"/>
        <v>18750</v>
      </c>
      <c r="F210" s="13">
        <f t="shared" si="44"/>
        <v>20718.75</v>
      </c>
      <c r="G210" s="2"/>
      <c r="H210" s="2"/>
      <c r="I210" s="13">
        <f>32000/18</f>
        <v>1777.7777777777778</v>
      </c>
      <c r="J210" s="13">
        <f t="shared" si="45"/>
        <v>11111.111111111111</v>
      </c>
      <c r="K210" s="13">
        <f t="shared" si="46"/>
        <v>9607.6388888888887</v>
      </c>
      <c r="L210" s="14">
        <f t="shared" si="47"/>
        <v>0.51240740740740742</v>
      </c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2">
        <v>0.5</v>
      </c>
      <c r="B211" s="10" t="s">
        <v>15</v>
      </c>
      <c r="C211" s="11" t="s">
        <v>129</v>
      </c>
      <c r="D211" s="13">
        <v>16000</v>
      </c>
      <c r="E211" s="13">
        <f t="shared" si="43"/>
        <v>8000</v>
      </c>
      <c r="F211" s="13">
        <f t="shared" si="44"/>
        <v>8840</v>
      </c>
      <c r="G211" s="2"/>
      <c r="H211" s="2"/>
      <c r="I211" s="13">
        <v>12000</v>
      </c>
      <c r="J211" s="13">
        <f t="shared" si="45"/>
        <v>6000</v>
      </c>
      <c r="K211" s="13">
        <f t="shared" si="46"/>
        <v>2840</v>
      </c>
      <c r="L211" s="14">
        <f t="shared" si="47"/>
        <v>0.35499999999999998</v>
      </c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2">
        <v>4</v>
      </c>
      <c r="B212" s="10" t="s">
        <v>4</v>
      </c>
      <c r="C212" s="11" t="s">
        <v>14</v>
      </c>
      <c r="D212" s="13">
        <v>2600</v>
      </c>
      <c r="E212" s="13">
        <f t="shared" si="43"/>
        <v>10400</v>
      </c>
      <c r="F212" s="13">
        <f t="shared" si="44"/>
        <v>11492</v>
      </c>
      <c r="G212" s="2"/>
      <c r="H212" s="2"/>
      <c r="I212" s="13">
        <f>15000/8</f>
        <v>1875</v>
      </c>
      <c r="J212" s="13">
        <f t="shared" si="45"/>
        <v>7500</v>
      </c>
      <c r="K212" s="13">
        <f t="shared" si="46"/>
        <v>3992</v>
      </c>
      <c r="L212" s="14">
        <f t="shared" si="47"/>
        <v>0.38384615384615384</v>
      </c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2">
        <v>0.8</v>
      </c>
      <c r="B213" s="10" t="s">
        <v>17</v>
      </c>
      <c r="C213" s="11" t="s">
        <v>42</v>
      </c>
      <c r="D213" s="13">
        <v>4500</v>
      </c>
      <c r="E213" s="13">
        <f t="shared" si="43"/>
        <v>3600</v>
      </c>
      <c r="F213" s="13">
        <f t="shared" si="44"/>
        <v>3978</v>
      </c>
      <c r="G213" s="2"/>
      <c r="H213" s="2"/>
      <c r="I213" s="13">
        <v>1200</v>
      </c>
      <c r="J213" s="13">
        <f t="shared" si="45"/>
        <v>960</v>
      </c>
      <c r="K213" s="13">
        <f t="shared" si="46"/>
        <v>3018</v>
      </c>
      <c r="L213" s="14">
        <f t="shared" si="47"/>
        <v>0.83833333333333337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2">
        <v>0.4</v>
      </c>
      <c r="B214" s="10" t="s">
        <v>4</v>
      </c>
      <c r="C214" s="11" t="s">
        <v>64</v>
      </c>
      <c r="D214" s="13">
        <v>2500</v>
      </c>
      <c r="E214" s="13">
        <f t="shared" si="43"/>
        <v>1000</v>
      </c>
      <c r="F214" s="13">
        <f t="shared" si="44"/>
        <v>1105</v>
      </c>
      <c r="G214" s="2"/>
      <c r="H214" s="2"/>
      <c r="I214" s="13">
        <v>1000</v>
      </c>
      <c r="J214" s="13">
        <f t="shared" si="45"/>
        <v>400</v>
      </c>
      <c r="K214" s="13">
        <f t="shared" si="46"/>
        <v>705</v>
      </c>
      <c r="L214" s="14">
        <f t="shared" si="47"/>
        <v>0.70499999999999996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4</v>
      </c>
      <c r="B215" s="10" t="s">
        <v>17</v>
      </c>
      <c r="C215" s="11" t="s">
        <v>18</v>
      </c>
      <c r="D215" s="13">
        <v>1600</v>
      </c>
      <c r="E215" s="13">
        <f t="shared" si="43"/>
        <v>6400</v>
      </c>
      <c r="F215" s="13">
        <f t="shared" si="44"/>
        <v>7072</v>
      </c>
      <c r="G215" s="2"/>
      <c r="H215" s="2"/>
      <c r="I215" s="13">
        <v>1000</v>
      </c>
      <c r="J215" s="13">
        <f t="shared" si="45"/>
        <v>4000</v>
      </c>
      <c r="K215" s="13">
        <f t="shared" si="46"/>
        <v>3072</v>
      </c>
      <c r="L215" s="14">
        <f t="shared" si="47"/>
        <v>0.48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1.3</v>
      </c>
      <c r="B216" s="10" t="s">
        <v>17</v>
      </c>
      <c r="C216" s="11" t="s">
        <v>19</v>
      </c>
      <c r="D216" s="13">
        <v>4000</v>
      </c>
      <c r="E216" s="13">
        <f t="shared" si="43"/>
        <v>5200</v>
      </c>
      <c r="F216" s="13">
        <f t="shared" si="44"/>
        <v>5746</v>
      </c>
      <c r="G216" s="2"/>
      <c r="H216" s="2"/>
      <c r="I216" s="13">
        <f>13000/8</f>
        <v>1625</v>
      </c>
      <c r="J216" s="13">
        <f t="shared" si="45"/>
        <v>2112.5</v>
      </c>
      <c r="K216" s="13">
        <f t="shared" si="46"/>
        <v>3633.5</v>
      </c>
      <c r="L216" s="14">
        <f t="shared" si="47"/>
        <v>0.69874999999999998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4</v>
      </c>
      <c r="B217" s="10" t="s">
        <v>17</v>
      </c>
      <c r="C217" s="11" t="s">
        <v>78</v>
      </c>
      <c r="D217" s="13">
        <v>4000</v>
      </c>
      <c r="E217" s="13">
        <f t="shared" si="43"/>
        <v>16000</v>
      </c>
      <c r="F217" s="13">
        <f t="shared" si="44"/>
        <v>17680</v>
      </c>
      <c r="G217" s="2"/>
      <c r="H217" s="2"/>
      <c r="I217" s="13">
        <f>18000/8</f>
        <v>2250</v>
      </c>
      <c r="J217" s="13">
        <f t="shared" si="45"/>
        <v>9000</v>
      </c>
      <c r="K217" s="13">
        <f t="shared" si="46"/>
        <v>8680</v>
      </c>
      <c r="L217" s="14">
        <f t="shared" si="47"/>
        <v>0.54249999999999998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1</v>
      </c>
      <c r="B218" s="10" t="s">
        <v>21</v>
      </c>
      <c r="C218" s="11" t="s">
        <v>133</v>
      </c>
      <c r="D218" s="13">
        <v>3000</v>
      </c>
      <c r="E218" s="13">
        <f t="shared" si="43"/>
        <v>3000</v>
      </c>
      <c r="F218" s="13">
        <f t="shared" si="44"/>
        <v>3315</v>
      </c>
      <c r="G218" s="2"/>
      <c r="H218" s="2"/>
      <c r="I218" s="13">
        <v>500</v>
      </c>
      <c r="J218" s="13">
        <f t="shared" si="45"/>
        <v>500</v>
      </c>
      <c r="K218" s="13">
        <f t="shared" si="46"/>
        <v>2815</v>
      </c>
      <c r="L218" s="14">
        <f t="shared" si="47"/>
        <v>0.93833333333333335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2">
        <v>1</v>
      </c>
      <c r="B219" s="10" t="s">
        <v>21</v>
      </c>
      <c r="C219" s="11" t="s">
        <v>28</v>
      </c>
      <c r="D219" s="13">
        <v>3000</v>
      </c>
      <c r="E219" s="13">
        <f t="shared" si="43"/>
        <v>3000</v>
      </c>
      <c r="F219" s="13">
        <f t="shared" si="44"/>
        <v>3315</v>
      </c>
      <c r="G219" s="7" t="s">
        <v>37</v>
      </c>
      <c r="H219" s="2"/>
      <c r="I219" s="13">
        <v>2000</v>
      </c>
      <c r="J219" s="13">
        <f t="shared" si="45"/>
        <v>2000</v>
      </c>
      <c r="K219" s="13">
        <f t="shared" si="46"/>
        <v>1315</v>
      </c>
      <c r="L219" s="14">
        <f t="shared" si="47"/>
        <v>0.43833333333333335</v>
      </c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4</v>
      </c>
      <c r="B220" s="10" t="s">
        <v>4</v>
      </c>
      <c r="C220" s="11" t="s">
        <v>41</v>
      </c>
      <c r="D220" s="13">
        <v>2800</v>
      </c>
      <c r="E220" s="13">
        <f t="shared" si="43"/>
        <v>11200</v>
      </c>
      <c r="F220" s="13">
        <f t="shared" si="44"/>
        <v>12376</v>
      </c>
      <c r="G220" s="2"/>
      <c r="H220" s="2"/>
      <c r="I220" s="17">
        <v>1800</v>
      </c>
      <c r="J220" s="13">
        <f t="shared" si="45"/>
        <v>7200</v>
      </c>
      <c r="K220" s="13">
        <f t="shared" si="46"/>
        <v>5176</v>
      </c>
      <c r="L220" s="18">
        <f t="shared" si="47"/>
        <v>0.46214285714285713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2">
        <v>24</v>
      </c>
      <c r="B221" s="10" t="s">
        <v>21</v>
      </c>
      <c r="C221" s="11" t="s">
        <v>22</v>
      </c>
      <c r="D221" s="13">
        <v>1700</v>
      </c>
      <c r="E221" s="13">
        <f t="shared" si="43"/>
        <v>40800</v>
      </c>
      <c r="F221" s="13">
        <f t="shared" si="44"/>
        <v>45084</v>
      </c>
      <c r="G221" s="2"/>
      <c r="H221" s="2"/>
      <c r="I221" s="17">
        <v>1200</v>
      </c>
      <c r="J221" s="13">
        <f t="shared" si="45"/>
        <v>28800</v>
      </c>
      <c r="K221" s="13">
        <f t="shared" si="46"/>
        <v>16284</v>
      </c>
      <c r="L221" s="18">
        <f t="shared" si="47"/>
        <v>0.39911764705882352</v>
      </c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2">
        <v>2.5</v>
      </c>
      <c r="B222" s="10" t="s">
        <v>17</v>
      </c>
      <c r="C222" s="11" t="s">
        <v>89</v>
      </c>
      <c r="D222" s="13">
        <v>11000</v>
      </c>
      <c r="E222" s="13">
        <f t="shared" si="43"/>
        <v>27500</v>
      </c>
      <c r="F222" s="13">
        <f t="shared" si="44"/>
        <v>30387.5</v>
      </c>
      <c r="G222" s="2"/>
      <c r="H222" s="2"/>
      <c r="I222" s="17">
        <v>9500</v>
      </c>
      <c r="J222" s="13">
        <f t="shared" si="45"/>
        <v>23750</v>
      </c>
      <c r="K222" s="13">
        <f t="shared" si="46"/>
        <v>6637.5</v>
      </c>
      <c r="L222" s="18">
        <f t="shared" si="47"/>
        <v>0.24136363636363636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2">
        <v>0.5</v>
      </c>
      <c r="B223" s="10" t="s">
        <v>23</v>
      </c>
      <c r="C223" s="11" t="s">
        <v>12</v>
      </c>
      <c r="D223" s="13">
        <v>54000</v>
      </c>
      <c r="E223" s="13">
        <f t="shared" si="43"/>
        <v>27000</v>
      </c>
      <c r="F223" s="13">
        <f>E223*1.21</f>
        <v>32670</v>
      </c>
      <c r="G223" s="2"/>
      <c r="H223" s="2"/>
      <c r="I223" s="17">
        <v>54000</v>
      </c>
      <c r="J223" s="13">
        <f t="shared" si="45"/>
        <v>27000</v>
      </c>
      <c r="K223" s="13">
        <f t="shared" si="46"/>
        <v>5670</v>
      </c>
      <c r="L223" s="18">
        <f t="shared" si="47"/>
        <v>0.21</v>
      </c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2">
        <v>7</v>
      </c>
      <c r="B224" s="10" t="s">
        <v>17</v>
      </c>
      <c r="C224" s="11" t="s">
        <v>43</v>
      </c>
      <c r="D224" s="13">
        <v>3200</v>
      </c>
      <c r="E224" s="13">
        <f t="shared" si="43"/>
        <v>22400</v>
      </c>
      <c r="F224" s="13">
        <f t="shared" ref="F224:F240" si="48">E224*1.105</f>
        <v>24752</v>
      </c>
      <c r="G224" s="7" t="s">
        <v>37</v>
      </c>
      <c r="H224" s="2"/>
      <c r="I224" s="17">
        <v>2500</v>
      </c>
      <c r="J224" s="13">
        <f t="shared" si="45"/>
        <v>17500</v>
      </c>
      <c r="K224" s="13">
        <f t="shared" si="46"/>
        <v>7252</v>
      </c>
      <c r="L224" s="18">
        <f t="shared" si="47"/>
        <v>0.32374999999999998</v>
      </c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2">
        <v>0.5</v>
      </c>
      <c r="B225" s="10" t="s">
        <v>17</v>
      </c>
      <c r="C225" s="11" t="s">
        <v>88</v>
      </c>
      <c r="D225" s="13">
        <v>2600</v>
      </c>
      <c r="E225" s="13">
        <f t="shared" si="43"/>
        <v>1300</v>
      </c>
      <c r="F225" s="13">
        <f t="shared" si="48"/>
        <v>1436.5</v>
      </c>
      <c r="G225" s="2"/>
      <c r="H225" s="2"/>
      <c r="I225" s="13">
        <f>20000/15</f>
        <v>1333.3333333333333</v>
      </c>
      <c r="J225" s="13">
        <f t="shared" si="45"/>
        <v>666.66666666666663</v>
      </c>
      <c r="K225" s="13">
        <f t="shared" si="46"/>
        <v>769.83333333333337</v>
      </c>
      <c r="L225" s="18">
        <f t="shared" si="47"/>
        <v>0.59217948717948721</v>
      </c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2">
        <v>6</v>
      </c>
      <c r="B226" s="10" t="s">
        <v>15</v>
      </c>
      <c r="C226" s="11" t="s">
        <v>27</v>
      </c>
      <c r="D226" s="13">
        <v>23000</v>
      </c>
      <c r="E226" s="13">
        <f t="shared" si="43"/>
        <v>138000</v>
      </c>
      <c r="F226" s="13">
        <f t="shared" si="48"/>
        <v>152490</v>
      </c>
      <c r="G226" s="2"/>
      <c r="H226" s="2"/>
      <c r="I226" s="13">
        <v>18000</v>
      </c>
      <c r="J226" s="13">
        <f t="shared" si="45"/>
        <v>108000</v>
      </c>
      <c r="K226" s="13">
        <f t="shared" si="46"/>
        <v>44490</v>
      </c>
      <c r="L226" s="14">
        <f t="shared" si="47"/>
        <v>0.32239130434782609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2">
        <v>1</v>
      </c>
      <c r="B227" s="10" t="s">
        <v>21</v>
      </c>
      <c r="C227" s="11" t="s">
        <v>29</v>
      </c>
      <c r="D227" s="13">
        <v>3500</v>
      </c>
      <c r="E227" s="13">
        <f t="shared" si="43"/>
        <v>3500</v>
      </c>
      <c r="F227" s="13">
        <f t="shared" si="48"/>
        <v>3867.5</v>
      </c>
      <c r="G227" s="7" t="s">
        <v>37</v>
      </c>
      <c r="H227" s="2"/>
      <c r="I227" s="13">
        <v>1500</v>
      </c>
      <c r="J227" s="13">
        <f t="shared" si="45"/>
        <v>1500</v>
      </c>
      <c r="K227" s="13">
        <f t="shared" si="46"/>
        <v>2367.5</v>
      </c>
      <c r="L227" s="14">
        <f t="shared" si="47"/>
        <v>0.67642857142857138</v>
      </c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15</v>
      </c>
      <c r="B228" s="10" t="s">
        <v>17</v>
      </c>
      <c r="C228" s="11" t="s">
        <v>39</v>
      </c>
      <c r="D228" s="13">
        <v>2400</v>
      </c>
      <c r="E228" s="13">
        <f t="shared" si="43"/>
        <v>36000</v>
      </c>
      <c r="F228" s="13">
        <f t="shared" si="48"/>
        <v>39780</v>
      </c>
      <c r="G228" s="7" t="s">
        <v>37</v>
      </c>
      <c r="H228" s="2"/>
      <c r="I228" s="13">
        <v>1666</v>
      </c>
      <c r="J228" s="13">
        <f t="shared" si="45"/>
        <v>24990</v>
      </c>
      <c r="K228" s="13">
        <f t="shared" si="46"/>
        <v>14790</v>
      </c>
      <c r="L228" s="14">
        <f t="shared" si="47"/>
        <v>0.41083333333333333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2</v>
      </c>
      <c r="B229" s="10" t="s">
        <v>15</v>
      </c>
      <c r="C229" s="11" t="s">
        <v>40</v>
      </c>
      <c r="D229" s="13">
        <v>12000</v>
      </c>
      <c r="E229" s="13">
        <f t="shared" si="43"/>
        <v>24000</v>
      </c>
      <c r="F229" s="13">
        <f t="shared" si="48"/>
        <v>26520</v>
      </c>
      <c r="G229" s="2"/>
      <c r="H229" s="2"/>
      <c r="I229" s="13">
        <v>7000</v>
      </c>
      <c r="J229" s="13">
        <f t="shared" si="45"/>
        <v>14000</v>
      </c>
      <c r="K229" s="13">
        <f t="shared" si="46"/>
        <v>12520</v>
      </c>
      <c r="L229" s="14">
        <f t="shared" si="47"/>
        <v>0.52166666666666661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2</v>
      </c>
      <c r="B230" s="10" t="s">
        <v>23</v>
      </c>
      <c r="C230" s="11" t="s">
        <v>26</v>
      </c>
      <c r="D230" s="13">
        <v>26000</v>
      </c>
      <c r="E230" s="13">
        <f t="shared" si="43"/>
        <v>52000</v>
      </c>
      <c r="F230" s="13">
        <f t="shared" si="48"/>
        <v>57460</v>
      </c>
      <c r="G230" s="2"/>
      <c r="H230" s="2"/>
      <c r="I230" s="13">
        <v>22000</v>
      </c>
      <c r="J230" s="13">
        <f t="shared" si="45"/>
        <v>44000</v>
      </c>
      <c r="K230" s="13">
        <f t="shared" si="46"/>
        <v>13460</v>
      </c>
      <c r="L230" s="14">
        <f t="shared" si="47"/>
        <v>0.25884615384615384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12</v>
      </c>
      <c r="B231" s="10" t="s">
        <v>17</v>
      </c>
      <c r="C231" s="11" t="s">
        <v>25</v>
      </c>
      <c r="D231" s="13">
        <v>4500</v>
      </c>
      <c r="E231" s="13">
        <f t="shared" si="43"/>
        <v>54000</v>
      </c>
      <c r="F231" s="13">
        <f t="shared" si="48"/>
        <v>59670</v>
      </c>
      <c r="G231" s="2"/>
      <c r="H231" s="2"/>
      <c r="I231" s="13">
        <f>65000/18</f>
        <v>3611.1111111111113</v>
      </c>
      <c r="J231" s="13">
        <f t="shared" si="45"/>
        <v>43333.333333333336</v>
      </c>
      <c r="K231" s="13">
        <f t="shared" si="46"/>
        <v>16336.666666666664</v>
      </c>
      <c r="L231" s="14">
        <f t="shared" si="47"/>
        <v>0.30253086419753084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10</v>
      </c>
      <c r="B232" s="10" t="s">
        <v>17</v>
      </c>
      <c r="C232" s="11" t="s">
        <v>24</v>
      </c>
      <c r="D232" s="13">
        <v>3600</v>
      </c>
      <c r="E232" s="13">
        <f t="shared" si="43"/>
        <v>36000</v>
      </c>
      <c r="F232" s="13">
        <f t="shared" si="48"/>
        <v>39780</v>
      </c>
      <c r="G232" s="2"/>
      <c r="H232" s="2"/>
      <c r="I232" s="13">
        <f>53000/18</f>
        <v>2944.4444444444443</v>
      </c>
      <c r="J232" s="13">
        <f t="shared" si="45"/>
        <v>29444.444444444445</v>
      </c>
      <c r="K232" s="13">
        <f t="shared" si="46"/>
        <v>10335.555555555555</v>
      </c>
      <c r="L232" s="14">
        <f t="shared" si="47"/>
        <v>0.28709876543209872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3</v>
      </c>
      <c r="B233" s="10" t="s">
        <v>4</v>
      </c>
      <c r="C233" s="11" t="s">
        <v>65</v>
      </c>
      <c r="D233" s="13">
        <v>1600</v>
      </c>
      <c r="E233" s="13">
        <f t="shared" si="43"/>
        <v>4800</v>
      </c>
      <c r="F233" s="13">
        <f t="shared" si="48"/>
        <v>5304</v>
      </c>
      <c r="G233" s="2"/>
      <c r="H233" s="2"/>
      <c r="I233" s="13">
        <v>1078</v>
      </c>
      <c r="J233" s="13">
        <f t="shared" si="45"/>
        <v>3234</v>
      </c>
      <c r="K233" s="13">
        <f t="shared" si="46"/>
        <v>2070</v>
      </c>
      <c r="L233" s="14">
        <f t="shared" si="47"/>
        <v>0.43125000000000002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20</v>
      </c>
      <c r="B234" s="10" t="s">
        <v>21</v>
      </c>
      <c r="C234" s="11" t="s">
        <v>46</v>
      </c>
      <c r="D234" s="13">
        <v>600</v>
      </c>
      <c r="E234" s="13">
        <f t="shared" si="43"/>
        <v>12000</v>
      </c>
      <c r="F234" s="13">
        <f t="shared" si="48"/>
        <v>13260</v>
      </c>
      <c r="G234" s="2"/>
      <c r="H234" s="2"/>
      <c r="I234" s="13">
        <v>208</v>
      </c>
      <c r="J234" s="13">
        <f t="shared" si="45"/>
        <v>4160</v>
      </c>
      <c r="K234" s="13">
        <f t="shared" si="46"/>
        <v>9100</v>
      </c>
      <c r="L234" s="14">
        <f t="shared" si="47"/>
        <v>0.7583333333333333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2</v>
      </c>
      <c r="B235" s="10" t="s">
        <v>17</v>
      </c>
      <c r="C235" s="11" t="s">
        <v>56</v>
      </c>
      <c r="D235" s="13">
        <v>800</v>
      </c>
      <c r="E235" s="13">
        <f t="shared" si="43"/>
        <v>1600</v>
      </c>
      <c r="F235" s="13">
        <f t="shared" si="48"/>
        <v>1768</v>
      </c>
      <c r="G235" s="2"/>
      <c r="H235" s="2"/>
      <c r="I235" s="13">
        <f>10000/15</f>
        <v>666.66666666666663</v>
      </c>
      <c r="J235" s="13">
        <f t="shared" si="45"/>
        <v>1333.3333333333333</v>
      </c>
      <c r="K235" s="13">
        <f t="shared" si="46"/>
        <v>434.66666666666674</v>
      </c>
      <c r="L235" s="14">
        <f t="shared" si="47"/>
        <v>0.27166666666666672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1</v>
      </c>
      <c r="B236" s="10" t="s">
        <v>17</v>
      </c>
      <c r="C236" s="11" t="s">
        <v>30</v>
      </c>
      <c r="D236" s="13">
        <v>1500</v>
      </c>
      <c r="E236" s="13">
        <f t="shared" si="43"/>
        <v>1500</v>
      </c>
      <c r="F236" s="13">
        <f t="shared" si="48"/>
        <v>1657.5</v>
      </c>
      <c r="G236" s="2"/>
      <c r="H236" s="2"/>
      <c r="I236" s="13">
        <v>1500</v>
      </c>
      <c r="J236" s="13">
        <f t="shared" si="45"/>
        <v>1500</v>
      </c>
      <c r="K236" s="13">
        <f t="shared" si="46"/>
        <v>157.5</v>
      </c>
      <c r="L236" s="14">
        <f t="shared" si="47"/>
        <v>0.105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7</v>
      </c>
      <c r="B237" s="10" t="s">
        <v>17</v>
      </c>
      <c r="C237" s="11" t="s">
        <v>82</v>
      </c>
      <c r="D237" s="13">
        <v>1400</v>
      </c>
      <c r="E237" s="13">
        <f t="shared" si="43"/>
        <v>9800</v>
      </c>
      <c r="F237" s="13">
        <f t="shared" si="48"/>
        <v>10829</v>
      </c>
      <c r="G237" s="2"/>
      <c r="H237" s="2"/>
      <c r="I237" s="13">
        <f>16000/15</f>
        <v>1066.6666666666667</v>
      </c>
      <c r="J237" s="13">
        <f t="shared" si="45"/>
        <v>7466.666666666667</v>
      </c>
      <c r="K237" s="13">
        <f t="shared" si="46"/>
        <v>3362.333333333333</v>
      </c>
      <c r="L237" s="14">
        <f t="shared" si="47"/>
        <v>0.34309523809523806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2">
        <v>0.6</v>
      </c>
      <c r="B238" s="10" t="s">
        <v>17</v>
      </c>
      <c r="C238" s="11" t="s">
        <v>61</v>
      </c>
      <c r="D238" s="13">
        <v>1400</v>
      </c>
      <c r="E238" s="13">
        <f t="shared" si="43"/>
        <v>840</v>
      </c>
      <c r="F238" s="13">
        <f t="shared" si="48"/>
        <v>928.19999999999993</v>
      </c>
      <c r="G238" s="2"/>
      <c r="H238" s="7"/>
      <c r="I238" s="13">
        <v>1000</v>
      </c>
      <c r="J238" s="13">
        <f t="shared" si="45"/>
        <v>600</v>
      </c>
      <c r="K238" s="13">
        <f t="shared" si="46"/>
        <v>328.19999999999993</v>
      </c>
      <c r="L238" s="14">
        <f t="shared" si="47"/>
        <v>0.39071428571428563</v>
      </c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2">
        <v>1.3</v>
      </c>
      <c r="B239" s="10" t="s">
        <v>17</v>
      </c>
      <c r="C239" s="11" t="s">
        <v>93</v>
      </c>
      <c r="D239" s="13">
        <v>3000</v>
      </c>
      <c r="E239" s="13">
        <f t="shared" si="43"/>
        <v>3900</v>
      </c>
      <c r="F239" s="13">
        <f t="shared" si="48"/>
        <v>4309.5</v>
      </c>
      <c r="G239" s="2"/>
      <c r="H239" s="2"/>
      <c r="I239" s="13">
        <f>13000/7</f>
        <v>1857.1428571428571</v>
      </c>
      <c r="J239" s="13">
        <f t="shared" si="45"/>
        <v>2414.2857142857142</v>
      </c>
      <c r="K239" s="13">
        <f t="shared" si="46"/>
        <v>1895.2142857142858</v>
      </c>
      <c r="L239" s="14">
        <f t="shared" si="47"/>
        <v>0.48595238095238097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2">
        <v>0.6</v>
      </c>
      <c r="B240" s="10" t="s">
        <v>17</v>
      </c>
      <c r="C240" s="11" t="s">
        <v>99</v>
      </c>
      <c r="D240" s="13">
        <v>1500</v>
      </c>
      <c r="E240" s="13">
        <f t="shared" si="43"/>
        <v>900</v>
      </c>
      <c r="F240" s="13">
        <f t="shared" si="48"/>
        <v>994.5</v>
      </c>
      <c r="G240" s="2"/>
      <c r="H240" s="2"/>
      <c r="I240" s="13">
        <v>1250</v>
      </c>
      <c r="J240" s="13">
        <f t="shared" si="45"/>
        <v>750</v>
      </c>
      <c r="K240" s="13">
        <f t="shared" si="46"/>
        <v>244.5</v>
      </c>
      <c r="L240" s="14">
        <f t="shared" si="47"/>
        <v>0.27166666666666667</v>
      </c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2"/>
      <c r="C241" s="4"/>
      <c r="D241" s="2"/>
      <c r="E241" s="2"/>
      <c r="F241" s="2"/>
      <c r="G241" s="2"/>
      <c r="H241" s="2"/>
      <c r="I241" s="2"/>
      <c r="J241" s="2"/>
      <c r="K241" s="2"/>
      <c r="L241" s="3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"/>
      <c r="B242" s="2"/>
      <c r="C242" s="4"/>
      <c r="D242" s="2"/>
      <c r="E242" s="13">
        <f t="shared" ref="E242:F242" si="49">SUM(E208:E240)</f>
        <v>588590</v>
      </c>
      <c r="F242" s="13">
        <f t="shared" si="49"/>
        <v>653226.94999999995</v>
      </c>
      <c r="G242" s="2"/>
      <c r="H242" s="2"/>
      <c r="I242" s="2"/>
      <c r="J242" s="2"/>
      <c r="K242" s="13">
        <f>SUM(K208:K240)</f>
        <v>215120.60873015874</v>
      </c>
      <c r="L242" s="14">
        <f>K242/F242</f>
        <v>0.32931986154300391</v>
      </c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0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0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88" t="s">
        <v>66</v>
      </c>
      <c r="B245" s="89"/>
      <c r="C245" s="89"/>
      <c r="D245" s="2"/>
      <c r="E245" s="7" t="s">
        <v>69</v>
      </c>
      <c r="F245" s="8">
        <v>46118</v>
      </c>
      <c r="G245" s="2"/>
      <c r="H245" s="2"/>
      <c r="I245" s="9" t="s">
        <v>2</v>
      </c>
      <c r="J245" s="9"/>
      <c r="K245" s="9"/>
      <c r="L245" s="3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3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6" t="s">
        <v>3</v>
      </c>
      <c r="B247" s="10" t="s">
        <v>4</v>
      </c>
      <c r="C247" s="11" t="s">
        <v>5</v>
      </c>
      <c r="D247" s="10" t="s">
        <v>6</v>
      </c>
      <c r="E247" s="10" t="s">
        <v>7</v>
      </c>
      <c r="F247" s="10" t="s">
        <v>8</v>
      </c>
      <c r="G247" s="2"/>
      <c r="H247" s="2"/>
      <c r="I247" s="10" t="s">
        <v>9</v>
      </c>
      <c r="J247" s="10" t="s">
        <v>7</v>
      </c>
      <c r="K247" s="10" t="s">
        <v>10</v>
      </c>
      <c r="L247" s="3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6</v>
      </c>
      <c r="B248" s="10" t="s">
        <v>17</v>
      </c>
      <c r="C248" s="11" t="s">
        <v>39</v>
      </c>
      <c r="D248" s="13">
        <v>2400</v>
      </c>
      <c r="E248" s="13">
        <f t="shared" ref="E248:E275" si="50">A248*D248</f>
        <v>14400</v>
      </c>
      <c r="F248" s="13">
        <f t="shared" ref="F248:F275" si="51">E248*1.105</f>
        <v>15912</v>
      </c>
      <c r="G248" s="2"/>
      <c r="H248" s="2"/>
      <c r="I248" s="13">
        <f>25000/15</f>
        <v>1666.6666666666667</v>
      </c>
      <c r="J248" s="13">
        <f t="shared" ref="J248:J275" si="52">I248*A248</f>
        <v>10000</v>
      </c>
      <c r="K248" s="13">
        <f t="shared" ref="K248:K275" si="53">F248-J248</f>
        <v>5912</v>
      </c>
      <c r="L248" s="14">
        <f t="shared" ref="L248:L275" si="54">IFERROR(K248/E248, 0)</f>
        <v>0.41055555555555556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0.5</v>
      </c>
      <c r="B249" s="10" t="s">
        <v>21</v>
      </c>
      <c r="C249" s="11" t="s">
        <v>29</v>
      </c>
      <c r="D249" s="13">
        <v>3500</v>
      </c>
      <c r="E249" s="13">
        <f t="shared" si="50"/>
        <v>1750</v>
      </c>
      <c r="F249" s="13">
        <f t="shared" si="51"/>
        <v>1933.75</v>
      </c>
      <c r="G249" s="2"/>
      <c r="H249" s="2"/>
      <c r="I249" s="13">
        <v>1500</v>
      </c>
      <c r="J249" s="13">
        <f t="shared" si="52"/>
        <v>750</v>
      </c>
      <c r="K249" s="13">
        <f t="shared" si="53"/>
        <v>1183.75</v>
      </c>
      <c r="L249" s="14">
        <f t="shared" si="54"/>
        <v>0.67642857142857138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2.2999999999999998</v>
      </c>
      <c r="B250" s="10" t="s">
        <v>17</v>
      </c>
      <c r="C250" s="11" t="s">
        <v>36</v>
      </c>
      <c r="D250" s="13">
        <v>1800</v>
      </c>
      <c r="E250" s="13">
        <f t="shared" si="50"/>
        <v>4140</v>
      </c>
      <c r="F250" s="13">
        <f t="shared" si="51"/>
        <v>4574.7</v>
      </c>
      <c r="G250" s="2"/>
      <c r="H250" s="7" t="s">
        <v>37</v>
      </c>
      <c r="I250" s="13">
        <v>1000</v>
      </c>
      <c r="J250" s="13">
        <f t="shared" si="52"/>
        <v>2300</v>
      </c>
      <c r="K250" s="13">
        <f t="shared" si="53"/>
        <v>2274.6999999999998</v>
      </c>
      <c r="L250" s="14">
        <f t="shared" si="54"/>
        <v>0.5494444444444444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1</v>
      </c>
      <c r="B251" s="10" t="s">
        <v>15</v>
      </c>
      <c r="C251" s="11" t="s">
        <v>40</v>
      </c>
      <c r="D251" s="13">
        <v>12000</v>
      </c>
      <c r="E251" s="13">
        <f t="shared" si="50"/>
        <v>12000</v>
      </c>
      <c r="F251" s="13">
        <f t="shared" si="51"/>
        <v>13260</v>
      </c>
      <c r="G251" s="2"/>
      <c r="H251" s="2"/>
      <c r="I251" s="13">
        <v>7000</v>
      </c>
      <c r="J251" s="13">
        <f t="shared" si="52"/>
        <v>7000</v>
      </c>
      <c r="K251" s="13">
        <f t="shared" si="53"/>
        <v>6260</v>
      </c>
      <c r="L251" s="14">
        <f t="shared" si="54"/>
        <v>0.52166666666666661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4</v>
      </c>
      <c r="B252" s="10" t="s">
        <v>17</v>
      </c>
      <c r="C252" s="11" t="s">
        <v>43</v>
      </c>
      <c r="D252" s="13">
        <v>3200</v>
      </c>
      <c r="E252" s="13">
        <f t="shared" si="50"/>
        <v>12800</v>
      </c>
      <c r="F252" s="13">
        <f t="shared" si="51"/>
        <v>14144</v>
      </c>
      <c r="G252" s="2"/>
      <c r="H252" s="2"/>
      <c r="I252" s="13">
        <v>2500</v>
      </c>
      <c r="J252" s="13">
        <f t="shared" si="52"/>
        <v>10000</v>
      </c>
      <c r="K252" s="13">
        <f t="shared" si="53"/>
        <v>4144</v>
      </c>
      <c r="L252" s="14">
        <f t="shared" si="54"/>
        <v>0.32374999999999998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16</v>
      </c>
      <c r="B253" s="10" t="s">
        <v>21</v>
      </c>
      <c r="C253" s="11" t="s">
        <v>46</v>
      </c>
      <c r="D253" s="13">
        <v>600</v>
      </c>
      <c r="E253" s="13">
        <f t="shared" si="50"/>
        <v>9600</v>
      </c>
      <c r="F253" s="13">
        <f t="shared" si="51"/>
        <v>10608</v>
      </c>
      <c r="G253" s="2"/>
      <c r="H253" s="2"/>
      <c r="I253" s="13">
        <v>208</v>
      </c>
      <c r="J253" s="13">
        <f t="shared" si="52"/>
        <v>3328</v>
      </c>
      <c r="K253" s="13">
        <f t="shared" si="53"/>
        <v>7280</v>
      </c>
      <c r="L253" s="14">
        <f t="shared" si="54"/>
        <v>0.7583333333333333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0.5</v>
      </c>
      <c r="B254" s="10" t="s">
        <v>17</v>
      </c>
      <c r="C254" s="11" t="s">
        <v>35</v>
      </c>
      <c r="D254" s="13">
        <v>2500</v>
      </c>
      <c r="E254" s="13">
        <f t="shared" si="50"/>
        <v>1250</v>
      </c>
      <c r="F254" s="13">
        <f t="shared" si="51"/>
        <v>1381.25</v>
      </c>
      <c r="G254" s="2"/>
      <c r="H254" s="2"/>
      <c r="I254" s="13">
        <v>1400</v>
      </c>
      <c r="J254" s="13">
        <f t="shared" si="52"/>
        <v>700</v>
      </c>
      <c r="K254" s="13">
        <f t="shared" si="53"/>
        <v>681.25</v>
      </c>
      <c r="L254" s="14">
        <f t="shared" si="54"/>
        <v>0.54500000000000004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1</v>
      </c>
      <c r="B255" s="10" t="s">
        <v>15</v>
      </c>
      <c r="C255" s="11" t="s">
        <v>16</v>
      </c>
      <c r="D255" s="13">
        <v>13000</v>
      </c>
      <c r="E255" s="13">
        <f t="shared" si="50"/>
        <v>13000</v>
      </c>
      <c r="F255" s="13">
        <f t="shared" si="51"/>
        <v>14365</v>
      </c>
      <c r="G255" s="2"/>
      <c r="H255" s="2"/>
      <c r="I255" s="13">
        <v>8000</v>
      </c>
      <c r="J255" s="13">
        <f t="shared" si="52"/>
        <v>8000</v>
      </c>
      <c r="K255" s="13">
        <f t="shared" si="53"/>
        <v>6365</v>
      </c>
      <c r="L255" s="14">
        <f t="shared" si="54"/>
        <v>0.48961538461538462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3</v>
      </c>
      <c r="B256" s="10" t="s">
        <v>15</v>
      </c>
      <c r="C256" s="11" t="s">
        <v>27</v>
      </c>
      <c r="D256" s="13">
        <v>23000</v>
      </c>
      <c r="E256" s="13">
        <f t="shared" si="50"/>
        <v>69000</v>
      </c>
      <c r="F256" s="13">
        <f t="shared" si="51"/>
        <v>76245</v>
      </c>
      <c r="G256" s="2"/>
      <c r="H256" s="2"/>
      <c r="I256" s="13">
        <v>18000</v>
      </c>
      <c r="J256" s="13">
        <f t="shared" si="52"/>
        <v>54000</v>
      </c>
      <c r="K256" s="13">
        <f t="shared" si="53"/>
        <v>22245</v>
      </c>
      <c r="L256" s="14">
        <f t="shared" si="54"/>
        <v>0.32239130434782609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1</v>
      </c>
      <c r="B257" s="10" t="s">
        <v>15</v>
      </c>
      <c r="C257" s="11" t="s">
        <v>129</v>
      </c>
      <c r="D257" s="13">
        <v>16000</v>
      </c>
      <c r="E257" s="13">
        <f t="shared" si="50"/>
        <v>16000</v>
      </c>
      <c r="F257" s="13">
        <f t="shared" si="51"/>
        <v>17680</v>
      </c>
      <c r="G257" s="2"/>
      <c r="H257" s="2"/>
      <c r="I257" s="13">
        <v>12000</v>
      </c>
      <c r="J257" s="13">
        <f t="shared" si="52"/>
        <v>12000</v>
      </c>
      <c r="K257" s="13">
        <f t="shared" si="53"/>
        <v>5680</v>
      </c>
      <c r="L257" s="14">
        <f t="shared" si="54"/>
        <v>0.35499999999999998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5</v>
      </c>
      <c r="B258" s="10" t="s">
        <v>17</v>
      </c>
      <c r="C258" s="11" t="s">
        <v>25</v>
      </c>
      <c r="D258" s="13">
        <v>4500</v>
      </c>
      <c r="E258" s="13">
        <f t="shared" si="50"/>
        <v>22500</v>
      </c>
      <c r="F258" s="13">
        <f t="shared" si="51"/>
        <v>24862.5</v>
      </c>
      <c r="G258" s="2"/>
      <c r="H258" s="2"/>
      <c r="I258" s="17">
        <f>65000/17</f>
        <v>3823.5294117647059</v>
      </c>
      <c r="J258" s="13">
        <f t="shared" si="52"/>
        <v>19117.647058823528</v>
      </c>
      <c r="K258" s="13">
        <f t="shared" si="53"/>
        <v>5744.8529411764721</v>
      </c>
      <c r="L258" s="14">
        <f t="shared" si="54"/>
        <v>0.25532679738562097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10</v>
      </c>
      <c r="B259" s="10" t="s">
        <v>17</v>
      </c>
      <c r="C259" s="11" t="s">
        <v>24</v>
      </c>
      <c r="D259" s="13">
        <v>3600</v>
      </c>
      <c r="E259" s="13">
        <f t="shared" si="50"/>
        <v>36000</v>
      </c>
      <c r="F259" s="13">
        <f t="shared" si="51"/>
        <v>39780</v>
      </c>
      <c r="G259" s="2"/>
      <c r="H259" s="2"/>
      <c r="I259" s="13">
        <f>52000/17</f>
        <v>3058.8235294117649</v>
      </c>
      <c r="J259" s="13">
        <f t="shared" si="52"/>
        <v>30588.23529411765</v>
      </c>
      <c r="K259" s="13">
        <f t="shared" si="53"/>
        <v>9191.7647058823495</v>
      </c>
      <c r="L259" s="14">
        <f t="shared" si="54"/>
        <v>0.25532679738562081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1</v>
      </c>
      <c r="B260" s="10" t="s">
        <v>23</v>
      </c>
      <c r="C260" s="11" t="s">
        <v>26</v>
      </c>
      <c r="D260" s="13">
        <v>26000</v>
      </c>
      <c r="E260" s="13">
        <f t="shared" si="50"/>
        <v>26000</v>
      </c>
      <c r="F260" s="13">
        <f t="shared" si="51"/>
        <v>28730</v>
      </c>
      <c r="G260" s="2"/>
      <c r="H260" s="2"/>
      <c r="I260" s="13">
        <v>22000</v>
      </c>
      <c r="J260" s="13">
        <f t="shared" si="52"/>
        <v>22000</v>
      </c>
      <c r="K260" s="13">
        <f t="shared" si="53"/>
        <v>6730</v>
      </c>
      <c r="L260" s="14">
        <f t="shared" si="54"/>
        <v>0.25884615384615384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3</v>
      </c>
      <c r="B261" s="10" t="s">
        <v>17</v>
      </c>
      <c r="C261" s="11" t="s">
        <v>62</v>
      </c>
      <c r="D261" s="13">
        <v>3000</v>
      </c>
      <c r="E261" s="13">
        <f t="shared" si="50"/>
        <v>9000</v>
      </c>
      <c r="F261" s="13">
        <f t="shared" si="51"/>
        <v>9945</v>
      </c>
      <c r="G261" s="2"/>
      <c r="H261" s="2"/>
      <c r="I261" s="13">
        <f>32000/18</f>
        <v>1777.7777777777778</v>
      </c>
      <c r="J261" s="13">
        <f t="shared" si="52"/>
        <v>5333.3333333333339</v>
      </c>
      <c r="K261" s="13">
        <f t="shared" si="53"/>
        <v>4611.6666666666661</v>
      </c>
      <c r="L261" s="14">
        <f t="shared" si="54"/>
        <v>0.51240740740740731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3</v>
      </c>
      <c r="B262" s="10" t="s">
        <v>17</v>
      </c>
      <c r="C262" s="11" t="s">
        <v>31</v>
      </c>
      <c r="D262" s="13">
        <v>3200</v>
      </c>
      <c r="E262" s="13">
        <f t="shared" si="50"/>
        <v>9600</v>
      </c>
      <c r="F262" s="13">
        <f t="shared" si="51"/>
        <v>10608</v>
      </c>
      <c r="G262" s="2"/>
      <c r="H262" s="2"/>
      <c r="I262" s="13">
        <f t="shared" ref="I262:I264" si="55">15000/7</f>
        <v>2142.8571428571427</v>
      </c>
      <c r="J262" s="13">
        <f t="shared" si="52"/>
        <v>6428.5714285714275</v>
      </c>
      <c r="K262" s="13">
        <f t="shared" si="53"/>
        <v>4179.4285714285725</v>
      </c>
      <c r="L262" s="14">
        <f t="shared" si="54"/>
        <v>0.43535714285714294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1.5</v>
      </c>
      <c r="B263" s="10" t="s">
        <v>17</v>
      </c>
      <c r="C263" s="11" t="s">
        <v>33</v>
      </c>
      <c r="D263" s="13">
        <v>2800</v>
      </c>
      <c r="E263" s="13">
        <f t="shared" si="50"/>
        <v>4200</v>
      </c>
      <c r="F263" s="13">
        <f t="shared" si="51"/>
        <v>4641</v>
      </c>
      <c r="G263" s="2"/>
      <c r="H263" s="2"/>
      <c r="I263" s="13">
        <f t="shared" si="55"/>
        <v>2142.8571428571427</v>
      </c>
      <c r="J263" s="13">
        <f t="shared" si="52"/>
        <v>3214.2857142857138</v>
      </c>
      <c r="K263" s="13">
        <f t="shared" si="53"/>
        <v>1426.7142857142862</v>
      </c>
      <c r="L263" s="14">
        <f t="shared" si="54"/>
        <v>0.33969387755102054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1</v>
      </c>
      <c r="B264" s="10" t="s">
        <v>17</v>
      </c>
      <c r="C264" s="11" t="s">
        <v>32</v>
      </c>
      <c r="D264" s="13">
        <v>2400</v>
      </c>
      <c r="E264" s="13">
        <f t="shared" si="50"/>
        <v>2400</v>
      </c>
      <c r="F264" s="13">
        <f t="shared" si="51"/>
        <v>2652</v>
      </c>
      <c r="G264" s="2"/>
      <c r="H264" s="2"/>
      <c r="I264" s="13">
        <f t="shared" si="55"/>
        <v>2142.8571428571427</v>
      </c>
      <c r="J264" s="13">
        <f t="shared" si="52"/>
        <v>2142.8571428571427</v>
      </c>
      <c r="K264" s="13">
        <f t="shared" si="53"/>
        <v>509.14285714285734</v>
      </c>
      <c r="L264" s="14">
        <f t="shared" si="54"/>
        <v>0.21214285714285722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1</v>
      </c>
      <c r="B265" s="10" t="s">
        <v>17</v>
      </c>
      <c r="C265" s="11" t="s">
        <v>56</v>
      </c>
      <c r="D265" s="13">
        <v>800</v>
      </c>
      <c r="E265" s="13">
        <f t="shared" si="50"/>
        <v>800</v>
      </c>
      <c r="F265" s="13">
        <f t="shared" si="51"/>
        <v>884</v>
      </c>
      <c r="G265" s="2"/>
      <c r="H265" s="13"/>
      <c r="I265" s="13">
        <f>10000/15</f>
        <v>666.66666666666663</v>
      </c>
      <c r="J265" s="13">
        <f t="shared" si="52"/>
        <v>666.66666666666663</v>
      </c>
      <c r="K265" s="13">
        <f t="shared" si="53"/>
        <v>217.33333333333337</v>
      </c>
      <c r="L265" s="14">
        <f t="shared" si="54"/>
        <v>0.27166666666666672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1</v>
      </c>
      <c r="B266" s="10" t="s">
        <v>17</v>
      </c>
      <c r="C266" s="11" t="s">
        <v>61</v>
      </c>
      <c r="D266" s="13">
        <v>1400</v>
      </c>
      <c r="E266" s="13">
        <f t="shared" si="50"/>
        <v>1400</v>
      </c>
      <c r="F266" s="13">
        <f t="shared" si="51"/>
        <v>1547</v>
      </c>
      <c r="G266" s="2"/>
      <c r="H266" s="13"/>
      <c r="I266" s="13">
        <v>1000</v>
      </c>
      <c r="J266" s="13">
        <f t="shared" si="52"/>
        <v>1000</v>
      </c>
      <c r="K266" s="13">
        <f t="shared" si="53"/>
        <v>547</v>
      </c>
      <c r="L266" s="14">
        <f t="shared" si="54"/>
        <v>0.39071428571428574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0.5</v>
      </c>
      <c r="B267" s="10" t="s">
        <v>17</v>
      </c>
      <c r="C267" s="11" t="s">
        <v>93</v>
      </c>
      <c r="D267" s="13">
        <v>3000</v>
      </c>
      <c r="E267" s="13">
        <f t="shared" si="50"/>
        <v>1500</v>
      </c>
      <c r="F267" s="13">
        <f t="shared" si="51"/>
        <v>1657.5</v>
      </c>
      <c r="G267" s="2"/>
      <c r="H267" s="2"/>
      <c r="I267" s="13">
        <f>13000/7</f>
        <v>1857.1428571428571</v>
      </c>
      <c r="J267" s="13">
        <f t="shared" si="52"/>
        <v>928.57142857142856</v>
      </c>
      <c r="K267" s="13">
        <f t="shared" si="53"/>
        <v>728.92857142857144</v>
      </c>
      <c r="L267" s="14">
        <f t="shared" si="54"/>
        <v>0.48595238095238097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25</v>
      </c>
      <c r="B268" s="10" t="s">
        <v>4</v>
      </c>
      <c r="C268" s="11" t="s">
        <v>20</v>
      </c>
      <c r="D268" s="13">
        <v>800</v>
      </c>
      <c r="E268" s="13">
        <f t="shared" si="50"/>
        <v>20000</v>
      </c>
      <c r="F268" s="13">
        <f t="shared" si="51"/>
        <v>22100</v>
      </c>
      <c r="G268" s="2"/>
      <c r="H268" s="2"/>
      <c r="I268" s="13">
        <f>30000/94</f>
        <v>319.14893617021278</v>
      </c>
      <c r="J268" s="13">
        <f t="shared" si="52"/>
        <v>7978.7234042553191</v>
      </c>
      <c r="K268" s="13">
        <f t="shared" si="53"/>
        <v>14121.276595744681</v>
      </c>
      <c r="L268" s="14">
        <f t="shared" si="54"/>
        <v>0.70606382978723403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1</v>
      </c>
      <c r="B269" s="10" t="s">
        <v>4</v>
      </c>
      <c r="C269" s="11" t="s">
        <v>41</v>
      </c>
      <c r="D269" s="13">
        <v>2800</v>
      </c>
      <c r="E269" s="13">
        <f t="shared" si="50"/>
        <v>2800</v>
      </c>
      <c r="F269" s="13">
        <f t="shared" si="51"/>
        <v>3094</v>
      </c>
      <c r="G269" s="2"/>
      <c r="H269" s="2"/>
      <c r="I269" s="13">
        <v>1800</v>
      </c>
      <c r="J269" s="13">
        <f t="shared" si="52"/>
        <v>1800</v>
      </c>
      <c r="K269" s="13">
        <f t="shared" si="53"/>
        <v>1294</v>
      </c>
      <c r="L269" s="14">
        <f t="shared" si="54"/>
        <v>0.46214285714285713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10</v>
      </c>
      <c r="B270" s="10" t="s">
        <v>21</v>
      </c>
      <c r="C270" s="11" t="s">
        <v>22</v>
      </c>
      <c r="D270" s="13">
        <v>1700</v>
      </c>
      <c r="E270" s="13">
        <f t="shared" si="50"/>
        <v>17000</v>
      </c>
      <c r="F270" s="13">
        <f t="shared" si="51"/>
        <v>18785</v>
      </c>
      <c r="G270" s="2"/>
      <c r="H270" s="2"/>
      <c r="I270" s="13">
        <v>1200</v>
      </c>
      <c r="J270" s="13">
        <f t="shared" si="52"/>
        <v>12000</v>
      </c>
      <c r="K270" s="13">
        <f t="shared" si="53"/>
        <v>6785</v>
      </c>
      <c r="L270" s="14">
        <f t="shared" si="54"/>
        <v>0.39911764705882352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1.5</v>
      </c>
      <c r="B271" s="10" t="s">
        <v>17</v>
      </c>
      <c r="C271" s="11" t="s">
        <v>19</v>
      </c>
      <c r="D271" s="13">
        <v>4000</v>
      </c>
      <c r="E271" s="13">
        <f t="shared" si="50"/>
        <v>6000</v>
      </c>
      <c r="F271" s="13">
        <f t="shared" si="51"/>
        <v>6630</v>
      </c>
      <c r="G271" s="2"/>
      <c r="H271" s="2"/>
      <c r="I271" s="13">
        <f>13000/8</f>
        <v>1625</v>
      </c>
      <c r="J271" s="13">
        <f t="shared" si="52"/>
        <v>2437.5</v>
      </c>
      <c r="K271" s="13">
        <f t="shared" si="53"/>
        <v>4192.5</v>
      </c>
      <c r="L271" s="14">
        <f t="shared" si="54"/>
        <v>0.69874999999999998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2</v>
      </c>
      <c r="B272" s="10" t="s">
        <v>17</v>
      </c>
      <c r="C272" s="11" t="s">
        <v>78</v>
      </c>
      <c r="D272" s="13">
        <v>4000</v>
      </c>
      <c r="E272" s="13">
        <f t="shared" si="50"/>
        <v>8000</v>
      </c>
      <c r="F272" s="13">
        <f t="shared" si="51"/>
        <v>8840</v>
      </c>
      <c r="G272" s="2"/>
      <c r="H272" s="2"/>
      <c r="I272" s="13">
        <f>18000/8</f>
        <v>2250</v>
      </c>
      <c r="J272" s="13">
        <f t="shared" si="52"/>
        <v>4500</v>
      </c>
      <c r="K272" s="13">
        <f t="shared" si="53"/>
        <v>4340</v>
      </c>
      <c r="L272" s="14">
        <f t="shared" si="54"/>
        <v>0.54249999999999998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1</v>
      </c>
      <c r="B273" s="10" t="s">
        <v>4</v>
      </c>
      <c r="C273" s="11" t="s">
        <v>64</v>
      </c>
      <c r="D273" s="13">
        <v>2500</v>
      </c>
      <c r="E273" s="13">
        <f t="shared" si="50"/>
        <v>2500</v>
      </c>
      <c r="F273" s="13">
        <f t="shared" si="51"/>
        <v>2762.5</v>
      </c>
      <c r="G273" s="2"/>
      <c r="H273" s="2"/>
      <c r="I273" s="13">
        <v>1000</v>
      </c>
      <c r="J273" s="13">
        <f t="shared" si="52"/>
        <v>1000</v>
      </c>
      <c r="K273" s="13">
        <f t="shared" si="53"/>
        <v>1762.5</v>
      </c>
      <c r="L273" s="14">
        <f t="shared" si="54"/>
        <v>0.70499999999999996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1</v>
      </c>
      <c r="B274" s="10" t="s">
        <v>21</v>
      </c>
      <c r="C274" s="11" t="s">
        <v>133</v>
      </c>
      <c r="D274" s="13">
        <v>3000</v>
      </c>
      <c r="E274" s="13">
        <f t="shared" si="50"/>
        <v>3000</v>
      </c>
      <c r="F274" s="13">
        <f t="shared" si="51"/>
        <v>3315</v>
      </c>
      <c r="G274" s="2"/>
      <c r="H274" s="2"/>
      <c r="I274" s="13">
        <v>500</v>
      </c>
      <c r="J274" s="13">
        <f t="shared" si="52"/>
        <v>500</v>
      </c>
      <c r="K274" s="13">
        <f t="shared" si="53"/>
        <v>2815</v>
      </c>
      <c r="L274" s="14">
        <f t="shared" si="54"/>
        <v>0.93833333333333335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1</v>
      </c>
      <c r="B275" s="10" t="s">
        <v>17</v>
      </c>
      <c r="C275" s="11" t="s">
        <v>89</v>
      </c>
      <c r="D275" s="13">
        <v>11000</v>
      </c>
      <c r="E275" s="13">
        <f t="shared" si="50"/>
        <v>11000</v>
      </c>
      <c r="F275" s="13">
        <f t="shared" si="51"/>
        <v>12155</v>
      </c>
      <c r="G275" s="2"/>
      <c r="H275" s="2"/>
      <c r="I275" s="13">
        <v>9500</v>
      </c>
      <c r="J275" s="13">
        <f t="shared" si="52"/>
        <v>9500</v>
      </c>
      <c r="K275" s="13">
        <f t="shared" si="53"/>
        <v>2655</v>
      </c>
      <c r="L275" s="14">
        <f t="shared" si="54"/>
        <v>0.24136363636363636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2"/>
      <c r="C276" s="4"/>
      <c r="D276" s="2"/>
      <c r="E276" s="2"/>
      <c r="F276" s="2"/>
      <c r="G276" s="2"/>
      <c r="H276" s="2"/>
      <c r="I276" s="2"/>
      <c r="J276" s="2"/>
      <c r="K276" s="2"/>
      <c r="L276" s="3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"/>
      <c r="B277" s="2"/>
      <c r="C277" s="4"/>
      <c r="D277" s="2"/>
      <c r="E277" s="13">
        <f t="shared" ref="E277:F277" si="56">SUM(E248:E275)</f>
        <v>337640</v>
      </c>
      <c r="F277" s="13">
        <f t="shared" si="56"/>
        <v>373092.2</v>
      </c>
      <c r="G277" s="2"/>
      <c r="H277" s="2"/>
      <c r="I277" s="2"/>
      <c r="J277" s="2"/>
      <c r="K277" s="13">
        <f>SUM(K248:K275)</f>
        <v>133877.80852851778</v>
      </c>
      <c r="L277" s="14">
        <f>K277/F277</f>
        <v>0.35883304054203702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0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0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0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88" t="s">
        <v>68</v>
      </c>
      <c r="B281" s="89"/>
      <c r="C281" s="89"/>
      <c r="D281" s="2"/>
      <c r="E281" s="7" t="s">
        <v>76</v>
      </c>
      <c r="F281" s="8">
        <v>46118</v>
      </c>
      <c r="G281" s="2"/>
      <c r="H281" s="2"/>
      <c r="I281" s="9" t="s">
        <v>2</v>
      </c>
      <c r="J281" s="9"/>
      <c r="K281" s="9"/>
      <c r="L281" s="3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3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6" t="s">
        <v>3</v>
      </c>
      <c r="B283" s="10" t="s">
        <v>4</v>
      </c>
      <c r="C283" s="11" t="s">
        <v>5</v>
      </c>
      <c r="D283" s="10" t="s">
        <v>6</v>
      </c>
      <c r="E283" s="10" t="s">
        <v>7</v>
      </c>
      <c r="F283" s="10" t="s">
        <v>8</v>
      </c>
      <c r="G283" s="2"/>
      <c r="H283" s="2"/>
      <c r="I283" s="10" t="s">
        <v>9</v>
      </c>
      <c r="J283" s="10" t="s">
        <v>7</v>
      </c>
      <c r="K283" s="10" t="s">
        <v>10</v>
      </c>
      <c r="L283" s="3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2</v>
      </c>
      <c r="B284" s="10" t="s">
        <v>15</v>
      </c>
      <c r="C284" s="11" t="s">
        <v>27</v>
      </c>
      <c r="D284" s="13">
        <v>23000</v>
      </c>
      <c r="E284" s="13">
        <f t="shared" ref="E284:E311" si="57">A284*D284</f>
        <v>46000</v>
      </c>
      <c r="F284" s="13">
        <f t="shared" ref="F284:F311" si="58">E284*1.105</f>
        <v>50830</v>
      </c>
      <c r="G284" s="2"/>
      <c r="H284" s="2"/>
      <c r="I284" s="13">
        <v>18000</v>
      </c>
      <c r="J284" s="13">
        <f t="shared" ref="J284:J311" si="59">I284*A284</f>
        <v>36000</v>
      </c>
      <c r="K284" s="13">
        <f t="shared" ref="K284:K311" si="60">F284-J284</f>
        <v>14830</v>
      </c>
      <c r="L284" s="14">
        <f t="shared" ref="L284:L311" si="61">IFERROR(K284/E284, 0)</f>
        <v>0.32239130434782609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20</v>
      </c>
      <c r="B285" s="10" t="s">
        <v>4</v>
      </c>
      <c r="C285" s="11" t="s">
        <v>20</v>
      </c>
      <c r="D285" s="13">
        <v>800</v>
      </c>
      <c r="E285" s="13">
        <f t="shared" si="57"/>
        <v>16000</v>
      </c>
      <c r="F285" s="13">
        <f t="shared" si="58"/>
        <v>17680</v>
      </c>
      <c r="G285" s="2"/>
      <c r="H285" s="2"/>
      <c r="I285" s="13">
        <f>30000/94</f>
        <v>319.14893617021278</v>
      </c>
      <c r="J285" s="13">
        <f t="shared" si="59"/>
        <v>6382.978723404256</v>
      </c>
      <c r="K285" s="13">
        <f t="shared" si="60"/>
        <v>11297.021276595744</v>
      </c>
      <c r="L285" s="14">
        <f t="shared" si="61"/>
        <v>0.70606382978723403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8</v>
      </c>
      <c r="B286" s="10" t="s">
        <v>17</v>
      </c>
      <c r="C286" s="11" t="s">
        <v>39</v>
      </c>
      <c r="D286" s="13">
        <v>2400</v>
      </c>
      <c r="E286" s="13">
        <f t="shared" si="57"/>
        <v>19200</v>
      </c>
      <c r="F286" s="13">
        <f t="shared" si="58"/>
        <v>21216</v>
      </c>
      <c r="G286" s="2"/>
      <c r="H286" s="2"/>
      <c r="I286" s="13">
        <f>25000/15</f>
        <v>1666.6666666666667</v>
      </c>
      <c r="J286" s="13">
        <f t="shared" si="59"/>
        <v>13333.333333333334</v>
      </c>
      <c r="K286" s="13">
        <f t="shared" si="60"/>
        <v>7882.6666666666661</v>
      </c>
      <c r="L286" s="14">
        <f t="shared" si="61"/>
        <v>0.41055555555555551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1</v>
      </c>
      <c r="B287" s="10" t="s">
        <v>21</v>
      </c>
      <c r="C287" s="11" t="s">
        <v>51</v>
      </c>
      <c r="D287" s="13">
        <v>1500</v>
      </c>
      <c r="E287" s="13">
        <f t="shared" si="57"/>
        <v>1500</v>
      </c>
      <c r="F287" s="13">
        <f t="shared" si="58"/>
        <v>1657.5</v>
      </c>
      <c r="G287" s="2"/>
      <c r="H287" s="2"/>
      <c r="I287" s="13">
        <v>1500</v>
      </c>
      <c r="J287" s="13">
        <f t="shared" si="59"/>
        <v>1500</v>
      </c>
      <c r="K287" s="13">
        <f t="shared" si="60"/>
        <v>157.5</v>
      </c>
      <c r="L287" s="14">
        <f t="shared" si="61"/>
        <v>0.105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1</v>
      </c>
      <c r="B288" s="10" t="s">
        <v>17</v>
      </c>
      <c r="C288" s="11" t="s">
        <v>19</v>
      </c>
      <c r="D288" s="13">
        <v>4000</v>
      </c>
      <c r="E288" s="13">
        <f t="shared" si="57"/>
        <v>4000</v>
      </c>
      <c r="F288" s="13">
        <f t="shared" si="58"/>
        <v>4420</v>
      </c>
      <c r="G288" s="2"/>
      <c r="H288" s="2"/>
      <c r="I288" s="13">
        <v>1625</v>
      </c>
      <c r="J288" s="13">
        <f t="shared" si="59"/>
        <v>1625</v>
      </c>
      <c r="K288" s="13">
        <f t="shared" si="60"/>
        <v>2795</v>
      </c>
      <c r="L288" s="14">
        <f t="shared" si="61"/>
        <v>0.69874999999999998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3.3</v>
      </c>
      <c r="B289" s="10" t="s">
        <v>17</v>
      </c>
      <c r="C289" s="11" t="s">
        <v>38</v>
      </c>
      <c r="D289" s="13">
        <v>1800</v>
      </c>
      <c r="E289" s="13">
        <f t="shared" si="57"/>
        <v>5940</v>
      </c>
      <c r="F289" s="13">
        <f t="shared" si="58"/>
        <v>6563.7</v>
      </c>
      <c r="G289" s="2"/>
      <c r="H289" s="2"/>
      <c r="I289" s="13">
        <v>1000</v>
      </c>
      <c r="J289" s="13">
        <f t="shared" si="59"/>
        <v>3300</v>
      </c>
      <c r="K289" s="13">
        <f t="shared" si="60"/>
        <v>3263.7</v>
      </c>
      <c r="L289" s="14">
        <f t="shared" si="61"/>
        <v>0.5494444444444444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2.7</v>
      </c>
      <c r="B290" s="10" t="s">
        <v>17</v>
      </c>
      <c r="C290" s="11" t="s">
        <v>36</v>
      </c>
      <c r="D290" s="13">
        <v>1800</v>
      </c>
      <c r="E290" s="13">
        <f t="shared" si="57"/>
        <v>4860</v>
      </c>
      <c r="F290" s="13">
        <f t="shared" si="58"/>
        <v>5370.3</v>
      </c>
      <c r="G290" s="2"/>
      <c r="H290" s="2"/>
      <c r="I290" s="13">
        <v>1000</v>
      </c>
      <c r="J290" s="13">
        <f t="shared" si="59"/>
        <v>2700</v>
      </c>
      <c r="K290" s="13">
        <f t="shared" si="60"/>
        <v>2670.3</v>
      </c>
      <c r="L290" s="14">
        <f t="shared" si="61"/>
        <v>0.54944444444444451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1</v>
      </c>
      <c r="B291" s="10" t="s">
        <v>17</v>
      </c>
      <c r="C291" s="11" t="s">
        <v>43</v>
      </c>
      <c r="D291" s="13">
        <v>3200</v>
      </c>
      <c r="E291" s="13">
        <f t="shared" si="57"/>
        <v>3200</v>
      </c>
      <c r="F291" s="13">
        <f t="shared" si="58"/>
        <v>3536</v>
      </c>
      <c r="G291" s="2"/>
      <c r="H291" s="2"/>
      <c r="I291" s="13">
        <v>2500</v>
      </c>
      <c r="J291" s="13">
        <f t="shared" si="59"/>
        <v>2500</v>
      </c>
      <c r="K291" s="13">
        <f t="shared" si="60"/>
        <v>1036</v>
      </c>
      <c r="L291" s="14">
        <f t="shared" si="61"/>
        <v>0.32374999999999998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12</v>
      </c>
      <c r="B292" s="10" t="s">
        <v>21</v>
      </c>
      <c r="C292" s="11" t="s">
        <v>46</v>
      </c>
      <c r="D292" s="13">
        <v>600</v>
      </c>
      <c r="E292" s="13">
        <f t="shared" si="57"/>
        <v>7200</v>
      </c>
      <c r="F292" s="13">
        <f t="shared" si="58"/>
        <v>7956</v>
      </c>
      <c r="G292" s="2"/>
      <c r="H292" s="2"/>
      <c r="I292" s="13">
        <v>208</v>
      </c>
      <c r="J292" s="13">
        <f t="shared" si="59"/>
        <v>2496</v>
      </c>
      <c r="K292" s="13">
        <f t="shared" si="60"/>
        <v>5460</v>
      </c>
      <c r="L292" s="14">
        <f t="shared" si="61"/>
        <v>0.7583333333333333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1</v>
      </c>
      <c r="B293" s="10" t="s">
        <v>17</v>
      </c>
      <c r="C293" s="11" t="s">
        <v>30</v>
      </c>
      <c r="D293" s="13">
        <v>1500</v>
      </c>
      <c r="E293" s="13">
        <f t="shared" si="57"/>
        <v>1500</v>
      </c>
      <c r="F293" s="13">
        <f t="shared" si="58"/>
        <v>1657.5</v>
      </c>
      <c r="G293" s="2"/>
      <c r="H293" s="2"/>
      <c r="I293" s="13">
        <v>1500</v>
      </c>
      <c r="J293" s="13">
        <f t="shared" si="59"/>
        <v>1500</v>
      </c>
      <c r="K293" s="13">
        <f t="shared" si="60"/>
        <v>157.5</v>
      </c>
      <c r="L293" s="14">
        <f t="shared" si="61"/>
        <v>0.105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1</v>
      </c>
      <c r="B294" s="10" t="s">
        <v>17</v>
      </c>
      <c r="C294" s="11" t="s">
        <v>31</v>
      </c>
      <c r="D294" s="13">
        <v>3200</v>
      </c>
      <c r="E294" s="13">
        <f t="shared" si="57"/>
        <v>3200</v>
      </c>
      <c r="F294" s="13">
        <f t="shared" si="58"/>
        <v>3536</v>
      </c>
      <c r="G294" s="2"/>
      <c r="H294" s="2"/>
      <c r="I294" s="13">
        <f t="shared" ref="I294:I296" si="62">15000/7</f>
        <v>2142.8571428571427</v>
      </c>
      <c r="J294" s="13">
        <f t="shared" si="59"/>
        <v>2142.8571428571427</v>
      </c>
      <c r="K294" s="13">
        <f t="shared" si="60"/>
        <v>1393.1428571428573</v>
      </c>
      <c r="L294" s="14">
        <f t="shared" si="61"/>
        <v>0.43535714285714294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1</v>
      </c>
      <c r="B295" s="10" t="s">
        <v>17</v>
      </c>
      <c r="C295" s="11" t="s">
        <v>32</v>
      </c>
      <c r="D295" s="13">
        <v>2400</v>
      </c>
      <c r="E295" s="13">
        <f t="shared" si="57"/>
        <v>2400</v>
      </c>
      <c r="F295" s="13">
        <f t="shared" si="58"/>
        <v>2652</v>
      </c>
      <c r="G295" s="2"/>
      <c r="H295" s="2"/>
      <c r="I295" s="13">
        <f t="shared" si="62"/>
        <v>2142.8571428571427</v>
      </c>
      <c r="J295" s="13">
        <f t="shared" si="59"/>
        <v>2142.8571428571427</v>
      </c>
      <c r="K295" s="13">
        <f t="shared" si="60"/>
        <v>509.14285714285734</v>
      </c>
      <c r="L295" s="14">
        <f t="shared" si="61"/>
        <v>0.21214285714285722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1</v>
      </c>
      <c r="B296" s="10" t="s">
        <v>17</v>
      </c>
      <c r="C296" s="11" t="s">
        <v>33</v>
      </c>
      <c r="D296" s="13">
        <v>2800</v>
      </c>
      <c r="E296" s="13">
        <f t="shared" si="57"/>
        <v>2800</v>
      </c>
      <c r="F296" s="13">
        <f t="shared" si="58"/>
        <v>3094</v>
      </c>
      <c r="G296" s="2"/>
      <c r="H296" s="2"/>
      <c r="I296" s="13">
        <f t="shared" si="62"/>
        <v>2142.8571428571427</v>
      </c>
      <c r="J296" s="13">
        <f t="shared" si="59"/>
        <v>2142.8571428571427</v>
      </c>
      <c r="K296" s="13">
        <f t="shared" si="60"/>
        <v>951.14285714285734</v>
      </c>
      <c r="L296" s="14">
        <f t="shared" si="61"/>
        <v>0.33969387755102048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1</v>
      </c>
      <c r="B297" s="10" t="s">
        <v>17</v>
      </c>
      <c r="C297" s="11" t="s">
        <v>35</v>
      </c>
      <c r="D297" s="13">
        <v>2500</v>
      </c>
      <c r="E297" s="13">
        <f t="shared" si="57"/>
        <v>2500</v>
      </c>
      <c r="F297" s="13">
        <f t="shared" si="58"/>
        <v>2762.5</v>
      </c>
      <c r="G297" s="2"/>
      <c r="H297" s="2"/>
      <c r="I297" s="13">
        <v>1400</v>
      </c>
      <c r="J297" s="13">
        <f t="shared" si="59"/>
        <v>1400</v>
      </c>
      <c r="K297" s="13">
        <f t="shared" si="60"/>
        <v>1362.5</v>
      </c>
      <c r="L297" s="14">
        <f t="shared" si="61"/>
        <v>0.54500000000000004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3</v>
      </c>
      <c r="B298" s="10" t="s">
        <v>4</v>
      </c>
      <c r="C298" s="11" t="s">
        <v>41</v>
      </c>
      <c r="D298" s="13">
        <v>2800</v>
      </c>
      <c r="E298" s="13">
        <f t="shared" si="57"/>
        <v>8400</v>
      </c>
      <c r="F298" s="13">
        <f t="shared" si="58"/>
        <v>9282</v>
      </c>
      <c r="G298" s="2"/>
      <c r="H298" s="2"/>
      <c r="I298" s="13">
        <v>1800</v>
      </c>
      <c r="J298" s="13">
        <f t="shared" si="59"/>
        <v>5400</v>
      </c>
      <c r="K298" s="13">
        <f t="shared" si="60"/>
        <v>3882</v>
      </c>
      <c r="L298" s="14">
        <f t="shared" si="61"/>
        <v>0.46214285714285713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2</v>
      </c>
      <c r="B299" s="10" t="s">
        <v>4</v>
      </c>
      <c r="C299" s="11" t="s">
        <v>13</v>
      </c>
      <c r="D299" s="13">
        <v>900</v>
      </c>
      <c r="E299" s="13">
        <f t="shared" si="57"/>
        <v>1800</v>
      </c>
      <c r="F299" s="13">
        <f t="shared" si="58"/>
        <v>1989</v>
      </c>
      <c r="G299" s="2"/>
      <c r="H299" s="2"/>
      <c r="I299" s="13">
        <v>460</v>
      </c>
      <c r="J299" s="13">
        <f t="shared" si="59"/>
        <v>920</v>
      </c>
      <c r="K299" s="13">
        <f t="shared" si="60"/>
        <v>1069</v>
      </c>
      <c r="L299" s="14">
        <f t="shared" si="61"/>
        <v>0.59388888888888891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</v>
      </c>
      <c r="B300" s="10" t="s">
        <v>21</v>
      </c>
      <c r="C300" s="11" t="s">
        <v>28</v>
      </c>
      <c r="D300" s="13">
        <v>3000</v>
      </c>
      <c r="E300" s="13">
        <f t="shared" si="57"/>
        <v>3000</v>
      </c>
      <c r="F300" s="13">
        <f t="shared" si="58"/>
        <v>3315</v>
      </c>
      <c r="G300" s="2"/>
      <c r="H300" s="2"/>
      <c r="I300" s="13">
        <v>2000</v>
      </c>
      <c r="J300" s="13">
        <f t="shared" si="59"/>
        <v>2000</v>
      </c>
      <c r="K300" s="13">
        <f t="shared" si="60"/>
        <v>1315</v>
      </c>
      <c r="L300" s="14">
        <f t="shared" si="61"/>
        <v>0.43833333333333335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0.5</v>
      </c>
      <c r="B301" s="10" t="s">
        <v>17</v>
      </c>
      <c r="C301" s="11" t="s">
        <v>93</v>
      </c>
      <c r="D301" s="13">
        <v>3000</v>
      </c>
      <c r="E301" s="13">
        <f t="shared" si="57"/>
        <v>1500</v>
      </c>
      <c r="F301" s="13">
        <f t="shared" si="58"/>
        <v>1657.5</v>
      </c>
      <c r="G301" s="2"/>
      <c r="H301" s="2"/>
      <c r="I301" s="13">
        <f>13000/7</f>
        <v>1857.1428571428571</v>
      </c>
      <c r="J301" s="13">
        <f t="shared" si="59"/>
        <v>928.57142857142856</v>
      </c>
      <c r="K301" s="13">
        <f t="shared" si="60"/>
        <v>728.92857142857144</v>
      </c>
      <c r="L301" s="14">
        <f t="shared" si="61"/>
        <v>0.48595238095238097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1</v>
      </c>
      <c r="B302" s="10" t="s">
        <v>21</v>
      </c>
      <c r="C302" s="11" t="s">
        <v>133</v>
      </c>
      <c r="D302" s="13">
        <v>3000</v>
      </c>
      <c r="E302" s="13">
        <f t="shared" si="57"/>
        <v>3000</v>
      </c>
      <c r="F302" s="13">
        <f t="shared" si="58"/>
        <v>3315</v>
      </c>
      <c r="G302" s="2"/>
      <c r="H302" s="2"/>
      <c r="I302" s="13">
        <v>500</v>
      </c>
      <c r="J302" s="13">
        <f t="shared" si="59"/>
        <v>500</v>
      </c>
      <c r="K302" s="13">
        <f t="shared" si="60"/>
        <v>2815</v>
      </c>
      <c r="L302" s="14">
        <f t="shared" si="61"/>
        <v>0.93833333333333335</v>
      </c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3</v>
      </c>
      <c r="B303" s="10" t="s">
        <v>4</v>
      </c>
      <c r="C303" s="11" t="s">
        <v>65</v>
      </c>
      <c r="D303" s="13">
        <v>1600</v>
      </c>
      <c r="E303" s="13">
        <f t="shared" si="57"/>
        <v>4800</v>
      </c>
      <c r="F303" s="13">
        <f t="shared" si="58"/>
        <v>5304</v>
      </c>
      <c r="G303" s="2"/>
      <c r="H303" s="2"/>
      <c r="I303" s="13">
        <v>1078</v>
      </c>
      <c r="J303" s="13">
        <f t="shared" si="59"/>
        <v>3234</v>
      </c>
      <c r="K303" s="13">
        <f t="shared" si="60"/>
        <v>2070</v>
      </c>
      <c r="L303" s="14">
        <f t="shared" si="61"/>
        <v>0.43125000000000002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1</v>
      </c>
      <c r="B304" s="10" t="s">
        <v>15</v>
      </c>
      <c r="C304" s="11" t="s">
        <v>40</v>
      </c>
      <c r="D304" s="13">
        <v>12000</v>
      </c>
      <c r="E304" s="13">
        <f t="shared" si="57"/>
        <v>12000</v>
      </c>
      <c r="F304" s="13">
        <f t="shared" si="58"/>
        <v>13260</v>
      </c>
      <c r="G304" s="2"/>
      <c r="H304" s="2"/>
      <c r="I304" s="13">
        <v>7000</v>
      </c>
      <c r="J304" s="13">
        <f t="shared" si="59"/>
        <v>7000</v>
      </c>
      <c r="K304" s="13">
        <f t="shared" si="60"/>
        <v>6260</v>
      </c>
      <c r="L304" s="14">
        <f t="shared" si="61"/>
        <v>0.52166666666666661</v>
      </c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2</v>
      </c>
      <c r="B305" s="10" t="s">
        <v>17</v>
      </c>
      <c r="C305" s="11" t="s">
        <v>78</v>
      </c>
      <c r="D305" s="13">
        <v>4000</v>
      </c>
      <c r="E305" s="13">
        <f t="shared" si="57"/>
        <v>8000</v>
      </c>
      <c r="F305" s="13">
        <f t="shared" si="58"/>
        <v>8840</v>
      </c>
      <c r="G305" s="2"/>
      <c r="H305" s="2"/>
      <c r="I305" s="13">
        <v>2250</v>
      </c>
      <c r="J305" s="13">
        <f t="shared" si="59"/>
        <v>4500</v>
      </c>
      <c r="K305" s="13">
        <f t="shared" si="60"/>
        <v>4340</v>
      </c>
      <c r="L305" s="14">
        <f t="shared" si="61"/>
        <v>0.54249999999999998</v>
      </c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2">
        <v>1</v>
      </c>
      <c r="B306" s="10" t="s">
        <v>21</v>
      </c>
      <c r="C306" s="11" t="s">
        <v>29</v>
      </c>
      <c r="D306" s="13">
        <v>3500</v>
      </c>
      <c r="E306" s="13">
        <f t="shared" si="57"/>
        <v>3500</v>
      </c>
      <c r="F306" s="13">
        <f t="shared" si="58"/>
        <v>3867.5</v>
      </c>
      <c r="G306" s="2"/>
      <c r="H306" s="2"/>
      <c r="I306" s="13">
        <v>1500</v>
      </c>
      <c r="J306" s="13">
        <f t="shared" si="59"/>
        <v>1500</v>
      </c>
      <c r="K306" s="13">
        <f t="shared" si="60"/>
        <v>2367.5</v>
      </c>
      <c r="L306" s="14">
        <f t="shared" si="61"/>
        <v>0.67642857142857138</v>
      </c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2">
        <v>1</v>
      </c>
      <c r="B307" s="10" t="s">
        <v>17</v>
      </c>
      <c r="C307" s="11" t="s">
        <v>89</v>
      </c>
      <c r="D307" s="13">
        <v>11000</v>
      </c>
      <c r="E307" s="13">
        <f t="shared" si="57"/>
        <v>11000</v>
      </c>
      <c r="F307" s="13">
        <f t="shared" si="58"/>
        <v>12155</v>
      </c>
      <c r="G307" s="2"/>
      <c r="H307" s="2"/>
      <c r="I307" s="13">
        <f>38000/4</f>
        <v>9500</v>
      </c>
      <c r="J307" s="13">
        <f t="shared" si="59"/>
        <v>9500</v>
      </c>
      <c r="K307" s="13">
        <f t="shared" si="60"/>
        <v>2655</v>
      </c>
      <c r="L307" s="14">
        <f t="shared" si="61"/>
        <v>0.24136363636363636</v>
      </c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2">
        <v>1</v>
      </c>
      <c r="B308" s="10" t="s">
        <v>23</v>
      </c>
      <c r="C308" s="11" t="s">
        <v>25</v>
      </c>
      <c r="D308" s="13">
        <v>72000</v>
      </c>
      <c r="E308" s="13">
        <f t="shared" si="57"/>
        <v>72000</v>
      </c>
      <c r="F308" s="13">
        <f t="shared" si="58"/>
        <v>79560</v>
      </c>
      <c r="G308" s="2"/>
      <c r="H308" s="2"/>
      <c r="I308" s="13">
        <v>65000</v>
      </c>
      <c r="J308" s="13">
        <f t="shared" si="59"/>
        <v>65000</v>
      </c>
      <c r="K308" s="13">
        <f t="shared" si="60"/>
        <v>14560</v>
      </c>
      <c r="L308" s="14">
        <f t="shared" si="61"/>
        <v>0.20222222222222222</v>
      </c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2">
        <v>1</v>
      </c>
      <c r="B309" s="10" t="s">
        <v>23</v>
      </c>
      <c r="C309" s="11" t="s">
        <v>24</v>
      </c>
      <c r="D309" s="13">
        <v>60000</v>
      </c>
      <c r="E309" s="13">
        <f t="shared" si="57"/>
        <v>60000</v>
      </c>
      <c r="F309" s="13">
        <f t="shared" si="58"/>
        <v>66300</v>
      </c>
      <c r="G309" s="2"/>
      <c r="H309" s="2"/>
      <c r="I309" s="13">
        <v>50000</v>
      </c>
      <c r="J309" s="13">
        <f t="shared" si="59"/>
        <v>50000</v>
      </c>
      <c r="K309" s="13">
        <f t="shared" si="60"/>
        <v>16300</v>
      </c>
      <c r="L309" s="14">
        <f t="shared" si="61"/>
        <v>0.27166666666666667</v>
      </c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2">
        <v>4</v>
      </c>
      <c r="B310" s="10" t="s">
        <v>17</v>
      </c>
      <c r="C310" s="11" t="s">
        <v>62</v>
      </c>
      <c r="D310" s="13">
        <v>3000</v>
      </c>
      <c r="E310" s="13">
        <f t="shared" si="57"/>
        <v>12000</v>
      </c>
      <c r="F310" s="13">
        <f t="shared" si="58"/>
        <v>13260</v>
      </c>
      <c r="G310" s="2"/>
      <c r="H310" s="2"/>
      <c r="I310" s="13">
        <f>32000/18</f>
        <v>1777.7777777777778</v>
      </c>
      <c r="J310" s="13">
        <f t="shared" si="59"/>
        <v>7111.1111111111113</v>
      </c>
      <c r="K310" s="13">
        <f t="shared" si="60"/>
        <v>6148.8888888888887</v>
      </c>
      <c r="L310" s="14">
        <f t="shared" si="61"/>
        <v>0.51240740740740742</v>
      </c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2">
        <v>3</v>
      </c>
      <c r="B311" s="10" t="s">
        <v>17</v>
      </c>
      <c r="C311" s="11" t="s">
        <v>67</v>
      </c>
      <c r="D311" s="13">
        <v>3200</v>
      </c>
      <c r="E311" s="13">
        <f t="shared" si="57"/>
        <v>9600</v>
      </c>
      <c r="F311" s="13">
        <f t="shared" si="58"/>
        <v>10608</v>
      </c>
      <c r="G311" s="2"/>
      <c r="H311" s="2"/>
      <c r="I311" s="13">
        <v>1000</v>
      </c>
      <c r="J311" s="13">
        <f t="shared" si="59"/>
        <v>3000</v>
      </c>
      <c r="K311" s="13">
        <f t="shared" si="60"/>
        <v>7608</v>
      </c>
      <c r="L311" s="14">
        <f t="shared" si="61"/>
        <v>0.79249999999999998</v>
      </c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"/>
      <c r="B312" s="2"/>
      <c r="C312" s="4"/>
      <c r="D312" s="2"/>
      <c r="E312" s="2"/>
      <c r="F312" s="2"/>
      <c r="G312" s="2"/>
      <c r="H312" s="2"/>
      <c r="I312" s="2"/>
      <c r="J312" s="2"/>
      <c r="K312" s="2"/>
      <c r="L312" s="3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"/>
      <c r="B313" s="2"/>
      <c r="C313" s="4"/>
      <c r="D313" s="2"/>
      <c r="E313" s="13">
        <f t="shared" ref="E313:F313" si="63">SUM(E284:E311)</f>
        <v>330900</v>
      </c>
      <c r="F313" s="13">
        <f t="shared" si="63"/>
        <v>365644.5</v>
      </c>
      <c r="G313" s="2"/>
      <c r="H313" s="2"/>
      <c r="I313" s="2"/>
      <c r="J313" s="2"/>
      <c r="K313" s="13">
        <f>SUM(K284:K311)</f>
        <v>125884.93397500845</v>
      </c>
      <c r="L313" s="14">
        <f>K313/F313</f>
        <v>0.34428231239635343</v>
      </c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0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0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0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6" t="s">
        <v>119</v>
      </c>
      <c r="B317" s="1"/>
      <c r="C317" s="1"/>
      <c r="D317" s="22" t="s">
        <v>145</v>
      </c>
      <c r="E317" s="8">
        <v>46118</v>
      </c>
      <c r="F317" s="24" t="s">
        <v>37</v>
      </c>
      <c r="G317" s="2"/>
      <c r="H317" s="2"/>
      <c r="I317" s="2"/>
      <c r="J317" s="2"/>
      <c r="K317" s="2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2"/>
      <c r="C318" s="4"/>
      <c r="D318" s="2"/>
      <c r="E318" s="2"/>
      <c r="F318" s="2"/>
      <c r="G318" s="2"/>
      <c r="H318" s="2"/>
      <c r="I318" s="2"/>
      <c r="J318" s="2"/>
      <c r="K318" s="2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6" t="s">
        <v>3</v>
      </c>
      <c r="B319" s="10" t="s">
        <v>4</v>
      </c>
      <c r="C319" s="11" t="s">
        <v>5</v>
      </c>
      <c r="D319" s="10" t="s">
        <v>6</v>
      </c>
      <c r="E319" s="10" t="s">
        <v>7</v>
      </c>
      <c r="F319" s="2"/>
      <c r="G319" s="2"/>
      <c r="H319" s="2"/>
      <c r="I319" s="10" t="s">
        <v>6</v>
      </c>
      <c r="J319" s="10" t="s">
        <v>7</v>
      </c>
      <c r="K319" s="10" t="s">
        <v>10</v>
      </c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2">
        <v>16</v>
      </c>
      <c r="B320" s="10" t="s">
        <v>4</v>
      </c>
      <c r="C320" s="11" t="s">
        <v>13</v>
      </c>
      <c r="D320" s="13">
        <v>900</v>
      </c>
      <c r="E320" s="13">
        <f t="shared" ref="E320:E333" si="64">A320*D320</f>
        <v>14400</v>
      </c>
      <c r="F320" s="2"/>
      <c r="G320" s="2"/>
      <c r="H320" s="2"/>
      <c r="I320" s="13">
        <v>460</v>
      </c>
      <c r="J320" s="13">
        <f t="shared" ref="J320:J333" si="65">I320*A320</f>
        <v>7360</v>
      </c>
      <c r="K320" s="13">
        <f t="shared" ref="K320:K333" si="66">E320-J320</f>
        <v>7040</v>
      </c>
      <c r="L320" s="21">
        <f t="shared" ref="L320:L333" si="67">K320/E320</f>
        <v>0.48888888888888887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2">
        <v>2</v>
      </c>
      <c r="B321" s="10" t="s">
        <v>17</v>
      </c>
      <c r="C321" s="11" t="s">
        <v>87</v>
      </c>
      <c r="D321" s="13">
        <v>3000</v>
      </c>
      <c r="E321" s="13">
        <f t="shared" si="64"/>
        <v>6000</v>
      </c>
      <c r="F321" s="2"/>
      <c r="G321" s="2"/>
      <c r="H321" s="2"/>
      <c r="I321" s="13">
        <f>32000/18</f>
        <v>1777.7777777777778</v>
      </c>
      <c r="J321" s="13">
        <f t="shared" si="65"/>
        <v>3555.5555555555557</v>
      </c>
      <c r="K321" s="13">
        <f t="shared" si="66"/>
        <v>2444.4444444444443</v>
      </c>
      <c r="L321" s="21">
        <f t="shared" si="67"/>
        <v>0.40740740740740738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2">
        <v>0.5</v>
      </c>
      <c r="B322" s="10" t="s">
        <v>17</v>
      </c>
      <c r="C322" s="11" t="s">
        <v>55</v>
      </c>
      <c r="D322" s="13">
        <v>21000</v>
      </c>
      <c r="E322" s="13">
        <f t="shared" si="64"/>
        <v>10500</v>
      </c>
      <c r="F322" s="2"/>
      <c r="G322" s="2"/>
      <c r="H322" s="2"/>
      <c r="I322" s="13">
        <v>17000</v>
      </c>
      <c r="J322" s="13">
        <f t="shared" si="65"/>
        <v>8500</v>
      </c>
      <c r="K322" s="13">
        <f t="shared" si="66"/>
        <v>2000</v>
      </c>
      <c r="L322" s="32">
        <f t="shared" si="67"/>
        <v>0.19047619047619047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2">
        <v>8</v>
      </c>
      <c r="B323" s="10" t="s">
        <v>126</v>
      </c>
      <c r="C323" s="11" t="s">
        <v>22</v>
      </c>
      <c r="D323" s="13">
        <v>1600</v>
      </c>
      <c r="E323" s="13">
        <f t="shared" si="64"/>
        <v>12800</v>
      </c>
      <c r="F323" s="2"/>
      <c r="G323" s="2"/>
      <c r="H323" s="2"/>
      <c r="I323" s="13">
        <f>1200</f>
        <v>1200</v>
      </c>
      <c r="J323" s="13">
        <f t="shared" si="65"/>
        <v>9600</v>
      </c>
      <c r="K323" s="13">
        <f t="shared" si="66"/>
        <v>3200</v>
      </c>
      <c r="L323" s="32">
        <f t="shared" si="67"/>
        <v>0.25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2">
        <v>1.5</v>
      </c>
      <c r="B324" s="10" t="s">
        <v>17</v>
      </c>
      <c r="C324" s="11" t="s">
        <v>89</v>
      </c>
      <c r="D324" s="13">
        <v>11000</v>
      </c>
      <c r="E324" s="13">
        <f t="shared" si="64"/>
        <v>16500</v>
      </c>
      <c r="F324" s="2"/>
      <c r="G324" s="2"/>
      <c r="H324" s="2"/>
      <c r="I324" s="13">
        <v>9500</v>
      </c>
      <c r="J324" s="13">
        <f t="shared" si="65"/>
        <v>14250</v>
      </c>
      <c r="K324" s="13">
        <f t="shared" si="66"/>
        <v>2250</v>
      </c>
      <c r="L324" s="35">
        <f t="shared" si="67"/>
        <v>0.13636363636363635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2">
        <v>2</v>
      </c>
      <c r="B325" s="10" t="s">
        <v>17</v>
      </c>
      <c r="C325" s="11" t="s">
        <v>113</v>
      </c>
      <c r="D325" s="13">
        <v>4000</v>
      </c>
      <c r="E325" s="13">
        <f t="shared" si="64"/>
        <v>8000</v>
      </c>
      <c r="F325" s="2"/>
      <c r="G325" s="2"/>
      <c r="H325" s="2"/>
      <c r="I325" s="13">
        <v>3000</v>
      </c>
      <c r="J325" s="13">
        <f t="shared" si="65"/>
        <v>6000</v>
      </c>
      <c r="K325" s="13">
        <f t="shared" si="66"/>
        <v>2000</v>
      </c>
      <c r="L325" s="32">
        <f t="shared" si="67"/>
        <v>0.25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2">
        <v>1</v>
      </c>
      <c r="B326" s="10" t="s">
        <v>23</v>
      </c>
      <c r="C326" s="11" t="s">
        <v>26</v>
      </c>
      <c r="D326" s="13">
        <v>26000</v>
      </c>
      <c r="E326" s="13">
        <f t="shared" si="64"/>
        <v>26000</v>
      </c>
      <c r="F326" s="2"/>
      <c r="G326" s="2"/>
      <c r="H326" s="2"/>
      <c r="I326" s="13">
        <v>22000</v>
      </c>
      <c r="J326" s="13">
        <f t="shared" si="65"/>
        <v>22000</v>
      </c>
      <c r="K326" s="13">
        <f t="shared" si="66"/>
        <v>4000</v>
      </c>
      <c r="L326" s="35">
        <f t="shared" si="67"/>
        <v>0.15384615384615385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2">
        <v>5</v>
      </c>
      <c r="B327" s="10" t="s">
        <v>17</v>
      </c>
      <c r="C327" s="11" t="s">
        <v>84</v>
      </c>
      <c r="D327" s="13">
        <v>1600</v>
      </c>
      <c r="E327" s="13">
        <f t="shared" si="64"/>
        <v>8000</v>
      </c>
      <c r="F327" s="2"/>
      <c r="G327" s="2"/>
      <c r="H327" s="2"/>
      <c r="I327" s="13">
        <f>18000/17</f>
        <v>1058.8235294117646</v>
      </c>
      <c r="J327" s="13">
        <f t="shared" si="65"/>
        <v>5294.1176470588234</v>
      </c>
      <c r="K327" s="13">
        <f t="shared" si="66"/>
        <v>2705.8823529411766</v>
      </c>
      <c r="L327" s="32">
        <f t="shared" si="67"/>
        <v>0.33823529411764708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2">
        <v>0.5</v>
      </c>
      <c r="B328" s="10" t="s">
        <v>17</v>
      </c>
      <c r="C328" s="11" t="s">
        <v>30</v>
      </c>
      <c r="D328" s="13">
        <v>1500</v>
      </c>
      <c r="E328" s="13">
        <f t="shared" si="64"/>
        <v>750</v>
      </c>
      <c r="F328" s="2"/>
      <c r="G328" s="2"/>
      <c r="H328" s="2"/>
      <c r="I328" s="13">
        <v>1500</v>
      </c>
      <c r="J328" s="13">
        <f t="shared" si="65"/>
        <v>750</v>
      </c>
      <c r="K328" s="13">
        <f t="shared" si="66"/>
        <v>0</v>
      </c>
      <c r="L328" s="35">
        <f t="shared" si="67"/>
        <v>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2">
        <v>3</v>
      </c>
      <c r="B329" s="10" t="s">
        <v>21</v>
      </c>
      <c r="C329" s="11" t="s">
        <v>34</v>
      </c>
      <c r="D329" s="13">
        <v>5000</v>
      </c>
      <c r="E329" s="13">
        <f t="shared" si="64"/>
        <v>15000</v>
      </c>
      <c r="F329" s="2"/>
      <c r="G329" s="2"/>
      <c r="H329" s="2"/>
      <c r="I329" s="13">
        <v>2000</v>
      </c>
      <c r="J329" s="13">
        <f t="shared" si="65"/>
        <v>6000</v>
      </c>
      <c r="K329" s="13">
        <f t="shared" si="66"/>
        <v>9000</v>
      </c>
      <c r="L329" s="32">
        <f t="shared" si="67"/>
        <v>0.6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2">
        <v>1</v>
      </c>
      <c r="B330" s="10" t="s">
        <v>17</v>
      </c>
      <c r="C330" s="11" t="s">
        <v>93</v>
      </c>
      <c r="D330" s="13">
        <v>3000</v>
      </c>
      <c r="E330" s="13">
        <f t="shared" si="64"/>
        <v>3000</v>
      </c>
      <c r="F330" s="2"/>
      <c r="G330" s="2"/>
      <c r="H330" s="2"/>
      <c r="I330" s="13">
        <f>13000/7</f>
        <v>1857.1428571428571</v>
      </c>
      <c r="J330" s="13">
        <f t="shared" si="65"/>
        <v>1857.1428571428571</v>
      </c>
      <c r="K330" s="13">
        <f t="shared" si="66"/>
        <v>1142.8571428571429</v>
      </c>
      <c r="L330" s="32">
        <f t="shared" si="67"/>
        <v>0.38095238095238099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2">
        <v>1</v>
      </c>
      <c r="B331" s="10" t="s">
        <v>23</v>
      </c>
      <c r="C331" s="11" t="s">
        <v>81</v>
      </c>
      <c r="D331" s="13">
        <v>20000</v>
      </c>
      <c r="E331" s="13">
        <f t="shared" si="64"/>
        <v>20000</v>
      </c>
      <c r="F331" s="2"/>
      <c r="G331" s="2"/>
      <c r="H331" s="2"/>
      <c r="I331" s="13">
        <v>12000</v>
      </c>
      <c r="J331" s="13">
        <f t="shared" si="65"/>
        <v>12000</v>
      </c>
      <c r="K331" s="13">
        <f t="shared" si="66"/>
        <v>8000</v>
      </c>
      <c r="L331" s="35">
        <f t="shared" si="67"/>
        <v>0.4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2">
        <v>3</v>
      </c>
      <c r="B332" s="10" t="s">
        <v>17</v>
      </c>
      <c r="C332" s="11" t="s">
        <v>16</v>
      </c>
      <c r="D332" s="13">
        <v>1000</v>
      </c>
      <c r="E332" s="13">
        <f t="shared" si="64"/>
        <v>3000</v>
      </c>
      <c r="F332" s="2"/>
      <c r="G332" s="2"/>
      <c r="H332" s="2"/>
      <c r="I332" s="13">
        <v>500</v>
      </c>
      <c r="J332" s="13">
        <f t="shared" si="65"/>
        <v>1500</v>
      </c>
      <c r="K332" s="13">
        <f t="shared" si="66"/>
        <v>1500</v>
      </c>
      <c r="L332" s="32">
        <f t="shared" si="67"/>
        <v>0.5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2">
        <v>1</v>
      </c>
      <c r="B333" s="10" t="s">
        <v>23</v>
      </c>
      <c r="C333" s="11" t="s">
        <v>85</v>
      </c>
      <c r="D333" s="13">
        <v>55000</v>
      </c>
      <c r="E333" s="13">
        <f t="shared" si="64"/>
        <v>55000</v>
      </c>
      <c r="F333" s="2"/>
      <c r="G333" s="2"/>
      <c r="H333" s="2"/>
      <c r="I333" s="13">
        <v>50000</v>
      </c>
      <c r="J333" s="13">
        <f t="shared" si="65"/>
        <v>50000</v>
      </c>
      <c r="K333" s="13">
        <f t="shared" si="66"/>
        <v>5000</v>
      </c>
      <c r="L333" s="32">
        <f t="shared" si="67"/>
        <v>9.0909090909090912E-2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5"/>
      <c r="B334" s="2"/>
      <c r="C334" s="4"/>
      <c r="D334" s="2"/>
      <c r="E334" s="2"/>
      <c r="F334" s="2"/>
      <c r="G334" s="4"/>
      <c r="H334" s="2"/>
      <c r="I334" s="2"/>
      <c r="J334" s="2"/>
      <c r="K334" s="2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"/>
      <c r="B335" s="2"/>
      <c r="C335" s="4"/>
      <c r="D335" s="2"/>
      <c r="E335" s="13">
        <f>SUM(E320:E333)</f>
        <v>198950</v>
      </c>
      <c r="F335" s="2"/>
      <c r="G335" s="2"/>
      <c r="H335" s="2"/>
      <c r="I335" s="2"/>
      <c r="J335" s="2"/>
      <c r="K335" s="13">
        <f>SUM(K320:K333)</f>
        <v>50283.183940242765</v>
      </c>
      <c r="L335" s="14">
        <f>K335/E335</f>
        <v>0.25274281950360777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0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0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6" t="s">
        <v>121</v>
      </c>
      <c r="B338" s="1"/>
      <c r="C338" s="1"/>
      <c r="D338" s="22" t="s">
        <v>146</v>
      </c>
      <c r="E338" s="8">
        <v>46118</v>
      </c>
      <c r="F338" s="24" t="s">
        <v>37</v>
      </c>
      <c r="G338" s="2"/>
      <c r="H338" s="2"/>
      <c r="I338" s="2"/>
      <c r="J338" s="2"/>
      <c r="K338" s="2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2"/>
      <c r="C339" s="4"/>
      <c r="D339" s="2"/>
      <c r="E339" s="2"/>
      <c r="F339" s="2"/>
      <c r="G339" s="2"/>
      <c r="H339" s="2"/>
      <c r="I339" s="2"/>
      <c r="J339" s="2"/>
      <c r="K339" s="2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6" t="s">
        <v>3</v>
      </c>
      <c r="B340" s="10" t="s">
        <v>4</v>
      </c>
      <c r="C340" s="11" t="s">
        <v>5</v>
      </c>
      <c r="D340" s="10" t="s">
        <v>6</v>
      </c>
      <c r="E340" s="10" t="s">
        <v>7</v>
      </c>
      <c r="F340" s="2"/>
      <c r="G340" s="2"/>
      <c r="H340" s="2"/>
      <c r="I340" s="10" t="s">
        <v>6</v>
      </c>
      <c r="J340" s="10" t="s">
        <v>7</v>
      </c>
      <c r="K340" s="10" t="s">
        <v>10</v>
      </c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2">
        <v>1</v>
      </c>
      <c r="B341" s="10" t="s">
        <v>21</v>
      </c>
      <c r="C341" s="11" t="s">
        <v>51</v>
      </c>
      <c r="D341" s="13">
        <v>1500</v>
      </c>
      <c r="E341" s="13">
        <f t="shared" ref="E341:E357" si="68">A341*D341</f>
        <v>1500</v>
      </c>
      <c r="F341" s="2"/>
      <c r="G341" s="2"/>
      <c r="H341" s="2"/>
      <c r="I341" s="13">
        <v>1500</v>
      </c>
      <c r="J341" s="13">
        <f t="shared" ref="J341:J357" si="69">I341*A341</f>
        <v>1500</v>
      </c>
      <c r="K341" s="13">
        <f t="shared" ref="K341:K357" si="70">E341-J341</f>
        <v>0</v>
      </c>
      <c r="L341" s="21">
        <f t="shared" ref="L341:L357" si="71">K341/E341</f>
        <v>0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2">
        <v>1</v>
      </c>
      <c r="B342" s="10" t="s">
        <v>17</v>
      </c>
      <c r="C342" s="11" t="s">
        <v>87</v>
      </c>
      <c r="D342" s="13">
        <v>3000</v>
      </c>
      <c r="E342" s="13">
        <f t="shared" si="68"/>
        <v>3000</v>
      </c>
      <c r="F342" s="2"/>
      <c r="G342" s="2"/>
      <c r="H342" s="2"/>
      <c r="I342" s="13">
        <f>32000/18</f>
        <v>1777.7777777777778</v>
      </c>
      <c r="J342" s="13">
        <f t="shared" si="69"/>
        <v>1777.7777777777778</v>
      </c>
      <c r="K342" s="13">
        <f t="shared" si="70"/>
        <v>1222.2222222222222</v>
      </c>
      <c r="L342" s="21">
        <f t="shared" si="71"/>
        <v>0.40740740740740738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2">
        <v>1</v>
      </c>
      <c r="B343" s="10" t="s">
        <v>17</v>
      </c>
      <c r="C343" s="11" t="s">
        <v>99</v>
      </c>
      <c r="D343" s="13">
        <v>1500</v>
      </c>
      <c r="E343" s="13">
        <f t="shared" si="68"/>
        <v>1500</v>
      </c>
      <c r="F343" s="2"/>
      <c r="G343" s="2"/>
      <c r="H343" s="2"/>
      <c r="I343" s="13">
        <f>10000/8</f>
        <v>1250</v>
      </c>
      <c r="J343" s="13">
        <f t="shared" si="69"/>
        <v>1250</v>
      </c>
      <c r="K343" s="13">
        <f t="shared" si="70"/>
        <v>250</v>
      </c>
      <c r="L343" s="21">
        <f t="shared" si="71"/>
        <v>0.16666666666666666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2">
        <v>1</v>
      </c>
      <c r="B344" s="10" t="s">
        <v>17</v>
      </c>
      <c r="C344" s="11" t="s">
        <v>129</v>
      </c>
      <c r="D344" s="13">
        <v>1200</v>
      </c>
      <c r="E344" s="13">
        <f t="shared" si="68"/>
        <v>1200</v>
      </c>
      <c r="F344" s="2"/>
      <c r="G344" s="2"/>
      <c r="H344" s="2"/>
      <c r="I344" s="13">
        <f>12000/11</f>
        <v>1090.909090909091</v>
      </c>
      <c r="J344" s="13">
        <f t="shared" si="69"/>
        <v>1090.909090909091</v>
      </c>
      <c r="K344" s="13">
        <f t="shared" si="70"/>
        <v>109.09090909090901</v>
      </c>
      <c r="L344" s="21">
        <f t="shared" si="71"/>
        <v>9.0909090909090842E-2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2">
        <v>1</v>
      </c>
      <c r="B345" s="10" t="s">
        <v>17</v>
      </c>
      <c r="C345" s="11" t="s">
        <v>56</v>
      </c>
      <c r="D345" s="13">
        <v>800</v>
      </c>
      <c r="E345" s="13">
        <f t="shared" si="68"/>
        <v>800</v>
      </c>
      <c r="F345" s="2"/>
      <c r="G345" s="2"/>
      <c r="H345" s="2"/>
      <c r="I345" s="13">
        <f>10000/17</f>
        <v>588.23529411764707</v>
      </c>
      <c r="J345" s="13">
        <f t="shared" si="69"/>
        <v>588.23529411764707</v>
      </c>
      <c r="K345" s="13">
        <f t="shared" si="70"/>
        <v>211.76470588235293</v>
      </c>
      <c r="L345" s="21">
        <f t="shared" si="71"/>
        <v>0.26470588235294118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2">
        <v>0.5</v>
      </c>
      <c r="B346" s="10" t="s">
        <v>17</v>
      </c>
      <c r="C346" s="11" t="s">
        <v>55</v>
      </c>
      <c r="D346" s="13">
        <v>21000</v>
      </c>
      <c r="E346" s="13">
        <f t="shared" si="68"/>
        <v>10500</v>
      </c>
      <c r="F346" s="2"/>
      <c r="G346" s="2"/>
      <c r="H346" s="2"/>
      <c r="I346" s="13">
        <v>17000</v>
      </c>
      <c r="J346" s="13">
        <f t="shared" si="69"/>
        <v>8500</v>
      </c>
      <c r="K346" s="13">
        <f t="shared" si="70"/>
        <v>2000</v>
      </c>
      <c r="L346" s="21">
        <f t="shared" si="71"/>
        <v>0.19047619047619047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2">
        <v>0.5</v>
      </c>
      <c r="B347" s="10" t="s">
        <v>17</v>
      </c>
      <c r="C347" s="11" t="s">
        <v>89</v>
      </c>
      <c r="D347" s="13">
        <v>11000</v>
      </c>
      <c r="E347" s="13">
        <f t="shared" si="68"/>
        <v>5500</v>
      </c>
      <c r="F347" s="2"/>
      <c r="G347" s="2"/>
      <c r="H347" s="2"/>
      <c r="I347" s="13">
        <v>9500</v>
      </c>
      <c r="J347" s="13">
        <f t="shared" si="69"/>
        <v>4750</v>
      </c>
      <c r="K347" s="13">
        <f t="shared" si="70"/>
        <v>750</v>
      </c>
      <c r="L347" s="21">
        <f t="shared" si="71"/>
        <v>0.13636363636363635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2">
        <v>0.2</v>
      </c>
      <c r="B348" s="10" t="s">
        <v>17</v>
      </c>
      <c r="C348" s="11" t="s">
        <v>111</v>
      </c>
      <c r="D348" s="13">
        <v>10500</v>
      </c>
      <c r="E348" s="13">
        <f t="shared" si="68"/>
        <v>2100</v>
      </c>
      <c r="F348" s="2"/>
      <c r="G348" s="2"/>
      <c r="H348" s="2"/>
      <c r="I348" s="13">
        <v>7000</v>
      </c>
      <c r="J348" s="13">
        <f t="shared" si="69"/>
        <v>1400</v>
      </c>
      <c r="K348" s="13">
        <f t="shared" si="70"/>
        <v>700</v>
      </c>
      <c r="L348" s="21">
        <f t="shared" si="71"/>
        <v>0.33333333333333331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2">
        <v>1</v>
      </c>
      <c r="B349" s="10" t="s">
        <v>21</v>
      </c>
      <c r="C349" s="11" t="s">
        <v>112</v>
      </c>
      <c r="D349" s="13">
        <v>3000</v>
      </c>
      <c r="E349" s="13">
        <f t="shared" si="68"/>
        <v>3000</v>
      </c>
      <c r="F349" s="2"/>
      <c r="G349" s="2"/>
      <c r="H349" s="2"/>
      <c r="I349" s="13">
        <v>2000</v>
      </c>
      <c r="J349" s="13">
        <f t="shared" si="69"/>
        <v>2000</v>
      </c>
      <c r="K349" s="13">
        <f t="shared" si="70"/>
        <v>1000</v>
      </c>
      <c r="L349" s="21">
        <f t="shared" si="71"/>
        <v>0.33333333333333331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2">
        <v>0.5</v>
      </c>
      <c r="B350" s="10" t="s">
        <v>17</v>
      </c>
      <c r="C350" s="11" t="s">
        <v>31</v>
      </c>
      <c r="D350" s="13">
        <v>2800</v>
      </c>
      <c r="E350" s="13">
        <f t="shared" si="68"/>
        <v>1400</v>
      </c>
      <c r="F350" s="2"/>
      <c r="G350" s="2"/>
      <c r="H350" s="2"/>
      <c r="I350" s="13">
        <f t="shared" ref="I350:I351" si="72">15000/7</f>
        <v>2142.8571428571427</v>
      </c>
      <c r="J350" s="13">
        <f t="shared" si="69"/>
        <v>1071.4285714285713</v>
      </c>
      <c r="K350" s="13">
        <f t="shared" si="70"/>
        <v>328.57142857142867</v>
      </c>
      <c r="L350" s="21">
        <f t="shared" si="71"/>
        <v>0.23469387755102047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2">
        <v>0.5</v>
      </c>
      <c r="B351" s="10" t="s">
        <v>17</v>
      </c>
      <c r="C351" s="11" t="s">
        <v>32</v>
      </c>
      <c r="D351" s="13">
        <v>2400</v>
      </c>
      <c r="E351" s="13">
        <f t="shared" si="68"/>
        <v>1200</v>
      </c>
      <c r="F351" s="2"/>
      <c r="G351" s="2"/>
      <c r="H351" s="2"/>
      <c r="I351" s="13">
        <f t="shared" si="72"/>
        <v>2142.8571428571427</v>
      </c>
      <c r="J351" s="13">
        <f t="shared" si="69"/>
        <v>1071.4285714285713</v>
      </c>
      <c r="K351" s="13">
        <f t="shared" si="70"/>
        <v>128.57142857142867</v>
      </c>
      <c r="L351" s="21">
        <f t="shared" si="71"/>
        <v>0.10714285714285722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2">
        <v>1</v>
      </c>
      <c r="B352" s="10" t="s">
        <v>17</v>
      </c>
      <c r="C352" s="11" t="s">
        <v>84</v>
      </c>
      <c r="D352" s="13">
        <v>1600</v>
      </c>
      <c r="E352" s="13">
        <f t="shared" si="68"/>
        <v>1600</v>
      </c>
      <c r="F352" s="2"/>
      <c r="G352" s="2"/>
      <c r="H352" s="2"/>
      <c r="I352" s="13">
        <f>18000/16</f>
        <v>1125</v>
      </c>
      <c r="J352" s="13">
        <f t="shared" si="69"/>
        <v>1125</v>
      </c>
      <c r="K352" s="13">
        <f t="shared" si="70"/>
        <v>475</v>
      </c>
      <c r="L352" s="21">
        <f t="shared" si="71"/>
        <v>0.296875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2">
        <v>0.5</v>
      </c>
      <c r="B353" s="10" t="s">
        <v>17</v>
      </c>
      <c r="C353" s="11" t="s">
        <v>147</v>
      </c>
      <c r="D353" s="13">
        <v>2200</v>
      </c>
      <c r="E353" s="13">
        <f t="shared" si="68"/>
        <v>1100</v>
      </c>
      <c r="F353" s="2"/>
      <c r="G353" s="2"/>
      <c r="H353" s="2"/>
      <c r="I353" s="13">
        <v>1800</v>
      </c>
      <c r="J353" s="13">
        <f t="shared" si="69"/>
        <v>900</v>
      </c>
      <c r="K353" s="13">
        <f t="shared" si="70"/>
        <v>200</v>
      </c>
      <c r="L353" s="21">
        <f t="shared" si="71"/>
        <v>0.18181818181818182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2">
        <v>0.5</v>
      </c>
      <c r="B354" s="10" t="s">
        <v>17</v>
      </c>
      <c r="C354" s="11" t="s">
        <v>93</v>
      </c>
      <c r="D354" s="13">
        <v>3000</v>
      </c>
      <c r="E354" s="13">
        <f t="shared" si="68"/>
        <v>1500</v>
      </c>
      <c r="F354" s="2"/>
      <c r="G354" s="2"/>
      <c r="H354" s="2"/>
      <c r="I354" s="13">
        <f>13000/7</f>
        <v>1857.1428571428571</v>
      </c>
      <c r="J354" s="13">
        <f t="shared" si="69"/>
        <v>928.57142857142856</v>
      </c>
      <c r="K354" s="13">
        <f t="shared" si="70"/>
        <v>571.42857142857144</v>
      </c>
      <c r="L354" s="21">
        <f t="shared" si="71"/>
        <v>0.38095238095238099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2">
        <v>2</v>
      </c>
      <c r="B355" s="10" t="s">
        <v>17</v>
      </c>
      <c r="C355" s="11" t="s">
        <v>81</v>
      </c>
      <c r="D355" s="13">
        <v>1800</v>
      </c>
      <c r="E355" s="13">
        <f t="shared" si="68"/>
        <v>3600</v>
      </c>
      <c r="F355" s="2"/>
      <c r="G355" s="2"/>
      <c r="H355" s="2"/>
      <c r="I355" s="13">
        <v>800</v>
      </c>
      <c r="J355" s="13">
        <f t="shared" si="69"/>
        <v>1600</v>
      </c>
      <c r="K355" s="13">
        <f t="shared" si="70"/>
        <v>2000</v>
      </c>
      <c r="L355" s="21">
        <f t="shared" si="71"/>
        <v>0.55555555555555558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2">
        <v>1</v>
      </c>
      <c r="B356" s="10" t="s">
        <v>15</v>
      </c>
      <c r="C356" s="11" t="s">
        <v>40</v>
      </c>
      <c r="D356" s="13">
        <v>12000</v>
      </c>
      <c r="E356" s="13">
        <f t="shared" si="68"/>
        <v>12000</v>
      </c>
      <c r="F356" s="2"/>
      <c r="G356" s="2"/>
      <c r="H356" s="2"/>
      <c r="I356" s="13">
        <v>7000</v>
      </c>
      <c r="J356" s="13">
        <f t="shared" si="69"/>
        <v>7000</v>
      </c>
      <c r="K356" s="13">
        <f t="shared" si="70"/>
        <v>5000</v>
      </c>
      <c r="L356" s="21">
        <f t="shared" si="71"/>
        <v>0.41666666666666669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2">
        <v>1</v>
      </c>
      <c r="B357" s="10" t="s">
        <v>17</v>
      </c>
      <c r="C357" s="11" t="s">
        <v>61</v>
      </c>
      <c r="D357" s="13">
        <v>1400</v>
      </c>
      <c r="E357" s="13">
        <f t="shared" si="68"/>
        <v>1400</v>
      </c>
      <c r="F357" s="2"/>
      <c r="G357" s="2"/>
      <c r="H357" s="2"/>
      <c r="I357" s="13">
        <v>1000</v>
      </c>
      <c r="J357" s="13">
        <f t="shared" si="69"/>
        <v>1000</v>
      </c>
      <c r="K357" s="13">
        <f t="shared" si="70"/>
        <v>400</v>
      </c>
      <c r="L357" s="21">
        <f t="shared" si="71"/>
        <v>0.2857142857142857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5"/>
      <c r="B358" s="2"/>
      <c r="C358" s="4"/>
      <c r="D358" s="2"/>
      <c r="E358" s="2"/>
      <c r="F358" s="2"/>
      <c r="G358" s="4"/>
      <c r="H358" s="2"/>
      <c r="I358" s="2"/>
      <c r="J358" s="2"/>
      <c r="K358" s="2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"/>
      <c r="B359" s="2"/>
      <c r="C359" s="4"/>
      <c r="D359" s="2"/>
      <c r="E359" s="13">
        <f>SUM(E341:E357)</f>
        <v>52900</v>
      </c>
      <c r="F359" s="2"/>
      <c r="G359" s="2"/>
      <c r="H359" s="2"/>
      <c r="I359" s="2"/>
      <c r="J359" s="2"/>
      <c r="K359" s="13">
        <f>SUM(K341:K357)</f>
        <v>15346.649265766911</v>
      </c>
      <c r="L359" s="14">
        <f>K359/E359</f>
        <v>0.29010679141336315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0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0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0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6" t="s">
        <v>116</v>
      </c>
      <c r="B363" s="1"/>
      <c r="C363" s="1"/>
      <c r="D363" s="22" t="s">
        <v>148</v>
      </c>
      <c r="E363" s="8">
        <v>46118</v>
      </c>
      <c r="F363" s="24" t="s">
        <v>37</v>
      </c>
      <c r="G363" s="2"/>
      <c r="H363" s="2"/>
      <c r="I363" s="2"/>
      <c r="J363" s="2"/>
      <c r="K363" s="2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2"/>
      <c r="C364" s="4"/>
      <c r="D364" s="2"/>
      <c r="E364" s="2"/>
      <c r="F364" s="2"/>
      <c r="G364" s="2"/>
      <c r="H364" s="2"/>
      <c r="I364" s="2"/>
      <c r="J364" s="2"/>
      <c r="K364" s="2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6" t="s">
        <v>3</v>
      </c>
      <c r="B365" s="10" t="s">
        <v>4</v>
      </c>
      <c r="C365" s="11" t="s">
        <v>5</v>
      </c>
      <c r="D365" s="10" t="s">
        <v>6</v>
      </c>
      <c r="E365" s="10" t="s">
        <v>7</v>
      </c>
      <c r="F365" s="2"/>
      <c r="G365" s="2"/>
      <c r="H365" s="2"/>
      <c r="I365" s="10" t="s">
        <v>6</v>
      </c>
      <c r="J365" s="10" t="s">
        <v>7</v>
      </c>
      <c r="K365" s="10" t="s">
        <v>10</v>
      </c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2">
        <v>3</v>
      </c>
      <c r="B366" s="10" t="s">
        <v>23</v>
      </c>
      <c r="C366" s="11" t="s">
        <v>22</v>
      </c>
      <c r="D366" s="13">
        <v>16000</v>
      </c>
      <c r="E366" s="13">
        <f t="shared" ref="E366:E387" si="73">A366*D366</f>
        <v>48000</v>
      </c>
      <c r="F366" s="2"/>
      <c r="G366" s="2"/>
      <c r="H366" s="2"/>
      <c r="I366" s="13">
        <v>12000</v>
      </c>
      <c r="J366" s="13">
        <f t="shared" ref="J366:J387" si="74">I366*A366</f>
        <v>36000</v>
      </c>
      <c r="K366" s="13">
        <f t="shared" ref="K366:K387" si="75">E366-J366</f>
        <v>12000</v>
      </c>
      <c r="L366" s="14">
        <f t="shared" ref="L366:L387" si="76">K366/E366</f>
        <v>0.25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2">
        <v>8</v>
      </c>
      <c r="B367" s="10" t="s">
        <v>17</v>
      </c>
      <c r="C367" s="11" t="s">
        <v>39</v>
      </c>
      <c r="D367" s="13">
        <v>2200</v>
      </c>
      <c r="E367" s="13">
        <f t="shared" si="73"/>
        <v>17600</v>
      </c>
      <c r="F367" s="2"/>
      <c r="G367" s="2"/>
      <c r="H367" s="2"/>
      <c r="I367" s="13">
        <f>25000/15</f>
        <v>1666.6666666666667</v>
      </c>
      <c r="J367" s="13">
        <f t="shared" si="74"/>
        <v>13333.333333333334</v>
      </c>
      <c r="K367" s="13">
        <f t="shared" si="75"/>
        <v>4266.6666666666661</v>
      </c>
      <c r="L367" s="14">
        <f t="shared" si="76"/>
        <v>0.2424242424242424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2">
        <v>1</v>
      </c>
      <c r="B368" s="10" t="s">
        <v>21</v>
      </c>
      <c r="C368" s="11" t="s">
        <v>64</v>
      </c>
      <c r="D368" s="13">
        <v>2500</v>
      </c>
      <c r="E368" s="13">
        <f t="shared" si="73"/>
        <v>2500</v>
      </c>
      <c r="F368" s="2"/>
      <c r="G368" s="2"/>
      <c r="H368" s="2"/>
      <c r="I368" s="13">
        <v>1000</v>
      </c>
      <c r="J368" s="13">
        <f t="shared" si="74"/>
        <v>1000</v>
      </c>
      <c r="K368" s="13">
        <f t="shared" si="75"/>
        <v>1500</v>
      </c>
      <c r="L368" s="14">
        <f t="shared" si="76"/>
        <v>0.6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2">
        <v>3</v>
      </c>
      <c r="B369" s="10" t="s">
        <v>17</v>
      </c>
      <c r="C369" s="11" t="s">
        <v>31</v>
      </c>
      <c r="D369" s="13">
        <v>2800</v>
      </c>
      <c r="E369" s="13">
        <f t="shared" si="73"/>
        <v>8400</v>
      </c>
      <c r="F369" s="2"/>
      <c r="G369" s="2"/>
      <c r="H369" s="2"/>
      <c r="I369" s="13">
        <f>15000/7</f>
        <v>2142.8571428571427</v>
      </c>
      <c r="J369" s="13">
        <f t="shared" si="74"/>
        <v>6428.5714285714275</v>
      </c>
      <c r="K369" s="13">
        <f t="shared" si="75"/>
        <v>1971.4285714285725</v>
      </c>
      <c r="L369" s="14">
        <f t="shared" si="76"/>
        <v>0.23469387755102053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2">
        <v>1</v>
      </c>
      <c r="B370" s="10" t="s">
        <v>15</v>
      </c>
      <c r="C370" s="11" t="s">
        <v>40</v>
      </c>
      <c r="D370" s="13">
        <v>12000</v>
      </c>
      <c r="E370" s="13">
        <f t="shared" si="73"/>
        <v>12000</v>
      </c>
      <c r="F370" s="2"/>
      <c r="G370" s="2"/>
      <c r="H370" s="2"/>
      <c r="I370" s="13">
        <v>7000</v>
      </c>
      <c r="J370" s="13">
        <f t="shared" si="74"/>
        <v>7000</v>
      </c>
      <c r="K370" s="13">
        <f t="shared" si="75"/>
        <v>5000</v>
      </c>
      <c r="L370" s="14">
        <f t="shared" si="76"/>
        <v>0.41666666666666669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2">
        <v>1</v>
      </c>
      <c r="B371" s="10" t="s">
        <v>23</v>
      </c>
      <c r="C371" s="11" t="s">
        <v>85</v>
      </c>
      <c r="D371" s="13">
        <v>58000</v>
      </c>
      <c r="E371" s="13">
        <f t="shared" si="73"/>
        <v>58000</v>
      </c>
      <c r="F371" s="2"/>
      <c r="G371" s="2"/>
      <c r="H371" s="2"/>
      <c r="I371" s="13">
        <v>50000</v>
      </c>
      <c r="J371" s="13">
        <f t="shared" si="74"/>
        <v>50000</v>
      </c>
      <c r="K371" s="13">
        <f t="shared" si="75"/>
        <v>8000</v>
      </c>
      <c r="L371" s="14">
        <f t="shared" si="76"/>
        <v>0.13793103448275862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2">
        <v>7</v>
      </c>
      <c r="B372" s="10" t="s">
        <v>4</v>
      </c>
      <c r="C372" s="11" t="s">
        <v>65</v>
      </c>
      <c r="D372" s="13">
        <v>1600</v>
      </c>
      <c r="E372" s="13">
        <f t="shared" si="73"/>
        <v>11200</v>
      </c>
      <c r="F372" s="2"/>
      <c r="G372" s="2"/>
      <c r="H372" s="2"/>
      <c r="I372" s="13">
        <v>1078</v>
      </c>
      <c r="J372" s="13">
        <f t="shared" si="74"/>
        <v>7546</v>
      </c>
      <c r="K372" s="13">
        <f t="shared" si="75"/>
        <v>3654</v>
      </c>
      <c r="L372" s="14">
        <f t="shared" si="76"/>
        <v>0.32624999999999998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2">
        <v>1</v>
      </c>
      <c r="B373" s="10" t="s">
        <v>23</v>
      </c>
      <c r="C373" s="11" t="s">
        <v>46</v>
      </c>
      <c r="D373" s="13">
        <v>9000</v>
      </c>
      <c r="E373" s="13">
        <f t="shared" si="73"/>
        <v>9000</v>
      </c>
      <c r="F373" s="2"/>
      <c r="G373" s="2"/>
      <c r="H373" s="2"/>
      <c r="I373" s="13">
        <v>5000</v>
      </c>
      <c r="J373" s="13">
        <f t="shared" si="74"/>
        <v>5000</v>
      </c>
      <c r="K373" s="13">
        <f t="shared" si="75"/>
        <v>4000</v>
      </c>
      <c r="L373" s="14">
        <f t="shared" si="76"/>
        <v>0.44444444444444442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2">
        <v>0.5</v>
      </c>
      <c r="B374" s="10" t="s">
        <v>23</v>
      </c>
      <c r="C374" s="11" t="s">
        <v>110</v>
      </c>
      <c r="D374" s="13">
        <v>12000</v>
      </c>
      <c r="E374" s="13">
        <f t="shared" si="73"/>
        <v>6000</v>
      </c>
      <c r="F374" s="2"/>
      <c r="G374" s="2"/>
      <c r="H374" s="2"/>
      <c r="I374" s="13">
        <v>10000</v>
      </c>
      <c r="J374" s="13">
        <f t="shared" si="74"/>
        <v>5000</v>
      </c>
      <c r="K374" s="13">
        <f t="shared" si="75"/>
        <v>1000</v>
      </c>
      <c r="L374" s="14">
        <f t="shared" si="76"/>
        <v>0.16666666666666666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2">
        <v>1</v>
      </c>
      <c r="B375" s="10" t="s">
        <v>17</v>
      </c>
      <c r="C375" s="11" t="s">
        <v>113</v>
      </c>
      <c r="D375" s="13">
        <v>4000</v>
      </c>
      <c r="E375" s="13">
        <f t="shared" si="73"/>
        <v>4000</v>
      </c>
      <c r="F375" s="2"/>
      <c r="G375" s="2"/>
      <c r="H375" s="2"/>
      <c r="I375" s="13">
        <v>3000</v>
      </c>
      <c r="J375" s="13">
        <f t="shared" si="74"/>
        <v>3000</v>
      </c>
      <c r="K375" s="13">
        <f t="shared" si="75"/>
        <v>1000</v>
      </c>
      <c r="L375" s="14">
        <f t="shared" si="76"/>
        <v>0.25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2">
        <v>1</v>
      </c>
      <c r="B376" s="10" t="s">
        <v>21</v>
      </c>
      <c r="C376" s="11" t="s">
        <v>133</v>
      </c>
      <c r="D376" s="13">
        <v>3000</v>
      </c>
      <c r="E376" s="13">
        <f t="shared" si="73"/>
        <v>3000</v>
      </c>
      <c r="F376" s="2"/>
      <c r="G376" s="2"/>
      <c r="H376" s="2"/>
      <c r="I376" s="13">
        <v>500</v>
      </c>
      <c r="J376" s="13">
        <f t="shared" si="74"/>
        <v>500</v>
      </c>
      <c r="K376" s="13">
        <f t="shared" si="75"/>
        <v>2500</v>
      </c>
      <c r="L376" s="14">
        <f t="shared" si="76"/>
        <v>0.83333333333333337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2">
        <v>2</v>
      </c>
      <c r="B377" s="10" t="s">
        <v>17</v>
      </c>
      <c r="C377" s="11" t="s">
        <v>61</v>
      </c>
      <c r="D377" s="13">
        <v>1400</v>
      </c>
      <c r="E377" s="13">
        <f t="shared" si="73"/>
        <v>2800</v>
      </c>
      <c r="F377" s="2"/>
      <c r="G377" s="2"/>
      <c r="H377" s="2"/>
      <c r="I377" s="13">
        <v>1000</v>
      </c>
      <c r="J377" s="13">
        <f t="shared" si="74"/>
        <v>2000</v>
      </c>
      <c r="K377" s="13">
        <f t="shared" si="75"/>
        <v>800</v>
      </c>
      <c r="L377" s="14">
        <f t="shared" si="76"/>
        <v>0.2857142857142857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2">
        <v>2</v>
      </c>
      <c r="B378" s="10" t="s">
        <v>17</v>
      </c>
      <c r="C378" s="11" t="s">
        <v>99</v>
      </c>
      <c r="D378" s="13">
        <v>1500</v>
      </c>
      <c r="E378" s="13">
        <f t="shared" si="73"/>
        <v>3000</v>
      </c>
      <c r="F378" s="2"/>
      <c r="G378" s="2"/>
      <c r="H378" s="2"/>
      <c r="I378" s="17">
        <v>1250</v>
      </c>
      <c r="J378" s="13">
        <f t="shared" si="74"/>
        <v>2500</v>
      </c>
      <c r="K378" s="13">
        <f t="shared" si="75"/>
        <v>500</v>
      </c>
      <c r="L378" s="14">
        <f t="shared" si="76"/>
        <v>0.16666666666666666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2">
        <v>1</v>
      </c>
      <c r="B379" s="10" t="s">
        <v>17</v>
      </c>
      <c r="C379" s="11" t="s">
        <v>33</v>
      </c>
      <c r="D379" s="13">
        <v>3200</v>
      </c>
      <c r="E379" s="13">
        <f t="shared" si="73"/>
        <v>3200</v>
      </c>
      <c r="F379" s="2"/>
      <c r="G379" s="2"/>
      <c r="H379" s="2"/>
      <c r="I379" s="13">
        <f t="shared" ref="I379:I380" si="77">15000/7</f>
        <v>2142.8571428571427</v>
      </c>
      <c r="J379" s="13">
        <f t="shared" si="74"/>
        <v>2142.8571428571427</v>
      </c>
      <c r="K379" s="13">
        <f t="shared" si="75"/>
        <v>1057.1428571428573</v>
      </c>
      <c r="L379" s="14">
        <f t="shared" si="76"/>
        <v>0.3303571428571429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2">
        <v>1</v>
      </c>
      <c r="B380" s="10" t="s">
        <v>17</v>
      </c>
      <c r="C380" s="11" t="s">
        <v>32</v>
      </c>
      <c r="D380" s="13">
        <v>2800</v>
      </c>
      <c r="E380" s="13">
        <f t="shared" si="73"/>
        <v>2800</v>
      </c>
      <c r="F380" s="2"/>
      <c r="G380" s="2"/>
      <c r="H380" s="2"/>
      <c r="I380" s="13">
        <f t="shared" si="77"/>
        <v>2142.8571428571427</v>
      </c>
      <c r="J380" s="13">
        <f t="shared" si="74"/>
        <v>2142.8571428571427</v>
      </c>
      <c r="K380" s="13">
        <f t="shared" si="75"/>
        <v>657.14285714285734</v>
      </c>
      <c r="L380" s="14">
        <f t="shared" si="76"/>
        <v>0.23469387755102047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2">
        <v>10</v>
      </c>
      <c r="B381" s="10" t="s">
        <v>17</v>
      </c>
      <c r="C381" s="11" t="s">
        <v>26</v>
      </c>
      <c r="D381" s="13">
        <v>1800</v>
      </c>
      <c r="E381" s="13">
        <f t="shared" si="73"/>
        <v>18000</v>
      </c>
      <c r="F381" s="2"/>
      <c r="G381" s="2"/>
      <c r="H381" s="2"/>
      <c r="I381" s="13">
        <f>22000/15</f>
        <v>1466.6666666666667</v>
      </c>
      <c r="J381" s="13">
        <f t="shared" si="74"/>
        <v>14666.666666666668</v>
      </c>
      <c r="K381" s="13">
        <f t="shared" si="75"/>
        <v>3333.3333333333321</v>
      </c>
      <c r="L381" s="14">
        <f t="shared" si="76"/>
        <v>0.18518518518518512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2">
        <v>10</v>
      </c>
      <c r="B382" s="10" t="s">
        <v>17</v>
      </c>
      <c r="C382" s="11" t="s">
        <v>88</v>
      </c>
      <c r="D382" s="13">
        <v>2400</v>
      </c>
      <c r="E382" s="13">
        <f t="shared" si="73"/>
        <v>24000</v>
      </c>
      <c r="F382" s="2"/>
      <c r="G382" s="2"/>
      <c r="H382" s="2"/>
      <c r="I382" s="13">
        <f>20000/15</f>
        <v>1333.3333333333333</v>
      </c>
      <c r="J382" s="13">
        <f t="shared" si="74"/>
        <v>13333.333333333332</v>
      </c>
      <c r="K382" s="13">
        <f t="shared" si="75"/>
        <v>10666.666666666668</v>
      </c>
      <c r="L382" s="14">
        <f t="shared" si="76"/>
        <v>0.44444444444444448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2">
        <v>0.25</v>
      </c>
      <c r="B383" s="10" t="s">
        <v>17</v>
      </c>
      <c r="C383" s="11" t="s">
        <v>111</v>
      </c>
      <c r="D383" s="13">
        <v>11000</v>
      </c>
      <c r="E383" s="13">
        <f t="shared" si="73"/>
        <v>2750</v>
      </c>
      <c r="F383" s="2"/>
      <c r="G383" s="2"/>
      <c r="H383" s="2"/>
      <c r="I383" s="13">
        <v>7000</v>
      </c>
      <c r="J383" s="13">
        <f t="shared" si="74"/>
        <v>1750</v>
      </c>
      <c r="K383" s="13">
        <f t="shared" si="75"/>
        <v>1000</v>
      </c>
      <c r="L383" s="14">
        <f t="shared" si="76"/>
        <v>0.36363636363636365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2">
        <v>2</v>
      </c>
      <c r="B384" s="10" t="s">
        <v>17</v>
      </c>
      <c r="C384" s="11" t="s">
        <v>35</v>
      </c>
      <c r="D384" s="13">
        <v>2500</v>
      </c>
      <c r="E384" s="13">
        <f t="shared" si="73"/>
        <v>5000</v>
      </c>
      <c r="F384" s="2"/>
      <c r="G384" s="2"/>
      <c r="H384" s="2"/>
      <c r="I384" s="13">
        <v>1400</v>
      </c>
      <c r="J384" s="13">
        <f t="shared" si="74"/>
        <v>2800</v>
      </c>
      <c r="K384" s="13">
        <f t="shared" si="75"/>
        <v>2200</v>
      </c>
      <c r="L384" s="14">
        <f t="shared" si="76"/>
        <v>0.44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2">
        <v>1</v>
      </c>
      <c r="B385" s="10" t="s">
        <v>21</v>
      </c>
      <c r="C385" s="11" t="s">
        <v>29</v>
      </c>
      <c r="D385" s="13">
        <v>3500</v>
      </c>
      <c r="E385" s="13">
        <f t="shared" si="73"/>
        <v>3500</v>
      </c>
      <c r="F385" s="2"/>
      <c r="G385" s="2"/>
      <c r="H385" s="2"/>
      <c r="I385" s="13">
        <v>1500</v>
      </c>
      <c r="J385" s="13">
        <f t="shared" si="74"/>
        <v>1500</v>
      </c>
      <c r="K385" s="13">
        <f t="shared" si="75"/>
        <v>2000</v>
      </c>
      <c r="L385" s="14">
        <f t="shared" si="76"/>
        <v>0.5714285714285714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2">
        <v>1</v>
      </c>
      <c r="B386" s="10" t="s">
        <v>23</v>
      </c>
      <c r="C386" s="11" t="s">
        <v>41</v>
      </c>
      <c r="D386" s="13">
        <v>21000</v>
      </c>
      <c r="E386" s="13">
        <f t="shared" si="73"/>
        <v>21000</v>
      </c>
      <c r="F386" s="2"/>
      <c r="G386" s="2"/>
      <c r="H386" s="2"/>
      <c r="I386" s="13">
        <v>16000</v>
      </c>
      <c r="J386" s="13">
        <f t="shared" si="74"/>
        <v>16000</v>
      </c>
      <c r="K386" s="13">
        <f t="shared" si="75"/>
        <v>5000</v>
      </c>
      <c r="L386" s="14">
        <f t="shared" si="76"/>
        <v>0.23809523809523808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2">
        <v>1</v>
      </c>
      <c r="B387" s="10" t="s">
        <v>21</v>
      </c>
      <c r="C387" s="11" t="s">
        <v>112</v>
      </c>
      <c r="D387" s="13">
        <v>3000</v>
      </c>
      <c r="E387" s="13">
        <f t="shared" si="73"/>
        <v>3000</v>
      </c>
      <c r="F387" s="2"/>
      <c r="G387" s="2"/>
      <c r="H387" s="2"/>
      <c r="I387" s="13">
        <v>2000</v>
      </c>
      <c r="J387" s="13">
        <f t="shared" si="74"/>
        <v>2000</v>
      </c>
      <c r="K387" s="13">
        <f t="shared" si="75"/>
        <v>1000</v>
      </c>
      <c r="L387" s="14">
        <f t="shared" si="76"/>
        <v>0.33333333333333331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"/>
      <c r="B388" s="2"/>
      <c r="C388" s="4"/>
      <c r="D388" s="2"/>
      <c r="E388" s="2"/>
      <c r="F388" s="2"/>
      <c r="G388" s="4"/>
      <c r="H388" s="2"/>
      <c r="I388" s="2"/>
      <c r="J388" s="2"/>
      <c r="K388" s="2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"/>
      <c r="B389" s="2"/>
      <c r="C389" s="4"/>
      <c r="D389" s="2"/>
      <c r="E389" s="13">
        <f>SUM(E366:E387)</f>
        <v>268750</v>
      </c>
      <c r="F389" s="2"/>
      <c r="G389" s="2"/>
      <c r="H389" s="2"/>
      <c r="I389" s="2"/>
      <c r="J389" s="2"/>
      <c r="K389" s="13">
        <f>SUM(K366:K387)</f>
        <v>73106.380952380947</v>
      </c>
      <c r="L389" s="14">
        <f>K389/E389</f>
        <v>0.27202374307862676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0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0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6" t="s">
        <v>149</v>
      </c>
      <c r="B392" s="1"/>
      <c r="C392" s="1"/>
      <c r="D392" s="22" t="s">
        <v>150</v>
      </c>
      <c r="E392" s="8">
        <v>46118</v>
      </c>
      <c r="F392" s="24" t="s">
        <v>37</v>
      </c>
      <c r="G392" s="2"/>
      <c r="H392" s="2"/>
      <c r="I392" s="2"/>
      <c r="J392" s="2"/>
      <c r="K392" s="2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2"/>
      <c r="C393" s="4"/>
      <c r="D393" s="2"/>
      <c r="E393" s="2"/>
      <c r="F393" s="2"/>
      <c r="G393" s="2"/>
      <c r="H393" s="2"/>
      <c r="I393" s="2"/>
      <c r="J393" s="2"/>
      <c r="K393" s="2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6" t="s">
        <v>3</v>
      </c>
      <c r="B394" s="10" t="s">
        <v>4</v>
      </c>
      <c r="C394" s="11" t="s">
        <v>5</v>
      </c>
      <c r="D394" s="10" t="s">
        <v>6</v>
      </c>
      <c r="E394" s="10" t="s">
        <v>7</v>
      </c>
      <c r="F394" s="2"/>
      <c r="G394" s="2"/>
      <c r="H394" s="2"/>
      <c r="I394" s="10" t="s">
        <v>6</v>
      </c>
      <c r="J394" s="10" t="s">
        <v>7</v>
      </c>
      <c r="K394" s="10" t="s">
        <v>10</v>
      </c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2">
        <v>2</v>
      </c>
      <c r="B395" s="10" t="s">
        <v>15</v>
      </c>
      <c r="C395" s="11" t="s">
        <v>27</v>
      </c>
      <c r="D395" s="13">
        <v>23000</v>
      </c>
      <c r="E395" s="13">
        <f t="shared" ref="E395:E420" si="78">A395*D395</f>
        <v>46000</v>
      </c>
      <c r="F395" s="2"/>
      <c r="G395" s="2"/>
      <c r="H395" s="2"/>
      <c r="I395" s="13">
        <v>18000</v>
      </c>
      <c r="J395" s="13">
        <f t="shared" ref="J395:J420" si="79">I395*A395</f>
        <v>36000</v>
      </c>
      <c r="K395" s="13">
        <f t="shared" ref="K395:K420" si="80">E395-J395</f>
        <v>10000</v>
      </c>
      <c r="L395" s="14">
        <f t="shared" ref="L395:L420" si="81">K395/E395</f>
        <v>0.21739130434782608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2">
        <v>2</v>
      </c>
      <c r="B396" s="10" t="s">
        <v>23</v>
      </c>
      <c r="C396" s="11" t="s">
        <v>22</v>
      </c>
      <c r="D396" s="13">
        <v>16000</v>
      </c>
      <c r="E396" s="13">
        <f t="shared" si="78"/>
        <v>32000</v>
      </c>
      <c r="F396" s="2"/>
      <c r="G396" s="2"/>
      <c r="H396" s="2"/>
      <c r="I396" s="13">
        <v>12000</v>
      </c>
      <c r="J396" s="13">
        <f t="shared" si="79"/>
        <v>24000</v>
      </c>
      <c r="K396" s="13">
        <f t="shared" si="80"/>
        <v>8000</v>
      </c>
      <c r="L396" s="14">
        <f t="shared" si="81"/>
        <v>0.25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2">
        <v>2</v>
      </c>
      <c r="B397" s="10" t="s">
        <v>17</v>
      </c>
      <c r="C397" s="11" t="s">
        <v>31</v>
      </c>
      <c r="D397" s="13">
        <v>2800</v>
      </c>
      <c r="E397" s="13">
        <f t="shared" si="78"/>
        <v>5600</v>
      </c>
      <c r="F397" s="2"/>
      <c r="G397" s="2"/>
      <c r="H397" s="2"/>
      <c r="I397" s="13">
        <f>15000/7</f>
        <v>2142.8571428571427</v>
      </c>
      <c r="J397" s="13">
        <f t="shared" si="79"/>
        <v>4285.7142857142853</v>
      </c>
      <c r="K397" s="13">
        <f t="shared" si="80"/>
        <v>1314.2857142857147</v>
      </c>
      <c r="L397" s="14">
        <f t="shared" si="81"/>
        <v>0.23469387755102047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2">
        <v>1</v>
      </c>
      <c r="B398" s="10" t="s">
        <v>23</v>
      </c>
      <c r="C398" s="11" t="s">
        <v>93</v>
      </c>
      <c r="D398" s="13">
        <v>20000</v>
      </c>
      <c r="E398" s="13">
        <f t="shared" si="78"/>
        <v>20000</v>
      </c>
      <c r="F398" s="2"/>
      <c r="G398" s="2"/>
      <c r="H398" s="2"/>
      <c r="I398" s="13">
        <v>13000</v>
      </c>
      <c r="J398" s="13">
        <f t="shared" si="79"/>
        <v>13000</v>
      </c>
      <c r="K398" s="13">
        <f t="shared" si="80"/>
        <v>7000</v>
      </c>
      <c r="L398" s="14">
        <f t="shared" si="81"/>
        <v>0.35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12">
        <v>12</v>
      </c>
      <c r="B399" s="10" t="s">
        <v>4</v>
      </c>
      <c r="C399" s="11" t="s">
        <v>65</v>
      </c>
      <c r="D399" s="13">
        <v>1600</v>
      </c>
      <c r="E399" s="13">
        <f t="shared" si="78"/>
        <v>19200</v>
      </c>
      <c r="F399" s="2"/>
      <c r="G399" s="2"/>
      <c r="H399" s="2"/>
      <c r="I399" s="13">
        <v>1078</v>
      </c>
      <c r="J399" s="13">
        <f t="shared" si="79"/>
        <v>12936</v>
      </c>
      <c r="K399" s="13">
        <f t="shared" si="80"/>
        <v>6264</v>
      </c>
      <c r="L399" s="14">
        <f t="shared" si="81"/>
        <v>0.32624999999999998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2">
        <v>2</v>
      </c>
      <c r="B400" s="10" t="s">
        <v>17</v>
      </c>
      <c r="C400" s="11" t="s">
        <v>61</v>
      </c>
      <c r="D400" s="13">
        <v>1400</v>
      </c>
      <c r="E400" s="13">
        <f t="shared" si="78"/>
        <v>2800</v>
      </c>
      <c r="F400" s="2"/>
      <c r="G400" s="2"/>
      <c r="H400" s="2"/>
      <c r="I400" s="13">
        <v>1000</v>
      </c>
      <c r="J400" s="13">
        <f t="shared" si="79"/>
        <v>2000</v>
      </c>
      <c r="K400" s="13">
        <f t="shared" si="80"/>
        <v>800</v>
      </c>
      <c r="L400" s="14">
        <f t="shared" si="81"/>
        <v>0.2857142857142857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2">
        <v>2</v>
      </c>
      <c r="B401" s="10" t="s">
        <v>17</v>
      </c>
      <c r="C401" s="11" t="s">
        <v>99</v>
      </c>
      <c r="D401" s="13">
        <v>1500</v>
      </c>
      <c r="E401" s="13">
        <f t="shared" si="78"/>
        <v>3000</v>
      </c>
      <c r="F401" s="2"/>
      <c r="G401" s="2"/>
      <c r="H401" s="2"/>
      <c r="I401" s="13">
        <v>1250</v>
      </c>
      <c r="J401" s="13">
        <f t="shared" si="79"/>
        <v>2500</v>
      </c>
      <c r="K401" s="13">
        <f t="shared" si="80"/>
        <v>500</v>
      </c>
      <c r="L401" s="14">
        <f t="shared" si="81"/>
        <v>0.16666666666666666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2">
        <v>2</v>
      </c>
      <c r="B402" s="10" t="s">
        <v>17</v>
      </c>
      <c r="C402" s="11" t="s">
        <v>32</v>
      </c>
      <c r="D402" s="13">
        <v>2800</v>
      </c>
      <c r="E402" s="13">
        <f t="shared" si="78"/>
        <v>5600</v>
      </c>
      <c r="F402" s="2"/>
      <c r="G402" s="2"/>
      <c r="H402" s="2"/>
      <c r="I402" s="13">
        <f t="shared" ref="I402:I403" si="82">15000/7</f>
        <v>2142.8571428571427</v>
      </c>
      <c r="J402" s="13">
        <f t="shared" si="79"/>
        <v>4285.7142857142853</v>
      </c>
      <c r="K402" s="13">
        <f t="shared" si="80"/>
        <v>1314.2857142857147</v>
      </c>
      <c r="L402" s="14">
        <f t="shared" si="81"/>
        <v>0.23469387755102047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2">
        <v>2</v>
      </c>
      <c r="B403" s="10" t="s">
        <v>17</v>
      </c>
      <c r="C403" s="11" t="s">
        <v>33</v>
      </c>
      <c r="D403" s="13">
        <v>3200</v>
      </c>
      <c r="E403" s="13">
        <f t="shared" si="78"/>
        <v>6400</v>
      </c>
      <c r="F403" s="2"/>
      <c r="G403" s="2"/>
      <c r="H403" s="2"/>
      <c r="I403" s="13">
        <f t="shared" si="82"/>
        <v>2142.8571428571427</v>
      </c>
      <c r="J403" s="13">
        <f t="shared" si="79"/>
        <v>4285.7142857142853</v>
      </c>
      <c r="K403" s="13">
        <f t="shared" si="80"/>
        <v>2114.2857142857147</v>
      </c>
      <c r="L403" s="14">
        <f t="shared" si="81"/>
        <v>0.3303571428571429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2">
        <v>4</v>
      </c>
      <c r="B404" s="10" t="s">
        <v>17</v>
      </c>
      <c r="C404" s="11" t="s">
        <v>39</v>
      </c>
      <c r="D404" s="13">
        <v>2200</v>
      </c>
      <c r="E404" s="13">
        <f t="shared" si="78"/>
        <v>8800</v>
      </c>
      <c r="F404" s="2"/>
      <c r="G404" s="2"/>
      <c r="H404" s="2"/>
      <c r="I404" s="13">
        <f>25000/15</f>
        <v>1666.6666666666667</v>
      </c>
      <c r="J404" s="13">
        <f t="shared" si="79"/>
        <v>6666.666666666667</v>
      </c>
      <c r="K404" s="13">
        <f t="shared" si="80"/>
        <v>2133.333333333333</v>
      </c>
      <c r="L404" s="14">
        <f t="shared" si="81"/>
        <v>0.2424242424242424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2">
        <v>2</v>
      </c>
      <c r="B405" s="10" t="s">
        <v>17</v>
      </c>
      <c r="C405" s="11" t="s">
        <v>35</v>
      </c>
      <c r="D405" s="13">
        <v>2500</v>
      </c>
      <c r="E405" s="13">
        <f t="shared" si="78"/>
        <v>5000</v>
      </c>
      <c r="F405" s="2"/>
      <c r="G405" s="2"/>
      <c r="H405" s="2"/>
      <c r="I405" s="13">
        <v>1400</v>
      </c>
      <c r="J405" s="13">
        <f t="shared" si="79"/>
        <v>2800</v>
      </c>
      <c r="K405" s="13">
        <f t="shared" si="80"/>
        <v>2200</v>
      </c>
      <c r="L405" s="14">
        <f t="shared" si="81"/>
        <v>0.44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2">
        <v>1</v>
      </c>
      <c r="B406" s="10" t="s">
        <v>23</v>
      </c>
      <c r="C406" s="11" t="s">
        <v>46</v>
      </c>
      <c r="D406" s="13">
        <v>9000</v>
      </c>
      <c r="E406" s="13">
        <f t="shared" si="78"/>
        <v>9000</v>
      </c>
      <c r="F406" s="2"/>
      <c r="G406" s="2"/>
      <c r="H406" s="2"/>
      <c r="I406" s="13">
        <v>5000</v>
      </c>
      <c r="J406" s="13">
        <f t="shared" si="79"/>
        <v>5000</v>
      </c>
      <c r="K406" s="13">
        <f t="shared" si="80"/>
        <v>4000</v>
      </c>
      <c r="L406" s="14">
        <f t="shared" si="81"/>
        <v>0.44444444444444442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2">
        <v>1</v>
      </c>
      <c r="B407" s="10" t="s">
        <v>23</v>
      </c>
      <c r="C407" s="11" t="s">
        <v>110</v>
      </c>
      <c r="D407" s="13">
        <v>12000</v>
      </c>
      <c r="E407" s="13">
        <f t="shared" si="78"/>
        <v>12000</v>
      </c>
      <c r="F407" s="2"/>
      <c r="G407" s="2"/>
      <c r="H407" s="2"/>
      <c r="I407" s="13">
        <v>10000</v>
      </c>
      <c r="J407" s="13">
        <f t="shared" si="79"/>
        <v>10000</v>
      </c>
      <c r="K407" s="13">
        <f t="shared" si="80"/>
        <v>2000</v>
      </c>
      <c r="L407" s="14">
        <f t="shared" si="81"/>
        <v>0.16666666666666666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2">
        <v>2</v>
      </c>
      <c r="B408" s="10" t="s">
        <v>17</v>
      </c>
      <c r="C408" s="11" t="s">
        <v>55</v>
      </c>
      <c r="D408" s="13">
        <v>21000</v>
      </c>
      <c r="E408" s="13">
        <f t="shared" si="78"/>
        <v>42000</v>
      </c>
      <c r="F408" s="2"/>
      <c r="G408" s="2"/>
      <c r="H408" s="2"/>
      <c r="I408" s="13">
        <v>17000</v>
      </c>
      <c r="J408" s="13">
        <f t="shared" si="79"/>
        <v>34000</v>
      </c>
      <c r="K408" s="13">
        <f t="shared" si="80"/>
        <v>8000</v>
      </c>
      <c r="L408" s="14">
        <f t="shared" si="81"/>
        <v>0.19047619047619047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2">
        <v>2</v>
      </c>
      <c r="B409" s="10" t="s">
        <v>17</v>
      </c>
      <c r="C409" s="11" t="s">
        <v>134</v>
      </c>
      <c r="D409" s="13">
        <v>23000</v>
      </c>
      <c r="E409" s="13">
        <f t="shared" si="78"/>
        <v>46000</v>
      </c>
      <c r="F409" s="2"/>
      <c r="G409" s="2"/>
      <c r="H409" s="2"/>
      <c r="I409" s="13">
        <v>20000</v>
      </c>
      <c r="J409" s="13">
        <f t="shared" si="79"/>
        <v>40000</v>
      </c>
      <c r="K409" s="13">
        <f t="shared" si="80"/>
        <v>6000</v>
      </c>
      <c r="L409" s="14">
        <f t="shared" si="81"/>
        <v>0.13043478260869565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2">
        <v>1</v>
      </c>
      <c r="B410" s="10" t="s">
        <v>23</v>
      </c>
      <c r="C410" s="11" t="s">
        <v>85</v>
      </c>
      <c r="D410" s="13">
        <v>58000</v>
      </c>
      <c r="E410" s="13">
        <f t="shared" si="78"/>
        <v>58000</v>
      </c>
      <c r="F410" s="2"/>
      <c r="G410" s="2"/>
      <c r="H410" s="2"/>
      <c r="I410" s="13">
        <v>50000</v>
      </c>
      <c r="J410" s="13">
        <f t="shared" si="79"/>
        <v>50000</v>
      </c>
      <c r="K410" s="13">
        <f t="shared" si="80"/>
        <v>8000</v>
      </c>
      <c r="L410" s="14">
        <f t="shared" si="81"/>
        <v>0.13793103448275862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2">
        <v>2</v>
      </c>
      <c r="B411" s="10" t="s">
        <v>21</v>
      </c>
      <c r="C411" s="11" t="s">
        <v>51</v>
      </c>
      <c r="D411" s="13">
        <v>1500</v>
      </c>
      <c r="E411" s="13">
        <f t="shared" si="78"/>
        <v>3000</v>
      </c>
      <c r="F411" s="2"/>
      <c r="G411" s="2"/>
      <c r="H411" s="2"/>
      <c r="I411" s="13">
        <v>1500</v>
      </c>
      <c r="J411" s="13">
        <f t="shared" si="79"/>
        <v>3000</v>
      </c>
      <c r="K411" s="13">
        <f t="shared" si="80"/>
        <v>0</v>
      </c>
      <c r="L411" s="14">
        <f t="shared" si="81"/>
        <v>0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2">
        <v>1</v>
      </c>
      <c r="B412" s="10" t="s">
        <v>21</v>
      </c>
      <c r="C412" s="11" t="s">
        <v>42</v>
      </c>
      <c r="D412" s="13">
        <v>4500</v>
      </c>
      <c r="E412" s="13">
        <f t="shared" si="78"/>
        <v>4500</v>
      </c>
      <c r="F412" s="2"/>
      <c r="G412" s="2"/>
      <c r="H412" s="2"/>
      <c r="I412" s="13">
        <v>1200</v>
      </c>
      <c r="J412" s="13">
        <f t="shared" si="79"/>
        <v>1200</v>
      </c>
      <c r="K412" s="13">
        <f t="shared" si="80"/>
        <v>3300</v>
      </c>
      <c r="L412" s="14">
        <f t="shared" si="81"/>
        <v>0.73333333333333328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2">
        <v>1</v>
      </c>
      <c r="B413" s="10" t="s">
        <v>21</v>
      </c>
      <c r="C413" s="11" t="s">
        <v>28</v>
      </c>
      <c r="D413" s="13">
        <v>3000</v>
      </c>
      <c r="E413" s="13">
        <f t="shared" si="78"/>
        <v>3000</v>
      </c>
      <c r="F413" s="2"/>
      <c r="G413" s="2"/>
      <c r="H413" s="2"/>
      <c r="I413" s="13">
        <v>2000</v>
      </c>
      <c r="J413" s="13">
        <f t="shared" si="79"/>
        <v>2000</v>
      </c>
      <c r="K413" s="13">
        <f t="shared" si="80"/>
        <v>1000</v>
      </c>
      <c r="L413" s="14">
        <f t="shared" si="81"/>
        <v>0.33333333333333331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2">
        <v>1</v>
      </c>
      <c r="B414" s="10" t="s">
        <v>21</v>
      </c>
      <c r="C414" s="11" t="s">
        <v>151</v>
      </c>
      <c r="D414" s="13">
        <v>3000</v>
      </c>
      <c r="E414" s="13">
        <f t="shared" si="78"/>
        <v>3000</v>
      </c>
      <c r="F414" s="2"/>
      <c r="G414" s="2"/>
      <c r="H414" s="2"/>
      <c r="I414" s="13">
        <v>2000</v>
      </c>
      <c r="J414" s="13">
        <f t="shared" si="79"/>
        <v>2000</v>
      </c>
      <c r="K414" s="13">
        <f t="shared" si="80"/>
        <v>1000</v>
      </c>
      <c r="L414" s="14">
        <f t="shared" si="81"/>
        <v>0.33333333333333331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2">
        <v>2</v>
      </c>
      <c r="B415" s="10" t="s">
        <v>17</v>
      </c>
      <c r="C415" s="11" t="s">
        <v>40</v>
      </c>
      <c r="D415" s="13">
        <v>1400</v>
      </c>
      <c r="E415" s="13">
        <f t="shared" si="78"/>
        <v>2800</v>
      </c>
      <c r="F415" s="2"/>
      <c r="G415" s="2"/>
      <c r="H415" s="2"/>
      <c r="I415" s="13">
        <f>7000/9</f>
        <v>777.77777777777783</v>
      </c>
      <c r="J415" s="13">
        <f t="shared" si="79"/>
        <v>1555.5555555555557</v>
      </c>
      <c r="K415" s="13">
        <f t="shared" si="80"/>
        <v>1244.4444444444443</v>
      </c>
      <c r="L415" s="14">
        <f t="shared" si="81"/>
        <v>0.44444444444444442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2">
        <v>1</v>
      </c>
      <c r="B416" s="10" t="s">
        <v>21</v>
      </c>
      <c r="C416" s="11" t="s">
        <v>64</v>
      </c>
      <c r="D416" s="13">
        <v>2500</v>
      </c>
      <c r="E416" s="13">
        <f t="shared" si="78"/>
        <v>2500</v>
      </c>
      <c r="F416" s="2"/>
      <c r="G416" s="2"/>
      <c r="H416" s="2"/>
      <c r="I416" s="13">
        <v>1000</v>
      </c>
      <c r="J416" s="13">
        <f t="shared" si="79"/>
        <v>1000</v>
      </c>
      <c r="K416" s="13">
        <f t="shared" si="80"/>
        <v>1500</v>
      </c>
      <c r="L416" s="14">
        <f t="shared" si="81"/>
        <v>0.6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2">
        <v>1</v>
      </c>
      <c r="B417" s="10" t="s">
        <v>21</v>
      </c>
      <c r="C417" s="11" t="s">
        <v>34</v>
      </c>
      <c r="D417" s="13">
        <v>5000</v>
      </c>
      <c r="E417" s="13">
        <f t="shared" si="78"/>
        <v>5000</v>
      </c>
      <c r="F417" s="2"/>
      <c r="G417" s="2"/>
      <c r="H417" s="2"/>
      <c r="I417" s="13">
        <v>2000</v>
      </c>
      <c r="J417" s="13">
        <f t="shared" si="79"/>
        <v>2000</v>
      </c>
      <c r="K417" s="13">
        <f t="shared" si="80"/>
        <v>3000</v>
      </c>
      <c r="L417" s="14">
        <f t="shared" si="81"/>
        <v>0.6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2">
        <v>0.5</v>
      </c>
      <c r="B418" s="10" t="s">
        <v>23</v>
      </c>
      <c r="C418" s="11" t="s">
        <v>88</v>
      </c>
      <c r="D418" s="13">
        <v>28000</v>
      </c>
      <c r="E418" s="13">
        <f t="shared" si="78"/>
        <v>14000</v>
      </c>
      <c r="F418" s="2"/>
      <c r="G418" s="2"/>
      <c r="H418" s="2"/>
      <c r="I418" s="13">
        <v>20000</v>
      </c>
      <c r="J418" s="13">
        <f t="shared" si="79"/>
        <v>10000</v>
      </c>
      <c r="K418" s="13">
        <f t="shared" si="80"/>
        <v>4000</v>
      </c>
      <c r="L418" s="14">
        <f t="shared" si="81"/>
        <v>0.2857142857142857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2">
        <v>0.5</v>
      </c>
      <c r="B419" s="10" t="s">
        <v>23</v>
      </c>
      <c r="C419" s="11" t="s">
        <v>26</v>
      </c>
      <c r="D419" s="13">
        <v>26000</v>
      </c>
      <c r="E419" s="13">
        <f t="shared" si="78"/>
        <v>13000</v>
      </c>
      <c r="F419" s="2"/>
      <c r="G419" s="2"/>
      <c r="H419" s="2"/>
      <c r="I419" s="13">
        <v>22000</v>
      </c>
      <c r="J419" s="13">
        <f t="shared" si="79"/>
        <v>11000</v>
      </c>
      <c r="K419" s="13">
        <f t="shared" si="80"/>
        <v>2000</v>
      </c>
      <c r="L419" s="14">
        <f t="shared" si="81"/>
        <v>0.15384615384615385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2">
        <v>0.5</v>
      </c>
      <c r="B420" s="10" t="s">
        <v>23</v>
      </c>
      <c r="C420" s="11" t="s">
        <v>123</v>
      </c>
      <c r="D420" s="13">
        <v>28000</v>
      </c>
      <c r="E420" s="13">
        <f t="shared" si="78"/>
        <v>14000</v>
      </c>
      <c r="F420" s="2"/>
      <c r="G420" s="2"/>
      <c r="H420" s="2"/>
      <c r="I420" s="13">
        <v>20000</v>
      </c>
      <c r="J420" s="13">
        <f t="shared" si="79"/>
        <v>10000</v>
      </c>
      <c r="K420" s="13">
        <f t="shared" si="80"/>
        <v>4000</v>
      </c>
      <c r="L420" s="14">
        <f t="shared" si="81"/>
        <v>0.2857142857142857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"/>
      <c r="B421" s="2"/>
      <c r="C421" s="4"/>
      <c r="D421" s="2"/>
      <c r="E421" s="2"/>
      <c r="F421" s="2"/>
      <c r="G421" s="4"/>
      <c r="H421" s="2"/>
      <c r="I421" s="2"/>
      <c r="J421" s="2"/>
      <c r="K421" s="2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2"/>
      <c r="C422" s="4"/>
      <c r="D422" s="2"/>
      <c r="E422" s="13">
        <f>SUM(E395:E420)</f>
        <v>386200</v>
      </c>
      <c r="F422" s="2"/>
      <c r="G422" s="2"/>
      <c r="H422" s="2"/>
      <c r="I422" s="2"/>
      <c r="J422" s="2"/>
      <c r="K422" s="13">
        <f>SUM(K395:K420)</f>
        <v>90684.634920634911</v>
      </c>
      <c r="L422" s="14">
        <f>K422/E422</f>
        <v>0.23481262278776519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0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0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6" t="s">
        <v>131</v>
      </c>
      <c r="B425" s="1"/>
      <c r="C425" s="1"/>
      <c r="D425" s="12" t="s">
        <v>152</v>
      </c>
      <c r="E425" s="8">
        <v>46118</v>
      </c>
      <c r="F425" s="15" t="s">
        <v>37</v>
      </c>
      <c r="G425" s="2"/>
      <c r="H425" s="2"/>
      <c r="I425" s="2"/>
      <c r="J425" s="2"/>
      <c r="K425" s="2"/>
      <c r="L425" s="3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"/>
      <c r="B426" s="2"/>
      <c r="C426" s="1"/>
      <c r="D426" s="2"/>
      <c r="E426" s="2"/>
      <c r="F426" s="2"/>
      <c r="G426" s="2"/>
      <c r="H426" s="2"/>
      <c r="I426" s="2"/>
      <c r="J426" s="2"/>
      <c r="K426" s="2"/>
      <c r="L426" s="3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6" t="s">
        <v>3</v>
      </c>
      <c r="B427" s="10" t="s">
        <v>4</v>
      </c>
      <c r="C427" s="6" t="s">
        <v>5</v>
      </c>
      <c r="D427" s="10" t="s">
        <v>6</v>
      </c>
      <c r="E427" s="10" t="s">
        <v>7</v>
      </c>
      <c r="F427" s="2"/>
      <c r="G427" s="2"/>
      <c r="H427" s="2"/>
      <c r="I427" s="10" t="s">
        <v>6</v>
      </c>
      <c r="J427" s="10" t="s">
        <v>7</v>
      </c>
      <c r="K427" s="10" t="s">
        <v>10</v>
      </c>
      <c r="L427" s="3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2">
        <v>2</v>
      </c>
      <c r="B428" s="10" t="s">
        <v>21</v>
      </c>
      <c r="C428" s="6" t="s">
        <v>42</v>
      </c>
      <c r="D428" s="13">
        <v>4500</v>
      </c>
      <c r="E428" s="13">
        <f t="shared" ref="E428:E446" si="83">A428*D428</f>
        <v>9000</v>
      </c>
      <c r="F428" s="2"/>
      <c r="G428" s="2"/>
      <c r="H428" s="2"/>
      <c r="I428" s="13">
        <v>1200</v>
      </c>
      <c r="J428" s="13">
        <f t="shared" ref="J428:J446" si="84">I428*A428</f>
        <v>2400</v>
      </c>
      <c r="K428" s="13">
        <f t="shared" ref="K428:K446" si="85">E428-J428</f>
        <v>6600</v>
      </c>
      <c r="L428" s="14">
        <f t="shared" ref="L428:L446" si="86">K428/E428</f>
        <v>0.73333333333333328</v>
      </c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2">
        <v>4</v>
      </c>
      <c r="B429" s="10" t="s">
        <v>21</v>
      </c>
      <c r="C429" s="6" t="s">
        <v>28</v>
      </c>
      <c r="D429" s="13">
        <v>3000</v>
      </c>
      <c r="E429" s="13">
        <f t="shared" si="83"/>
        <v>12000</v>
      </c>
      <c r="F429" s="2"/>
      <c r="G429" s="2"/>
      <c r="H429" s="7"/>
      <c r="I429" s="13">
        <v>2000</v>
      </c>
      <c r="J429" s="13">
        <f t="shared" si="84"/>
        <v>8000</v>
      </c>
      <c r="K429" s="13">
        <f t="shared" si="85"/>
        <v>4000</v>
      </c>
      <c r="L429" s="14">
        <f t="shared" si="86"/>
        <v>0.33333333333333331</v>
      </c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2">
        <v>2</v>
      </c>
      <c r="B430" s="10" t="s">
        <v>21</v>
      </c>
      <c r="C430" s="6" t="s">
        <v>133</v>
      </c>
      <c r="D430" s="13">
        <v>3000</v>
      </c>
      <c r="E430" s="13">
        <f t="shared" si="83"/>
        <v>6000</v>
      </c>
      <c r="F430" s="2"/>
      <c r="G430" s="2"/>
      <c r="H430" s="2"/>
      <c r="I430" s="13">
        <v>500</v>
      </c>
      <c r="J430" s="13">
        <f t="shared" si="84"/>
        <v>1000</v>
      </c>
      <c r="K430" s="13">
        <f t="shared" si="85"/>
        <v>5000</v>
      </c>
      <c r="L430" s="14">
        <f t="shared" si="86"/>
        <v>0.83333333333333337</v>
      </c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2">
        <v>1</v>
      </c>
      <c r="B431" s="10" t="s">
        <v>21</v>
      </c>
      <c r="C431" s="6" t="s">
        <v>151</v>
      </c>
      <c r="D431" s="13">
        <v>3000</v>
      </c>
      <c r="E431" s="13">
        <f t="shared" si="83"/>
        <v>3000</v>
      </c>
      <c r="F431" s="2"/>
      <c r="G431" s="2"/>
      <c r="H431" s="2"/>
      <c r="I431" s="13">
        <v>2000</v>
      </c>
      <c r="J431" s="13">
        <f t="shared" si="84"/>
        <v>2000</v>
      </c>
      <c r="K431" s="13">
        <f t="shared" si="85"/>
        <v>1000</v>
      </c>
      <c r="L431" s="14">
        <f t="shared" si="86"/>
        <v>0.33333333333333331</v>
      </c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12">
        <v>0.5</v>
      </c>
      <c r="B432" s="10" t="s">
        <v>15</v>
      </c>
      <c r="C432" s="6" t="s">
        <v>129</v>
      </c>
      <c r="D432" s="13">
        <v>16000</v>
      </c>
      <c r="E432" s="13">
        <f t="shared" si="83"/>
        <v>8000</v>
      </c>
      <c r="F432" s="2"/>
      <c r="G432" s="2"/>
      <c r="H432" s="7"/>
      <c r="I432" s="13">
        <v>12000</v>
      </c>
      <c r="J432" s="13">
        <f t="shared" si="84"/>
        <v>6000</v>
      </c>
      <c r="K432" s="13">
        <f t="shared" si="85"/>
        <v>2000</v>
      </c>
      <c r="L432" s="14">
        <f t="shared" si="86"/>
        <v>0.25</v>
      </c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12">
        <v>2</v>
      </c>
      <c r="B433" s="10" t="s">
        <v>17</v>
      </c>
      <c r="C433" s="6" t="s">
        <v>153</v>
      </c>
      <c r="D433" s="13">
        <v>2800</v>
      </c>
      <c r="E433" s="13">
        <f t="shared" si="83"/>
        <v>5600</v>
      </c>
      <c r="F433" s="2"/>
      <c r="G433" s="2"/>
      <c r="H433" s="7"/>
      <c r="I433" s="13">
        <f t="shared" ref="I433:I434" si="87">15000/7</f>
        <v>2142.8571428571427</v>
      </c>
      <c r="J433" s="13">
        <f t="shared" si="84"/>
        <v>4285.7142857142853</v>
      </c>
      <c r="K433" s="13">
        <f t="shared" si="85"/>
        <v>1314.2857142857147</v>
      </c>
      <c r="L433" s="14">
        <f t="shared" si="86"/>
        <v>0.23469387755102047</v>
      </c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2">
        <v>1</v>
      </c>
      <c r="B434" s="10" t="s">
        <v>17</v>
      </c>
      <c r="C434" s="6" t="s">
        <v>32</v>
      </c>
      <c r="D434" s="13">
        <v>2800</v>
      </c>
      <c r="E434" s="13">
        <f t="shared" si="83"/>
        <v>2800</v>
      </c>
      <c r="F434" s="2"/>
      <c r="G434" s="2"/>
      <c r="H434" s="7"/>
      <c r="I434" s="13">
        <f t="shared" si="87"/>
        <v>2142.8571428571427</v>
      </c>
      <c r="J434" s="13">
        <f t="shared" si="84"/>
        <v>2142.8571428571427</v>
      </c>
      <c r="K434" s="13">
        <f t="shared" si="85"/>
        <v>657.14285714285734</v>
      </c>
      <c r="L434" s="14">
        <f t="shared" si="86"/>
        <v>0.23469387755102047</v>
      </c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2">
        <v>1.2</v>
      </c>
      <c r="B435" s="10" t="s">
        <v>17</v>
      </c>
      <c r="C435" s="6" t="s">
        <v>30</v>
      </c>
      <c r="D435" s="13">
        <v>1500</v>
      </c>
      <c r="E435" s="13">
        <f t="shared" si="83"/>
        <v>1800</v>
      </c>
      <c r="F435" s="2"/>
      <c r="G435" s="2"/>
      <c r="H435" s="7"/>
      <c r="I435" s="13">
        <v>1500</v>
      </c>
      <c r="J435" s="13">
        <f t="shared" si="84"/>
        <v>1800</v>
      </c>
      <c r="K435" s="13">
        <f t="shared" si="85"/>
        <v>0</v>
      </c>
      <c r="L435" s="14">
        <f t="shared" si="86"/>
        <v>0</v>
      </c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2">
        <v>2</v>
      </c>
      <c r="B436" s="10" t="s">
        <v>4</v>
      </c>
      <c r="C436" s="6" t="s">
        <v>64</v>
      </c>
      <c r="D436" s="13">
        <v>2500</v>
      </c>
      <c r="E436" s="13">
        <f t="shared" si="83"/>
        <v>5000</v>
      </c>
      <c r="F436" s="2"/>
      <c r="G436" s="2"/>
      <c r="H436" s="7"/>
      <c r="I436" s="13">
        <v>1000</v>
      </c>
      <c r="J436" s="13">
        <f t="shared" si="84"/>
        <v>2000</v>
      </c>
      <c r="K436" s="13">
        <f t="shared" si="85"/>
        <v>3000</v>
      </c>
      <c r="L436" s="14">
        <f t="shared" si="86"/>
        <v>0.6</v>
      </c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2">
        <v>2</v>
      </c>
      <c r="B437" s="10" t="s">
        <v>4</v>
      </c>
      <c r="C437" s="6" t="s">
        <v>13</v>
      </c>
      <c r="D437" s="13">
        <v>900</v>
      </c>
      <c r="E437" s="13">
        <f t="shared" si="83"/>
        <v>1800</v>
      </c>
      <c r="F437" s="2"/>
      <c r="G437" s="2"/>
      <c r="H437" s="2"/>
      <c r="I437" s="13">
        <v>460</v>
      </c>
      <c r="J437" s="13">
        <f t="shared" si="84"/>
        <v>920</v>
      </c>
      <c r="K437" s="13">
        <f t="shared" si="85"/>
        <v>880</v>
      </c>
      <c r="L437" s="14">
        <f t="shared" si="86"/>
        <v>0.48888888888888887</v>
      </c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2">
        <v>0.5</v>
      </c>
      <c r="B438" s="10" t="s">
        <v>15</v>
      </c>
      <c r="C438" s="6" t="s">
        <v>154</v>
      </c>
      <c r="D438" s="13">
        <v>23000</v>
      </c>
      <c r="E438" s="13">
        <f t="shared" si="83"/>
        <v>11500</v>
      </c>
      <c r="F438" s="2"/>
      <c r="G438" s="2"/>
      <c r="H438" s="7"/>
      <c r="I438" s="13">
        <v>18000</v>
      </c>
      <c r="J438" s="13">
        <f t="shared" si="84"/>
        <v>9000</v>
      </c>
      <c r="K438" s="13">
        <f t="shared" si="85"/>
        <v>2500</v>
      </c>
      <c r="L438" s="14">
        <f t="shared" si="86"/>
        <v>0.21739130434782608</v>
      </c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2">
        <v>2</v>
      </c>
      <c r="B439" s="10" t="s">
        <v>21</v>
      </c>
      <c r="C439" s="6" t="s">
        <v>34</v>
      </c>
      <c r="D439" s="13">
        <v>5000</v>
      </c>
      <c r="E439" s="13">
        <f t="shared" si="83"/>
        <v>10000</v>
      </c>
      <c r="F439" s="2"/>
      <c r="G439" s="2"/>
      <c r="H439" s="7"/>
      <c r="I439" s="13">
        <v>2000</v>
      </c>
      <c r="J439" s="13">
        <f t="shared" si="84"/>
        <v>4000</v>
      </c>
      <c r="K439" s="13">
        <f t="shared" si="85"/>
        <v>6000</v>
      </c>
      <c r="L439" s="14">
        <f t="shared" si="86"/>
        <v>0.6</v>
      </c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2">
        <v>2</v>
      </c>
      <c r="B440" s="10" t="s">
        <v>4</v>
      </c>
      <c r="C440" s="6" t="s">
        <v>20</v>
      </c>
      <c r="D440" s="13">
        <v>800</v>
      </c>
      <c r="E440" s="13">
        <f t="shared" si="83"/>
        <v>1600</v>
      </c>
      <c r="F440" s="2"/>
      <c r="G440" s="2"/>
      <c r="H440" s="7"/>
      <c r="I440" s="13">
        <f>30000/94</f>
        <v>319.14893617021278</v>
      </c>
      <c r="J440" s="13">
        <f t="shared" si="84"/>
        <v>638.29787234042556</v>
      </c>
      <c r="K440" s="13">
        <f t="shared" si="85"/>
        <v>961.70212765957444</v>
      </c>
      <c r="L440" s="14">
        <f t="shared" si="86"/>
        <v>0.60106382978723405</v>
      </c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2">
        <v>1</v>
      </c>
      <c r="B441" s="10" t="s">
        <v>17</v>
      </c>
      <c r="C441" s="6" t="s">
        <v>35</v>
      </c>
      <c r="D441" s="13">
        <v>2500</v>
      </c>
      <c r="E441" s="13">
        <f t="shared" si="83"/>
        <v>2500</v>
      </c>
      <c r="F441" s="2"/>
      <c r="G441" s="2"/>
      <c r="H441" s="7"/>
      <c r="I441" s="13">
        <v>1400</v>
      </c>
      <c r="J441" s="13">
        <f t="shared" si="84"/>
        <v>1400</v>
      </c>
      <c r="K441" s="13">
        <f t="shared" si="85"/>
        <v>1100</v>
      </c>
      <c r="L441" s="14">
        <f t="shared" si="86"/>
        <v>0.44</v>
      </c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2">
        <v>1</v>
      </c>
      <c r="B442" s="10" t="s">
        <v>100</v>
      </c>
      <c r="C442" s="6" t="s">
        <v>155</v>
      </c>
      <c r="D442" s="13">
        <v>6000</v>
      </c>
      <c r="E442" s="13">
        <f t="shared" si="83"/>
        <v>6000</v>
      </c>
      <c r="F442" s="2"/>
      <c r="G442" s="2"/>
      <c r="H442" s="7"/>
      <c r="I442" s="13">
        <v>4500</v>
      </c>
      <c r="J442" s="13">
        <f t="shared" si="84"/>
        <v>4500</v>
      </c>
      <c r="K442" s="13">
        <f t="shared" si="85"/>
        <v>1500</v>
      </c>
      <c r="L442" s="14">
        <f t="shared" si="86"/>
        <v>0.25</v>
      </c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2">
        <v>1</v>
      </c>
      <c r="B443" s="10" t="s">
        <v>100</v>
      </c>
      <c r="C443" s="6" t="s">
        <v>134</v>
      </c>
      <c r="D443" s="13">
        <v>6000</v>
      </c>
      <c r="E443" s="13">
        <f t="shared" si="83"/>
        <v>6000</v>
      </c>
      <c r="F443" s="2"/>
      <c r="G443" s="2"/>
      <c r="H443" s="7"/>
      <c r="I443" s="13">
        <v>4500</v>
      </c>
      <c r="J443" s="13">
        <f t="shared" si="84"/>
        <v>4500</v>
      </c>
      <c r="K443" s="13">
        <f t="shared" si="85"/>
        <v>1500</v>
      </c>
      <c r="L443" s="14">
        <f t="shared" si="86"/>
        <v>0.25</v>
      </c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2">
        <v>0.5</v>
      </c>
      <c r="B444" s="10" t="s">
        <v>17</v>
      </c>
      <c r="C444" s="6" t="s">
        <v>156</v>
      </c>
      <c r="D444" s="13">
        <v>12000</v>
      </c>
      <c r="E444" s="13">
        <f t="shared" si="83"/>
        <v>6000</v>
      </c>
      <c r="F444" s="2"/>
      <c r="G444" s="2"/>
      <c r="H444" s="7"/>
      <c r="I444" s="13">
        <v>7000</v>
      </c>
      <c r="J444" s="13">
        <f t="shared" si="84"/>
        <v>3500</v>
      </c>
      <c r="K444" s="13">
        <f t="shared" si="85"/>
        <v>2500</v>
      </c>
      <c r="L444" s="14">
        <f t="shared" si="86"/>
        <v>0.41666666666666669</v>
      </c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2">
        <v>0.5</v>
      </c>
      <c r="B445" s="10" t="s">
        <v>17</v>
      </c>
      <c r="C445" s="6" t="s">
        <v>73</v>
      </c>
      <c r="D445" s="13">
        <v>1800</v>
      </c>
      <c r="E445" s="13">
        <f t="shared" si="83"/>
        <v>900</v>
      </c>
      <c r="F445" s="2"/>
      <c r="G445" s="2"/>
      <c r="H445" s="7"/>
      <c r="I445" s="13">
        <v>800</v>
      </c>
      <c r="J445" s="13">
        <f t="shared" si="84"/>
        <v>400</v>
      </c>
      <c r="K445" s="13">
        <f t="shared" si="85"/>
        <v>500</v>
      </c>
      <c r="L445" s="14">
        <f t="shared" si="86"/>
        <v>0.55555555555555558</v>
      </c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2">
        <v>1</v>
      </c>
      <c r="B446" s="10" t="s">
        <v>17</v>
      </c>
      <c r="C446" s="6" t="s">
        <v>40</v>
      </c>
      <c r="D446" s="13">
        <v>1400</v>
      </c>
      <c r="E446" s="13">
        <f t="shared" si="83"/>
        <v>1400</v>
      </c>
      <c r="F446" s="2"/>
      <c r="G446" s="2"/>
      <c r="H446" s="7"/>
      <c r="I446" s="13">
        <f>7000/9</f>
        <v>777.77777777777783</v>
      </c>
      <c r="J446" s="13">
        <f t="shared" si="84"/>
        <v>777.77777777777783</v>
      </c>
      <c r="K446" s="13">
        <f t="shared" si="85"/>
        <v>622.22222222222217</v>
      </c>
      <c r="L446" s="14">
        <f t="shared" si="86"/>
        <v>0.44444444444444442</v>
      </c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"/>
      <c r="B447" s="2"/>
      <c r="C447" s="1"/>
      <c r="D447" s="2"/>
      <c r="E447" s="2"/>
      <c r="F447" s="2"/>
      <c r="G447" s="1"/>
      <c r="H447" s="2"/>
      <c r="I447" s="2"/>
      <c r="J447" s="2"/>
      <c r="K447" s="2"/>
      <c r="L447" s="3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"/>
      <c r="B448" s="2"/>
      <c r="C448" s="1"/>
      <c r="D448" s="2"/>
      <c r="E448" s="13">
        <f>SUM(E428:E447)</f>
        <v>100900</v>
      </c>
      <c r="F448" s="2"/>
      <c r="G448" s="2"/>
      <c r="H448" s="2"/>
      <c r="I448" s="2"/>
      <c r="J448" s="2"/>
      <c r="K448" s="13">
        <f>SUM(K428:K446)</f>
        <v>41635.352921310368</v>
      </c>
      <c r="L448" s="14">
        <f>K448/E448</f>
        <v>0.41263977127165874</v>
      </c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0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0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6" t="s">
        <v>157</v>
      </c>
      <c r="B451" s="6"/>
      <c r="C451" s="6"/>
      <c r="D451" s="22" t="s">
        <v>158</v>
      </c>
      <c r="E451" s="8">
        <v>46118</v>
      </c>
      <c r="F451" s="23"/>
      <c r="G451" s="2"/>
      <c r="H451" s="2"/>
      <c r="I451" s="2"/>
      <c r="J451" s="13"/>
      <c r="K451" s="13"/>
      <c r="L451" s="1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B452" s="2"/>
      <c r="C452" s="4"/>
      <c r="D452" s="2"/>
      <c r="E452" s="2"/>
      <c r="F452" s="2"/>
      <c r="G452" s="2"/>
      <c r="H452" s="2"/>
      <c r="I452" s="2"/>
      <c r="J452" s="13"/>
      <c r="K452" s="13"/>
      <c r="L452" s="14"/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6" t="s">
        <v>3</v>
      </c>
      <c r="B453" s="10" t="s">
        <v>4</v>
      </c>
      <c r="C453" s="11" t="s">
        <v>5</v>
      </c>
      <c r="D453" s="10" t="s">
        <v>6</v>
      </c>
      <c r="E453" s="10" t="s">
        <v>7</v>
      </c>
      <c r="F453" s="10"/>
      <c r="G453" s="2"/>
      <c r="H453" s="2"/>
      <c r="I453" s="10" t="s">
        <v>6</v>
      </c>
      <c r="J453" s="10" t="s">
        <v>7</v>
      </c>
      <c r="K453" s="10" t="s">
        <v>10</v>
      </c>
      <c r="L453" s="14"/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2">
        <v>1</v>
      </c>
      <c r="B454" s="10" t="s">
        <v>15</v>
      </c>
      <c r="C454" s="11" t="s">
        <v>135</v>
      </c>
      <c r="D454" s="13">
        <v>17000</v>
      </c>
      <c r="E454" s="13">
        <f t="shared" ref="E454:E466" si="88">A454*D454</f>
        <v>17000</v>
      </c>
      <c r="F454" s="13"/>
      <c r="G454" s="2"/>
      <c r="H454" s="7"/>
      <c r="I454" s="13">
        <v>14000</v>
      </c>
      <c r="J454" s="13">
        <f t="shared" ref="J454:J466" si="89">I454*A454</f>
        <v>14000</v>
      </c>
      <c r="K454" s="13">
        <f t="shared" ref="K454:K466" si="90">E454-J454</f>
        <v>3000</v>
      </c>
      <c r="L454" s="14">
        <f t="shared" ref="L454:L466" si="91">K454/E454</f>
        <v>0.17647058823529413</v>
      </c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2">
        <v>0.5</v>
      </c>
      <c r="B455" s="10" t="s">
        <v>15</v>
      </c>
      <c r="C455" s="11" t="s">
        <v>56</v>
      </c>
      <c r="D455" s="13">
        <v>13000</v>
      </c>
      <c r="E455" s="13">
        <f t="shared" si="88"/>
        <v>6500</v>
      </c>
      <c r="F455" s="13"/>
      <c r="G455" s="2"/>
      <c r="H455" s="7"/>
      <c r="I455" s="13">
        <v>10000</v>
      </c>
      <c r="J455" s="13">
        <f t="shared" si="89"/>
        <v>5000</v>
      </c>
      <c r="K455" s="13">
        <f t="shared" si="90"/>
        <v>1500</v>
      </c>
      <c r="L455" s="14">
        <f t="shared" si="91"/>
        <v>0.23076923076923078</v>
      </c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2">
        <v>0.5</v>
      </c>
      <c r="B456" s="10" t="s">
        <v>23</v>
      </c>
      <c r="C456" s="11" t="s">
        <v>99</v>
      </c>
      <c r="D456" s="13">
        <v>12000</v>
      </c>
      <c r="E456" s="13">
        <f t="shared" si="88"/>
        <v>6000</v>
      </c>
      <c r="F456" s="13"/>
      <c r="G456" s="2"/>
      <c r="H456" s="7"/>
      <c r="I456" s="13">
        <v>10000</v>
      </c>
      <c r="J456" s="13">
        <f t="shared" si="89"/>
        <v>5000</v>
      </c>
      <c r="K456" s="13">
        <f t="shared" si="90"/>
        <v>1000</v>
      </c>
      <c r="L456" s="14">
        <f t="shared" si="91"/>
        <v>0.16666666666666666</v>
      </c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2">
        <v>1</v>
      </c>
      <c r="B457" s="10" t="s">
        <v>23</v>
      </c>
      <c r="C457" s="11" t="s">
        <v>39</v>
      </c>
      <c r="D457" s="13">
        <v>28000</v>
      </c>
      <c r="E457" s="13">
        <f t="shared" si="88"/>
        <v>28000</v>
      </c>
      <c r="F457" s="13"/>
      <c r="G457" s="2"/>
      <c r="H457" s="7"/>
      <c r="I457" s="13">
        <v>25000</v>
      </c>
      <c r="J457" s="13">
        <f t="shared" si="89"/>
        <v>25000</v>
      </c>
      <c r="K457" s="13">
        <f t="shared" si="90"/>
        <v>3000</v>
      </c>
      <c r="L457" s="14">
        <f t="shared" si="91"/>
        <v>0.10714285714285714</v>
      </c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2">
        <v>1</v>
      </c>
      <c r="B458" s="10" t="s">
        <v>23</v>
      </c>
      <c r="C458" s="11" t="s">
        <v>14</v>
      </c>
      <c r="D458" s="13">
        <v>18000</v>
      </c>
      <c r="E458" s="13">
        <f t="shared" si="88"/>
        <v>18000</v>
      </c>
      <c r="F458" s="13"/>
      <c r="G458" s="2"/>
      <c r="H458" s="7"/>
      <c r="I458" s="13">
        <v>15000</v>
      </c>
      <c r="J458" s="13">
        <f t="shared" si="89"/>
        <v>15000</v>
      </c>
      <c r="K458" s="13">
        <f t="shared" si="90"/>
        <v>3000</v>
      </c>
      <c r="L458" s="14">
        <f t="shared" si="91"/>
        <v>0.16666666666666666</v>
      </c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2">
        <v>1</v>
      </c>
      <c r="B459" s="10" t="s">
        <v>23</v>
      </c>
      <c r="C459" s="11" t="s">
        <v>130</v>
      </c>
      <c r="D459" s="13">
        <v>13000</v>
      </c>
      <c r="E459" s="13">
        <f t="shared" si="88"/>
        <v>13000</v>
      </c>
      <c r="F459" s="13"/>
      <c r="G459" s="2"/>
      <c r="H459" s="7"/>
      <c r="I459" s="13">
        <v>10000</v>
      </c>
      <c r="J459" s="13">
        <f t="shared" si="89"/>
        <v>10000</v>
      </c>
      <c r="K459" s="13">
        <f t="shared" si="90"/>
        <v>3000</v>
      </c>
      <c r="L459" s="14">
        <f t="shared" si="91"/>
        <v>0.23076923076923078</v>
      </c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A460" s="12">
        <v>1</v>
      </c>
      <c r="B460" s="10" t="s">
        <v>15</v>
      </c>
      <c r="C460" s="11" t="s">
        <v>40</v>
      </c>
      <c r="D460" s="13">
        <v>10500</v>
      </c>
      <c r="E460" s="13">
        <f t="shared" si="88"/>
        <v>10500</v>
      </c>
      <c r="F460" s="13"/>
      <c r="G460" s="2"/>
      <c r="H460" s="7"/>
      <c r="I460" s="13">
        <v>7000</v>
      </c>
      <c r="J460" s="13">
        <f t="shared" si="89"/>
        <v>7000</v>
      </c>
      <c r="K460" s="13">
        <f t="shared" si="90"/>
        <v>3500</v>
      </c>
      <c r="L460" s="14">
        <f t="shared" si="91"/>
        <v>0.33333333333333331</v>
      </c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A461" s="12">
        <v>4.3</v>
      </c>
      <c r="B461" s="10" t="s">
        <v>17</v>
      </c>
      <c r="C461" s="11" t="s">
        <v>35</v>
      </c>
      <c r="D461" s="13">
        <v>2200</v>
      </c>
      <c r="E461" s="13">
        <f t="shared" si="88"/>
        <v>9460</v>
      </c>
      <c r="F461" s="13"/>
      <c r="G461" s="2"/>
      <c r="H461" s="7"/>
      <c r="I461" s="13">
        <v>1400</v>
      </c>
      <c r="J461" s="13">
        <f t="shared" si="89"/>
        <v>6020</v>
      </c>
      <c r="K461" s="13">
        <f t="shared" si="90"/>
        <v>3440</v>
      </c>
      <c r="L461" s="14">
        <f t="shared" si="91"/>
        <v>0.36363636363636365</v>
      </c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A462" s="12">
        <v>6</v>
      </c>
      <c r="B462" s="10" t="s">
        <v>21</v>
      </c>
      <c r="C462" s="11" t="s">
        <v>46</v>
      </c>
      <c r="D462" s="13">
        <v>400</v>
      </c>
      <c r="E462" s="13">
        <f t="shared" si="88"/>
        <v>2400</v>
      </c>
      <c r="F462" s="13"/>
      <c r="G462" s="2"/>
      <c r="H462" s="7"/>
      <c r="I462" s="13">
        <f>5000/24</f>
        <v>208.33333333333334</v>
      </c>
      <c r="J462" s="13">
        <f t="shared" si="89"/>
        <v>1250</v>
      </c>
      <c r="K462" s="13">
        <f t="shared" si="90"/>
        <v>1150</v>
      </c>
      <c r="L462" s="14">
        <f t="shared" si="91"/>
        <v>0.47916666666666669</v>
      </c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A463" s="12">
        <v>3</v>
      </c>
      <c r="B463" s="10" t="s">
        <v>17</v>
      </c>
      <c r="C463" s="11" t="s">
        <v>88</v>
      </c>
      <c r="D463" s="13">
        <v>2500</v>
      </c>
      <c r="E463" s="13">
        <f t="shared" si="88"/>
        <v>7500</v>
      </c>
      <c r="F463" s="13"/>
      <c r="G463" s="2"/>
      <c r="H463" s="7"/>
      <c r="I463" s="13">
        <f>20000/15</f>
        <v>1333.3333333333333</v>
      </c>
      <c r="J463" s="13">
        <f t="shared" si="89"/>
        <v>4000</v>
      </c>
      <c r="K463" s="13">
        <f t="shared" si="90"/>
        <v>3500</v>
      </c>
      <c r="L463" s="14">
        <f t="shared" si="91"/>
        <v>0.46666666666666667</v>
      </c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A464" s="12">
        <v>0.5</v>
      </c>
      <c r="B464" s="10" t="s">
        <v>23</v>
      </c>
      <c r="C464" s="11" t="s">
        <v>87</v>
      </c>
      <c r="D464" s="13">
        <v>40000</v>
      </c>
      <c r="E464" s="13">
        <f t="shared" si="88"/>
        <v>20000</v>
      </c>
      <c r="F464" s="13" t="s">
        <v>37</v>
      </c>
      <c r="G464" s="2"/>
      <c r="H464" s="7"/>
      <c r="I464" s="13">
        <v>32000</v>
      </c>
      <c r="J464" s="13">
        <f t="shared" si="89"/>
        <v>16000</v>
      </c>
      <c r="K464" s="13">
        <f t="shared" si="90"/>
        <v>4000</v>
      </c>
      <c r="L464" s="14">
        <f t="shared" si="91"/>
        <v>0.2</v>
      </c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2">
        <v>10</v>
      </c>
      <c r="B465" s="10" t="s">
        <v>4</v>
      </c>
      <c r="C465" s="11" t="s">
        <v>159</v>
      </c>
      <c r="D465" s="13">
        <v>1600</v>
      </c>
      <c r="E465" s="13">
        <f t="shared" si="88"/>
        <v>16000</v>
      </c>
      <c r="F465" s="13"/>
      <c r="G465" s="2"/>
      <c r="H465" s="7"/>
      <c r="I465" s="13">
        <v>1078</v>
      </c>
      <c r="J465" s="13">
        <f t="shared" si="89"/>
        <v>10780</v>
      </c>
      <c r="K465" s="13">
        <f t="shared" si="90"/>
        <v>5220</v>
      </c>
      <c r="L465" s="14">
        <f t="shared" si="91"/>
        <v>0.32624999999999998</v>
      </c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6.5" customHeight="1" x14ac:dyDescent="0.2">
      <c r="A466" s="12">
        <v>4</v>
      </c>
      <c r="B466" s="10" t="s">
        <v>17</v>
      </c>
      <c r="C466" s="11" t="s">
        <v>110</v>
      </c>
      <c r="D466" s="13">
        <v>2800</v>
      </c>
      <c r="E466" s="13">
        <f t="shared" si="88"/>
        <v>11200</v>
      </c>
      <c r="F466" s="13"/>
      <c r="G466" s="2"/>
      <c r="H466" s="7"/>
      <c r="I466" s="13">
        <f>10000/6</f>
        <v>1666.6666666666667</v>
      </c>
      <c r="J466" s="13">
        <f t="shared" si="89"/>
        <v>6666.666666666667</v>
      </c>
      <c r="K466" s="13">
        <f t="shared" si="90"/>
        <v>4533.333333333333</v>
      </c>
      <c r="L466" s="14">
        <f t="shared" si="91"/>
        <v>0.40476190476190471</v>
      </c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2"/>
      <c r="B467" s="10"/>
      <c r="C467" s="11"/>
      <c r="D467" s="13"/>
      <c r="E467" s="13"/>
      <c r="F467" s="13"/>
      <c r="H467" s="2"/>
      <c r="I467" s="2"/>
      <c r="J467" s="13"/>
      <c r="K467" s="13"/>
      <c r="L467" s="1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2"/>
      <c r="B468" s="10"/>
      <c r="C468" s="11"/>
      <c r="D468" s="13"/>
      <c r="E468" s="13">
        <f>SUM(E454:E467)</f>
        <v>165560</v>
      </c>
      <c r="F468" s="13"/>
      <c r="G468" s="2"/>
      <c r="H468" s="2"/>
      <c r="I468" s="2"/>
      <c r="J468" s="13"/>
      <c r="K468" s="13">
        <f>SUM(K454:K466)</f>
        <v>39843.333333333336</v>
      </c>
      <c r="L468" s="14">
        <f>K468/E468</f>
        <v>0.24065796891358623</v>
      </c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2"/>
      <c r="B469" s="10"/>
      <c r="C469" s="11"/>
      <c r="D469" s="13"/>
      <c r="E469" s="13"/>
      <c r="F469" s="13"/>
      <c r="G469" s="2"/>
      <c r="H469" s="2"/>
      <c r="I469" s="2"/>
      <c r="J469" s="13"/>
      <c r="K469" s="13"/>
      <c r="L469" s="1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0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0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88" t="s">
        <v>160</v>
      </c>
      <c r="B472" s="89"/>
      <c r="C472" s="89"/>
      <c r="D472" s="2"/>
      <c r="E472" s="7" t="s">
        <v>161</v>
      </c>
      <c r="F472" s="8">
        <v>46118</v>
      </c>
      <c r="G472" s="2"/>
      <c r="H472" s="2"/>
      <c r="I472" s="9" t="s">
        <v>2</v>
      </c>
      <c r="J472" s="9"/>
      <c r="K472" s="9"/>
      <c r="L472" s="3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3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6" t="s">
        <v>3</v>
      </c>
      <c r="B474" s="10" t="s">
        <v>4</v>
      </c>
      <c r="C474" s="11" t="s">
        <v>5</v>
      </c>
      <c r="D474" s="10" t="s">
        <v>6</v>
      </c>
      <c r="E474" s="10" t="s">
        <v>7</v>
      </c>
      <c r="F474" s="10" t="s">
        <v>8</v>
      </c>
      <c r="G474" s="2"/>
      <c r="H474" s="2"/>
      <c r="I474" s="10" t="s">
        <v>9</v>
      </c>
      <c r="J474" s="10" t="s">
        <v>7</v>
      </c>
      <c r="K474" s="10" t="s">
        <v>10</v>
      </c>
      <c r="L474" s="3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2">
        <v>6</v>
      </c>
      <c r="B475" s="10" t="s">
        <v>23</v>
      </c>
      <c r="C475" s="11" t="s">
        <v>26</v>
      </c>
      <c r="D475" s="13">
        <v>26000</v>
      </c>
      <c r="E475" s="13">
        <f t="shared" ref="E475:E495" si="92">A475*D475</f>
        <v>156000</v>
      </c>
      <c r="F475" s="13">
        <f t="shared" ref="F475:F479" si="93">E475*1.105</f>
        <v>172380</v>
      </c>
      <c r="G475" s="2"/>
      <c r="H475" s="2"/>
      <c r="I475" s="13">
        <v>22000</v>
      </c>
      <c r="J475" s="13">
        <f t="shared" ref="J475:J495" si="94">I475*A475</f>
        <v>132000</v>
      </c>
      <c r="K475" s="13">
        <f t="shared" ref="K475:K495" si="95">F475-J475</f>
        <v>40380</v>
      </c>
      <c r="L475" s="14">
        <f t="shared" ref="L475:L495" si="96">IFERROR(K475/E475, 0)</f>
        <v>0.25884615384615384</v>
      </c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2">
        <v>4</v>
      </c>
      <c r="B476" s="10" t="s">
        <v>23</v>
      </c>
      <c r="C476" s="11" t="s">
        <v>24</v>
      </c>
      <c r="D476" s="13">
        <v>45000</v>
      </c>
      <c r="E476" s="13">
        <f t="shared" si="92"/>
        <v>180000</v>
      </c>
      <c r="F476" s="13">
        <f t="shared" si="93"/>
        <v>198900</v>
      </c>
      <c r="G476" s="2"/>
      <c r="H476" s="2"/>
      <c r="I476" s="13">
        <f>13000*3</f>
        <v>39000</v>
      </c>
      <c r="J476" s="13">
        <f t="shared" si="94"/>
        <v>156000</v>
      </c>
      <c r="K476" s="13">
        <f t="shared" si="95"/>
        <v>42900</v>
      </c>
      <c r="L476" s="14">
        <f t="shared" si="96"/>
        <v>0.23833333333333334</v>
      </c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2">
        <v>4</v>
      </c>
      <c r="B477" s="10" t="s">
        <v>23</v>
      </c>
      <c r="C477" s="11" t="s">
        <v>25</v>
      </c>
      <c r="D477" s="13">
        <v>60000</v>
      </c>
      <c r="E477" s="13">
        <f t="shared" si="92"/>
        <v>240000</v>
      </c>
      <c r="F477" s="13">
        <f t="shared" si="93"/>
        <v>265200</v>
      </c>
      <c r="G477" s="7"/>
      <c r="H477" s="2"/>
      <c r="I477" s="13">
        <v>20000</v>
      </c>
      <c r="J477" s="13">
        <f t="shared" si="94"/>
        <v>80000</v>
      </c>
      <c r="K477" s="13">
        <f t="shared" si="95"/>
        <v>185200</v>
      </c>
      <c r="L477" s="18">
        <f t="shared" si="96"/>
        <v>0.77166666666666661</v>
      </c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2">
        <v>4</v>
      </c>
      <c r="B478" s="10" t="s">
        <v>23</v>
      </c>
      <c r="C478" s="11" t="s">
        <v>162</v>
      </c>
      <c r="D478" s="13">
        <v>40000</v>
      </c>
      <c r="E478" s="13">
        <f t="shared" si="92"/>
        <v>160000</v>
      </c>
      <c r="F478" s="13">
        <f t="shared" si="93"/>
        <v>176800</v>
      </c>
      <c r="G478" s="2"/>
      <c r="H478" s="2"/>
      <c r="I478" s="13">
        <v>27000</v>
      </c>
      <c r="J478" s="13">
        <f t="shared" si="94"/>
        <v>108000</v>
      </c>
      <c r="K478" s="13">
        <f t="shared" si="95"/>
        <v>68800</v>
      </c>
      <c r="L478" s="14">
        <f t="shared" si="96"/>
        <v>0.43</v>
      </c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2">
        <v>3</v>
      </c>
      <c r="B479" s="10" t="s">
        <v>23</v>
      </c>
      <c r="C479" s="11" t="s">
        <v>62</v>
      </c>
      <c r="D479" s="13">
        <v>40000</v>
      </c>
      <c r="E479" s="13">
        <f t="shared" si="92"/>
        <v>120000</v>
      </c>
      <c r="F479" s="13">
        <f t="shared" si="93"/>
        <v>132600</v>
      </c>
      <c r="G479" s="7"/>
      <c r="H479" s="2"/>
      <c r="I479" s="13">
        <v>32000</v>
      </c>
      <c r="J479" s="13">
        <f t="shared" si="94"/>
        <v>96000</v>
      </c>
      <c r="K479" s="13">
        <f t="shared" si="95"/>
        <v>36600</v>
      </c>
      <c r="L479" s="14">
        <f t="shared" si="96"/>
        <v>0.30499999999999999</v>
      </c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2">
        <v>2</v>
      </c>
      <c r="B480" s="10" t="s">
        <v>23</v>
      </c>
      <c r="C480" s="11" t="s">
        <v>85</v>
      </c>
      <c r="D480" s="13">
        <v>54000</v>
      </c>
      <c r="E480" s="13">
        <f t="shared" si="92"/>
        <v>108000</v>
      </c>
      <c r="F480" s="13">
        <f>E480*1.21</f>
        <v>130680</v>
      </c>
      <c r="G480" s="2"/>
      <c r="H480" s="2"/>
      <c r="I480" s="13">
        <v>50000</v>
      </c>
      <c r="J480" s="13">
        <f t="shared" si="94"/>
        <v>100000</v>
      </c>
      <c r="K480" s="13">
        <f t="shared" si="95"/>
        <v>30680</v>
      </c>
      <c r="L480" s="18">
        <f t="shared" si="96"/>
        <v>0.28407407407407409</v>
      </c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2">
        <v>2</v>
      </c>
      <c r="B481" s="10" t="s">
        <v>23</v>
      </c>
      <c r="C481" s="11" t="s">
        <v>93</v>
      </c>
      <c r="D481" s="13">
        <v>30000</v>
      </c>
      <c r="E481" s="13">
        <f t="shared" si="92"/>
        <v>60000</v>
      </c>
      <c r="F481" s="13">
        <f t="shared" ref="F481:F494" si="97">E481*1.105</f>
        <v>66300</v>
      </c>
      <c r="G481" s="2"/>
      <c r="H481" s="2"/>
      <c r="I481" s="13">
        <v>13000</v>
      </c>
      <c r="J481" s="13">
        <f t="shared" si="94"/>
        <v>26000</v>
      </c>
      <c r="K481" s="13">
        <f t="shared" si="95"/>
        <v>40300</v>
      </c>
      <c r="L481" s="18">
        <f t="shared" si="96"/>
        <v>0.67166666666666663</v>
      </c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2">
        <v>2</v>
      </c>
      <c r="B482" s="10" t="s">
        <v>23</v>
      </c>
      <c r="C482" s="11" t="s">
        <v>73</v>
      </c>
      <c r="D482" s="13">
        <v>22000</v>
      </c>
      <c r="E482" s="13">
        <f t="shared" si="92"/>
        <v>44000</v>
      </c>
      <c r="F482" s="13">
        <f t="shared" si="97"/>
        <v>48620</v>
      </c>
      <c r="G482" s="2"/>
      <c r="H482" s="2"/>
      <c r="I482" s="13">
        <v>12000</v>
      </c>
      <c r="J482" s="13">
        <f t="shared" si="94"/>
        <v>24000</v>
      </c>
      <c r="K482" s="13">
        <f t="shared" si="95"/>
        <v>24620</v>
      </c>
      <c r="L482" s="18">
        <f t="shared" si="96"/>
        <v>0.55954545454545457</v>
      </c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2">
        <v>1</v>
      </c>
      <c r="B483" s="10" t="s">
        <v>23</v>
      </c>
      <c r="C483" s="11" t="s">
        <v>32</v>
      </c>
      <c r="D483" s="13">
        <v>20000</v>
      </c>
      <c r="E483" s="13">
        <f t="shared" si="92"/>
        <v>20000</v>
      </c>
      <c r="F483" s="13">
        <f t="shared" si="97"/>
        <v>22100</v>
      </c>
      <c r="G483" s="2"/>
      <c r="H483" s="2"/>
      <c r="I483" s="13">
        <v>15000</v>
      </c>
      <c r="J483" s="13">
        <f t="shared" si="94"/>
        <v>15000</v>
      </c>
      <c r="K483" s="13">
        <f t="shared" si="95"/>
        <v>7100</v>
      </c>
      <c r="L483" s="18">
        <f t="shared" si="96"/>
        <v>0.35499999999999998</v>
      </c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2">
        <v>1</v>
      </c>
      <c r="B484" s="10" t="s">
        <v>23</v>
      </c>
      <c r="C484" s="11" t="s">
        <v>31</v>
      </c>
      <c r="D484" s="13">
        <v>20000</v>
      </c>
      <c r="E484" s="13">
        <f t="shared" si="92"/>
        <v>20000</v>
      </c>
      <c r="F484" s="13">
        <f t="shared" si="97"/>
        <v>22100</v>
      </c>
      <c r="G484" s="2"/>
      <c r="H484" s="2"/>
      <c r="I484" s="13">
        <v>15000</v>
      </c>
      <c r="J484" s="13">
        <f t="shared" si="94"/>
        <v>15000</v>
      </c>
      <c r="K484" s="13">
        <f t="shared" si="95"/>
        <v>7100</v>
      </c>
      <c r="L484" s="18">
        <f t="shared" si="96"/>
        <v>0.35499999999999998</v>
      </c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2">
        <v>10</v>
      </c>
      <c r="B485" s="10" t="s">
        <v>4</v>
      </c>
      <c r="C485" s="11" t="s">
        <v>159</v>
      </c>
      <c r="D485" s="13">
        <v>1600</v>
      </c>
      <c r="E485" s="13">
        <f t="shared" si="92"/>
        <v>16000</v>
      </c>
      <c r="F485" s="13">
        <f t="shared" si="97"/>
        <v>17680</v>
      </c>
      <c r="G485" s="2"/>
      <c r="H485" s="2"/>
      <c r="I485" s="13">
        <f>70000/50</f>
        <v>1400</v>
      </c>
      <c r="J485" s="13">
        <f t="shared" si="94"/>
        <v>14000</v>
      </c>
      <c r="K485" s="13">
        <f t="shared" si="95"/>
        <v>3680</v>
      </c>
      <c r="L485" s="36">
        <f t="shared" si="96"/>
        <v>0.23</v>
      </c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2">
        <v>3</v>
      </c>
      <c r="B486" s="10" t="s">
        <v>23</v>
      </c>
      <c r="C486" s="11" t="s">
        <v>163</v>
      </c>
      <c r="D486" s="13">
        <v>30000</v>
      </c>
      <c r="E486" s="13">
        <f t="shared" si="92"/>
        <v>90000</v>
      </c>
      <c r="F486" s="13">
        <f t="shared" si="97"/>
        <v>99450</v>
      </c>
      <c r="G486" s="2"/>
      <c r="H486" s="2"/>
      <c r="I486" s="13">
        <v>26000</v>
      </c>
      <c r="J486" s="13">
        <f t="shared" si="94"/>
        <v>78000</v>
      </c>
      <c r="K486" s="13">
        <f t="shared" si="95"/>
        <v>21450</v>
      </c>
      <c r="L486" s="18">
        <f t="shared" si="96"/>
        <v>0.23833333333333334</v>
      </c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2">
        <v>1</v>
      </c>
      <c r="B487" s="10" t="s">
        <v>23</v>
      </c>
      <c r="C487" s="11" t="s">
        <v>31</v>
      </c>
      <c r="D487" s="13">
        <v>20000</v>
      </c>
      <c r="E487" s="13">
        <f t="shared" si="92"/>
        <v>20000</v>
      </c>
      <c r="F487" s="13">
        <f t="shared" si="97"/>
        <v>22100</v>
      </c>
      <c r="G487" s="7" t="s">
        <v>15</v>
      </c>
      <c r="H487" s="2"/>
      <c r="I487" s="2"/>
      <c r="J487" s="13">
        <f t="shared" si="94"/>
        <v>0</v>
      </c>
      <c r="K487" s="13">
        <f t="shared" si="95"/>
        <v>22100</v>
      </c>
      <c r="L487" s="14">
        <f t="shared" si="96"/>
        <v>1.105</v>
      </c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2">
        <v>1</v>
      </c>
      <c r="B488" s="10" t="s">
        <v>23</v>
      </c>
      <c r="C488" s="11" t="s">
        <v>32</v>
      </c>
      <c r="D488" s="13">
        <v>20000</v>
      </c>
      <c r="E488" s="13">
        <f t="shared" si="92"/>
        <v>20000</v>
      </c>
      <c r="F488" s="13">
        <f t="shared" si="97"/>
        <v>22100</v>
      </c>
      <c r="G488" s="7" t="s">
        <v>15</v>
      </c>
      <c r="H488" s="2"/>
      <c r="I488" s="2"/>
      <c r="J488" s="13">
        <f t="shared" si="94"/>
        <v>0</v>
      </c>
      <c r="K488" s="13">
        <f t="shared" si="95"/>
        <v>22100</v>
      </c>
      <c r="L488" s="14">
        <f t="shared" si="96"/>
        <v>1.105</v>
      </c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2">
        <v>1</v>
      </c>
      <c r="B489" s="10" t="s">
        <v>23</v>
      </c>
      <c r="C489" s="11" t="s">
        <v>87</v>
      </c>
      <c r="D489" s="13">
        <v>40000</v>
      </c>
      <c r="E489" s="13">
        <f t="shared" si="92"/>
        <v>40000</v>
      </c>
      <c r="F489" s="13">
        <f t="shared" si="97"/>
        <v>44200</v>
      </c>
      <c r="G489" s="7" t="s">
        <v>15</v>
      </c>
      <c r="H489" s="2"/>
      <c r="I489" s="2"/>
      <c r="J489" s="13">
        <f t="shared" si="94"/>
        <v>0</v>
      </c>
      <c r="K489" s="13">
        <f t="shared" si="95"/>
        <v>44200</v>
      </c>
      <c r="L489" s="14">
        <f t="shared" si="96"/>
        <v>1.105</v>
      </c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2">
        <v>1</v>
      </c>
      <c r="B490" s="10" t="s">
        <v>23</v>
      </c>
      <c r="C490" s="11" t="s">
        <v>127</v>
      </c>
      <c r="D490" s="13">
        <v>26000</v>
      </c>
      <c r="E490" s="13">
        <f t="shared" si="92"/>
        <v>26000</v>
      </c>
      <c r="F490" s="13">
        <f t="shared" si="97"/>
        <v>28730</v>
      </c>
      <c r="G490" s="7" t="s">
        <v>15</v>
      </c>
      <c r="H490" s="2"/>
      <c r="I490" s="2"/>
      <c r="J490" s="13">
        <f t="shared" si="94"/>
        <v>0</v>
      </c>
      <c r="K490" s="13">
        <f t="shared" si="95"/>
        <v>28730</v>
      </c>
      <c r="L490" s="14">
        <f t="shared" si="96"/>
        <v>1.105</v>
      </c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2">
        <v>1</v>
      </c>
      <c r="B491" s="10" t="s">
        <v>23</v>
      </c>
      <c r="C491" s="11" t="s">
        <v>24</v>
      </c>
      <c r="D491" s="13">
        <v>45000</v>
      </c>
      <c r="E491" s="13">
        <f t="shared" si="92"/>
        <v>45000</v>
      </c>
      <c r="F491" s="13">
        <f t="shared" si="97"/>
        <v>49725</v>
      </c>
      <c r="G491" s="7" t="s">
        <v>15</v>
      </c>
      <c r="H491" s="2"/>
      <c r="I491" s="2"/>
      <c r="J491" s="13">
        <f t="shared" si="94"/>
        <v>0</v>
      </c>
      <c r="K491" s="13">
        <f t="shared" si="95"/>
        <v>49725</v>
      </c>
      <c r="L491" s="14">
        <f t="shared" si="96"/>
        <v>1.105</v>
      </c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2">
        <v>1</v>
      </c>
      <c r="B492" s="10" t="s">
        <v>23</v>
      </c>
      <c r="C492" s="11" t="s">
        <v>25</v>
      </c>
      <c r="D492" s="13">
        <v>60000</v>
      </c>
      <c r="E492" s="13">
        <f t="shared" si="92"/>
        <v>60000</v>
      </c>
      <c r="F492" s="13">
        <f t="shared" si="97"/>
        <v>66300</v>
      </c>
      <c r="G492" s="7" t="s">
        <v>164</v>
      </c>
      <c r="H492" s="2"/>
      <c r="I492" s="2"/>
      <c r="J492" s="13">
        <f t="shared" si="94"/>
        <v>0</v>
      </c>
      <c r="K492" s="13">
        <f t="shared" si="95"/>
        <v>66300</v>
      </c>
      <c r="L492" s="14">
        <f t="shared" si="96"/>
        <v>1.105</v>
      </c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2">
        <v>1</v>
      </c>
      <c r="B493" s="10" t="s">
        <v>23</v>
      </c>
      <c r="C493" s="11" t="s">
        <v>81</v>
      </c>
      <c r="D493" s="13">
        <v>22000</v>
      </c>
      <c r="E493" s="13">
        <f t="shared" si="92"/>
        <v>22000</v>
      </c>
      <c r="F493" s="13">
        <f t="shared" si="97"/>
        <v>24310</v>
      </c>
      <c r="G493" s="7" t="s">
        <v>164</v>
      </c>
      <c r="H493" s="2"/>
      <c r="I493" s="2"/>
      <c r="J493" s="13">
        <f t="shared" si="94"/>
        <v>0</v>
      </c>
      <c r="K493" s="13">
        <f t="shared" si="95"/>
        <v>24310</v>
      </c>
      <c r="L493" s="14">
        <f t="shared" si="96"/>
        <v>1.105</v>
      </c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2">
        <v>1</v>
      </c>
      <c r="B494" s="10" t="s">
        <v>23</v>
      </c>
      <c r="C494" s="11" t="s">
        <v>93</v>
      </c>
      <c r="D494" s="13">
        <v>30000</v>
      </c>
      <c r="E494" s="13">
        <f t="shared" si="92"/>
        <v>30000</v>
      </c>
      <c r="F494" s="13">
        <f t="shared" si="97"/>
        <v>33150</v>
      </c>
      <c r="G494" s="7" t="s">
        <v>164</v>
      </c>
      <c r="H494" s="2"/>
      <c r="I494" s="2"/>
      <c r="J494" s="13">
        <f t="shared" si="94"/>
        <v>0</v>
      </c>
      <c r="K494" s="13">
        <f t="shared" si="95"/>
        <v>33150</v>
      </c>
      <c r="L494" s="14">
        <f t="shared" si="96"/>
        <v>1.105</v>
      </c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2">
        <v>1</v>
      </c>
      <c r="B495" s="10" t="s">
        <v>23</v>
      </c>
      <c r="C495" s="11" t="s">
        <v>12</v>
      </c>
      <c r="D495" s="13">
        <v>54000</v>
      </c>
      <c r="E495" s="13">
        <f t="shared" si="92"/>
        <v>54000</v>
      </c>
      <c r="F495" s="13">
        <f>E495*1.21</f>
        <v>65340</v>
      </c>
      <c r="G495" s="7" t="s">
        <v>164</v>
      </c>
      <c r="H495" s="2"/>
      <c r="I495" s="2"/>
      <c r="J495" s="13">
        <f t="shared" si="94"/>
        <v>0</v>
      </c>
      <c r="K495" s="13">
        <f t="shared" si="95"/>
        <v>65340</v>
      </c>
      <c r="L495" s="14">
        <f t="shared" si="96"/>
        <v>1.21</v>
      </c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2"/>
      <c r="C496" s="4"/>
      <c r="D496" s="2"/>
      <c r="E496" s="2"/>
      <c r="F496" s="13"/>
      <c r="G496" s="2"/>
      <c r="H496" s="2"/>
      <c r="I496" s="2"/>
      <c r="J496" s="2"/>
      <c r="K496" s="2"/>
      <c r="L496" s="3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"/>
      <c r="B497" s="2"/>
      <c r="C497" s="4"/>
      <c r="D497" s="2"/>
      <c r="E497" s="13">
        <f t="shared" ref="E497:F497" si="98">SUM(E475:E495)</f>
        <v>1531000</v>
      </c>
      <c r="F497" s="13">
        <f t="shared" si="98"/>
        <v>1708765</v>
      </c>
      <c r="G497" s="2"/>
      <c r="H497" s="2"/>
      <c r="I497" s="2"/>
      <c r="J497" s="2"/>
      <c r="K497" s="13">
        <f>SUM(K475:K495)</f>
        <v>864765</v>
      </c>
      <c r="L497" s="14">
        <f>K497/F497</f>
        <v>0.50607602566766052</v>
      </c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0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0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0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6" t="s">
        <v>165</v>
      </c>
      <c r="B501" s="25" t="s">
        <v>166</v>
      </c>
      <c r="C501" s="6"/>
      <c r="D501" s="7"/>
      <c r="E501" s="7" t="s">
        <v>76</v>
      </c>
      <c r="F501" s="8">
        <v>46118</v>
      </c>
      <c r="G501" s="7" t="s">
        <v>106</v>
      </c>
      <c r="H501" s="2"/>
      <c r="I501" s="9" t="s">
        <v>2</v>
      </c>
      <c r="J501" s="9"/>
      <c r="K501" s="9"/>
      <c r="L501" s="31"/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x14ac:dyDescent="0.2">
      <c r="A502" s="1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31"/>
      <c r="M502" s="1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x14ac:dyDescent="0.2">
      <c r="A503" s="6" t="s">
        <v>3</v>
      </c>
      <c r="B503" s="10" t="s">
        <v>4</v>
      </c>
      <c r="C503" s="11" t="s">
        <v>5</v>
      </c>
      <c r="D503" s="10" t="s">
        <v>6</v>
      </c>
      <c r="E503" s="10" t="s">
        <v>7</v>
      </c>
      <c r="F503" s="10" t="s">
        <v>8</v>
      </c>
      <c r="G503" s="37"/>
      <c r="H503" s="37"/>
      <c r="I503" s="10" t="s">
        <v>9</v>
      </c>
      <c r="J503" s="10" t="s">
        <v>7</v>
      </c>
      <c r="K503" s="10" t="s">
        <v>10</v>
      </c>
      <c r="L503" s="38"/>
      <c r="M503" s="1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x14ac:dyDescent="0.2">
      <c r="A504" s="12">
        <v>6</v>
      </c>
      <c r="B504" s="10" t="s">
        <v>4</v>
      </c>
      <c r="C504" s="11" t="s">
        <v>14</v>
      </c>
      <c r="D504" s="13">
        <v>2800</v>
      </c>
      <c r="E504" s="13">
        <f t="shared" ref="E504:E523" si="99">A504*D504</f>
        <v>16800</v>
      </c>
      <c r="F504" s="13">
        <f t="shared" ref="F504:F512" si="100">E504*1.105</f>
        <v>18564</v>
      </c>
      <c r="G504" s="2"/>
      <c r="H504" s="2"/>
      <c r="I504" s="13">
        <v>1875</v>
      </c>
      <c r="J504" s="13">
        <f t="shared" ref="J504:J523" si="101">I504*A504</f>
        <v>11250</v>
      </c>
      <c r="K504" s="13">
        <f t="shared" ref="K504:K523" si="102">F504-J504</f>
        <v>7314</v>
      </c>
      <c r="L504" s="14">
        <f t="shared" ref="L504:L523" si="103">IFERROR(K504/E504, 0)</f>
        <v>0.43535714285714283</v>
      </c>
      <c r="M504" s="1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x14ac:dyDescent="0.2">
      <c r="A505" s="12">
        <v>10</v>
      </c>
      <c r="B505" s="10" t="s">
        <v>21</v>
      </c>
      <c r="C505" s="11" t="s">
        <v>46</v>
      </c>
      <c r="D505" s="13">
        <v>400</v>
      </c>
      <c r="E505" s="13">
        <f t="shared" si="99"/>
        <v>4000</v>
      </c>
      <c r="F505" s="13">
        <f t="shared" si="100"/>
        <v>4420</v>
      </c>
      <c r="G505" s="2"/>
      <c r="H505" s="2"/>
      <c r="I505" s="13">
        <f>5000/24</f>
        <v>208.33333333333334</v>
      </c>
      <c r="J505" s="13">
        <f t="shared" si="101"/>
        <v>2083.3333333333335</v>
      </c>
      <c r="K505" s="13">
        <f t="shared" si="102"/>
        <v>2336.6666666666665</v>
      </c>
      <c r="L505" s="14">
        <f t="shared" si="103"/>
        <v>0.58416666666666661</v>
      </c>
      <c r="M505" s="1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x14ac:dyDescent="0.2">
      <c r="A506" s="12">
        <v>2</v>
      </c>
      <c r="B506" s="10" t="s">
        <v>15</v>
      </c>
      <c r="C506" s="11" t="s">
        <v>48</v>
      </c>
      <c r="D506" s="13">
        <v>13000</v>
      </c>
      <c r="E506" s="13">
        <f t="shared" si="99"/>
        <v>26000</v>
      </c>
      <c r="F506" s="13">
        <f t="shared" si="100"/>
        <v>28730</v>
      </c>
      <c r="G506" s="2"/>
      <c r="H506" s="2"/>
      <c r="I506" s="13">
        <v>8000</v>
      </c>
      <c r="J506" s="13">
        <f t="shared" si="101"/>
        <v>16000</v>
      </c>
      <c r="K506" s="13">
        <f t="shared" si="102"/>
        <v>12730</v>
      </c>
      <c r="L506" s="14">
        <f t="shared" si="103"/>
        <v>0.48961538461538462</v>
      </c>
      <c r="M506" s="1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x14ac:dyDescent="0.2">
      <c r="A507" s="12">
        <v>6</v>
      </c>
      <c r="B507" s="10" t="s">
        <v>17</v>
      </c>
      <c r="C507" s="11" t="s">
        <v>43</v>
      </c>
      <c r="D507" s="13">
        <v>3000</v>
      </c>
      <c r="E507" s="13">
        <f t="shared" si="99"/>
        <v>18000</v>
      </c>
      <c r="F507" s="13">
        <f t="shared" si="100"/>
        <v>19890</v>
      </c>
      <c r="G507" s="2"/>
      <c r="H507" s="2"/>
      <c r="I507" s="2"/>
      <c r="J507" s="13">
        <f t="shared" si="101"/>
        <v>0</v>
      </c>
      <c r="K507" s="13">
        <f t="shared" si="102"/>
        <v>19890</v>
      </c>
      <c r="L507" s="14">
        <f t="shared" si="103"/>
        <v>1.105</v>
      </c>
      <c r="M507" s="1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x14ac:dyDescent="0.2">
      <c r="A508" s="12">
        <v>8</v>
      </c>
      <c r="B508" s="10" t="s">
        <v>17</v>
      </c>
      <c r="C508" s="11" t="s">
        <v>99</v>
      </c>
      <c r="D508" s="13">
        <v>1500</v>
      </c>
      <c r="E508" s="13">
        <f t="shared" si="99"/>
        <v>12000</v>
      </c>
      <c r="F508" s="13">
        <f t="shared" si="100"/>
        <v>13260</v>
      </c>
      <c r="G508" s="2"/>
      <c r="H508" s="2"/>
      <c r="I508" s="13">
        <v>1250</v>
      </c>
      <c r="J508" s="13">
        <f t="shared" si="101"/>
        <v>10000</v>
      </c>
      <c r="K508" s="13">
        <f t="shared" si="102"/>
        <v>3260</v>
      </c>
      <c r="L508" s="14">
        <f t="shared" si="103"/>
        <v>0.27166666666666667</v>
      </c>
      <c r="M508" s="1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x14ac:dyDescent="0.2">
      <c r="A509" s="12">
        <v>1</v>
      </c>
      <c r="B509" s="10" t="s">
        <v>15</v>
      </c>
      <c r="C509" s="11" t="s">
        <v>167</v>
      </c>
      <c r="D509" s="13">
        <v>16000</v>
      </c>
      <c r="E509" s="13">
        <f t="shared" si="99"/>
        <v>16000</v>
      </c>
      <c r="F509" s="13">
        <f t="shared" si="100"/>
        <v>17680</v>
      </c>
      <c r="G509" s="2"/>
      <c r="H509" s="7"/>
      <c r="I509" s="13">
        <v>10000</v>
      </c>
      <c r="J509" s="13">
        <f t="shared" si="101"/>
        <v>10000</v>
      </c>
      <c r="K509" s="13">
        <f t="shared" si="102"/>
        <v>7680</v>
      </c>
      <c r="L509" s="14">
        <f t="shared" si="103"/>
        <v>0.48</v>
      </c>
      <c r="M509" s="1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x14ac:dyDescent="0.2">
      <c r="A510" s="12">
        <v>2</v>
      </c>
      <c r="B510" s="10" t="s">
        <v>15</v>
      </c>
      <c r="C510" s="11" t="s">
        <v>56</v>
      </c>
      <c r="D510" s="13">
        <v>14000</v>
      </c>
      <c r="E510" s="13">
        <f t="shared" si="99"/>
        <v>28000</v>
      </c>
      <c r="F510" s="13">
        <f t="shared" si="100"/>
        <v>30940</v>
      </c>
      <c r="G510" s="2"/>
      <c r="H510" s="2"/>
      <c r="I510" s="13">
        <v>10000</v>
      </c>
      <c r="J510" s="13">
        <f t="shared" si="101"/>
        <v>20000</v>
      </c>
      <c r="K510" s="13">
        <f t="shared" si="102"/>
        <v>10940</v>
      </c>
      <c r="L510" s="14">
        <f t="shared" si="103"/>
        <v>0.39071428571428574</v>
      </c>
      <c r="M510" s="1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x14ac:dyDescent="0.2">
      <c r="A511" s="12">
        <v>5</v>
      </c>
      <c r="B511" s="10" t="s">
        <v>17</v>
      </c>
      <c r="C511" s="11" t="s">
        <v>31</v>
      </c>
      <c r="D511" s="13">
        <v>3000</v>
      </c>
      <c r="E511" s="13">
        <f t="shared" si="99"/>
        <v>15000</v>
      </c>
      <c r="F511" s="13">
        <f t="shared" si="100"/>
        <v>16575</v>
      </c>
      <c r="G511" s="2"/>
      <c r="H511" s="2"/>
      <c r="I511" s="13">
        <f t="shared" ref="I511:I512" si="104">15000/7</f>
        <v>2142.8571428571427</v>
      </c>
      <c r="J511" s="13">
        <f t="shared" si="101"/>
        <v>10714.285714285714</v>
      </c>
      <c r="K511" s="13">
        <f t="shared" si="102"/>
        <v>5860.7142857142862</v>
      </c>
      <c r="L511" s="14">
        <f t="shared" si="103"/>
        <v>0.39071428571428574</v>
      </c>
      <c r="M511" s="1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x14ac:dyDescent="0.2">
      <c r="A512" s="12">
        <v>5</v>
      </c>
      <c r="B512" s="10" t="s">
        <v>17</v>
      </c>
      <c r="C512" s="11" t="s">
        <v>32</v>
      </c>
      <c r="D512" s="13">
        <v>3000</v>
      </c>
      <c r="E512" s="13">
        <f t="shared" si="99"/>
        <v>15000</v>
      </c>
      <c r="F512" s="13">
        <f t="shared" si="100"/>
        <v>16575</v>
      </c>
      <c r="G512" s="2"/>
      <c r="H512" s="2"/>
      <c r="I512" s="13">
        <f t="shared" si="104"/>
        <v>2142.8571428571427</v>
      </c>
      <c r="J512" s="13">
        <f t="shared" si="101"/>
        <v>10714.285714285714</v>
      </c>
      <c r="K512" s="13">
        <f t="shared" si="102"/>
        <v>5860.7142857142862</v>
      </c>
      <c r="L512" s="14">
        <f t="shared" si="103"/>
        <v>0.39071428571428574</v>
      </c>
      <c r="M512" s="1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x14ac:dyDescent="0.2">
      <c r="A513" s="12">
        <v>2</v>
      </c>
      <c r="B513" s="10" t="s">
        <v>23</v>
      </c>
      <c r="C513" s="11" t="s">
        <v>85</v>
      </c>
      <c r="D513" s="13">
        <v>54000</v>
      </c>
      <c r="E513" s="13">
        <f t="shared" si="99"/>
        <v>108000</v>
      </c>
      <c r="F513" s="13">
        <f>E513*1.21</f>
        <v>130680</v>
      </c>
      <c r="G513" s="2"/>
      <c r="H513" s="2"/>
      <c r="I513" s="13">
        <v>50000</v>
      </c>
      <c r="J513" s="13">
        <f t="shared" si="101"/>
        <v>100000</v>
      </c>
      <c r="K513" s="13">
        <f t="shared" si="102"/>
        <v>30680</v>
      </c>
      <c r="L513" s="14">
        <f t="shared" si="103"/>
        <v>0.28407407407407409</v>
      </c>
      <c r="M513" s="1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x14ac:dyDescent="0.2">
      <c r="A514" s="12">
        <v>10</v>
      </c>
      <c r="B514" s="10" t="s">
        <v>17</v>
      </c>
      <c r="C514" s="11" t="s">
        <v>82</v>
      </c>
      <c r="D514" s="13">
        <v>1400</v>
      </c>
      <c r="E514" s="13">
        <f t="shared" si="99"/>
        <v>14000</v>
      </c>
      <c r="F514" s="13">
        <f t="shared" ref="F514:F523" si="105">E514*1.105</f>
        <v>15470</v>
      </c>
      <c r="G514" s="2"/>
      <c r="H514" s="2"/>
      <c r="I514" s="13">
        <f>16000/15</f>
        <v>1066.6666666666667</v>
      </c>
      <c r="J514" s="13">
        <f t="shared" si="101"/>
        <v>10666.666666666668</v>
      </c>
      <c r="K514" s="13">
        <f t="shared" si="102"/>
        <v>4803.3333333333321</v>
      </c>
      <c r="L514" s="14">
        <f t="shared" si="103"/>
        <v>0.34309523809523801</v>
      </c>
      <c r="M514" s="1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x14ac:dyDescent="0.2">
      <c r="A515" s="12">
        <v>1</v>
      </c>
      <c r="B515" s="10" t="s">
        <v>15</v>
      </c>
      <c r="C515" s="11" t="s">
        <v>129</v>
      </c>
      <c r="D515" s="13">
        <v>16000</v>
      </c>
      <c r="E515" s="13">
        <f t="shared" si="99"/>
        <v>16000</v>
      </c>
      <c r="F515" s="13">
        <f t="shared" si="105"/>
        <v>17680</v>
      </c>
      <c r="G515" s="2"/>
      <c r="H515" s="7"/>
      <c r="I515" s="13">
        <v>12000</v>
      </c>
      <c r="J515" s="13">
        <f t="shared" si="101"/>
        <v>12000</v>
      </c>
      <c r="K515" s="13">
        <f t="shared" si="102"/>
        <v>5680</v>
      </c>
      <c r="L515" s="14">
        <f t="shared" si="103"/>
        <v>0.35499999999999998</v>
      </c>
      <c r="M515" s="1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x14ac:dyDescent="0.2">
      <c r="A516" s="12">
        <v>2</v>
      </c>
      <c r="B516" s="10" t="s">
        <v>15</v>
      </c>
      <c r="C516" s="11" t="s">
        <v>135</v>
      </c>
      <c r="D516" s="13">
        <v>18000</v>
      </c>
      <c r="E516" s="13">
        <f t="shared" si="99"/>
        <v>36000</v>
      </c>
      <c r="F516" s="13">
        <f t="shared" si="105"/>
        <v>39780</v>
      </c>
      <c r="G516" s="2"/>
      <c r="H516" s="2"/>
      <c r="I516" s="13">
        <v>14000</v>
      </c>
      <c r="J516" s="13">
        <f t="shared" si="101"/>
        <v>28000</v>
      </c>
      <c r="K516" s="13">
        <f t="shared" si="102"/>
        <v>11780</v>
      </c>
      <c r="L516" s="14">
        <f t="shared" si="103"/>
        <v>0.32722222222222225</v>
      </c>
      <c r="M516" s="1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x14ac:dyDescent="0.2">
      <c r="A517" s="12">
        <v>10</v>
      </c>
      <c r="B517" s="10" t="s">
        <v>4</v>
      </c>
      <c r="C517" s="11" t="s">
        <v>13</v>
      </c>
      <c r="D517" s="13">
        <v>1000</v>
      </c>
      <c r="E517" s="13">
        <f t="shared" si="99"/>
        <v>10000</v>
      </c>
      <c r="F517" s="13">
        <f t="shared" si="105"/>
        <v>11050</v>
      </c>
      <c r="G517" s="2"/>
      <c r="H517" s="2"/>
      <c r="I517" s="13">
        <v>460</v>
      </c>
      <c r="J517" s="13">
        <f t="shared" si="101"/>
        <v>4600</v>
      </c>
      <c r="K517" s="13">
        <f t="shared" si="102"/>
        <v>6450</v>
      </c>
      <c r="L517" s="14">
        <f t="shared" si="103"/>
        <v>0.64500000000000002</v>
      </c>
      <c r="M517" s="1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x14ac:dyDescent="0.2">
      <c r="A518" s="12">
        <v>6</v>
      </c>
      <c r="B518" s="10" t="s">
        <v>17</v>
      </c>
      <c r="C518" s="11" t="s">
        <v>81</v>
      </c>
      <c r="D518" s="13">
        <v>1600</v>
      </c>
      <c r="E518" s="13">
        <f t="shared" si="99"/>
        <v>9600</v>
      </c>
      <c r="F518" s="13">
        <f t="shared" si="105"/>
        <v>10608</v>
      </c>
      <c r="G518" s="2"/>
      <c r="H518" s="7"/>
      <c r="I518" s="13">
        <v>800</v>
      </c>
      <c r="J518" s="13">
        <f t="shared" si="101"/>
        <v>4800</v>
      </c>
      <c r="K518" s="13">
        <f t="shared" si="102"/>
        <v>5808</v>
      </c>
      <c r="L518" s="14">
        <f t="shared" si="103"/>
        <v>0.60499999999999998</v>
      </c>
      <c r="M518" s="1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x14ac:dyDescent="0.2">
      <c r="A519" s="12">
        <v>1</v>
      </c>
      <c r="B519" s="10" t="s">
        <v>23</v>
      </c>
      <c r="C519" s="11" t="s">
        <v>87</v>
      </c>
      <c r="D519" s="13">
        <v>40000</v>
      </c>
      <c r="E519" s="13">
        <f t="shared" si="99"/>
        <v>40000</v>
      </c>
      <c r="F519" s="13">
        <f t="shared" si="105"/>
        <v>44200</v>
      </c>
      <c r="G519" s="2"/>
      <c r="H519" s="2"/>
      <c r="I519" s="13">
        <v>32000</v>
      </c>
      <c r="J519" s="13">
        <f t="shared" si="101"/>
        <v>32000</v>
      </c>
      <c r="K519" s="13">
        <f t="shared" si="102"/>
        <v>12200</v>
      </c>
      <c r="L519" s="14">
        <f t="shared" si="103"/>
        <v>0.30499999999999999</v>
      </c>
      <c r="M519" s="1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x14ac:dyDescent="0.2">
      <c r="A520" s="12">
        <v>1</v>
      </c>
      <c r="B520" s="10" t="s">
        <v>23</v>
      </c>
      <c r="C520" s="11" t="s">
        <v>24</v>
      </c>
      <c r="D520" s="13">
        <v>60000</v>
      </c>
      <c r="E520" s="13">
        <f t="shared" si="99"/>
        <v>60000</v>
      </c>
      <c r="F520" s="13">
        <f t="shared" si="105"/>
        <v>66300</v>
      </c>
      <c r="G520" s="2"/>
      <c r="H520" s="2"/>
      <c r="I520" s="13">
        <v>50000</v>
      </c>
      <c r="J520" s="13">
        <f t="shared" si="101"/>
        <v>50000</v>
      </c>
      <c r="K520" s="13">
        <f t="shared" si="102"/>
        <v>16300</v>
      </c>
      <c r="L520" s="14">
        <f t="shared" si="103"/>
        <v>0.27166666666666667</v>
      </c>
      <c r="M520" s="1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x14ac:dyDescent="0.2">
      <c r="A521" s="12">
        <v>3</v>
      </c>
      <c r="B521" s="10" t="s">
        <v>17</v>
      </c>
      <c r="C521" s="11" t="s">
        <v>89</v>
      </c>
      <c r="D521" s="13">
        <v>11000</v>
      </c>
      <c r="E521" s="13">
        <f t="shared" si="99"/>
        <v>33000</v>
      </c>
      <c r="F521" s="13">
        <f t="shared" si="105"/>
        <v>36465</v>
      </c>
      <c r="G521" s="2"/>
      <c r="H521" s="2"/>
      <c r="I521" s="13">
        <v>9500</v>
      </c>
      <c r="J521" s="13">
        <f t="shared" si="101"/>
        <v>28500</v>
      </c>
      <c r="K521" s="13">
        <f t="shared" si="102"/>
        <v>7965</v>
      </c>
      <c r="L521" s="14">
        <f t="shared" si="103"/>
        <v>0.24136363636363636</v>
      </c>
      <c r="M521" s="1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x14ac:dyDescent="0.2">
      <c r="A522" s="12">
        <v>3</v>
      </c>
      <c r="B522" s="10" t="s">
        <v>17</v>
      </c>
      <c r="C522" s="11" t="s">
        <v>90</v>
      </c>
      <c r="D522" s="13">
        <v>8000</v>
      </c>
      <c r="E522" s="13">
        <f t="shared" si="99"/>
        <v>24000</v>
      </c>
      <c r="F522" s="13">
        <f t="shared" si="105"/>
        <v>26520</v>
      </c>
      <c r="G522" s="2"/>
      <c r="H522" s="2"/>
      <c r="I522" s="13">
        <f>45000/7</f>
        <v>6428.5714285714284</v>
      </c>
      <c r="J522" s="13">
        <f t="shared" si="101"/>
        <v>19285.714285714286</v>
      </c>
      <c r="K522" s="13">
        <f t="shared" si="102"/>
        <v>7234.2857142857138</v>
      </c>
      <c r="L522" s="14">
        <f t="shared" si="103"/>
        <v>0.30142857142857143</v>
      </c>
      <c r="M522" s="1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x14ac:dyDescent="0.2">
      <c r="A523" s="12">
        <v>8</v>
      </c>
      <c r="B523" s="10" t="s">
        <v>17</v>
      </c>
      <c r="C523" s="11" t="s">
        <v>127</v>
      </c>
      <c r="D523" s="13">
        <v>1900</v>
      </c>
      <c r="E523" s="13">
        <f t="shared" si="99"/>
        <v>15200</v>
      </c>
      <c r="F523" s="13">
        <f t="shared" si="105"/>
        <v>16796</v>
      </c>
      <c r="G523" s="2"/>
      <c r="H523" s="2"/>
      <c r="I523" s="13">
        <f>22000/15</f>
        <v>1466.6666666666667</v>
      </c>
      <c r="J523" s="13">
        <f t="shared" si="101"/>
        <v>11733.333333333334</v>
      </c>
      <c r="K523" s="13">
        <f t="shared" si="102"/>
        <v>5062.6666666666661</v>
      </c>
      <c r="L523" s="14">
        <f t="shared" si="103"/>
        <v>0.33307017543859646</v>
      </c>
      <c r="M523" s="1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x14ac:dyDescent="0.2">
      <c r="A524" s="39"/>
      <c r="B524" s="37"/>
      <c r="C524" s="23"/>
      <c r="D524" s="37"/>
      <c r="E524" s="37"/>
      <c r="F524" s="37"/>
      <c r="G524" s="37"/>
      <c r="H524" s="37"/>
      <c r="I524" s="2"/>
      <c r="J524" s="37"/>
      <c r="K524" s="37"/>
      <c r="L524" s="14"/>
      <c r="M524" s="1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x14ac:dyDescent="0.2">
      <c r="A525" s="39"/>
      <c r="B525" s="37"/>
      <c r="C525" s="23"/>
      <c r="D525" s="37"/>
      <c r="E525" s="13">
        <f t="shared" ref="E525:F525" si="106">SUM(E504:E523)</f>
        <v>516600</v>
      </c>
      <c r="F525" s="13">
        <f t="shared" si="106"/>
        <v>582183</v>
      </c>
      <c r="G525" s="37"/>
      <c r="H525" s="37"/>
      <c r="I525" s="2"/>
      <c r="J525" s="37"/>
      <c r="K525" s="13">
        <f>SUM(K504:K523)</f>
        <v>189835.38095238095</v>
      </c>
      <c r="L525" s="14">
        <f>IFERROR(K525/E525, 0)</f>
        <v>0.3674707335508729</v>
      </c>
      <c r="M525" s="1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x14ac:dyDescent="0.2">
      <c r="A526" s="12"/>
      <c r="B526" s="10"/>
      <c r="C526" s="11"/>
      <c r="D526" s="13"/>
      <c r="E526" s="13"/>
      <c r="F526" s="13"/>
      <c r="G526" s="2"/>
      <c r="H526" s="2"/>
      <c r="I526" s="2"/>
      <c r="J526" s="13"/>
      <c r="K526" s="13"/>
      <c r="L526" s="14"/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8"/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A528" s="6"/>
      <c r="B528" s="25"/>
      <c r="C528" s="6"/>
      <c r="D528" s="7"/>
      <c r="E528" s="7"/>
      <c r="F528" s="8"/>
      <c r="G528" s="7"/>
      <c r="H528" s="2"/>
      <c r="I528" s="2"/>
      <c r="J528" s="9"/>
      <c r="K528" s="9"/>
      <c r="L528" s="31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6" t="s">
        <v>165</v>
      </c>
      <c r="B529" s="25" t="s">
        <v>168</v>
      </c>
      <c r="C529" s="6"/>
      <c r="D529" s="7"/>
      <c r="E529" s="7" t="s">
        <v>54</v>
      </c>
      <c r="F529" s="8">
        <v>46118</v>
      </c>
      <c r="G529" s="7" t="s">
        <v>106</v>
      </c>
      <c r="H529" s="2"/>
      <c r="I529" s="9" t="s">
        <v>2</v>
      </c>
      <c r="J529" s="9"/>
      <c r="K529" s="9"/>
      <c r="L529" s="31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31"/>
      <c r="M530" s="1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x14ac:dyDescent="0.2">
      <c r="A531" s="6" t="s">
        <v>3</v>
      </c>
      <c r="B531" s="10" t="s">
        <v>4</v>
      </c>
      <c r="C531" s="11" t="s">
        <v>5</v>
      </c>
      <c r="D531" s="10" t="s">
        <v>6</v>
      </c>
      <c r="E531" s="10" t="s">
        <v>7</v>
      </c>
      <c r="F531" s="10" t="s">
        <v>8</v>
      </c>
      <c r="G531" s="37"/>
      <c r="H531" s="37"/>
      <c r="I531" s="10" t="s">
        <v>9</v>
      </c>
      <c r="J531" s="10" t="s">
        <v>7</v>
      </c>
      <c r="K531" s="10" t="s">
        <v>10</v>
      </c>
      <c r="L531" s="38"/>
      <c r="M531" s="1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x14ac:dyDescent="0.2">
      <c r="A532" s="12">
        <v>0.5</v>
      </c>
      <c r="B532" s="10" t="s">
        <v>23</v>
      </c>
      <c r="C532" s="11" t="s">
        <v>24</v>
      </c>
      <c r="D532" s="13">
        <v>60000</v>
      </c>
      <c r="E532" s="13">
        <f t="shared" ref="E532:E553" si="107">A532*D532</f>
        <v>30000</v>
      </c>
      <c r="F532" s="13">
        <f t="shared" ref="F532:F548" si="108">E532*1.105</f>
        <v>33150</v>
      </c>
      <c r="G532" s="2"/>
      <c r="H532" s="2"/>
      <c r="I532" s="13">
        <v>52000</v>
      </c>
      <c r="J532" s="13">
        <f t="shared" ref="J532:J553" si="109">I532*A532</f>
        <v>26000</v>
      </c>
      <c r="K532" s="13">
        <f t="shared" ref="K532:K553" si="110">F532-J532</f>
        <v>7150</v>
      </c>
      <c r="L532" s="14">
        <f t="shared" ref="L532:L553" si="111">IFERROR(K532/E532, 0)</f>
        <v>0.23833333333333334</v>
      </c>
      <c r="M532" s="1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x14ac:dyDescent="0.2">
      <c r="A533" s="12">
        <v>5</v>
      </c>
      <c r="B533" s="10" t="s">
        <v>17</v>
      </c>
      <c r="C533" s="11" t="s">
        <v>127</v>
      </c>
      <c r="D533" s="13">
        <v>1900</v>
      </c>
      <c r="E533" s="13">
        <f t="shared" si="107"/>
        <v>9500</v>
      </c>
      <c r="F533" s="13">
        <f t="shared" si="108"/>
        <v>10497.5</v>
      </c>
      <c r="G533" s="2"/>
      <c r="H533" s="2"/>
      <c r="I533" s="13">
        <v>1466.67</v>
      </c>
      <c r="J533" s="13">
        <f t="shared" si="109"/>
        <v>7333.35</v>
      </c>
      <c r="K533" s="13">
        <f t="shared" si="110"/>
        <v>3164.1499999999996</v>
      </c>
      <c r="L533" s="14">
        <f t="shared" si="111"/>
        <v>0.33306842105263151</v>
      </c>
      <c r="M533" s="1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x14ac:dyDescent="0.2">
      <c r="A534" s="12">
        <v>1</v>
      </c>
      <c r="B534" s="10" t="s">
        <v>17</v>
      </c>
      <c r="C534" s="11" t="s">
        <v>89</v>
      </c>
      <c r="D534" s="13">
        <v>11000</v>
      </c>
      <c r="E534" s="13">
        <f t="shared" si="107"/>
        <v>11000</v>
      </c>
      <c r="F534" s="13">
        <f t="shared" si="108"/>
        <v>12155</v>
      </c>
      <c r="G534" s="2"/>
      <c r="H534" s="2"/>
      <c r="I534" s="13">
        <v>9500</v>
      </c>
      <c r="J534" s="13">
        <f t="shared" si="109"/>
        <v>9500</v>
      </c>
      <c r="K534" s="13">
        <f t="shared" si="110"/>
        <v>2655</v>
      </c>
      <c r="L534" s="14">
        <f t="shared" si="111"/>
        <v>0.24136363636363636</v>
      </c>
      <c r="M534" s="1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x14ac:dyDescent="0.2">
      <c r="A535" s="12">
        <v>1</v>
      </c>
      <c r="B535" s="10" t="s">
        <v>17</v>
      </c>
      <c r="C535" s="11" t="s">
        <v>90</v>
      </c>
      <c r="D535" s="13">
        <v>8000</v>
      </c>
      <c r="E535" s="13">
        <f t="shared" si="107"/>
        <v>8000</v>
      </c>
      <c r="F535" s="13">
        <f t="shared" si="108"/>
        <v>8840</v>
      </c>
      <c r="G535" s="2"/>
      <c r="H535" s="2"/>
      <c r="I535" s="13">
        <f>45000/7</f>
        <v>6428.5714285714284</v>
      </c>
      <c r="J535" s="13">
        <f t="shared" si="109"/>
        <v>6428.5714285714284</v>
      </c>
      <c r="K535" s="13">
        <f t="shared" si="110"/>
        <v>2411.4285714285716</v>
      </c>
      <c r="L535" s="14">
        <f t="shared" si="111"/>
        <v>0.30142857142857143</v>
      </c>
      <c r="M535" s="1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x14ac:dyDescent="0.2">
      <c r="A536" s="12">
        <v>0.5</v>
      </c>
      <c r="B536" s="10" t="s">
        <v>23</v>
      </c>
      <c r="C536" s="11" t="s">
        <v>87</v>
      </c>
      <c r="D536" s="13">
        <v>40000</v>
      </c>
      <c r="E536" s="13">
        <f t="shared" si="107"/>
        <v>20000</v>
      </c>
      <c r="F536" s="13">
        <f t="shared" si="108"/>
        <v>22100</v>
      </c>
      <c r="G536" s="2"/>
      <c r="H536" s="2"/>
      <c r="I536" s="13">
        <v>32000</v>
      </c>
      <c r="J536" s="13">
        <f t="shared" si="109"/>
        <v>16000</v>
      </c>
      <c r="K536" s="13">
        <f t="shared" si="110"/>
        <v>6100</v>
      </c>
      <c r="L536" s="14">
        <f t="shared" si="111"/>
        <v>0.30499999999999999</v>
      </c>
      <c r="M536" s="1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x14ac:dyDescent="0.2">
      <c r="A537" s="12">
        <v>2</v>
      </c>
      <c r="B537" s="10" t="s">
        <v>17</v>
      </c>
      <c r="C537" s="11" t="s">
        <v>162</v>
      </c>
      <c r="D537" s="13">
        <v>4000</v>
      </c>
      <c r="E537" s="13">
        <f t="shared" si="107"/>
        <v>8000</v>
      </c>
      <c r="F537" s="13">
        <f t="shared" si="108"/>
        <v>8840</v>
      </c>
      <c r="G537" s="2"/>
      <c r="H537" s="7" t="s">
        <v>107</v>
      </c>
      <c r="I537" s="13">
        <v>0</v>
      </c>
      <c r="J537" s="13">
        <f t="shared" si="109"/>
        <v>0</v>
      </c>
      <c r="K537" s="13">
        <f t="shared" si="110"/>
        <v>8840</v>
      </c>
      <c r="L537" s="14">
        <f t="shared" si="111"/>
        <v>1.105</v>
      </c>
      <c r="M537" s="1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x14ac:dyDescent="0.2">
      <c r="A538" s="12">
        <v>4</v>
      </c>
      <c r="B538" s="10" t="s">
        <v>4</v>
      </c>
      <c r="C538" s="11" t="s">
        <v>14</v>
      </c>
      <c r="D538" s="13">
        <v>2800</v>
      </c>
      <c r="E538" s="13">
        <f t="shared" si="107"/>
        <v>11200</v>
      </c>
      <c r="F538" s="13">
        <f t="shared" si="108"/>
        <v>12376</v>
      </c>
      <c r="G538" s="2"/>
      <c r="H538" s="2"/>
      <c r="I538" s="13">
        <f>15000/8</f>
        <v>1875</v>
      </c>
      <c r="J538" s="13">
        <f t="shared" si="109"/>
        <v>7500</v>
      </c>
      <c r="K538" s="13">
        <f t="shared" si="110"/>
        <v>4876</v>
      </c>
      <c r="L538" s="14">
        <f t="shared" si="111"/>
        <v>0.43535714285714283</v>
      </c>
      <c r="M538" s="1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x14ac:dyDescent="0.2">
      <c r="A539" s="12">
        <v>2</v>
      </c>
      <c r="B539" s="10" t="s">
        <v>15</v>
      </c>
      <c r="C539" s="11" t="s">
        <v>48</v>
      </c>
      <c r="D539" s="13">
        <v>13000</v>
      </c>
      <c r="E539" s="13">
        <f t="shared" si="107"/>
        <v>26000</v>
      </c>
      <c r="F539" s="13">
        <f t="shared" si="108"/>
        <v>28730</v>
      </c>
      <c r="G539" s="2"/>
      <c r="H539" s="2"/>
      <c r="I539" s="13">
        <v>8000</v>
      </c>
      <c r="J539" s="13">
        <f t="shared" si="109"/>
        <v>16000</v>
      </c>
      <c r="K539" s="13">
        <f t="shared" si="110"/>
        <v>12730</v>
      </c>
      <c r="L539" s="14">
        <f t="shared" si="111"/>
        <v>0.48961538461538462</v>
      </c>
      <c r="M539" s="1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x14ac:dyDescent="0.2">
      <c r="A540" s="12">
        <v>2</v>
      </c>
      <c r="B540" s="10" t="s">
        <v>17</v>
      </c>
      <c r="C540" s="11" t="s">
        <v>31</v>
      </c>
      <c r="D540" s="13">
        <v>3000</v>
      </c>
      <c r="E540" s="13">
        <f t="shared" si="107"/>
        <v>6000</v>
      </c>
      <c r="F540" s="13">
        <f t="shared" si="108"/>
        <v>6630</v>
      </c>
      <c r="G540" s="2"/>
      <c r="H540" s="2"/>
      <c r="I540" s="13">
        <f t="shared" ref="I540:I541" si="112">15000/7</f>
        <v>2142.8571428571427</v>
      </c>
      <c r="J540" s="13">
        <f t="shared" si="109"/>
        <v>4285.7142857142853</v>
      </c>
      <c r="K540" s="13">
        <f t="shared" si="110"/>
        <v>2344.2857142857147</v>
      </c>
      <c r="L540" s="18">
        <f t="shared" si="111"/>
        <v>0.39071428571428579</v>
      </c>
      <c r="M540" s="1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x14ac:dyDescent="0.2">
      <c r="A541" s="12">
        <v>2</v>
      </c>
      <c r="B541" s="10" t="s">
        <v>17</v>
      </c>
      <c r="C541" s="11" t="s">
        <v>32</v>
      </c>
      <c r="D541" s="13">
        <v>3000</v>
      </c>
      <c r="E541" s="13">
        <f t="shared" si="107"/>
        <v>6000</v>
      </c>
      <c r="F541" s="13">
        <f t="shared" si="108"/>
        <v>6630</v>
      </c>
      <c r="G541" s="2"/>
      <c r="H541" s="2"/>
      <c r="I541" s="13">
        <f t="shared" si="112"/>
        <v>2142.8571428571427</v>
      </c>
      <c r="J541" s="13">
        <f t="shared" si="109"/>
        <v>4285.7142857142853</v>
      </c>
      <c r="K541" s="13">
        <f t="shared" si="110"/>
        <v>2344.2857142857147</v>
      </c>
      <c r="L541" s="18">
        <f t="shared" si="111"/>
        <v>0.39071428571428579</v>
      </c>
      <c r="M541" s="1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x14ac:dyDescent="0.2">
      <c r="A542" s="12">
        <v>1</v>
      </c>
      <c r="B542" s="10" t="s">
        <v>15</v>
      </c>
      <c r="C542" s="11" t="s">
        <v>167</v>
      </c>
      <c r="D542" s="13">
        <v>16000</v>
      </c>
      <c r="E542" s="13">
        <f t="shared" si="107"/>
        <v>16000</v>
      </c>
      <c r="F542" s="13">
        <f t="shared" si="108"/>
        <v>17680</v>
      </c>
      <c r="G542" s="2"/>
      <c r="H542" s="2"/>
      <c r="I542" s="13">
        <v>10000</v>
      </c>
      <c r="J542" s="13">
        <f t="shared" si="109"/>
        <v>10000</v>
      </c>
      <c r="K542" s="13">
        <f t="shared" si="110"/>
        <v>7680</v>
      </c>
      <c r="L542" s="18">
        <f t="shared" si="111"/>
        <v>0.48</v>
      </c>
      <c r="M542" s="1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x14ac:dyDescent="0.2">
      <c r="A543" s="12">
        <v>0.5</v>
      </c>
      <c r="B543" s="10" t="s">
        <v>23</v>
      </c>
      <c r="C543" s="11" t="s">
        <v>81</v>
      </c>
      <c r="D543" s="13">
        <v>22000</v>
      </c>
      <c r="E543" s="13">
        <f t="shared" si="107"/>
        <v>11000</v>
      </c>
      <c r="F543" s="13">
        <f t="shared" si="108"/>
        <v>12155</v>
      </c>
      <c r="G543" s="2"/>
      <c r="H543" s="2"/>
      <c r="I543" s="13">
        <v>12000</v>
      </c>
      <c r="J543" s="13">
        <f t="shared" si="109"/>
        <v>6000</v>
      </c>
      <c r="K543" s="13">
        <f t="shared" si="110"/>
        <v>6155</v>
      </c>
      <c r="L543" s="18">
        <f t="shared" si="111"/>
        <v>0.55954545454545457</v>
      </c>
      <c r="M543" s="1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x14ac:dyDescent="0.2">
      <c r="A544" s="12">
        <v>1</v>
      </c>
      <c r="B544" s="10" t="s">
        <v>21</v>
      </c>
      <c r="C544" s="11" t="s">
        <v>51</v>
      </c>
      <c r="D544" s="13">
        <v>1500</v>
      </c>
      <c r="E544" s="13">
        <f t="shared" si="107"/>
        <v>1500</v>
      </c>
      <c r="F544" s="13">
        <f t="shared" si="108"/>
        <v>1657.5</v>
      </c>
      <c r="G544" s="2"/>
      <c r="H544" s="2"/>
      <c r="I544" s="13">
        <v>1500</v>
      </c>
      <c r="J544" s="13">
        <f t="shared" si="109"/>
        <v>1500</v>
      </c>
      <c r="K544" s="13">
        <f t="shared" si="110"/>
        <v>157.5</v>
      </c>
      <c r="L544" s="36">
        <f t="shared" si="111"/>
        <v>0.105</v>
      </c>
      <c r="M544" s="1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x14ac:dyDescent="0.2">
      <c r="A545" s="12">
        <v>0.5</v>
      </c>
      <c r="B545" s="10" t="s">
        <v>23</v>
      </c>
      <c r="C545" s="11" t="s">
        <v>110</v>
      </c>
      <c r="D545" s="13">
        <v>14000</v>
      </c>
      <c r="E545" s="13">
        <f t="shared" si="107"/>
        <v>7000</v>
      </c>
      <c r="F545" s="13">
        <f t="shared" si="108"/>
        <v>7735</v>
      </c>
      <c r="G545" s="2"/>
      <c r="H545" s="2"/>
      <c r="I545" s="2"/>
      <c r="J545" s="13">
        <f t="shared" si="109"/>
        <v>0</v>
      </c>
      <c r="K545" s="13">
        <f t="shared" si="110"/>
        <v>7735</v>
      </c>
      <c r="L545" s="18">
        <f t="shared" si="111"/>
        <v>1.105</v>
      </c>
      <c r="M545" s="1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x14ac:dyDescent="0.2">
      <c r="A546" s="12">
        <v>1</v>
      </c>
      <c r="B546" s="10" t="s">
        <v>17</v>
      </c>
      <c r="C546" s="11" t="s">
        <v>36</v>
      </c>
      <c r="D546" s="13">
        <v>1800</v>
      </c>
      <c r="E546" s="13">
        <f t="shared" si="107"/>
        <v>1800</v>
      </c>
      <c r="F546" s="13">
        <f t="shared" si="108"/>
        <v>1989</v>
      </c>
      <c r="G546" s="2"/>
      <c r="H546" s="2"/>
      <c r="I546" s="13">
        <v>1000</v>
      </c>
      <c r="J546" s="13">
        <f t="shared" si="109"/>
        <v>1000</v>
      </c>
      <c r="K546" s="13">
        <f t="shared" si="110"/>
        <v>989</v>
      </c>
      <c r="L546" s="18">
        <f t="shared" si="111"/>
        <v>0.5494444444444444</v>
      </c>
      <c r="M546" s="1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x14ac:dyDescent="0.2">
      <c r="A547" s="12">
        <v>3</v>
      </c>
      <c r="B547" s="10" t="s">
        <v>21</v>
      </c>
      <c r="C547" s="11" t="s">
        <v>46</v>
      </c>
      <c r="D547" s="13">
        <v>400</v>
      </c>
      <c r="E547" s="13">
        <f t="shared" si="107"/>
        <v>1200</v>
      </c>
      <c r="F547" s="13">
        <f t="shared" si="108"/>
        <v>1326</v>
      </c>
      <c r="G547" s="2"/>
      <c r="H547" s="2"/>
      <c r="I547" s="13">
        <f>5000/24</f>
        <v>208.33333333333334</v>
      </c>
      <c r="J547" s="13">
        <f t="shared" si="109"/>
        <v>625</v>
      </c>
      <c r="K547" s="13">
        <f t="shared" si="110"/>
        <v>701</v>
      </c>
      <c r="L547" s="14">
        <f t="shared" si="111"/>
        <v>0.58416666666666661</v>
      </c>
      <c r="M547" s="1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x14ac:dyDescent="0.2">
      <c r="A548" s="12">
        <v>2</v>
      </c>
      <c r="B548" s="10" t="s">
        <v>17</v>
      </c>
      <c r="C548" s="11" t="s">
        <v>78</v>
      </c>
      <c r="D548" s="13">
        <v>4000</v>
      </c>
      <c r="E548" s="13">
        <f t="shared" si="107"/>
        <v>8000</v>
      </c>
      <c r="F548" s="13">
        <f t="shared" si="108"/>
        <v>8840</v>
      </c>
      <c r="G548" s="2"/>
      <c r="H548" s="2"/>
      <c r="I548" s="13">
        <v>1625</v>
      </c>
      <c r="J548" s="13">
        <f t="shared" si="109"/>
        <v>3250</v>
      </c>
      <c r="K548" s="13">
        <f t="shared" si="110"/>
        <v>5590</v>
      </c>
      <c r="L548" s="14">
        <f t="shared" si="111"/>
        <v>0.69874999999999998</v>
      </c>
      <c r="M548" s="1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x14ac:dyDescent="0.2">
      <c r="A549" s="12">
        <v>0.5</v>
      </c>
      <c r="B549" s="10" t="s">
        <v>23</v>
      </c>
      <c r="C549" s="11" t="s">
        <v>85</v>
      </c>
      <c r="D549" s="13">
        <v>54000</v>
      </c>
      <c r="E549" s="13">
        <f t="shared" si="107"/>
        <v>27000</v>
      </c>
      <c r="F549" s="13">
        <f>E549*1.21</f>
        <v>32670</v>
      </c>
      <c r="G549" s="2"/>
      <c r="H549" s="2"/>
      <c r="I549" s="13">
        <v>50000</v>
      </c>
      <c r="J549" s="13">
        <f t="shared" si="109"/>
        <v>25000</v>
      </c>
      <c r="K549" s="13">
        <f t="shared" si="110"/>
        <v>7670</v>
      </c>
      <c r="L549" s="14">
        <f t="shared" si="111"/>
        <v>0.28407407407407409</v>
      </c>
      <c r="M549" s="1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x14ac:dyDescent="0.2">
      <c r="A550" s="12">
        <v>2</v>
      </c>
      <c r="B550" s="10" t="s">
        <v>15</v>
      </c>
      <c r="C550" s="11" t="s">
        <v>135</v>
      </c>
      <c r="D550" s="13">
        <v>18000</v>
      </c>
      <c r="E550" s="13">
        <f t="shared" si="107"/>
        <v>36000</v>
      </c>
      <c r="F550" s="13">
        <f t="shared" ref="F550:F553" si="113">E550*1.105</f>
        <v>39780</v>
      </c>
      <c r="G550" s="2"/>
      <c r="H550" s="2"/>
      <c r="I550" s="13">
        <v>14000</v>
      </c>
      <c r="J550" s="13">
        <f t="shared" si="109"/>
        <v>28000</v>
      </c>
      <c r="K550" s="13">
        <f t="shared" si="110"/>
        <v>11780</v>
      </c>
      <c r="L550" s="14">
        <f t="shared" si="111"/>
        <v>0.32722222222222225</v>
      </c>
      <c r="M550" s="1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x14ac:dyDescent="0.2">
      <c r="A551" s="12">
        <v>1</v>
      </c>
      <c r="B551" s="10" t="s">
        <v>15</v>
      </c>
      <c r="C551" s="11" t="s">
        <v>129</v>
      </c>
      <c r="D551" s="13">
        <v>16000</v>
      </c>
      <c r="E551" s="13">
        <f t="shared" si="107"/>
        <v>16000</v>
      </c>
      <c r="F551" s="13">
        <f t="shared" si="113"/>
        <v>17680</v>
      </c>
      <c r="G551" s="2"/>
      <c r="H551" s="2"/>
      <c r="I551" s="13">
        <v>12000</v>
      </c>
      <c r="J551" s="13">
        <f t="shared" si="109"/>
        <v>12000</v>
      </c>
      <c r="K551" s="13">
        <f t="shared" si="110"/>
        <v>5680</v>
      </c>
      <c r="L551" s="14">
        <f t="shared" si="111"/>
        <v>0.35499999999999998</v>
      </c>
      <c r="M551" s="1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x14ac:dyDescent="0.2">
      <c r="A552" s="12">
        <v>10</v>
      </c>
      <c r="B552" s="10" t="s">
        <v>17</v>
      </c>
      <c r="C552" s="11" t="s">
        <v>82</v>
      </c>
      <c r="D552" s="13">
        <v>1400</v>
      </c>
      <c r="E552" s="13">
        <f t="shared" si="107"/>
        <v>14000</v>
      </c>
      <c r="F552" s="13">
        <f t="shared" si="113"/>
        <v>15470</v>
      </c>
      <c r="G552" s="2"/>
      <c r="H552" s="2"/>
      <c r="I552" s="13">
        <f>16000/15</f>
        <v>1066.6666666666667</v>
      </c>
      <c r="J552" s="13">
        <f t="shared" si="109"/>
        <v>10666.666666666668</v>
      </c>
      <c r="K552" s="13">
        <f t="shared" si="110"/>
        <v>4803.3333333333321</v>
      </c>
      <c r="L552" s="14">
        <f t="shared" si="111"/>
        <v>0.34309523809523801</v>
      </c>
      <c r="M552" s="1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x14ac:dyDescent="0.2">
      <c r="A553" s="12">
        <v>5</v>
      </c>
      <c r="B553" s="10" t="s">
        <v>17</v>
      </c>
      <c r="C553" s="11" t="s">
        <v>99</v>
      </c>
      <c r="D553" s="13">
        <v>1500</v>
      </c>
      <c r="E553" s="13">
        <f t="shared" si="107"/>
        <v>7500</v>
      </c>
      <c r="F553" s="13">
        <f t="shared" si="113"/>
        <v>8287.5</v>
      </c>
      <c r="G553" s="2"/>
      <c r="H553" s="2"/>
      <c r="I553" s="13">
        <v>1250</v>
      </c>
      <c r="J553" s="13">
        <f t="shared" si="109"/>
        <v>6250</v>
      </c>
      <c r="K553" s="13">
        <f t="shared" si="110"/>
        <v>2037.5</v>
      </c>
      <c r="L553" s="14">
        <f t="shared" si="111"/>
        <v>0.27166666666666667</v>
      </c>
      <c r="M553" s="1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x14ac:dyDescent="0.2">
      <c r="A554" s="39"/>
      <c r="B554" s="37"/>
      <c r="C554" s="23"/>
      <c r="D554" s="37"/>
      <c r="E554" s="37"/>
      <c r="F554" s="37"/>
      <c r="G554" s="37"/>
      <c r="H554" s="37"/>
      <c r="I554" s="2"/>
      <c r="J554" s="37"/>
      <c r="K554" s="37"/>
      <c r="L554" s="14"/>
      <c r="M554" s="1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x14ac:dyDescent="0.2">
      <c r="A555" s="39"/>
      <c r="B555" s="37"/>
      <c r="C555" s="23"/>
      <c r="D555" s="37"/>
      <c r="E555" s="13">
        <f t="shared" ref="E555:F555" si="114">SUM(E532:E553)</f>
        <v>282700</v>
      </c>
      <c r="F555" s="13">
        <f t="shared" si="114"/>
        <v>315218.5</v>
      </c>
      <c r="G555" s="37"/>
      <c r="H555" s="37"/>
      <c r="I555" s="2"/>
      <c r="J555" s="37"/>
      <c r="K555" s="13">
        <f>SUM(K532:K553)</f>
        <v>113593.48333333334</v>
      </c>
      <c r="L555" s="14">
        <f>IFERROR(K555/E555, 0)</f>
        <v>0.40181635420351375</v>
      </c>
      <c r="M555" s="1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2"/>
      <c r="J556" s="4"/>
      <c r="K556" s="4"/>
      <c r="L556" s="28"/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x14ac:dyDescent="0.2">
      <c r="A557" s="6"/>
      <c r="B557" s="6"/>
      <c r="C557" s="6"/>
      <c r="D557" s="22"/>
      <c r="E557" s="8"/>
      <c r="F557" s="23"/>
      <c r="G557" s="2"/>
      <c r="H557" s="2"/>
      <c r="I557" s="2"/>
      <c r="J557" s="13"/>
      <c r="K557" s="13"/>
      <c r="L557" s="31"/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0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0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6" t="s">
        <v>169</v>
      </c>
      <c r="B560" s="6"/>
      <c r="C560" s="6"/>
      <c r="D560" s="22" t="s">
        <v>76</v>
      </c>
      <c r="E560" s="8">
        <v>46118</v>
      </c>
      <c r="F560" s="23"/>
      <c r="G560" s="2"/>
      <c r="H560" s="2"/>
      <c r="I560" s="2"/>
      <c r="J560" s="13"/>
      <c r="K560" s="13"/>
      <c r="L560" s="14"/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B561" s="2"/>
      <c r="C561" s="4"/>
      <c r="D561" s="2"/>
      <c r="E561" s="2"/>
      <c r="F561" s="2"/>
      <c r="G561" s="2"/>
      <c r="H561" s="2"/>
      <c r="I561" s="2"/>
      <c r="J561" s="13"/>
      <c r="K561" s="13"/>
      <c r="L561" s="14"/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6" t="s">
        <v>3</v>
      </c>
      <c r="B562" s="10" t="s">
        <v>4</v>
      </c>
      <c r="C562" s="11" t="s">
        <v>5</v>
      </c>
      <c r="D562" s="10" t="s">
        <v>6</v>
      </c>
      <c r="E562" s="10" t="s">
        <v>7</v>
      </c>
      <c r="F562" s="10"/>
      <c r="G562" s="2"/>
      <c r="H562" s="2"/>
      <c r="I562" s="10" t="s">
        <v>6</v>
      </c>
      <c r="J562" s="10" t="s">
        <v>7</v>
      </c>
      <c r="K562" s="10" t="s">
        <v>10</v>
      </c>
      <c r="L562" s="14"/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2">
        <v>2</v>
      </c>
      <c r="B563" s="10" t="s">
        <v>23</v>
      </c>
      <c r="C563" s="11" t="s">
        <v>87</v>
      </c>
      <c r="D563" s="13">
        <v>42000</v>
      </c>
      <c r="E563" s="13">
        <f t="shared" ref="E563:E579" si="115">A563*D563</f>
        <v>84000</v>
      </c>
      <c r="F563" s="13"/>
      <c r="G563" s="2"/>
      <c r="H563" s="7"/>
      <c r="I563" s="13">
        <v>32000</v>
      </c>
      <c r="J563" s="13">
        <f t="shared" ref="J563:J579" si="116">I563*A563</f>
        <v>64000</v>
      </c>
      <c r="K563" s="13">
        <f t="shared" ref="K563:K579" si="117">E563-J563</f>
        <v>20000</v>
      </c>
      <c r="L563" s="14">
        <f t="shared" ref="L563:L579" si="118">K563/E563</f>
        <v>0.23809523809523808</v>
      </c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2">
        <v>2</v>
      </c>
      <c r="B564" s="10" t="s">
        <v>23</v>
      </c>
      <c r="C564" s="11" t="s">
        <v>24</v>
      </c>
      <c r="D564" s="13">
        <v>60000</v>
      </c>
      <c r="E564" s="13">
        <f t="shared" si="115"/>
        <v>120000</v>
      </c>
      <c r="F564" s="13"/>
      <c r="G564" s="2"/>
      <c r="H564" s="7"/>
      <c r="I564" s="13">
        <v>30000</v>
      </c>
      <c r="J564" s="13">
        <f t="shared" si="116"/>
        <v>60000</v>
      </c>
      <c r="K564" s="13">
        <f t="shared" si="117"/>
        <v>60000</v>
      </c>
      <c r="L564" s="14">
        <f t="shared" si="118"/>
        <v>0.5</v>
      </c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2">
        <v>1</v>
      </c>
      <c r="B565" s="10" t="s">
        <v>23</v>
      </c>
      <c r="C565" s="11" t="s">
        <v>85</v>
      </c>
      <c r="D565" s="13">
        <v>60000</v>
      </c>
      <c r="E565" s="13">
        <f t="shared" si="115"/>
        <v>60000</v>
      </c>
      <c r="F565" s="13"/>
      <c r="G565" s="2"/>
      <c r="H565" s="7"/>
      <c r="I565" s="13">
        <v>50000</v>
      </c>
      <c r="J565" s="13">
        <f t="shared" si="116"/>
        <v>50000</v>
      </c>
      <c r="K565" s="13">
        <f t="shared" si="117"/>
        <v>10000</v>
      </c>
      <c r="L565" s="14">
        <f t="shared" si="118"/>
        <v>0.16666666666666666</v>
      </c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2">
        <v>2.5</v>
      </c>
      <c r="B566" s="10" t="s">
        <v>23</v>
      </c>
      <c r="C566" s="11" t="s">
        <v>82</v>
      </c>
      <c r="D566" s="13">
        <v>18000</v>
      </c>
      <c r="E566" s="13">
        <f t="shared" si="115"/>
        <v>45000</v>
      </c>
      <c r="F566" s="13"/>
      <c r="G566" s="2"/>
      <c r="H566" s="7"/>
      <c r="I566" s="13">
        <v>16000</v>
      </c>
      <c r="J566" s="13">
        <f t="shared" si="116"/>
        <v>40000</v>
      </c>
      <c r="K566" s="13">
        <f t="shared" si="117"/>
        <v>5000</v>
      </c>
      <c r="L566" s="14">
        <f t="shared" si="118"/>
        <v>0.1111111111111111</v>
      </c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2">
        <v>2</v>
      </c>
      <c r="B567" s="10" t="s">
        <v>15</v>
      </c>
      <c r="C567" s="11" t="s">
        <v>40</v>
      </c>
      <c r="D567" s="13">
        <v>13000</v>
      </c>
      <c r="E567" s="13">
        <f t="shared" si="115"/>
        <v>26000</v>
      </c>
      <c r="F567" s="13"/>
      <c r="G567" s="2"/>
      <c r="H567" s="7"/>
      <c r="I567" s="13">
        <v>7000</v>
      </c>
      <c r="J567" s="13">
        <f t="shared" si="116"/>
        <v>14000</v>
      </c>
      <c r="K567" s="13">
        <f t="shared" si="117"/>
        <v>12000</v>
      </c>
      <c r="L567" s="14">
        <f t="shared" si="118"/>
        <v>0.46153846153846156</v>
      </c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2">
        <v>3</v>
      </c>
      <c r="B568" s="10" t="s">
        <v>15</v>
      </c>
      <c r="C568" s="11" t="s">
        <v>16</v>
      </c>
      <c r="D568" s="13">
        <v>13000</v>
      </c>
      <c r="E568" s="13">
        <f t="shared" si="115"/>
        <v>39000</v>
      </c>
      <c r="F568" s="13"/>
      <c r="G568" s="2"/>
      <c r="H568" s="7"/>
      <c r="I568" s="13">
        <v>8000</v>
      </c>
      <c r="J568" s="13">
        <f t="shared" si="116"/>
        <v>24000</v>
      </c>
      <c r="K568" s="13">
        <f t="shared" si="117"/>
        <v>15000</v>
      </c>
      <c r="L568" s="14">
        <f t="shared" si="118"/>
        <v>0.38461538461538464</v>
      </c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2">
        <v>2</v>
      </c>
      <c r="B569" s="10" t="s">
        <v>4</v>
      </c>
      <c r="C569" s="11" t="s">
        <v>64</v>
      </c>
      <c r="D569" s="13">
        <v>2500</v>
      </c>
      <c r="E569" s="13">
        <f t="shared" si="115"/>
        <v>5000</v>
      </c>
      <c r="F569" s="13"/>
      <c r="G569" s="2"/>
      <c r="H569" s="7"/>
      <c r="I569" s="13">
        <v>1000</v>
      </c>
      <c r="J569" s="13">
        <f t="shared" si="116"/>
        <v>2000</v>
      </c>
      <c r="K569" s="13">
        <f t="shared" si="117"/>
        <v>3000</v>
      </c>
      <c r="L569" s="14">
        <f t="shared" si="118"/>
        <v>0.6</v>
      </c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2">
        <v>4</v>
      </c>
      <c r="B570" s="10" t="s">
        <v>4</v>
      </c>
      <c r="C570" s="11" t="s">
        <v>13</v>
      </c>
      <c r="D570" s="13">
        <v>900</v>
      </c>
      <c r="E570" s="13">
        <f t="shared" si="115"/>
        <v>3600</v>
      </c>
      <c r="F570" s="13"/>
      <c r="G570" s="2"/>
      <c r="H570" s="7"/>
      <c r="I570" s="13">
        <v>460</v>
      </c>
      <c r="J570" s="13">
        <f t="shared" si="116"/>
        <v>1840</v>
      </c>
      <c r="K570" s="13">
        <f t="shared" si="117"/>
        <v>1760</v>
      </c>
      <c r="L570" s="14">
        <f t="shared" si="118"/>
        <v>0.48888888888888887</v>
      </c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6.5" customHeight="1" x14ac:dyDescent="0.2">
      <c r="A571" s="12">
        <v>8</v>
      </c>
      <c r="B571" s="10" t="s">
        <v>17</v>
      </c>
      <c r="C571" s="11" t="s">
        <v>81</v>
      </c>
      <c r="D571" s="13">
        <v>1900</v>
      </c>
      <c r="E571" s="13">
        <f t="shared" si="115"/>
        <v>15200</v>
      </c>
      <c r="F571" s="13"/>
      <c r="G571" s="2"/>
      <c r="H571" s="7"/>
      <c r="I571" s="13">
        <f>12000/15</f>
        <v>800</v>
      </c>
      <c r="J571" s="13">
        <f t="shared" si="116"/>
        <v>6400</v>
      </c>
      <c r="K571" s="13">
        <f t="shared" si="117"/>
        <v>8800</v>
      </c>
      <c r="L571" s="14">
        <f t="shared" si="118"/>
        <v>0.57894736842105265</v>
      </c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6.5" customHeight="1" x14ac:dyDescent="0.2">
      <c r="A572" s="12">
        <v>2</v>
      </c>
      <c r="B572" s="10" t="s">
        <v>21</v>
      </c>
      <c r="C572" s="11" t="s">
        <v>51</v>
      </c>
      <c r="D572" s="13">
        <v>1500</v>
      </c>
      <c r="E572" s="13">
        <f t="shared" si="115"/>
        <v>3000</v>
      </c>
      <c r="F572" s="13"/>
      <c r="G572" s="2"/>
      <c r="H572" s="7"/>
      <c r="I572" s="13">
        <v>1000</v>
      </c>
      <c r="J572" s="13">
        <f t="shared" si="116"/>
        <v>2000</v>
      </c>
      <c r="K572" s="13">
        <f t="shared" si="117"/>
        <v>1000</v>
      </c>
      <c r="L572" s="14">
        <f t="shared" si="118"/>
        <v>0.33333333333333331</v>
      </c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A573" s="12">
        <v>1</v>
      </c>
      <c r="B573" s="10" t="s">
        <v>17</v>
      </c>
      <c r="C573" s="11" t="s">
        <v>88</v>
      </c>
      <c r="D573" s="13">
        <v>2500</v>
      </c>
      <c r="E573" s="13">
        <f t="shared" si="115"/>
        <v>2500</v>
      </c>
      <c r="F573" s="13"/>
      <c r="G573" s="2"/>
      <c r="H573" s="7"/>
      <c r="I573" s="13">
        <f>20000/15</f>
        <v>1333.3333333333333</v>
      </c>
      <c r="J573" s="13">
        <f t="shared" si="116"/>
        <v>1333.3333333333333</v>
      </c>
      <c r="K573" s="13">
        <f t="shared" si="117"/>
        <v>1166.6666666666667</v>
      </c>
      <c r="L573" s="14">
        <f t="shared" si="118"/>
        <v>0.46666666666666667</v>
      </c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A574" s="12">
        <v>1</v>
      </c>
      <c r="B574" s="10" t="s">
        <v>17</v>
      </c>
      <c r="C574" s="11" t="s">
        <v>79</v>
      </c>
      <c r="D574" s="13">
        <v>3200</v>
      </c>
      <c r="E574" s="13">
        <f t="shared" si="115"/>
        <v>3200</v>
      </c>
      <c r="F574" s="13"/>
      <c r="G574" s="2"/>
      <c r="H574" s="7"/>
      <c r="I574" s="13">
        <v>0</v>
      </c>
      <c r="J574" s="13">
        <f t="shared" si="116"/>
        <v>0</v>
      </c>
      <c r="K574" s="13">
        <f t="shared" si="117"/>
        <v>3200</v>
      </c>
      <c r="L574" s="14">
        <f t="shared" si="118"/>
        <v>1</v>
      </c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2">
        <v>0.5</v>
      </c>
      <c r="B575" s="10" t="s">
        <v>23</v>
      </c>
      <c r="C575" s="11" t="s">
        <v>170</v>
      </c>
      <c r="D575" s="13">
        <v>26000</v>
      </c>
      <c r="E575" s="13">
        <f t="shared" si="115"/>
        <v>13000</v>
      </c>
      <c r="F575" s="13"/>
      <c r="G575" s="2"/>
      <c r="H575" s="7"/>
      <c r="I575" s="13">
        <v>22000</v>
      </c>
      <c r="J575" s="13">
        <f t="shared" si="116"/>
        <v>11000</v>
      </c>
      <c r="K575" s="13">
        <f t="shared" si="117"/>
        <v>2000</v>
      </c>
      <c r="L575" s="14">
        <f t="shared" si="118"/>
        <v>0.15384615384615385</v>
      </c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A576" s="12">
        <v>1</v>
      </c>
      <c r="B576" s="10" t="s">
        <v>15</v>
      </c>
      <c r="C576" s="11" t="s">
        <v>135</v>
      </c>
      <c r="D576" s="13">
        <v>18000</v>
      </c>
      <c r="E576" s="13">
        <f t="shared" si="115"/>
        <v>18000</v>
      </c>
      <c r="F576" s="13"/>
      <c r="G576" s="2"/>
      <c r="H576" s="7"/>
      <c r="I576" s="13">
        <v>14000</v>
      </c>
      <c r="J576" s="13">
        <f t="shared" si="116"/>
        <v>14000</v>
      </c>
      <c r="K576" s="13">
        <f t="shared" si="117"/>
        <v>4000</v>
      </c>
      <c r="L576" s="14">
        <f t="shared" si="118"/>
        <v>0.22222222222222221</v>
      </c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2">
        <v>1</v>
      </c>
      <c r="B577" s="10" t="s">
        <v>15</v>
      </c>
      <c r="C577" s="11" t="s">
        <v>56</v>
      </c>
      <c r="D577" s="13">
        <v>14000</v>
      </c>
      <c r="E577" s="13">
        <f t="shared" si="115"/>
        <v>14000</v>
      </c>
      <c r="F577" s="13"/>
      <c r="G577" s="2"/>
      <c r="H577" s="7"/>
      <c r="I577" s="13">
        <v>10000</v>
      </c>
      <c r="J577" s="13">
        <f t="shared" si="116"/>
        <v>10000</v>
      </c>
      <c r="K577" s="13">
        <f t="shared" si="117"/>
        <v>4000</v>
      </c>
      <c r="L577" s="14">
        <f t="shared" si="118"/>
        <v>0.2857142857142857</v>
      </c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2">
        <v>0.9</v>
      </c>
      <c r="B578" s="10" t="s">
        <v>17</v>
      </c>
      <c r="C578" s="11" t="s">
        <v>31</v>
      </c>
      <c r="D578" s="13">
        <v>2800</v>
      </c>
      <c r="E578" s="13">
        <f t="shared" si="115"/>
        <v>2520</v>
      </c>
      <c r="F578" s="13"/>
      <c r="G578" s="2"/>
      <c r="H578" s="7"/>
      <c r="I578" s="13">
        <f>15000/7</f>
        <v>2142.8571428571427</v>
      </c>
      <c r="J578" s="13">
        <f t="shared" si="116"/>
        <v>1928.5714285714284</v>
      </c>
      <c r="K578" s="13">
        <f t="shared" si="117"/>
        <v>591.42857142857156</v>
      </c>
      <c r="L578" s="14">
        <f t="shared" si="118"/>
        <v>0.23469387755102045</v>
      </c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2">
        <v>6</v>
      </c>
      <c r="B579" s="10" t="s">
        <v>21</v>
      </c>
      <c r="C579" s="11" t="s">
        <v>130</v>
      </c>
      <c r="D579" s="13">
        <v>1400</v>
      </c>
      <c r="E579" s="13">
        <f t="shared" si="115"/>
        <v>8400</v>
      </c>
      <c r="F579" s="13"/>
      <c r="G579" s="2"/>
      <c r="H579" s="7"/>
      <c r="I579" s="13">
        <v>1000</v>
      </c>
      <c r="J579" s="13">
        <f t="shared" si="116"/>
        <v>6000</v>
      </c>
      <c r="K579" s="13">
        <f t="shared" si="117"/>
        <v>2400</v>
      </c>
      <c r="L579" s="14">
        <f t="shared" si="118"/>
        <v>0.2857142857142857</v>
      </c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2"/>
      <c r="B580" s="10"/>
      <c r="C580" s="11"/>
      <c r="D580" s="13"/>
      <c r="E580" s="13"/>
      <c r="F580" s="13"/>
      <c r="H580" s="2"/>
      <c r="I580" s="2"/>
      <c r="J580" s="13"/>
      <c r="K580" s="13"/>
      <c r="L580" s="1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2"/>
      <c r="B581" s="10"/>
      <c r="C581" s="11"/>
      <c r="D581" s="13"/>
      <c r="E581" s="13">
        <f>SUM(E563:E579)</f>
        <v>462420</v>
      </c>
      <c r="F581" s="13"/>
      <c r="G581" s="2"/>
      <c r="H581" s="2"/>
      <c r="I581" s="2"/>
      <c r="J581" s="13"/>
      <c r="K581" s="13">
        <f>SUM(K563:K579)</f>
        <v>153918.09523809524</v>
      </c>
      <c r="L581" s="14">
        <f>K581/E581</f>
        <v>0.33285345624777307</v>
      </c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0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0"/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0"/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88" t="s">
        <v>171</v>
      </c>
      <c r="B585" s="89"/>
      <c r="C585" s="89"/>
      <c r="D585" s="2"/>
      <c r="E585" s="7" t="s">
        <v>172</v>
      </c>
      <c r="F585" s="8">
        <v>46118</v>
      </c>
      <c r="G585" s="7"/>
      <c r="H585" s="2"/>
      <c r="I585" s="9" t="s">
        <v>2</v>
      </c>
      <c r="J585" s="9"/>
      <c r="K585" s="9"/>
      <c r="L585" s="3"/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3"/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6" t="s">
        <v>3</v>
      </c>
      <c r="B587" s="10" t="s">
        <v>4</v>
      </c>
      <c r="C587" s="11" t="s">
        <v>5</v>
      </c>
      <c r="D587" s="10" t="s">
        <v>6</v>
      </c>
      <c r="E587" s="10" t="s">
        <v>7</v>
      </c>
      <c r="F587" s="10" t="s">
        <v>8</v>
      </c>
      <c r="G587" s="2"/>
      <c r="H587" s="2"/>
      <c r="I587" s="10" t="s">
        <v>9</v>
      </c>
      <c r="J587" s="10" t="s">
        <v>7</v>
      </c>
      <c r="K587" s="10" t="s">
        <v>10</v>
      </c>
      <c r="L587" s="3"/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2">
        <v>2</v>
      </c>
      <c r="B588" s="10" t="s">
        <v>17</v>
      </c>
      <c r="C588" s="11" t="s">
        <v>93</v>
      </c>
      <c r="D588" s="13">
        <v>3500</v>
      </c>
      <c r="E588" s="13">
        <f t="shared" ref="E588:E593" si="119">A588*D588</f>
        <v>7000</v>
      </c>
      <c r="F588" s="13">
        <f t="shared" ref="F588:F589" si="120">E588*1.105</f>
        <v>7735</v>
      </c>
      <c r="G588" s="2"/>
      <c r="H588" s="2"/>
      <c r="I588" s="13">
        <f>13000/7</f>
        <v>1857.1428571428571</v>
      </c>
      <c r="J588" s="13">
        <f t="shared" ref="J588:J593" si="121">I588*A588</f>
        <v>3714.2857142857142</v>
      </c>
      <c r="K588" s="13">
        <f t="shared" ref="K588:K593" si="122">F588-J588</f>
        <v>4020.7142857142858</v>
      </c>
      <c r="L588" s="14">
        <f t="shared" ref="L588:L593" si="123">IFERROR(K588/E588, 0)</f>
        <v>0.57438775510204088</v>
      </c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2">
        <v>0.5</v>
      </c>
      <c r="B589" s="10" t="s">
        <v>17</v>
      </c>
      <c r="C589" s="11" t="s">
        <v>43</v>
      </c>
      <c r="D589" s="13">
        <v>3500</v>
      </c>
      <c r="E589" s="13">
        <f t="shared" si="119"/>
        <v>1750</v>
      </c>
      <c r="F589" s="13">
        <f t="shared" si="120"/>
        <v>1933.75</v>
      </c>
      <c r="G589" s="2"/>
      <c r="H589" s="2"/>
      <c r="I589" s="13">
        <v>0</v>
      </c>
      <c r="J589" s="13">
        <f t="shared" si="121"/>
        <v>0</v>
      </c>
      <c r="K589" s="13">
        <f t="shared" si="122"/>
        <v>1933.75</v>
      </c>
      <c r="L589" s="14">
        <f t="shared" si="123"/>
        <v>1.105</v>
      </c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2">
        <v>1</v>
      </c>
      <c r="B590" s="10" t="s">
        <v>11</v>
      </c>
      <c r="C590" s="11" t="s">
        <v>85</v>
      </c>
      <c r="D590" s="13">
        <v>5000</v>
      </c>
      <c r="E590" s="13">
        <f t="shared" si="119"/>
        <v>5000</v>
      </c>
      <c r="F590" s="13">
        <f>E590*1.21</f>
        <v>6050</v>
      </c>
      <c r="G590" s="2"/>
      <c r="H590" s="2"/>
      <c r="I590" s="13">
        <f>50000/12</f>
        <v>4166.666666666667</v>
      </c>
      <c r="J590" s="13">
        <f t="shared" si="121"/>
        <v>4166.666666666667</v>
      </c>
      <c r="K590" s="13">
        <f t="shared" si="122"/>
        <v>1883.333333333333</v>
      </c>
      <c r="L590" s="14">
        <f t="shared" si="123"/>
        <v>0.37666666666666659</v>
      </c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2">
        <v>1</v>
      </c>
      <c r="B591" s="10" t="s">
        <v>21</v>
      </c>
      <c r="C591" s="11" t="s">
        <v>112</v>
      </c>
      <c r="D591" s="13">
        <v>3000</v>
      </c>
      <c r="E591" s="13">
        <f t="shared" si="119"/>
        <v>3000</v>
      </c>
      <c r="F591" s="13">
        <f t="shared" ref="F591:F593" si="124">E591*1.105</f>
        <v>3315</v>
      </c>
      <c r="G591" s="2"/>
      <c r="H591" s="2"/>
      <c r="I591" s="13">
        <v>2000</v>
      </c>
      <c r="J591" s="13">
        <f t="shared" si="121"/>
        <v>2000</v>
      </c>
      <c r="K591" s="13">
        <f t="shared" si="122"/>
        <v>1315</v>
      </c>
      <c r="L591" s="14">
        <f t="shared" si="123"/>
        <v>0.43833333333333335</v>
      </c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2">
        <v>0.5</v>
      </c>
      <c r="B592" s="10" t="s">
        <v>23</v>
      </c>
      <c r="C592" s="11" t="s">
        <v>88</v>
      </c>
      <c r="D592" s="13">
        <v>32000</v>
      </c>
      <c r="E592" s="13">
        <f t="shared" si="119"/>
        <v>16000</v>
      </c>
      <c r="F592" s="13">
        <f t="shared" si="124"/>
        <v>17680</v>
      </c>
      <c r="G592" s="2"/>
      <c r="H592" s="2"/>
      <c r="I592" s="13">
        <v>20000</v>
      </c>
      <c r="J592" s="13">
        <f t="shared" si="121"/>
        <v>10000</v>
      </c>
      <c r="K592" s="13">
        <f t="shared" si="122"/>
        <v>7680</v>
      </c>
      <c r="L592" s="14">
        <f t="shared" si="123"/>
        <v>0.48</v>
      </c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2">
        <v>0.2</v>
      </c>
      <c r="B593" s="10" t="s">
        <v>17</v>
      </c>
      <c r="C593" s="11" t="s">
        <v>111</v>
      </c>
      <c r="D593" s="13">
        <v>10500</v>
      </c>
      <c r="E593" s="13">
        <f t="shared" si="119"/>
        <v>2100</v>
      </c>
      <c r="F593" s="13">
        <f t="shared" si="124"/>
        <v>2320.5</v>
      </c>
      <c r="G593" s="2"/>
      <c r="H593" s="2"/>
      <c r="I593" s="13">
        <v>7000</v>
      </c>
      <c r="J593" s="13">
        <f t="shared" si="121"/>
        <v>1400</v>
      </c>
      <c r="K593" s="13">
        <f t="shared" si="122"/>
        <v>920.5</v>
      </c>
      <c r="L593" s="14">
        <f t="shared" si="123"/>
        <v>0.43833333333333335</v>
      </c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"/>
      <c r="B594" s="2"/>
      <c r="C594" s="4"/>
      <c r="D594" s="2"/>
      <c r="E594" s="2"/>
      <c r="F594" s="13"/>
      <c r="G594" s="2"/>
      <c r="H594" s="2"/>
      <c r="I594" s="2"/>
      <c r="J594" s="2"/>
      <c r="K594" s="2"/>
      <c r="L594" s="3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2"/>
      <c r="C595" s="4"/>
      <c r="D595" s="2"/>
      <c r="E595" s="13">
        <f t="shared" ref="E595:F595" si="125">SUM(E588:E593)</f>
        <v>34850</v>
      </c>
      <c r="F595" s="13">
        <f t="shared" si="125"/>
        <v>39034.25</v>
      </c>
      <c r="G595" s="2"/>
      <c r="H595" s="2"/>
      <c r="I595" s="2"/>
      <c r="J595" s="2"/>
      <c r="K595" s="13">
        <f>SUM(K588:K593)</f>
        <v>17753.297619047618</v>
      </c>
      <c r="L595" s="14">
        <f>K595/F595</f>
        <v>0.4548133400551469</v>
      </c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5" t="s">
        <v>37</v>
      </c>
      <c r="I596" s="15" t="s">
        <v>37</v>
      </c>
      <c r="J596" s="1"/>
      <c r="K596" s="1"/>
      <c r="L596" s="20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0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0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6" t="s">
        <v>91</v>
      </c>
      <c r="B599" s="25"/>
      <c r="C599" s="1"/>
      <c r="D599" s="12" t="s">
        <v>173</v>
      </c>
      <c r="E599" s="8">
        <v>46118</v>
      </c>
      <c r="F599" s="15" t="s">
        <v>37</v>
      </c>
      <c r="G599" s="2"/>
      <c r="H599" s="2"/>
      <c r="I599" s="2"/>
      <c r="J599" s="2"/>
      <c r="K599" s="2"/>
      <c r="L599" s="3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"/>
      <c r="B600" s="2"/>
      <c r="C600" s="1"/>
      <c r="D600" s="2"/>
      <c r="E600" s="2"/>
      <c r="F600" s="2"/>
      <c r="G600" s="2"/>
      <c r="H600" s="2"/>
      <c r="I600" s="2"/>
      <c r="J600" s="2"/>
      <c r="K600" s="2"/>
      <c r="L600" s="3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6" t="s">
        <v>3</v>
      </c>
      <c r="B601" s="10" t="s">
        <v>4</v>
      </c>
      <c r="C601" s="6" t="s">
        <v>5</v>
      </c>
      <c r="D601" s="10" t="s">
        <v>6</v>
      </c>
      <c r="E601" s="10" t="s">
        <v>7</v>
      </c>
      <c r="F601" s="2"/>
      <c r="G601" s="2"/>
      <c r="H601" s="2"/>
      <c r="I601" s="10" t="s">
        <v>6</v>
      </c>
      <c r="J601" s="10" t="s">
        <v>7</v>
      </c>
      <c r="K601" s="10" t="s">
        <v>10</v>
      </c>
      <c r="L601" s="3"/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2">
        <v>1</v>
      </c>
      <c r="B602" s="10" t="s">
        <v>23</v>
      </c>
      <c r="C602" s="6" t="s">
        <v>46</v>
      </c>
      <c r="D602" s="13">
        <v>13000</v>
      </c>
      <c r="E602" s="13">
        <f t="shared" ref="E602:E609" si="126">A602*D602</f>
        <v>13000</v>
      </c>
      <c r="F602" s="2"/>
      <c r="G602" s="2"/>
      <c r="H602" s="2"/>
      <c r="I602" s="13">
        <v>5000</v>
      </c>
      <c r="J602" s="13">
        <f t="shared" ref="J602:J609" si="127">I602*A602</f>
        <v>5000</v>
      </c>
      <c r="K602" s="13">
        <f t="shared" ref="K602:K609" si="128">E602-J602</f>
        <v>8000</v>
      </c>
      <c r="L602" s="14">
        <f t="shared" ref="L602:L609" si="129">K602/E602</f>
        <v>0.61538461538461542</v>
      </c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2">
        <v>1</v>
      </c>
      <c r="B603" s="10" t="s">
        <v>23</v>
      </c>
      <c r="C603" s="6" t="s">
        <v>99</v>
      </c>
      <c r="D603" s="13">
        <v>13000</v>
      </c>
      <c r="E603" s="13">
        <f t="shared" si="126"/>
        <v>13000</v>
      </c>
      <c r="F603" s="2"/>
      <c r="G603" s="2"/>
      <c r="H603" s="2"/>
      <c r="I603" s="13">
        <v>10000</v>
      </c>
      <c r="J603" s="13">
        <f t="shared" si="127"/>
        <v>10000</v>
      </c>
      <c r="K603" s="13">
        <f t="shared" si="128"/>
        <v>3000</v>
      </c>
      <c r="L603" s="14">
        <f t="shared" si="129"/>
        <v>0.23076923076923078</v>
      </c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2">
        <v>1</v>
      </c>
      <c r="B604" s="10" t="s">
        <v>17</v>
      </c>
      <c r="C604" s="6" t="s">
        <v>88</v>
      </c>
      <c r="D604" s="13">
        <v>2600</v>
      </c>
      <c r="E604" s="13">
        <f t="shared" si="126"/>
        <v>2600</v>
      </c>
      <c r="F604" s="2"/>
      <c r="G604" s="2"/>
      <c r="H604" s="2"/>
      <c r="I604" s="13">
        <f>20000/15</f>
        <v>1333.3333333333333</v>
      </c>
      <c r="J604" s="13">
        <f t="shared" si="127"/>
        <v>1333.3333333333333</v>
      </c>
      <c r="K604" s="13">
        <f t="shared" si="128"/>
        <v>1266.6666666666667</v>
      </c>
      <c r="L604" s="14">
        <f t="shared" si="129"/>
        <v>0.48717948717948723</v>
      </c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2">
        <v>1</v>
      </c>
      <c r="B605" s="10" t="s">
        <v>17</v>
      </c>
      <c r="C605" s="6" t="s">
        <v>79</v>
      </c>
      <c r="D605" s="13">
        <v>3500</v>
      </c>
      <c r="E605" s="13">
        <f t="shared" si="126"/>
        <v>3500</v>
      </c>
      <c r="F605" s="2"/>
      <c r="G605" s="2"/>
      <c r="H605" s="2"/>
      <c r="I605" s="13">
        <v>0</v>
      </c>
      <c r="J605" s="13">
        <f t="shared" si="127"/>
        <v>0</v>
      </c>
      <c r="K605" s="13">
        <f t="shared" si="128"/>
        <v>3500</v>
      </c>
      <c r="L605" s="14">
        <f t="shared" si="129"/>
        <v>1</v>
      </c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2">
        <v>3</v>
      </c>
      <c r="B606" s="10" t="s">
        <v>17</v>
      </c>
      <c r="C606" s="6" t="s">
        <v>73</v>
      </c>
      <c r="D606" s="13">
        <v>2200</v>
      </c>
      <c r="E606" s="13">
        <f t="shared" si="126"/>
        <v>6600</v>
      </c>
      <c r="F606" s="2"/>
      <c r="G606" s="2"/>
      <c r="H606" s="2"/>
      <c r="I606" s="13">
        <f>12000/15</f>
        <v>800</v>
      </c>
      <c r="J606" s="13">
        <f t="shared" si="127"/>
        <v>2400</v>
      </c>
      <c r="K606" s="13">
        <f t="shared" si="128"/>
        <v>4200</v>
      </c>
      <c r="L606" s="14">
        <f t="shared" si="129"/>
        <v>0.63636363636363635</v>
      </c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2">
        <v>1</v>
      </c>
      <c r="B607" s="10" t="s">
        <v>17</v>
      </c>
      <c r="C607" s="6" t="s">
        <v>40</v>
      </c>
      <c r="D607" s="13">
        <v>1500</v>
      </c>
      <c r="E607" s="13">
        <f t="shared" si="126"/>
        <v>1500</v>
      </c>
      <c r="F607" s="2"/>
      <c r="G607" s="2"/>
      <c r="H607" s="2"/>
      <c r="I607" s="13">
        <f>7000/9</f>
        <v>777.77777777777783</v>
      </c>
      <c r="J607" s="13">
        <f t="shared" si="127"/>
        <v>777.77777777777783</v>
      </c>
      <c r="K607" s="13">
        <f t="shared" si="128"/>
        <v>722.22222222222217</v>
      </c>
      <c r="L607" s="14">
        <f t="shared" si="129"/>
        <v>0.48148148148148145</v>
      </c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2">
        <v>2</v>
      </c>
      <c r="B608" s="10" t="s">
        <v>21</v>
      </c>
      <c r="C608" s="6" t="s">
        <v>22</v>
      </c>
      <c r="D608" s="13">
        <v>1700</v>
      </c>
      <c r="E608" s="13">
        <f t="shared" si="126"/>
        <v>3400</v>
      </c>
      <c r="F608" s="2"/>
      <c r="G608" s="2"/>
      <c r="H608" s="2"/>
      <c r="I608" s="13">
        <v>1200</v>
      </c>
      <c r="J608" s="13">
        <f t="shared" si="127"/>
        <v>2400</v>
      </c>
      <c r="K608" s="13">
        <f t="shared" si="128"/>
        <v>1000</v>
      </c>
      <c r="L608" s="14">
        <f t="shared" si="129"/>
        <v>0.29411764705882354</v>
      </c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2">
        <v>0.2</v>
      </c>
      <c r="B609" s="10" t="s">
        <v>17</v>
      </c>
      <c r="C609" s="6" t="s">
        <v>93</v>
      </c>
      <c r="D609" s="13">
        <v>3500</v>
      </c>
      <c r="E609" s="13">
        <f t="shared" si="126"/>
        <v>700</v>
      </c>
      <c r="F609" s="2"/>
      <c r="G609" s="2"/>
      <c r="H609" s="2"/>
      <c r="I609" s="13">
        <f>13000/7</f>
        <v>1857.1428571428571</v>
      </c>
      <c r="J609" s="13">
        <f t="shared" si="127"/>
        <v>371.42857142857144</v>
      </c>
      <c r="K609" s="13">
        <f t="shared" si="128"/>
        <v>328.57142857142856</v>
      </c>
      <c r="L609" s="14">
        <f t="shared" si="129"/>
        <v>0.46938775510204078</v>
      </c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"/>
      <c r="B610" s="2"/>
      <c r="C610" s="1"/>
      <c r="D610" s="2"/>
      <c r="E610" s="2"/>
      <c r="F610" s="2"/>
      <c r="G610" s="1"/>
      <c r="H610" s="2"/>
      <c r="I610" s="2"/>
      <c r="J610" s="2"/>
      <c r="K610" s="2"/>
      <c r="L610" s="3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2"/>
      <c r="C611" s="1"/>
      <c r="D611" s="2"/>
      <c r="E611" s="13">
        <f>SUM(E602:E609)</f>
        <v>44300</v>
      </c>
      <c r="F611" s="2"/>
      <c r="G611" s="2"/>
      <c r="H611" s="2"/>
      <c r="I611" s="2"/>
      <c r="J611" s="2"/>
      <c r="K611" s="13">
        <f>SUM(K602:K609)</f>
        <v>22017.460317460314</v>
      </c>
      <c r="L611" s="14">
        <f>K611/E611</f>
        <v>0.49700813357698226</v>
      </c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0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0"/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0"/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6" t="s">
        <v>174</v>
      </c>
      <c r="B615" s="25"/>
      <c r="C615" s="1"/>
      <c r="D615" s="12" t="s">
        <v>143</v>
      </c>
      <c r="E615" s="8">
        <v>46118</v>
      </c>
      <c r="F615" s="15" t="s">
        <v>37</v>
      </c>
      <c r="G615" s="2"/>
      <c r="H615" s="2"/>
      <c r="I615" s="2"/>
      <c r="J615" s="2"/>
      <c r="K615" s="2"/>
      <c r="L615" s="3"/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"/>
      <c r="B616" s="2"/>
      <c r="C616" s="1"/>
      <c r="D616" s="2"/>
      <c r="E616" s="2"/>
      <c r="F616" s="2"/>
      <c r="G616" s="2"/>
      <c r="H616" s="2"/>
      <c r="I616" s="2"/>
      <c r="J616" s="2"/>
      <c r="K616" s="2"/>
      <c r="L616" s="3"/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6" t="s">
        <v>3</v>
      </c>
      <c r="B617" s="10" t="s">
        <v>4</v>
      </c>
      <c r="C617" s="6" t="s">
        <v>5</v>
      </c>
      <c r="D617" s="10" t="s">
        <v>6</v>
      </c>
      <c r="E617" s="10" t="s">
        <v>7</v>
      </c>
      <c r="F617" s="2"/>
      <c r="G617" s="2"/>
      <c r="H617" s="2"/>
      <c r="I617" s="10" t="s">
        <v>6</v>
      </c>
      <c r="J617" s="10" t="s">
        <v>7</v>
      </c>
      <c r="K617" s="10" t="s">
        <v>10</v>
      </c>
      <c r="L617" s="3"/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2">
        <v>1</v>
      </c>
      <c r="B618" s="10" t="s">
        <v>86</v>
      </c>
      <c r="C618" s="6" t="s">
        <v>175</v>
      </c>
      <c r="D618" s="13">
        <v>38000</v>
      </c>
      <c r="E618" s="13">
        <f t="shared" ref="E618:E621" si="130">A618*D618</f>
        <v>38000</v>
      </c>
      <c r="F618" s="2"/>
      <c r="G618" s="2"/>
      <c r="H618" s="2"/>
      <c r="I618" s="13">
        <v>33250</v>
      </c>
      <c r="J618" s="13">
        <f t="shared" ref="J618:J621" si="131">I618*A618</f>
        <v>33250</v>
      </c>
      <c r="K618" s="13">
        <f t="shared" ref="K618:K621" si="132">E618-J618</f>
        <v>4750</v>
      </c>
      <c r="L618" s="14">
        <f t="shared" ref="L618:L621" si="133">K618/E618</f>
        <v>0.125</v>
      </c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2">
        <v>0.5</v>
      </c>
      <c r="B619" s="10" t="s">
        <v>86</v>
      </c>
      <c r="C619" s="6" t="s">
        <v>114</v>
      </c>
      <c r="D619" s="13">
        <v>25000</v>
      </c>
      <c r="E619" s="13">
        <f t="shared" si="130"/>
        <v>12500</v>
      </c>
      <c r="F619" s="2"/>
      <c r="G619" s="2"/>
      <c r="H619" s="2"/>
      <c r="I619" s="13">
        <v>20000</v>
      </c>
      <c r="J619" s="13">
        <f t="shared" si="131"/>
        <v>10000</v>
      </c>
      <c r="K619" s="13">
        <f t="shared" si="132"/>
        <v>2500</v>
      </c>
      <c r="L619" s="14">
        <f t="shared" si="133"/>
        <v>0.2</v>
      </c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2">
        <v>0.5</v>
      </c>
      <c r="B620" s="10" t="s">
        <v>86</v>
      </c>
      <c r="C620" s="6" t="s">
        <v>87</v>
      </c>
      <c r="D620" s="13">
        <v>38000</v>
      </c>
      <c r="E620" s="13">
        <f t="shared" si="130"/>
        <v>19000</v>
      </c>
      <c r="F620" s="2"/>
      <c r="G620" s="2"/>
      <c r="H620" s="2"/>
      <c r="I620" s="13">
        <v>32000</v>
      </c>
      <c r="J620" s="13">
        <f t="shared" si="131"/>
        <v>16000</v>
      </c>
      <c r="K620" s="13">
        <f t="shared" si="132"/>
        <v>3000</v>
      </c>
      <c r="L620" s="14">
        <f t="shared" si="133"/>
        <v>0.15789473684210525</v>
      </c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2">
        <v>1</v>
      </c>
      <c r="B621" s="10" t="s">
        <v>23</v>
      </c>
      <c r="C621" s="6" t="s">
        <v>88</v>
      </c>
      <c r="D621" s="13">
        <v>28000</v>
      </c>
      <c r="E621" s="13">
        <f t="shared" si="130"/>
        <v>28000</v>
      </c>
      <c r="F621" s="2"/>
      <c r="G621" s="2"/>
      <c r="H621" s="2"/>
      <c r="I621" s="13">
        <v>14000</v>
      </c>
      <c r="J621" s="13">
        <f t="shared" si="131"/>
        <v>14000</v>
      </c>
      <c r="K621" s="13">
        <f t="shared" si="132"/>
        <v>14000</v>
      </c>
      <c r="L621" s="14">
        <f t="shared" si="133"/>
        <v>0.5</v>
      </c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2"/>
      <c r="C622" s="1"/>
      <c r="D622" s="2"/>
      <c r="E622" s="2"/>
      <c r="F622" s="2"/>
      <c r="G622" s="1"/>
      <c r="H622" s="2"/>
      <c r="I622" s="2"/>
      <c r="J622" s="2"/>
      <c r="K622" s="2"/>
      <c r="L622" s="3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2"/>
      <c r="C623" s="1"/>
      <c r="D623" s="2"/>
      <c r="E623" s="13">
        <f>SUM(E618:E621)</f>
        <v>97500</v>
      </c>
      <c r="F623" s="2"/>
      <c r="G623" s="2"/>
      <c r="H623" s="2"/>
      <c r="I623" s="2"/>
      <c r="J623" s="2"/>
      <c r="K623" s="13">
        <f>SUM(K618:K621)</f>
        <v>24250</v>
      </c>
      <c r="L623" s="14">
        <f>K623/E623</f>
        <v>0.24871794871794872</v>
      </c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0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6" t="s">
        <v>96</v>
      </c>
      <c r="B625" s="1"/>
      <c r="C625" s="1"/>
      <c r="D625" s="22" t="s">
        <v>176</v>
      </c>
      <c r="E625" s="8">
        <v>46118</v>
      </c>
      <c r="F625" s="24" t="s">
        <v>37</v>
      </c>
      <c r="G625" s="2"/>
      <c r="H625" s="2"/>
      <c r="I625" s="2"/>
      <c r="J625" s="2"/>
      <c r="K625" s="2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2"/>
      <c r="C626" s="4"/>
      <c r="D626" s="2"/>
      <c r="E626" s="2"/>
      <c r="F626" s="2"/>
      <c r="G626" s="2"/>
      <c r="H626" s="2"/>
      <c r="I626" s="2"/>
      <c r="J626" s="2"/>
      <c r="K626" s="2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6" t="s">
        <v>3</v>
      </c>
      <c r="B627" s="10" t="s">
        <v>4</v>
      </c>
      <c r="C627" s="11" t="s">
        <v>5</v>
      </c>
      <c r="D627" s="10" t="s">
        <v>6</v>
      </c>
      <c r="E627" s="10" t="s">
        <v>7</v>
      </c>
      <c r="F627" s="2"/>
      <c r="G627" s="2"/>
      <c r="H627" s="2"/>
      <c r="I627" s="10" t="s">
        <v>6</v>
      </c>
      <c r="J627" s="10" t="s">
        <v>7</v>
      </c>
      <c r="K627" s="10" t="s">
        <v>10</v>
      </c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2">
        <v>1</v>
      </c>
      <c r="B628" s="10" t="s">
        <v>23</v>
      </c>
      <c r="C628" s="11" t="s">
        <v>82</v>
      </c>
      <c r="D628" s="13">
        <v>19000</v>
      </c>
      <c r="E628" s="13">
        <f t="shared" ref="E628:E637" si="134">A628*D628</f>
        <v>19000</v>
      </c>
      <c r="F628" s="2"/>
      <c r="G628" s="2"/>
      <c r="H628" s="2"/>
      <c r="I628" s="13">
        <v>16000</v>
      </c>
      <c r="J628" s="13">
        <f t="shared" ref="J628:J637" si="135">I628*A628</f>
        <v>16000</v>
      </c>
      <c r="K628" s="13">
        <f t="shared" ref="K628:K637" si="136">E628-J628</f>
        <v>3000</v>
      </c>
      <c r="L628" s="14">
        <f t="shared" ref="L628:L637" si="137">K628/E628</f>
        <v>0.15789473684210525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2">
        <v>1</v>
      </c>
      <c r="B629" s="10" t="s">
        <v>23</v>
      </c>
      <c r="C629" s="11" t="s">
        <v>31</v>
      </c>
      <c r="D629" s="13">
        <v>20000</v>
      </c>
      <c r="E629" s="13">
        <f t="shared" si="134"/>
        <v>20000</v>
      </c>
      <c r="F629" s="2"/>
      <c r="G629" s="2"/>
      <c r="H629" s="2"/>
      <c r="I629" s="13">
        <v>15000</v>
      </c>
      <c r="J629" s="13">
        <f t="shared" si="135"/>
        <v>15000</v>
      </c>
      <c r="K629" s="13">
        <f t="shared" si="136"/>
        <v>5000</v>
      </c>
      <c r="L629" s="14">
        <f t="shared" si="137"/>
        <v>0.25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2">
        <v>1</v>
      </c>
      <c r="B630" s="10" t="s">
        <v>23</v>
      </c>
      <c r="C630" s="11" t="s">
        <v>99</v>
      </c>
      <c r="D630" s="13">
        <v>13000</v>
      </c>
      <c r="E630" s="13">
        <f t="shared" si="134"/>
        <v>13000</v>
      </c>
      <c r="F630" s="2"/>
      <c r="G630" s="2"/>
      <c r="H630" s="2"/>
      <c r="I630" s="13">
        <v>10000</v>
      </c>
      <c r="J630" s="13">
        <f t="shared" si="135"/>
        <v>10000</v>
      </c>
      <c r="K630" s="13">
        <f t="shared" si="136"/>
        <v>3000</v>
      </c>
      <c r="L630" s="14">
        <f t="shared" si="137"/>
        <v>0.23076923076923078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2">
        <v>0.5</v>
      </c>
      <c r="B631" s="10" t="s">
        <v>23</v>
      </c>
      <c r="C631" s="11" t="s">
        <v>81</v>
      </c>
      <c r="D631" s="13">
        <v>18000</v>
      </c>
      <c r="E631" s="13">
        <f t="shared" si="134"/>
        <v>9000</v>
      </c>
      <c r="F631" s="2"/>
      <c r="G631" s="2"/>
      <c r="H631" s="2"/>
      <c r="I631" s="13">
        <v>12000</v>
      </c>
      <c r="J631" s="13">
        <f t="shared" si="135"/>
        <v>6000</v>
      </c>
      <c r="K631" s="13">
        <f t="shared" si="136"/>
        <v>3000</v>
      </c>
      <c r="L631" s="14">
        <f t="shared" si="137"/>
        <v>0.33333333333333331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2">
        <v>2</v>
      </c>
      <c r="B632" s="10" t="s">
        <v>15</v>
      </c>
      <c r="C632" s="11" t="s">
        <v>16</v>
      </c>
      <c r="D632" s="13">
        <v>13000</v>
      </c>
      <c r="E632" s="13">
        <f t="shared" si="134"/>
        <v>26000</v>
      </c>
      <c r="F632" s="2"/>
      <c r="G632" s="2"/>
      <c r="H632" s="2"/>
      <c r="I632" s="13">
        <v>8000</v>
      </c>
      <c r="J632" s="13">
        <f t="shared" si="135"/>
        <v>16000</v>
      </c>
      <c r="K632" s="13">
        <f t="shared" si="136"/>
        <v>10000</v>
      </c>
      <c r="L632" s="14">
        <f t="shared" si="137"/>
        <v>0.38461538461538464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2">
        <v>5</v>
      </c>
      <c r="B633" s="10" t="s">
        <v>4</v>
      </c>
      <c r="C633" s="11" t="s">
        <v>14</v>
      </c>
      <c r="D633" s="13">
        <v>2600</v>
      </c>
      <c r="E633" s="13">
        <f t="shared" si="134"/>
        <v>13000</v>
      </c>
      <c r="F633" s="2"/>
      <c r="G633" s="2"/>
      <c r="H633" s="2"/>
      <c r="I633" s="13">
        <f>15000/8</f>
        <v>1875</v>
      </c>
      <c r="J633" s="13">
        <f t="shared" si="135"/>
        <v>9375</v>
      </c>
      <c r="K633" s="13">
        <f t="shared" si="136"/>
        <v>3625</v>
      </c>
      <c r="L633" s="14">
        <f t="shared" si="137"/>
        <v>0.27884615384615385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2">
        <v>2</v>
      </c>
      <c r="B634" s="10" t="s">
        <v>15</v>
      </c>
      <c r="C634" s="11" t="s">
        <v>56</v>
      </c>
      <c r="D634" s="13">
        <v>14000</v>
      </c>
      <c r="E634" s="13">
        <f t="shared" si="134"/>
        <v>28000</v>
      </c>
      <c r="F634" s="2"/>
      <c r="G634" s="2"/>
      <c r="H634" s="2"/>
      <c r="I634" s="13">
        <v>10000</v>
      </c>
      <c r="J634" s="13">
        <f t="shared" si="135"/>
        <v>20000</v>
      </c>
      <c r="K634" s="13">
        <f t="shared" si="136"/>
        <v>8000</v>
      </c>
      <c r="L634" s="14">
        <f t="shared" si="137"/>
        <v>0.2857142857142857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2">
        <v>2</v>
      </c>
      <c r="B635" s="10" t="s">
        <v>23</v>
      </c>
      <c r="C635" s="11" t="s">
        <v>22</v>
      </c>
      <c r="D635" s="13">
        <v>16000</v>
      </c>
      <c r="E635" s="13">
        <f t="shared" si="134"/>
        <v>32000</v>
      </c>
      <c r="F635" s="2"/>
      <c r="G635" s="2"/>
      <c r="H635" s="2"/>
      <c r="I635" s="13">
        <v>12000</v>
      </c>
      <c r="J635" s="13">
        <f t="shared" si="135"/>
        <v>24000</v>
      </c>
      <c r="K635" s="13">
        <f t="shared" si="136"/>
        <v>8000</v>
      </c>
      <c r="L635" s="14">
        <f t="shared" si="137"/>
        <v>0.25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2">
        <v>1</v>
      </c>
      <c r="B636" s="10" t="s">
        <v>15</v>
      </c>
      <c r="C636" s="11" t="s">
        <v>167</v>
      </c>
      <c r="D636" s="13">
        <v>16000</v>
      </c>
      <c r="E636" s="13">
        <f t="shared" si="134"/>
        <v>16000</v>
      </c>
      <c r="F636" s="2"/>
      <c r="G636" s="2"/>
      <c r="H636" s="2"/>
      <c r="I636" s="13">
        <v>10000</v>
      </c>
      <c r="J636" s="13">
        <f t="shared" si="135"/>
        <v>10000</v>
      </c>
      <c r="K636" s="13">
        <f t="shared" si="136"/>
        <v>6000</v>
      </c>
      <c r="L636" s="14">
        <f t="shared" si="137"/>
        <v>0.375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2">
        <v>12</v>
      </c>
      <c r="B637" s="10" t="s">
        <v>21</v>
      </c>
      <c r="C637" s="11" t="s">
        <v>46</v>
      </c>
      <c r="D637" s="13">
        <v>500</v>
      </c>
      <c r="E637" s="13">
        <f t="shared" si="134"/>
        <v>6000</v>
      </c>
      <c r="F637" s="2"/>
      <c r="G637" s="2"/>
      <c r="H637" s="2"/>
      <c r="I637" s="13">
        <f>5000/24</f>
        <v>208.33333333333334</v>
      </c>
      <c r="J637" s="13">
        <f t="shared" si="135"/>
        <v>2500</v>
      </c>
      <c r="K637" s="13">
        <f t="shared" si="136"/>
        <v>3500</v>
      </c>
      <c r="L637" s="14">
        <f t="shared" si="137"/>
        <v>0.58333333333333337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2"/>
      <c r="C638" s="4"/>
      <c r="D638" s="2"/>
      <c r="E638" s="2"/>
      <c r="F638" s="2"/>
      <c r="G638" s="4"/>
      <c r="H638" s="2"/>
      <c r="I638" s="2"/>
      <c r="J638" s="2"/>
      <c r="K638" s="2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2"/>
      <c r="C639" s="4"/>
      <c r="D639" s="2"/>
      <c r="E639" s="13">
        <f>SUM(E628:E637)</f>
        <v>182000</v>
      </c>
      <c r="F639" s="2"/>
      <c r="G639" s="2"/>
      <c r="H639" s="2"/>
      <c r="I639" s="2"/>
      <c r="J639" s="2"/>
      <c r="K639" s="13">
        <f>SUM(K628:K637)</f>
        <v>53125</v>
      </c>
      <c r="L639" s="14">
        <f>K639/E639</f>
        <v>0.29189560439560441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0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0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0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6" t="s">
        <v>177</v>
      </c>
      <c r="B643" s="1"/>
      <c r="C643" s="1"/>
      <c r="D643" s="22" t="s">
        <v>178</v>
      </c>
      <c r="E643" s="8">
        <v>46118</v>
      </c>
      <c r="F643" s="24" t="s">
        <v>37</v>
      </c>
      <c r="G643" s="2"/>
      <c r="H643" s="2"/>
      <c r="I643" s="2"/>
      <c r="J643" s="2"/>
      <c r="K643" s="2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2"/>
      <c r="C644" s="4"/>
      <c r="D644" s="2"/>
      <c r="E644" s="2"/>
      <c r="F644" s="2"/>
      <c r="G644" s="2"/>
      <c r="H644" s="2"/>
      <c r="I644" s="2"/>
      <c r="J644" s="2"/>
      <c r="K644" s="2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6" t="s">
        <v>3</v>
      </c>
      <c r="B645" s="10" t="s">
        <v>4</v>
      </c>
      <c r="C645" s="11" t="s">
        <v>5</v>
      </c>
      <c r="D645" s="10" t="s">
        <v>6</v>
      </c>
      <c r="E645" s="10" t="s">
        <v>7</v>
      </c>
      <c r="F645" s="2"/>
      <c r="G645" s="2"/>
      <c r="H645" s="2"/>
      <c r="I645" s="10" t="s">
        <v>6</v>
      </c>
      <c r="J645" s="10" t="s">
        <v>7</v>
      </c>
      <c r="K645" s="10" t="s">
        <v>10</v>
      </c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2">
        <v>1</v>
      </c>
      <c r="B646" s="10" t="s">
        <v>15</v>
      </c>
      <c r="C646" s="11" t="s">
        <v>16</v>
      </c>
      <c r="D646" s="13">
        <v>13000</v>
      </c>
      <c r="E646" s="13">
        <f t="shared" ref="E646:E655" si="138">A646*D646</f>
        <v>13000</v>
      </c>
      <c r="F646" s="2"/>
      <c r="G646" s="2"/>
      <c r="H646" s="2"/>
      <c r="I646" s="13">
        <v>8000</v>
      </c>
      <c r="J646" s="13">
        <f t="shared" ref="J646:J655" si="139">I646*A646</f>
        <v>8000</v>
      </c>
      <c r="K646" s="13">
        <f t="shared" ref="K646:K655" si="140">E646-J646</f>
        <v>5000</v>
      </c>
      <c r="L646" s="14">
        <f t="shared" ref="L646:L655" si="141">K646/E646</f>
        <v>0.38461538461538464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2">
        <v>2</v>
      </c>
      <c r="B647" s="10" t="s">
        <v>17</v>
      </c>
      <c r="C647" s="11" t="s">
        <v>99</v>
      </c>
      <c r="D647" s="13">
        <v>1500</v>
      </c>
      <c r="E647" s="13">
        <f t="shared" si="138"/>
        <v>3000</v>
      </c>
      <c r="F647" s="2"/>
      <c r="G647" s="2"/>
      <c r="H647" s="2"/>
      <c r="I647" s="13">
        <v>1000</v>
      </c>
      <c r="J647" s="13">
        <f t="shared" si="139"/>
        <v>2000</v>
      </c>
      <c r="K647" s="13">
        <f t="shared" si="140"/>
        <v>1000</v>
      </c>
      <c r="L647" s="14">
        <f t="shared" si="141"/>
        <v>0.33333333333333331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2">
        <v>3</v>
      </c>
      <c r="B648" s="10" t="s">
        <v>17</v>
      </c>
      <c r="C648" s="11" t="s">
        <v>88</v>
      </c>
      <c r="D648" s="13">
        <v>2400</v>
      </c>
      <c r="E648" s="13">
        <f t="shared" si="138"/>
        <v>7200</v>
      </c>
      <c r="F648" s="2"/>
      <c r="G648" s="2"/>
      <c r="H648" s="2"/>
      <c r="I648" s="13">
        <f>20000/15</f>
        <v>1333.3333333333333</v>
      </c>
      <c r="J648" s="13">
        <f t="shared" si="139"/>
        <v>4000</v>
      </c>
      <c r="K648" s="13">
        <f t="shared" si="140"/>
        <v>3200</v>
      </c>
      <c r="L648" s="14">
        <f t="shared" si="141"/>
        <v>0.44444444444444442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2">
        <v>1</v>
      </c>
      <c r="B649" s="10" t="s">
        <v>17</v>
      </c>
      <c r="C649" s="11" t="s">
        <v>127</v>
      </c>
      <c r="D649" s="13">
        <v>1800</v>
      </c>
      <c r="E649" s="13">
        <f t="shared" si="138"/>
        <v>1800</v>
      </c>
      <c r="F649" s="2"/>
      <c r="G649" s="2"/>
      <c r="H649" s="2"/>
      <c r="I649" s="13">
        <f>22000/15</f>
        <v>1466.6666666666667</v>
      </c>
      <c r="J649" s="13">
        <f t="shared" si="139"/>
        <v>1466.6666666666667</v>
      </c>
      <c r="K649" s="13">
        <f t="shared" si="140"/>
        <v>333.33333333333326</v>
      </c>
      <c r="L649" s="14">
        <f t="shared" si="141"/>
        <v>0.18518518518518515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2">
        <v>4</v>
      </c>
      <c r="B650" s="10" t="s">
        <v>17</v>
      </c>
      <c r="C650" s="11" t="s">
        <v>81</v>
      </c>
      <c r="D650" s="13">
        <v>1800</v>
      </c>
      <c r="E650" s="13">
        <f t="shared" si="138"/>
        <v>7200</v>
      </c>
      <c r="F650" s="2"/>
      <c r="G650" s="2"/>
      <c r="H650" s="2"/>
      <c r="I650" s="13">
        <f>12000/15</f>
        <v>800</v>
      </c>
      <c r="J650" s="13">
        <f t="shared" si="139"/>
        <v>3200</v>
      </c>
      <c r="K650" s="13">
        <f t="shared" si="140"/>
        <v>4000</v>
      </c>
      <c r="L650" s="14">
        <f t="shared" si="141"/>
        <v>0.55555555555555558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2">
        <v>3</v>
      </c>
      <c r="B651" s="10" t="s">
        <v>17</v>
      </c>
      <c r="C651" s="11" t="s">
        <v>82</v>
      </c>
      <c r="D651" s="13">
        <v>1400</v>
      </c>
      <c r="E651" s="13">
        <f t="shared" si="138"/>
        <v>4200</v>
      </c>
      <c r="F651" s="2"/>
      <c r="G651" s="2"/>
      <c r="H651" s="2"/>
      <c r="I651" s="13">
        <f>16000/15</f>
        <v>1066.6666666666667</v>
      </c>
      <c r="J651" s="13">
        <f t="shared" si="139"/>
        <v>3200</v>
      </c>
      <c r="K651" s="13">
        <f t="shared" si="140"/>
        <v>1000</v>
      </c>
      <c r="L651" s="14">
        <f t="shared" si="141"/>
        <v>0.23809523809523808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2">
        <v>3</v>
      </c>
      <c r="B652" s="10" t="s">
        <v>17</v>
      </c>
      <c r="C652" s="11" t="s">
        <v>31</v>
      </c>
      <c r="D652" s="13">
        <v>3000</v>
      </c>
      <c r="E652" s="13">
        <f t="shared" si="138"/>
        <v>9000</v>
      </c>
      <c r="F652" s="2"/>
      <c r="G652" s="2"/>
      <c r="H652" s="2"/>
      <c r="I652" s="13">
        <f>15000/7</f>
        <v>2142.8571428571427</v>
      </c>
      <c r="J652" s="13">
        <f t="shared" si="139"/>
        <v>6428.5714285714275</v>
      </c>
      <c r="K652" s="13">
        <f t="shared" si="140"/>
        <v>2571.4285714285725</v>
      </c>
      <c r="L652" s="14">
        <f t="shared" si="141"/>
        <v>0.28571428571428581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2">
        <v>2.4500000000000002</v>
      </c>
      <c r="B653" s="10" t="s">
        <v>17</v>
      </c>
      <c r="C653" s="11" t="s">
        <v>87</v>
      </c>
      <c r="D653" s="13">
        <v>3000</v>
      </c>
      <c r="E653" s="13">
        <f t="shared" si="138"/>
        <v>7350.0000000000009</v>
      </c>
      <c r="F653" s="2"/>
      <c r="G653" s="2"/>
      <c r="H653" s="2"/>
      <c r="I653" s="13">
        <f>32000/18</f>
        <v>1777.7777777777778</v>
      </c>
      <c r="J653" s="13">
        <f t="shared" si="139"/>
        <v>4355.5555555555557</v>
      </c>
      <c r="K653" s="13">
        <f t="shared" si="140"/>
        <v>2994.4444444444453</v>
      </c>
      <c r="L653" s="14">
        <f t="shared" si="141"/>
        <v>0.40740740740740744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2">
        <v>1.3</v>
      </c>
      <c r="B654" s="10" t="s">
        <v>17</v>
      </c>
      <c r="C654" s="11" t="s">
        <v>24</v>
      </c>
      <c r="D654" s="13">
        <v>3600</v>
      </c>
      <c r="E654" s="13">
        <f t="shared" si="138"/>
        <v>4680</v>
      </c>
      <c r="F654" s="2"/>
      <c r="G654" s="2"/>
      <c r="H654" s="2"/>
      <c r="I654" s="13">
        <f>50000/17</f>
        <v>2941.1764705882351</v>
      </c>
      <c r="J654" s="13">
        <f t="shared" si="139"/>
        <v>3823.5294117647059</v>
      </c>
      <c r="K654" s="13">
        <f t="shared" si="140"/>
        <v>856.47058823529414</v>
      </c>
      <c r="L654" s="14">
        <f t="shared" si="141"/>
        <v>0.18300653594771243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2">
        <v>2</v>
      </c>
      <c r="B655" s="10" t="s">
        <v>21</v>
      </c>
      <c r="C655" s="11" t="s">
        <v>46</v>
      </c>
      <c r="D655" s="13">
        <v>500</v>
      </c>
      <c r="E655" s="13">
        <f t="shared" si="138"/>
        <v>1000</v>
      </c>
      <c r="F655" s="2"/>
      <c r="G655" s="2"/>
      <c r="H655" s="2"/>
      <c r="I655" s="13">
        <f>5000/24</f>
        <v>208.33333333333334</v>
      </c>
      <c r="J655" s="13">
        <f t="shared" si="139"/>
        <v>416.66666666666669</v>
      </c>
      <c r="K655" s="13">
        <f t="shared" si="140"/>
        <v>583.33333333333326</v>
      </c>
      <c r="L655" s="14">
        <f t="shared" si="141"/>
        <v>0.58333333333333326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2"/>
      <c r="C656" s="4"/>
      <c r="D656" s="2"/>
      <c r="E656" s="2"/>
      <c r="F656" s="2"/>
      <c r="G656" s="4"/>
      <c r="H656" s="2"/>
      <c r="I656" s="2"/>
      <c r="J656" s="2"/>
      <c r="K656" s="2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2"/>
      <c r="C657" s="4"/>
      <c r="D657" s="2"/>
      <c r="E657" s="13">
        <f>SUM(E646:E655)</f>
        <v>58430</v>
      </c>
      <c r="F657" s="2"/>
      <c r="G657" s="2"/>
      <c r="H657" s="2"/>
      <c r="I657" s="2"/>
      <c r="J657" s="2"/>
      <c r="K657" s="13">
        <f>SUM(K646:K655)</f>
        <v>21539.010270774979</v>
      </c>
      <c r="L657" s="14">
        <f>K657/E657</f>
        <v>0.36862930465129179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0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0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0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0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0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0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0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5.5" customHeight="1" x14ac:dyDescent="0.25">
      <c r="A665" s="26" t="s">
        <v>101</v>
      </c>
      <c r="B665" s="27">
        <f>E657+E639+E623+E611+F595+E581+F555+F525+F497+E468+E448+E422+E389+E359+E335+F313+F277+F242+F202+F160+F137+F94+F58+F13</f>
        <v>8815996.7000000011</v>
      </c>
      <c r="C665" s="4"/>
      <c r="D665" s="4"/>
      <c r="E665" s="4"/>
      <c r="F665" s="4"/>
      <c r="G665" s="4"/>
      <c r="H665" s="4"/>
      <c r="I665" s="4"/>
      <c r="J665" s="4"/>
      <c r="K665" s="4"/>
      <c r="L665" s="28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28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7" customHeight="1" x14ac:dyDescent="0.25">
      <c r="A667" s="26" t="s">
        <v>102</v>
      </c>
      <c r="B667" s="27">
        <f>K657+K639+K623+K611+K595+K581+K555+K525+K497+K468+K448+K422+K389+K359+K335+K313+K277+K242+K202+K160+K137+K94+K58+K13</f>
        <v>3161030.3502763561</v>
      </c>
      <c r="C667" s="4"/>
      <c r="D667" s="4"/>
      <c r="E667" s="4"/>
      <c r="F667" s="4"/>
      <c r="G667" s="4"/>
      <c r="H667" s="4"/>
      <c r="I667" s="4"/>
      <c r="J667" s="4"/>
      <c r="K667" s="4"/>
      <c r="L667" s="28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28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28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6.25" customHeight="1" x14ac:dyDescent="0.25">
      <c r="A670" s="26" t="s">
        <v>103</v>
      </c>
      <c r="B670" s="29">
        <f>B667/B665</f>
        <v>0.35855620842920183</v>
      </c>
      <c r="C670" s="4"/>
      <c r="D670" s="4"/>
      <c r="E670" s="4"/>
      <c r="F670" s="4"/>
      <c r="G670" s="4"/>
      <c r="H670" s="4"/>
      <c r="I670" s="4"/>
      <c r="J670" s="4"/>
      <c r="K670" s="4"/>
      <c r="L670" s="28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28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90" t="s">
        <v>104</v>
      </c>
      <c r="B672" s="89"/>
      <c r="C672" s="4"/>
      <c r="D672" s="4"/>
      <c r="E672" s="4"/>
      <c r="F672" s="4"/>
      <c r="G672" s="4"/>
      <c r="H672" s="4"/>
      <c r="I672" s="4"/>
      <c r="J672" s="4"/>
      <c r="K672" s="4"/>
      <c r="L672" s="28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0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0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0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0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0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0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0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</sheetData>
  <mergeCells count="12">
    <mergeCell ref="A163:C163"/>
    <mergeCell ref="A205:C205"/>
    <mergeCell ref="A3:C3"/>
    <mergeCell ref="A18:C18"/>
    <mergeCell ref="A61:C61"/>
    <mergeCell ref="A97:C97"/>
    <mergeCell ref="A142:C142"/>
    <mergeCell ref="A245:C245"/>
    <mergeCell ref="A281:C281"/>
    <mergeCell ref="A472:C472"/>
    <mergeCell ref="A585:C585"/>
    <mergeCell ref="A672:B672"/>
  </mergeCells>
  <conditionalFormatting sqref="L1:L679">
    <cfRule type="cellIs" dxfId="92" priority="1" operator="greaterThanOrEqual">
      <formula>"30%"</formula>
    </cfRule>
    <cfRule type="cellIs" dxfId="91" priority="2" operator="between">
      <formula>"25%"</formula>
      <formula>"30%"</formula>
    </cfRule>
    <cfRule type="cellIs" dxfId="90" priority="3" operator="less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8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44</v>
      </c>
      <c r="B3" s="89"/>
      <c r="C3" s="89"/>
      <c r="D3" s="2"/>
      <c r="E3" s="7" t="s">
        <v>1</v>
      </c>
      <c r="F3" s="8">
        <v>46119</v>
      </c>
      <c r="G3" s="2"/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1</v>
      </c>
      <c r="B6" s="10" t="s">
        <v>15</v>
      </c>
      <c r="C6" s="11" t="s">
        <v>16</v>
      </c>
      <c r="D6" s="13">
        <v>13000</v>
      </c>
      <c r="E6" s="13">
        <f t="shared" ref="E6:E43" si="0">A6*D6</f>
        <v>13000</v>
      </c>
      <c r="F6" s="13">
        <f t="shared" ref="F6:F42" si="1">E6*1.105</f>
        <v>14365</v>
      </c>
      <c r="G6" s="2"/>
      <c r="H6" s="2"/>
      <c r="I6" s="13">
        <v>7000</v>
      </c>
      <c r="J6" s="13">
        <f t="shared" ref="J6:J43" si="2">I6*A6</f>
        <v>7000</v>
      </c>
      <c r="K6" s="13">
        <f t="shared" ref="K6:K43" si="3">F6-J6</f>
        <v>7365</v>
      </c>
      <c r="L6" s="14">
        <f t="shared" ref="L6:L43" si="4">IFERROR(K6/E6, 0)</f>
        <v>0.56653846153846155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2</v>
      </c>
      <c r="B7" s="10" t="s">
        <v>17</v>
      </c>
      <c r="C7" s="11" t="s">
        <v>16</v>
      </c>
      <c r="D7" s="13">
        <v>1000</v>
      </c>
      <c r="E7" s="13">
        <f t="shared" si="0"/>
        <v>2000</v>
      </c>
      <c r="F7" s="13">
        <f t="shared" si="1"/>
        <v>2210</v>
      </c>
      <c r="G7" s="2"/>
      <c r="H7" s="2"/>
      <c r="I7" s="13">
        <f>7000/15</f>
        <v>466.66666666666669</v>
      </c>
      <c r="J7" s="13">
        <f t="shared" si="2"/>
        <v>933.33333333333337</v>
      </c>
      <c r="K7" s="13">
        <f t="shared" si="3"/>
        <v>1276.6666666666665</v>
      </c>
      <c r="L7" s="14">
        <f t="shared" si="4"/>
        <v>0.63833333333333331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1</v>
      </c>
      <c r="B8" s="10" t="s">
        <v>15</v>
      </c>
      <c r="C8" s="11" t="s">
        <v>129</v>
      </c>
      <c r="D8" s="13">
        <v>16000</v>
      </c>
      <c r="E8" s="13">
        <f t="shared" si="0"/>
        <v>16000</v>
      </c>
      <c r="F8" s="13">
        <f t="shared" si="1"/>
        <v>17680</v>
      </c>
      <c r="G8" s="2"/>
      <c r="H8" s="2"/>
      <c r="I8" s="13">
        <v>12000</v>
      </c>
      <c r="J8" s="13">
        <f t="shared" si="2"/>
        <v>12000</v>
      </c>
      <c r="K8" s="13">
        <f t="shared" si="3"/>
        <v>5680</v>
      </c>
      <c r="L8" s="14">
        <f t="shared" si="4"/>
        <v>0.35499999999999998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5</v>
      </c>
      <c r="B9" s="10" t="s">
        <v>15</v>
      </c>
      <c r="C9" s="11" t="s">
        <v>27</v>
      </c>
      <c r="D9" s="13">
        <v>23000</v>
      </c>
      <c r="E9" s="13">
        <f t="shared" si="0"/>
        <v>115000</v>
      </c>
      <c r="F9" s="13">
        <f t="shared" si="1"/>
        <v>127075</v>
      </c>
      <c r="G9" s="2"/>
      <c r="H9" s="2"/>
      <c r="I9" s="13">
        <v>17500</v>
      </c>
      <c r="J9" s="13">
        <f t="shared" si="2"/>
        <v>87500</v>
      </c>
      <c r="K9" s="13">
        <f t="shared" si="3"/>
        <v>39575</v>
      </c>
      <c r="L9" s="14">
        <f t="shared" si="4"/>
        <v>0.34413043478260869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1.5</v>
      </c>
      <c r="B10" s="10" t="s">
        <v>15</v>
      </c>
      <c r="C10" s="11" t="s">
        <v>40</v>
      </c>
      <c r="D10" s="13">
        <v>12000</v>
      </c>
      <c r="E10" s="13">
        <f t="shared" si="0"/>
        <v>18000</v>
      </c>
      <c r="F10" s="13">
        <f t="shared" si="1"/>
        <v>19890</v>
      </c>
      <c r="G10" s="2"/>
      <c r="H10" s="2"/>
      <c r="I10" s="13">
        <v>7000</v>
      </c>
      <c r="J10" s="13">
        <f t="shared" si="2"/>
        <v>10500</v>
      </c>
      <c r="K10" s="13">
        <f t="shared" si="3"/>
        <v>9390</v>
      </c>
      <c r="L10" s="14">
        <f t="shared" si="4"/>
        <v>0.52166666666666661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3</v>
      </c>
      <c r="B11" s="10" t="s">
        <v>4</v>
      </c>
      <c r="C11" s="11" t="s">
        <v>41</v>
      </c>
      <c r="D11" s="13">
        <v>2800</v>
      </c>
      <c r="E11" s="13">
        <f t="shared" si="0"/>
        <v>8400</v>
      </c>
      <c r="F11" s="13">
        <f t="shared" si="1"/>
        <v>9282</v>
      </c>
      <c r="G11" s="2"/>
      <c r="H11" s="2"/>
      <c r="I11" s="13">
        <f>16000/10</f>
        <v>1600</v>
      </c>
      <c r="J11" s="13">
        <f t="shared" si="2"/>
        <v>4800</v>
      </c>
      <c r="K11" s="13">
        <f t="shared" si="3"/>
        <v>4482</v>
      </c>
      <c r="L11" s="14">
        <f t="shared" si="4"/>
        <v>0.53357142857142859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3.5</v>
      </c>
      <c r="B12" s="10" t="s">
        <v>17</v>
      </c>
      <c r="C12" s="11" t="s">
        <v>18</v>
      </c>
      <c r="D12" s="13">
        <v>1600</v>
      </c>
      <c r="E12" s="13">
        <f t="shared" si="0"/>
        <v>5600</v>
      </c>
      <c r="F12" s="13">
        <f t="shared" si="1"/>
        <v>6188</v>
      </c>
      <c r="G12" s="2"/>
      <c r="H12" s="2"/>
      <c r="I12" s="13">
        <v>1000</v>
      </c>
      <c r="J12" s="13">
        <f t="shared" si="2"/>
        <v>3500</v>
      </c>
      <c r="K12" s="13">
        <f t="shared" si="3"/>
        <v>2688</v>
      </c>
      <c r="L12" s="14">
        <f t="shared" si="4"/>
        <v>0.48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</v>
      </c>
      <c r="B13" s="10" t="s">
        <v>17</v>
      </c>
      <c r="C13" s="11" t="s">
        <v>56</v>
      </c>
      <c r="D13" s="13">
        <v>800</v>
      </c>
      <c r="E13" s="13">
        <f t="shared" si="0"/>
        <v>800</v>
      </c>
      <c r="F13" s="13">
        <f t="shared" si="1"/>
        <v>884</v>
      </c>
      <c r="G13" s="2"/>
      <c r="H13" s="2"/>
      <c r="I13" s="13">
        <f>10000/15</f>
        <v>666.66666666666663</v>
      </c>
      <c r="J13" s="13">
        <f t="shared" si="2"/>
        <v>666.66666666666663</v>
      </c>
      <c r="K13" s="13">
        <f t="shared" si="3"/>
        <v>217.33333333333337</v>
      </c>
      <c r="L13" s="14">
        <f t="shared" si="4"/>
        <v>0.27166666666666672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2</v>
      </c>
      <c r="B14" s="10" t="s">
        <v>4</v>
      </c>
      <c r="C14" s="11" t="s">
        <v>13</v>
      </c>
      <c r="D14" s="13">
        <v>900</v>
      </c>
      <c r="E14" s="13">
        <f t="shared" si="0"/>
        <v>1800</v>
      </c>
      <c r="F14" s="13">
        <f t="shared" si="1"/>
        <v>1989</v>
      </c>
      <c r="G14" s="2"/>
      <c r="H14" s="2"/>
      <c r="I14" s="13">
        <v>460</v>
      </c>
      <c r="J14" s="13">
        <f t="shared" si="2"/>
        <v>920</v>
      </c>
      <c r="K14" s="13">
        <f t="shared" si="3"/>
        <v>1069</v>
      </c>
      <c r="L14" s="14">
        <f t="shared" si="4"/>
        <v>0.59388888888888891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3.75</v>
      </c>
      <c r="B15" s="10" t="s">
        <v>17</v>
      </c>
      <c r="C15" s="11" t="s">
        <v>36</v>
      </c>
      <c r="D15" s="13">
        <v>1800</v>
      </c>
      <c r="E15" s="13">
        <f t="shared" si="0"/>
        <v>6750</v>
      </c>
      <c r="F15" s="13">
        <f t="shared" si="1"/>
        <v>7458.75</v>
      </c>
      <c r="G15" s="2"/>
      <c r="H15" s="2"/>
      <c r="I15" s="13">
        <v>1000</v>
      </c>
      <c r="J15" s="13">
        <f t="shared" si="2"/>
        <v>3750</v>
      </c>
      <c r="K15" s="13">
        <f t="shared" si="3"/>
        <v>3708.75</v>
      </c>
      <c r="L15" s="14">
        <f t="shared" si="4"/>
        <v>0.5494444444444444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3</v>
      </c>
      <c r="B16" s="10" t="s">
        <v>17</v>
      </c>
      <c r="C16" s="11" t="s">
        <v>38</v>
      </c>
      <c r="D16" s="13">
        <v>1800</v>
      </c>
      <c r="E16" s="13">
        <f t="shared" si="0"/>
        <v>5400</v>
      </c>
      <c r="F16" s="13">
        <f t="shared" si="1"/>
        <v>5967</v>
      </c>
      <c r="G16" s="2"/>
      <c r="H16" s="2"/>
      <c r="I16" s="13">
        <v>1000</v>
      </c>
      <c r="J16" s="13">
        <f t="shared" si="2"/>
        <v>3000</v>
      </c>
      <c r="K16" s="13">
        <f t="shared" si="3"/>
        <v>2967</v>
      </c>
      <c r="L16" s="14">
        <f t="shared" si="4"/>
        <v>0.5494444444444444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1</v>
      </c>
      <c r="B17" s="10" t="s">
        <v>17</v>
      </c>
      <c r="C17" s="11" t="s">
        <v>61</v>
      </c>
      <c r="D17" s="13">
        <v>1400</v>
      </c>
      <c r="E17" s="13">
        <f t="shared" si="0"/>
        <v>1400</v>
      </c>
      <c r="F17" s="13">
        <f t="shared" si="1"/>
        <v>1547</v>
      </c>
      <c r="G17" s="2"/>
      <c r="H17" s="2"/>
      <c r="I17" s="13">
        <f>12000/14</f>
        <v>857.14285714285711</v>
      </c>
      <c r="J17" s="13">
        <f t="shared" si="2"/>
        <v>857.14285714285711</v>
      </c>
      <c r="K17" s="13">
        <f t="shared" si="3"/>
        <v>689.85714285714289</v>
      </c>
      <c r="L17" s="18">
        <f t="shared" si="4"/>
        <v>0.49275510204081635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0.5</v>
      </c>
      <c r="B18" s="10" t="s">
        <v>17</v>
      </c>
      <c r="C18" s="11" t="s">
        <v>99</v>
      </c>
      <c r="D18" s="13">
        <v>1500</v>
      </c>
      <c r="E18" s="13">
        <f t="shared" si="0"/>
        <v>750</v>
      </c>
      <c r="F18" s="13">
        <f t="shared" si="1"/>
        <v>828.75</v>
      </c>
      <c r="G18" s="2"/>
      <c r="H18" s="2"/>
      <c r="I18" s="13">
        <f>10000/8</f>
        <v>1250</v>
      </c>
      <c r="J18" s="13">
        <f t="shared" si="2"/>
        <v>625</v>
      </c>
      <c r="K18" s="13">
        <f t="shared" si="3"/>
        <v>203.75</v>
      </c>
      <c r="L18" s="18">
        <f t="shared" si="4"/>
        <v>0.27166666666666667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0.5</v>
      </c>
      <c r="B19" s="10" t="s">
        <v>17</v>
      </c>
      <c r="C19" s="11" t="s">
        <v>64</v>
      </c>
      <c r="D19" s="13">
        <v>2500</v>
      </c>
      <c r="E19" s="13">
        <f t="shared" si="0"/>
        <v>1250</v>
      </c>
      <c r="F19" s="13">
        <f t="shared" si="1"/>
        <v>1381.25</v>
      </c>
      <c r="G19" s="2"/>
      <c r="H19" s="2"/>
      <c r="I19" s="13">
        <f>9000/8</f>
        <v>1125</v>
      </c>
      <c r="J19" s="13">
        <f t="shared" si="2"/>
        <v>562.5</v>
      </c>
      <c r="K19" s="13">
        <f t="shared" si="3"/>
        <v>818.75</v>
      </c>
      <c r="L19" s="18">
        <f t="shared" si="4"/>
        <v>0.65500000000000003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1</v>
      </c>
      <c r="B20" s="10" t="s">
        <v>21</v>
      </c>
      <c r="C20" s="11" t="s">
        <v>29</v>
      </c>
      <c r="D20" s="13">
        <v>3500</v>
      </c>
      <c r="E20" s="13">
        <f t="shared" si="0"/>
        <v>3500</v>
      </c>
      <c r="F20" s="13">
        <f t="shared" si="1"/>
        <v>3867.5</v>
      </c>
      <c r="G20" s="2"/>
      <c r="H20" s="2"/>
      <c r="I20" s="13">
        <v>1500</v>
      </c>
      <c r="J20" s="13">
        <f t="shared" si="2"/>
        <v>1500</v>
      </c>
      <c r="K20" s="13">
        <f t="shared" si="3"/>
        <v>2367.5</v>
      </c>
      <c r="L20" s="18">
        <f t="shared" si="4"/>
        <v>0.67642857142857138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1</v>
      </c>
      <c r="B21" s="10" t="s">
        <v>21</v>
      </c>
      <c r="C21" s="11" t="s">
        <v>28</v>
      </c>
      <c r="D21" s="13">
        <v>3000</v>
      </c>
      <c r="E21" s="13">
        <f t="shared" si="0"/>
        <v>3000</v>
      </c>
      <c r="F21" s="13">
        <f t="shared" si="1"/>
        <v>3315</v>
      </c>
      <c r="G21" s="2"/>
      <c r="H21" s="2"/>
      <c r="I21" s="13">
        <v>2000</v>
      </c>
      <c r="J21" s="13">
        <f t="shared" si="2"/>
        <v>2000</v>
      </c>
      <c r="K21" s="13">
        <f t="shared" si="3"/>
        <v>1315</v>
      </c>
      <c r="L21" s="18">
        <f t="shared" si="4"/>
        <v>0.43833333333333335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1</v>
      </c>
      <c r="B22" s="10" t="s">
        <v>21</v>
      </c>
      <c r="C22" s="11" t="s">
        <v>133</v>
      </c>
      <c r="D22" s="13">
        <v>3000</v>
      </c>
      <c r="E22" s="13">
        <f t="shared" si="0"/>
        <v>3000</v>
      </c>
      <c r="F22" s="13">
        <f t="shared" si="1"/>
        <v>3315</v>
      </c>
      <c r="G22" s="2"/>
      <c r="H22" s="2"/>
      <c r="I22" s="13">
        <v>2000</v>
      </c>
      <c r="J22" s="13">
        <f t="shared" si="2"/>
        <v>2000</v>
      </c>
      <c r="K22" s="13">
        <f t="shared" si="3"/>
        <v>1315</v>
      </c>
      <c r="L22" s="33">
        <f t="shared" si="4"/>
        <v>0.43833333333333335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0.5</v>
      </c>
      <c r="B23" s="10" t="s">
        <v>17</v>
      </c>
      <c r="C23" s="11" t="s">
        <v>42</v>
      </c>
      <c r="D23" s="13">
        <v>4500</v>
      </c>
      <c r="E23" s="13">
        <f t="shared" si="0"/>
        <v>2250</v>
      </c>
      <c r="F23" s="13">
        <f t="shared" si="1"/>
        <v>2486.25</v>
      </c>
      <c r="G23" s="2"/>
      <c r="H23" s="2"/>
      <c r="I23" s="13">
        <v>2000</v>
      </c>
      <c r="J23" s="13">
        <f t="shared" si="2"/>
        <v>1000</v>
      </c>
      <c r="K23" s="13">
        <f t="shared" si="3"/>
        <v>1486.25</v>
      </c>
      <c r="L23" s="33">
        <f t="shared" si="4"/>
        <v>0.66055555555555556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2</v>
      </c>
      <c r="B24" s="10" t="s">
        <v>21</v>
      </c>
      <c r="C24" s="11" t="s">
        <v>51</v>
      </c>
      <c r="D24" s="13">
        <v>1500</v>
      </c>
      <c r="E24" s="13">
        <f t="shared" si="0"/>
        <v>3000</v>
      </c>
      <c r="F24" s="13">
        <f t="shared" si="1"/>
        <v>3315</v>
      </c>
      <c r="G24" s="2"/>
      <c r="H24" s="2"/>
      <c r="I24" s="13">
        <v>1000</v>
      </c>
      <c r="J24" s="13">
        <f t="shared" si="2"/>
        <v>2000</v>
      </c>
      <c r="K24" s="13">
        <f t="shared" si="3"/>
        <v>1315</v>
      </c>
      <c r="L24" s="18">
        <f t="shared" si="4"/>
        <v>0.43833333333333335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1</v>
      </c>
      <c r="B25" s="10" t="s">
        <v>17</v>
      </c>
      <c r="C25" s="11" t="s">
        <v>35</v>
      </c>
      <c r="D25" s="13">
        <v>2500</v>
      </c>
      <c r="E25" s="13">
        <f t="shared" si="0"/>
        <v>2500</v>
      </c>
      <c r="F25" s="13">
        <f t="shared" si="1"/>
        <v>2762.5</v>
      </c>
      <c r="G25" s="2"/>
      <c r="H25" s="2"/>
      <c r="I25" s="13">
        <f>14000/9</f>
        <v>1555.5555555555557</v>
      </c>
      <c r="J25" s="13">
        <f t="shared" si="2"/>
        <v>1555.5555555555557</v>
      </c>
      <c r="K25" s="13">
        <f t="shared" si="3"/>
        <v>1206.9444444444443</v>
      </c>
      <c r="L25" s="18">
        <f t="shared" si="4"/>
        <v>0.48277777777777775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1</v>
      </c>
      <c r="B26" s="10" t="s">
        <v>4</v>
      </c>
      <c r="C26" s="11" t="s">
        <v>14</v>
      </c>
      <c r="D26" s="13">
        <v>2600</v>
      </c>
      <c r="E26" s="13">
        <f t="shared" si="0"/>
        <v>2600</v>
      </c>
      <c r="F26" s="13">
        <f t="shared" si="1"/>
        <v>2873</v>
      </c>
      <c r="G26" s="2"/>
      <c r="H26" s="2"/>
      <c r="I26" s="13">
        <f>15000/8</f>
        <v>1875</v>
      </c>
      <c r="J26" s="13">
        <f t="shared" si="2"/>
        <v>1875</v>
      </c>
      <c r="K26" s="13">
        <f t="shared" si="3"/>
        <v>998</v>
      </c>
      <c r="L26" s="14">
        <f t="shared" si="4"/>
        <v>0.38384615384615384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0.7</v>
      </c>
      <c r="B27" s="10" t="s">
        <v>17</v>
      </c>
      <c r="C27" s="11" t="s">
        <v>93</v>
      </c>
      <c r="D27" s="13">
        <v>3000</v>
      </c>
      <c r="E27" s="13">
        <f t="shared" si="0"/>
        <v>2100</v>
      </c>
      <c r="F27" s="13">
        <f t="shared" si="1"/>
        <v>2320.5</v>
      </c>
      <c r="G27" s="2"/>
      <c r="H27" s="2"/>
      <c r="I27" s="13">
        <f>7000/6</f>
        <v>1166.6666666666667</v>
      </c>
      <c r="J27" s="13">
        <f t="shared" si="2"/>
        <v>816.66666666666663</v>
      </c>
      <c r="K27" s="13">
        <f t="shared" si="3"/>
        <v>1503.8333333333335</v>
      </c>
      <c r="L27" s="14">
        <f t="shared" si="4"/>
        <v>0.71611111111111114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16</v>
      </c>
      <c r="B28" s="10" t="s">
        <v>17</v>
      </c>
      <c r="C28" s="11" t="s">
        <v>39</v>
      </c>
      <c r="D28" s="13">
        <v>2400</v>
      </c>
      <c r="E28" s="13">
        <f t="shared" si="0"/>
        <v>38400</v>
      </c>
      <c r="F28" s="13">
        <f t="shared" si="1"/>
        <v>42432</v>
      </c>
      <c r="G28" s="2"/>
      <c r="H28" s="2"/>
      <c r="I28" s="13">
        <f>25000/15</f>
        <v>1666.6666666666667</v>
      </c>
      <c r="J28" s="13">
        <f t="shared" si="2"/>
        <v>26666.666666666668</v>
      </c>
      <c r="K28" s="13">
        <f t="shared" si="3"/>
        <v>15765.333333333332</v>
      </c>
      <c r="L28" s="14">
        <f t="shared" si="4"/>
        <v>0.41055555555555551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4</v>
      </c>
      <c r="B29" s="10" t="s">
        <v>17</v>
      </c>
      <c r="C29" s="11" t="s">
        <v>43</v>
      </c>
      <c r="D29" s="13">
        <v>4000</v>
      </c>
      <c r="E29" s="13">
        <f t="shared" si="0"/>
        <v>16000</v>
      </c>
      <c r="F29" s="13">
        <f t="shared" si="1"/>
        <v>17680</v>
      </c>
      <c r="G29" s="2"/>
      <c r="H29" s="2"/>
      <c r="I29" s="13">
        <f>18000/4</f>
        <v>4500</v>
      </c>
      <c r="J29" s="13">
        <f t="shared" si="2"/>
        <v>18000</v>
      </c>
      <c r="K29" s="13">
        <f t="shared" si="3"/>
        <v>-320</v>
      </c>
      <c r="L29" s="14">
        <f t="shared" si="4"/>
        <v>-0.02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25</v>
      </c>
      <c r="B30" s="10" t="s">
        <v>21</v>
      </c>
      <c r="C30" s="11" t="s">
        <v>46</v>
      </c>
      <c r="D30" s="13">
        <v>600</v>
      </c>
      <c r="E30" s="13">
        <f t="shared" si="0"/>
        <v>15000</v>
      </c>
      <c r="F30" s="13">
        <f t="shared" si="1"/>
        <v>16575</v>
      </c>
      <c r="G30" s="2"/>
      <c r="H30" s="2"/>
      <c r="I30" s="13">
        <f>8000/24</f>
        <v>333.33333333333331</v>
      </c>
      <c r="J30" s="13">
        <f t="shared" si="2"/>
        <v>8333.3333333333321</v>
      </c>
      <c r="K30" s="13">
        <f t="shared" si="3"/>
        <v>8241.6666666666679</v>
      </c>
      <c r="L30" s="14">
        <f t="shared" si="4"/>
        <v>0.54944444444444451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9</v>
      </c>
      <c r="B31" s="10" t="s">
        <v>21</v>
      </c>
      <c r="C31" s="11" t="s">
        <v>22</v>
      </c>
      <c r="D31" s="13">
        <v>1700</v>
      </c>
      <c r="E31" s="13">
        <f t="shared" si="0"/>
        <v>15300</v>
      </c>
      <c r="F31" s="13">
        <f t="shared" si="1"/>
        <v>16906.5</v>
      </c>
      <c r="G31" s="2"/>
      <c r="H31" s="2"/>
      <c r="I31" s="13">
        <f>13000/12</f>
        <v>1083.3333333333333</v>
      </c>
      <c r="J31" s="13">
        <f t="shared" si="2"/>
        <v>9750</v>
      </c>
      <c r="K31" s="13">
        <f t="shared" si="3"/>
        <v>7156.5</v>
      </c>
      <c r="L31" s="14">
        <f t="shared" si="4"/>
        <v>0.46774509803921571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0.1</v>
      </c>
      <c r="B32" s="10" t="s">
        <v>17</v>
      </c>
      <c r="C32" s="11" t="s">
        <v>88</v>
      </c>
      <c r="D32" s="13">
        <v>2400</v>
      </c>
      <c r="E32" s="13">
        <f t="shared" si="0"/>
        <v>240</v>
      </c>
      <c r="F32" s="13">
        <f t="shared" si="1"/>
        <v>265.2</v>
      </c>
      <c r="G32" s="2"/>
      <c r="H32" s="2"/>
      <c r="I32" s="13">
        <f>20000/15</f>
        <v>1333.3333333333333</v>
      </c>
      <c r="J32" s="13">
        <f t="shared" si="2"/>
        <v>133.33333333333334</v>
      </c>
      <c r="K32" s="13">
        <f t="shared" si="3"/>
        <v>131.86666666666665</v>
      </c>
      <c r="L32" s="14">
        <f t="shared" si="4"/>
        <v>0.5494444444444444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5</v>
      </c>
      <c r="B33" s="10" t="s">
        <v>17</v>
      </c>
      <c r="C33" s="11" t="s">
        <v>123</v>
      </c>
      <c r="D33" s="13">
        <v>3200</v>
      </c>
      <c r="E33" s="13">
        <f t="shared" si="0"/>
        <v>16000</v>
      </c>
      <c r="F33" s="13">
        <f t="shared" si="1"/>
        <v>17680</v>
      </c>
      <c r="G33" s="2"/>
      <c r="H33" s="2"/>
      <c r="I33" s="13">
        <f>32000/15</f>
        <v>2133.3333333333335</v>
      </c>
      <c r="J33" s="13">
        <f t="shared" si="2"/>
        <v>10666.666666666668</v>
      </c>
      <c r="K33" s="13">
        <f t="shared" si="3"/>
        <v>7013.3333333333321</v>
      </c>
      <c r="L33" s="18">
        <f t="shared" si="4"/>
        <v>0.43833333333333324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5</v>
      </c>
      <c r="B34" s="10" t="s">
        <v>17</v>
      </c>
      <c r="C34" s="11" t="s">
        <v>82</v>
      </c>
      <c r="D34" s="13">
        <v>1400</v>
      </c>
      <c r="E34" s="13">
        <f t="shared" si="0"/>
        <v>7000</v>
      </c>
      <c r="F34" s="13">
        <f t="shared" si="1"/>
        <v>7735</v>
      </c>
      <c r="G34" s="2"/>
      <c r="H34" s="2"/>
      <c r="I34" s="13">
        <f>15000/14</f>
        <v>1071.4285714285713</v>
      </c>
      <c r="J34" s="13">
        <f t="shared" si="2"/>
        <v>5357.1428571428569</v>
      </c>
      <c r="K34" s="13">
        <f t="shared" si="3"/>
        <v>2377.8571428571431</v>
      </c>
      <c r="L34" s="18">
        <f t="shared" si="4"/>
        <v>0.33969387755102043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2</v>
      </c>
      <c r="B35" s="10" t="s">
        <v>23</v>
      </c>
      <c r="C35" s="11" t="s">
        <v>26</v>
      </c>
      <c r="D35" s="13">
        <v>26000</v>
      </c>
      <c r="E35" s="13">
        <f t="shared" si="0"/>
        <v>52000</v>
      </c>
      <c r="F35" s="13">
        <f t="shared" si="1"/>
        <v>57460</v>
      </c>
      <c r="G35" s="2"/>
      <c r="H35" s="2"/>
      <c r="I35" s="13">
        <v>25000</v>
      </c>
      <c r="J35" s="13">
        <f t="shared" si="2"/>
        <v>50000</v>
      </c>
      <c r="K35" s="13">
        <f t="shared" si="3"/>
        <v>7460</v>
      </c>
      <c r="L35" s="18">
        <f t="shared" si="4"/>
        <v>0.14346153846153847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</v>
      </c>
      <c r="B36" s="10" t="s">
        <v>23</v>
      </c>
      <c r="C36" s="11" t="s">
        <v>24</v>
      </c>
      <c r="D36" s="13">
        <v>60000</v>
      </c>
      <c r="E36" s="13">
        <f t="shared" si="0"/>
        <v>60000</v>
      </c>
      <c r="F36" s="13">
        <f t="shared" si="1"/>
        <v>66300</v>
      </c>
      <c r="G36" s="2"/>
      <c r="H36" s="2"/>
      <c r="I36" s="13">
        <v>50000</v>
      </c>
      <c r="J36" s="13">
        <f t="shared" si="2"/>
        <v>50000</v>
      </c>
      <c r="K36" s="13">
        <f t="shared" si="3"/>
        <v>16300</v>
      </c>
      <c r="L36" s="18">
        <f t="shared" si="4"/>
        <v>0.27166666666666667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4</v>
      </c>
      <c r="B37" s="10" t="s">
        <v>17</v>
      </c>
      <c r="C37" s="11" t="s">
        <v>25</v>
      </c>
      <c r="D37" s="13">
        <v>4500</v>
      </c>
      <c r="E37" s="13">
        <f t="shared" si="0"/>
        <v>18000</v>
      </c>
      <c r="F37" s="13">
        <f t="shared" si="1"/>
        <v>19890</v>
      </c>
      <c r="G37" s="2"/>
      <c r="H37" s="2"/>
      <c r="I37" s="13">
        <f>65000/17</f>
        <v>3823.5294117647059</v>
      </c>
      <c r="J37" s="13">
        <f t="shared" si="2"/>
        <v>15294.117647058823</v>
      </c>
      <c r="K37" s="13">
        <f t="shared" si="3"/>
        <v>4595.8823529411766</v>
      </c>
      <c r="L37" s="33">
        <f t="shared" si="4"/>
        <v>0.25532679738562092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5</v>
      </c>
      <c r="B38" s="10" t="s">
        <v>17</v>
      </c>
      <c r="C38" s="11" t="s">
        <v>78</v>
      </c>
      <c r="D38" s="13">
        <v>4000</v>
      </c>
      <c r="E38" s="13">
        <f t="shared" si="0"/>
        <v>20000</v>
      </c>
      <c r="F38" s="13">
        <f t="shared" si="1"/>
        <v>22100</v>
      </c>
      <c r="G38" s="2"/>
      <c r="H38" s="2"/>
      <c r="I38" s="13">
        <f>18000/8</f>
        <v>2250</v>
      </c>
      <c r="J38" s="13">
        <f t="shared" si="2"/>
        <v>11250</v>
      </c>
      <c r="K38" s="13">
        <f t="shared" si="3"/>
        <v>10850</v>
      </c>
      <c r="L38" s="33">
        <f t="shared" si="4"/>
        <v>0.54249999999999998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1.8</v>
      </c>
      <c r="B39" s="10" t="s">
        <v>17</v>
      </c>
      <c r="C39" s="11" t="s">
        <v>19</v>
      </c>
      <c r="D39" s="13">
        <v>4000</v>
      </c>
      <c r="E39" s="13">
        <f t="shared" si="0"/>
        <v>7200</v>
      </c>
      <c r="F39" s="13">
        <f t="shared" si="1"/>
        <v>7956</v>
      </c>
      <c r="G39" s="2"/>
      <c r="H39" s="2"/>
      <c r="I39" s="13">
        <v>2250</v>
      </c>
      <c r="J39" s="13">
        <f t="shared" si="2"/>
        <v>4050</v>
      </c>
      <c r="K39" s="13">
        <f t="shared" si="3"/>
        <v>3906</v>
      </c>
      <c r="L39" s="18">
        <f t="shared" si="4"/>
        <v>0.54249999999999998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2">
        <v>4</v>
      </c>
      <c r="B40" s="10" t="s">
        <v>17</v>
      </c>
      <c r="C40" s="11" t="s">
        <v>31</v>
      </c>
      <c r="D40" s="13">
        <v>3200</v>
      </c>
      <c r="E40" s="13">
        <f t="shared" si="0"/>
        <v>12800</v>
      </c>
      <c r="F40" s="13">
        <f t="shared" si="1"/>
        <v>14144</v>
      </c>
      <c r="G40" s="2"/>
      <c r="H40" s="2"/>
      <c r="I40" s="13">
        <f>20000/7</f>
        <v>2857.1428571428573</v>
      </c>
      <c r="J40" s="13">
        <f t="shared" si="2"/>
        <v>11428.571428571429</v>
      </c>
      <c r="K40" s="13">
        <f t="shared" si="3"/>
        <v>2715.4285714285706</v>
      </c>
      <c r="L40" s="33">
        <f t="shared" si="4"/>
        <v>0.21214285714285708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2">
        <v>2</v>
      </c>
      <c r="B41" s="10" t="s">
        <v>17</v>
      </c>
      <c r="C41" s="11" t="s">
        <v>33</v>
      </c>
      <c r="D41" s="13">
        <v>2800</v>
      </c>
      <c r="E41" s="13">
        <f t="shared" si="0"/>
        <v>5600</v>
      </c>
      <c r="F41" s="13">
        <f t="shared" si="1"/>
        <v>6188</v>
      </c>
      <c r="G41" s="2"/>
      <c r="H41" s="2"/>
      <c r="I41" s="13">
        <f>15000/7</f>
        <v>2142.8571428571427</v>
      </c>
      <c r="J41" s="13">
        <f t="shared" si="2"/>
        <v>4285.7142857142853</v>
      </c>
      <c r="K41" s="13">
        <f t="shared" si="3"/>
        <v>1902.2857142857147</v>
      </c>
      <c r="L41" s="18">
        <f t="shared" si="4"/>
        <v>0.33969387755102048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2">
        <v>2</v>
      </c>
      <c r="B42" s="10" t="s">
        <v>17</v>
      </c>
      <c r="C42" s="11" t="s">
        <v>32</v>
      </c>
      <c r="D42" s="13">
        <v>2400</v>
      </c>
      <c r="E42" s="13">
        <f t="shared" si="0"/>
        <v>4800</v>
      </c>
      <c r="F42" s="13">
        <f t="shared" si="1"/>
        <v>5304</v>
      </c>
      <c r="G42" s="2"/>
      <c r="H42" s="2"/>
      <c r="I42" s="13">
        <f>12000/7</f>
        <v>1714.2857142857142</v>
      </c>
      <c r="J42" s="13">
        <f t="shared" si="2"/>
        <v>3428.5714285714284</v>
      </c>
      <c r="K42" s="13">
        <f t="shared" si="3"/>
        <v>1875.4285714285716</v>
      </c>
      <c r="L42" s="14">
        <f t="shared" si="4"/>
        <v>0.39071428571428574</v>
      </c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0.5</v>
      </c>
      <c r="B43" s="10" t="s">
        <v>23</v>
      </c>
      <c r="C43" s="11" t="s">
        <v>12</v>
      </c>
      <c r="D43" s="13">
        <v>54000</v>
      </c>
      <c r="E43" s="13">
        <f t="shared" si="0"/>
        <v>27000</v>
      </c>
      <c r="F43" s="13">
        <f>E43*1.21</f>
        <v>32670</v>
      </c>
      <c r="G43" s="2"/>
      <c r="H43" s="2"/>
      <c r="I43" s="13">
        <v>50000</v>
      </c>
      <c r="J43" s="13">
        <f t="shared" si="2"/>
        <v>25000</v>
      </c>
      <c r="K43" s="13">
        <f t="shared" si="3"/>
        <v>7670</v>
      </c>
      <c r="L43" s="14">
        <f t="shared" si="4"/>
        <v>0.28407407407407409</v>
      </c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5"/>
      <c r="B44" s="2"/>
      <c r="C44" s="4"/>
      <c r="D44" s="2"/>
      <c r="E44" s="2"/>
      <c r="F44" s="2"/>
      <c r="G44" s="2"/>
      <c r="H44" s="2"/>
      <c r="I44" s="2"/>
      <c r="J44" s="2"/>
      <c r="K44" s="2"/>
      <c r="L44" s="3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"/>
      <c r="B45" s="2"/>
      <c r="C45" s="4"/>
      <c r="D45" s="2"/>
      <c r="E45" s="13">
        <f t="shared" ref="E45:F45" si="5">SUM(E6:E43)</f>
        <v>533440</v>
      </c>
      <c r="F45" s="13">
        <f t="shared" si="5"/>
        <v>592286.19999999995</v>
      </c>
      <c r="G45" s="2"/>
      <c r="H45" s="2"/>
      <c r="I45" s="2"/>
      <c r="J45" s="2"/>
      <c r="K45" s="13">
        <f>SUM(K6:K43)</f>
        <v>189280.21727357607</v>
      </c>
      <c r="L45" s="14">
        <f>K45/F45</f>
        <v>0.31957559921804035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88" t="s">
        <v>0</v>
      </c>
      <c r="B48" s="89"/>
      <c r="C48" s="89"/>
      <c r="D48" s="2"/>
      <c r="E48" s="7" t="s">
        <v>143</v>
      </c>
      <c r="F48" s="8">
        <v>46119</v>
      </c>
      <c r="G48" s="2"/>
      <c r="H48" s="2"/>
      <c r="I48" s="91" t="s">
        <v>2</v>
      </c>
      <c r="J48" s="89"/>
      <c r="K48" s="89"/>
      <c r="L48" s="3"/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"/>
      <c r="B49" s="2"/>
      <c r="C49" s="5"/>
      <c r="D49" s="2"/>
      <c r="E49" s="2"/>
      <c r="F49" s="2"/>
      <c r="G49" s="2"/>
      <c r="H49" s="2"/>
      <c r="I49" s="2"/>
      <c r="J49" s="2"/>
      <c r="K49" s="2"/>
      <c r="L49" s="3"/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6" t="s">
        <v>3</v>
      </c>
      <c r="B50" s="10" t="s">
        <v>4</v>
      </c>
      <c r="C50" s="11" t="s">
        <v>5</v>
      </c>
      <c r="D50" s="10" t="s">
        <v>6</v>
      </c>
      <c r="E50" s="10" t="s">
        <v>7</v>
      </c>
      <c r="F50" s="10" t="s">
        <v>8</v>
      </c>
      <c r="G50" s="2"/>
      <c r="H50" s="2"/>
      <c r="I50" s="10" t="s">
        <v>9</v>
      </c>
      <c r="J50" s="10" t="s">
        <v>7</v>
      </c>
      <c r="K50" s="10" t="s">
        <v>10</v>
      </c>
      <c r="L50" s="3"/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0.5</v>
      </c>
      <c r="B51" s="10" t="s">
        <v>17</v>
      </c>
      <c r="C51" s="11" t="s">
        <v>42</v>
      </c>
      <c r="D51" s="13">
        <v>4500</v>
      </c>
      <c r="E51" s="13">
        <f t="shared" ref="E51:E87" si="6">A51*D51</f>
        <v>2250</v>
      </c>
      <c r="F51" s="13">
        <f t="shared" ref="F51:F86" si="7">E51*1.105</f>
        <v>2486.25</v>
      </c>
      <c r="G51" s="2"/>
      <c r="H51" s="2"/>
      <c r="I51" s="13">
        <v>2000</v>
      </c>
      <c r="J51" s="13">
        <f t="shared" ref="J51:J87" si="8">I51*A51</f>
        <v>1000</v>
      </c>
      <c r="K51" s="13">
        <f t="shared" ref="K51:K87" si="9">F51-J51</f>
        <v>1486.25</v>
      </c>
      <c r="L51" s="14">
        <f t="shared" ref="L51:L87" si="10">IFERROR(K51/E51, 0)</f>
        <v>0.66055555555555556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2</v>
      </c>
      <c r="B52" s="10" t="s">
        <v>4</v>
      </c>
      <c r="C52" s="11" t="s">
        <v>13</v>
      </c>
      <c r="D52" s="13">
        <v>900</v>
      </c>
      <c r="E52" s="13">
        <f t="shared" si="6"/>
        <v>1800</v>
      </c>
      <c r="F52" s="13">
        <f t="shared" si="7"/>
        <v>1989</v>
      </c>
      <c r="G52" s="2"/>
      <c r="H52" s="2"/>
      <c r="I52" s="13">
        <v>460</v>
      </c>
      <c r="J52" s="13">
        <f t="shared" si="8"/>
        <v>920</v>
      </c>
      <c r="K52" s="13">
        <f t="shared" si="9"/>
        <v>1069</v>
      </c>
      <c r="L52" s="14">
        <f t="shared" si="10"/>
        <v>0.59388888888888891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1</v>
      </c>
      <c r="B53" s="10" t="s">
        <v>21</v>
      </c>
      <c r="C53" s="11" t="s">
        <v>51</v>
      </c>
      <c r="D53" s="13">
        <v>1500</v>
      </c>
      <c r="E53" s="13">
        <f t="shared" si="6"/>
        <v>1500</v>
      </c>
      <c r="F53" s="13">
        <f t="shared" si="7"/>
        <v>1657.5</v>
      </c>
      <c r="G53" s="2"/>
      <c r="H53" s="2"/>
      <c r="I53" s="13">
        <v>1000</v>
      </c>
      <c r="J53" s="13">
        <f t="shared" si="8"/>
        <v>1000</v>
      </c>
      <c r="K53" s="13">
        <f t="shared" si="9"/>
        <v>657.5</v>
      </c>
      <c r="L53" s="14">
        <f t="shared" si="10"/>
        <v>0.43833333333333335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0.25</v>
      </c>
      <c r="B54" s="10" t="s">
        <v>17</v>
      </c>
      <c r="C54" s="11" t="s">
        <v>64</v>
      </c>
      <c r="D54" s="13">
        <v>2500</v>
      </c>
      <c r="E54" s="13">
        <f t="shared" si="6"/>
        <v>625</v>
      </c>
      <c r="F54" s="13">
        <f t="shared" si="7"/>
        <v>690.625</v>
      </c>
      <c r="G54" s="2"/>
      <c r="H54" s="2"/>
      <c r="I54" s="13">
        <f>9000/8</f>
        <v>1125</v>
      </c>
      <c r="J54" s="13">
        <f t="shared" si="8"/>
        <v>281.25</v>
      </c>
      <c r="K54" s="13">
        <f t="shared" si="9"/>
        <v>409.375</v>
      </c>
      <c r="L54" s="14">
        <f t="shared" si="10"/>
        <v>0.65500000000000003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3</v>
      </c>
      <c r="B55" s="10" t="s">
        <v>17</v>
      </c>
      <c r="C55" s="11" t="s">
        <v>62</v>
      </c>
      <c r="D55" s="13">
        <v>3000</v>
      </c>
      <c r="E55" s="13">
        <f t="shared" si="6"/>
        <v>9000</v>
      </c>
      <c r="F55" s="13">
        <f t="shared" si="7"/>
        <v>9945</v>
      </c>
      <c r="G55" s="2"/>
      <c r="H55" s="2"/>
      <c r="I55" s="13">
        <f>32000/17</f>
        <v>1882.3529411764705</v>
      </c>
      <c r="J55" s="13">
        <f t="shared" si="8"/>
        <v>5647.0588235294117</v>
      </c>
      <c r="K55" s="13">
        <f t="shared" si="9"/>
        <v>4297.9411764705883</v>
      </c>
      <c r="L55" s="14">
        <f t="shared" si="10"/>
        <v>0.47754901960784313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1</v>
      </c>
      <c r="B56" s="10" t="s">
        <v>15</v>
      </c>
      <c r="C56" s="11" t="s">
        <v>129</v>
      </c>
      <c r="D56" s="13">
        <v>16000</v>
      </c>
      <c r="E56" s="13">
        <f t="shared" si="6"/>
        <v>16000</v>
      </c>
      <c r="F56" s="13">
        <f t="shared" si="7"/>
        <v>17680</v>
      </c>
      <c r="G56" s="2"/>
      <c r="H56" s="2"/>
      <c r="I56" s="13">
        <v>12000</v>
      </c>
      <c r="J56" s="13">
        <f t="shared" si="8"/>
        <v>12000</v>
      </c>
      <c r="K56" s="13">
        <f t="shared" si="9"/>
        <v>5680</v>
      </c>
      <c r="L56" s="14">
        <f t="shared" si="10"/>
        <v>0.35499999999999998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3</v>
      </c>
      <c r="B57" s="10" t="s">
        <v>17</v>
      </c>
      <c r="C57" s="11" t="s">
        <v>129</v>
      </c>
      <c r="D57" s="13">
        <v>1600</v>
      </c>
      <c r="E57" s="13">
        <f t="shared" si="6"/>
        <v>4800</v>
      </c>
      <c r="F57" s="13">
        <f t="shared" si="7"/>
        <v>5304</v>
      </c>
      <c r="G57" s="2"/>
      <c r="H57" s="2"/>
      <c r="I57" s="13">
        <f>12000/11</f>
        <v>1090.909090909091</v>
      </c>
      <c r="J57" s="13">
        <f t="shared" si="8"/>
        <v>3272.727272727273</v>
      </c>
      <c r="K57" s="13">
        <f t="shared" si="9"/>
        <v>2031.272727272727</v>
      </c>
      <c r="L57" s="14">
        <f t="shared" si="10"/>
        <v>0.4231818181818181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2</v>
      </c>
      <c r="B58" s="10" t="s">
        <v>4</v>
      </c>
      <c r="C58" s="11" t="s">
        <v>14</v>
      </c>
      <c r="D58" s="13">
        <v>2600</v>
      </c>
      <c r="E58" s="13">
        <f t="shared" si="6"/>
        <v>5200</v>
      </c>
      <c r="F58" s="13">
        <f t="shared" si="7"/>
        <v>5746</v>
      </c>
      <c r="G58" s="2"/>
      <c r="H58" s="2"/>
      <c r="I58" s="13">
        <f>15000/8</f>
        <v>1875</v>
      </c>
      <c r="J58" s="13">
        <f t="shared" si="8"/>
        <v>3750</v>
      </c>
      <c r="K58" s="13">
        <f t="shared" si="9"/>
        <v>1996</v>
      </c>
      <c r="L58" s="14">
        <f t="shared" si="10"/>
        <v>0.38384615384615384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1</v>
      </c>
      <c r="B59" s="10" t="s">
        <v>15</v>
      </c>
      <c r="C59" s="11" t="s">
        <v>48</v>
      </c>
      <c r="D59" s="13">
        <v>13000</v>
      </c>
      <c r="E59" s="13">
        <f t="shared" si="6"/>
        <v>13000</v>
      </c>
      <c r="F59" s="13">
        <f t="shared" si="7"/>
        <v>14365</v>
      </c>
      <c r="G59" s="2"/>
      <c r="H59" s="2"/>
      <c r="I59" s="13">
        <v>7000</v>
      </c>
      <c r="J59" s="13">
        <f t="shared" si="8"/>
        <v>7000</v>
      </c>
      <c r="K59" s="13">
        <f t="shared" si="9"/>
        <v>7365</v>
      </c>
      <c r="L59" s="14">
        <f t="shared" si="10"/>
        <v>0.56653846153846155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3.5</v>
      </c>
      <c r="B60" s="10" t="s">
        <v>17</v>
      </c>
      <c r="C60" s="11" t="s">
        <v>18</v>
      </c>
      <c r="D60" s="13">
        <v>1600</v>
      </c>
      <c r="E60" s="13">
        <f t="shared" si="6"/>
        <v>5600</v>
      </c>
      <c r="F60" s="13">
        <f t="shared" si="7"/>
        <v>6188</v>
      </c>
      <c r="G60" s="2"/>
      <c r="H60" s="2"/>
      <c r="I60" s="13">
        <v>1000</v>
      </c>
      <c r="J60" s="13">
        <f t="shared" si="8"/>
        <v>3500</v>
      </c>
      <c r="K60" s="13">
        <f t="shared" si="9"/>
        <v>2688</v>
      </c>
      <c r="L60" s="14">
        <f t="shared" si="10"/>
        <v>0.48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3</v>
      </c>
      <c r="B61" s="10" t="s">
        <v>17</v>
      </c>
      <c r="C61" s="34" t="s">
        <v>56</v>
      </c>
      <c r="D61" s="13">
        <v>800</v>
      </c>
      <c r="E61" s="13">
        <f t="shared" si="6"/>
        <v>2400</v>
      </c>
      <c r="F61" s="13">
        <f t="shared" si="7"/>
        <v>2652</v>
      </c>
      <c r="G61" s="2"/>
      <c r="H61" s="2"/>
      <c r="I61" s="13">
        <f>10000/15</f>
        <v>666.66666666666663</v>
      </c>
      <c r="J61" s="13">
        <f t="shared" si="8"/>
        <v>2000</v>
      </c>
      <c r="K61" s="13">
        <f t="shared" si="9"/>
        <v>652</v>
      </c>
      <c r="L61" s="14">
        <f t="shared" si="10"/>
        <v>0.27166666666666667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3</v>
      </c>
      <c r="B62" s="10" t="s">
        <v>17</v>
      </c>
      <c r="C62" s="11" t="s">
        <v>78</v>
      </c>
      <c r="D62" s="13">
        <v>4000</v>
      </c>
      <c r="E62" s="13">
        <f t="shared" si="6"/>
        <v>12000</v>
      </c>
      <c r="F62" s="13">
        <f t="shared" si="7"/>
        <v>13260</v>
      </c>
      <c r="G62" s="2"/>
      <c r="H62" s="2"/>
      <c r="I62" s="13">
        <f>18000/8</f>
        <v>2250</v>
      </c>
      <c r="J62" s="13">
        <f t="shared" si="8"/>
        <v>6750</v>
      </c>
      <c r="K62" s="13">
        <f t="shared" si="9"/>
        <v>6510</v>
      </c>
      <c r="L62" s="14">
        <f t="shared" si="10"/>
        <v>0.54249999999999998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6</v>
      </c>
      <c r="B63" s="10" t="s">
        <v>21</v>
      </c>
      <c r="C63" s="11" t="s">
        <v>22</v>
      </c>
      <c r="D63" s="13">
        <v>1700</v>
      </c>
      <c r="E63" s="13">
        <f t="shared" si="6"/>
        <v>10200</v>
      </c>
      <c r="F63" s="13">
        <f t="shared" si="7"/>
        <v>11271</v>
      </c>
      <c r="G63" s="2"/>
      <c r="H63" s="13"/>
      <c r="I63" s="13">
        <f>1070</f>
        <v>1070</v>
      </c>
      <c r="J63" s="13">
        <f t="shared" si="8"/>
        <v>6420</v>
      </c>
      <c r="K63" s="13">
        <f t="shared" si="9"/>
        <v>4851</v>
      </c>
      <c r="L63" s="14">
        <f t="shared" si="10"/>
        <v>0.47558823529411764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0.5</v>
      </c>
      <c r="B64" s="10" t="s">
        <v>23</v>
      </c>
      <c r="C64" s="11" t="s">
        <v>24</v>
      </c>
      <c r="D64" s="13">
        <v>60000</v>
      </c>
      <c r="E64" s="13">
        <f t="shared" si="6"/>
        <v>30000</v>
      </c>
      <c r="F64" s="13">
        <f t="shared" si="7"/>
        <v>33150</v>
      </c>
      <c r="G64" s="2"/>
      <c r="H64" s="13"/>
      <c r="I64" s="13">
        <v>50000</v>
      </c>
      <c r="J64" s="13">
        <f t="shared" si="8"/>
        <v>25000</v>
      </c>
      <c r="K64" s="13">
        <f t="shared" si="9"/>
        <v>8150</v>
      </c>
      <c r="L64" s="14">
        <f t="shared" si="10"/>
        <v>0.27166666666666667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0.5</v>
      </c>
      <c r="B65" s="10" t="s">
        <v>23</v>
      </c>
      <c r="C65" s="11" t="s">
        <v>25</v>
      </c>
      <c r="D65" s="13">
        <v>72000</v>
      </c>
      <c r="E65" s="13">
        <f t="shared" si="6"/>
        <v>36000</v>
      </c>
      <c r="F65" s="13">
        <f t="shared" si="7"/>
        <v>39780</v>
      </c>
      <c r="G65" s="2"/>
      <c r="H65" s="2"/>
      <c r="I65" s="13">
        <v>65000</v>
      </c>
      <c r="J65" s="13">
        <f t="shared" si="8"/>
        <v>32500</v>
      </c>
      <c r="K65" s="13">
        <f t="shared" si="9"/>
        <v>7280</v>
      </c>
      <c r="L65" s="14">
        <f t="shared" si="10"/>
        <v>0.20222222222222222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1.5</v>
      </c>
      <c r="B66" s="10" t="s">
        <v>23</v>
      </c>
      <c r="C66" s="11" t="s">
        <v>26</v>
      </c>
      <c r="D66" s="13">
        <v>26000</v>
      </c>
      <c r="E66" s="13">
        <f t="shared" si="6"/>
        <v>39000</v>
      </c>
      <c r="F66" s="13">
        <f t="shared" si="7"/>
        <v>43095</v>
      </c>
      <c r="G66" s="2"/>
      <c r="H66" s="2"/>
      <c r="I66" s="13">
        <v>25000</v>
      </c>
      <c r="J66" s="13">
        <f t="shared" si="8"/>
        <v>37500</v>
      </c>
      <c r="K66" s="13">
        <f t="shared" si="9"/>
        <v>5595</v>
      </c>
      <c r="L66" s="14">
        <f t="shared" si="10"/>
        <v>0.14346153846153847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3</v>
      </c>
      <c r="B67" s="10" t="s">
        <v>15</v>
      </c>
      <c r="C67" s="11" t="s">
        <v>27</v>
      </c>
      <c r="D67" s="13">
        <v>23000</v>
      </c>
      <c r="E67" s="13">
        <f t="shared" si="6"/>
        <v>69000</v>
      </c>
      <c r="F67" s="13">
        <f t="shared" si="7"/>
        <v>76245</v>
      </c>
      <c r="G67" s="2"/>
      <c r="H67" s="2"/>
      <c r="I67" s="13">
        <v>17000</v>
      </c>
      <c r="J67" s="13">
        <f t="shared" si="8"/>
        <v>51000</v>
      </c>
      <c r="K67" s="13">
        <f t="shared" si="9"/>
        <v>25245</v>
      </c>
      <c r="L67" s="14">
        <f t="shared" si="10"/>
        <v>0.36586956521739128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1</v>
      </c>
      <c r="B68" s="10" t="s">
        <v>21</v>
      </c>
      <c r="C68" s="11" t="s">
        <v>133</v>
      </c>
      <c r="D68" s="13">
        <v>3000</v>
      </c>
      <c r="E68" s="13">
        <f t="shared" si="6"/>
        <v>3000</v>
      </c>
      <c r="F68" s="13">
        <f t="shared" si="7"/>
        <v>3315</v>
      </c>
      <c r="G68" s="2"/>
      <c r="H68" s="2"/>
      <c r="I68" s="13">
        <v>2000</v>
      </c>
      <c r="J68" s="13">
        <f t="shared" si="8"/>
        <v>2000</v>
      </c>
      <c r="K68" s="13">
        <f t="shared" si="9"/>
        <v>1315</v>
      </c>
      <c r="L68" s="14">
        <f t="shared" si="10"/>
        <v>0.43833333333333335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0.3</v>
      </c>
      <c r="B69" s="10" t="s">
        <v>17</v>
      </c>
      <c r="C69" s="11" t="s">
        <v>29</v>
      </c>
      <c r="D69" s="13">
        <v>3500</v>
      </c>
      <c r="E69" s="13">
        <f t="shared" si="6"/>
        <v>1050</v>
      </c>
      <c r="F69" s="13">
        <f t="shared" si="7"/>
        <v>1160.25</v>
      </c>
      <c r="G69" s="2"/>
      <c r="H69" s="2"/>
      <c r="I69" s="13">
        <v>1500</v>
      </c>
      <c r="J69" s="13">
        <f t="shared" si="8"/>
        <v>450</v>
      </c>
      <c r="K69" s="13">
        <f t="shared" si="9"/>
        <v>710.25</v>
      </c>
      <c r="L69" s="14">
        <f t="shared" si="10"/>
        <v>0.67642857142857138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0.5</v>
      </c>
      <c r="B70" s="10" t="s">
        <v>17</v>
      </c>
      <c r="C70" s="11" t="s">
        <v>30</v>
      </c>
      <c r="D70" s="13">
        <v>1500</v>
      </c>
      <c r="E70" s="13">
        <f t="shared" si="6"/>
        <v>750</v>
      </c>
      <c r="F70" s="13">
        <f t="shared" si="7"/>
        <v>828.75</v>
      </c>
      <c r="G70" s="2"/>
      <c r="H70" s="2"/>
      <c r="I70" s="17">
        <f>8000/14</f>
        <v>571.42857142857144</v>
      </c>
      <c r="J70" s="13">
        <f t="shared" si="8"/>
        <v>285.71428571428572</v>
      </c>
      <c r="K70" s="13">
        <f t="shared" si="9"/>
        <v>543.03571428571422</v>
      </c>
      <c r="L70" s="14">
        <f t="shared" si="10"/>
        <v>0.72404761904761894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3.5</v>
      </c>
      <c r="B71" s="10" t="s">
        <v>17</v>
      </c>
      <c r="C71" s="11" t="s">
        <v>31</v>
      </c>
      <c r="D71" s="13">
        <v>3200</v>
      </c>
      <c r="E71" s="13">
        <f t="shared" si="6"/>
        <v>11200</v>
      </c>
      <c r="F71" s="13">
        <f t="shared" si="7"/>
        <v>12376</v>
      </c>
      <c r="G71" s="2"/>
      <c r="H71" s="2"/>
      <c r="I71" s="13">
        <f>20000/7</f>
        <v>2857.1428571428573</v>
      </c>
      <c r="J71" s="13">
        <f t="shared" si="8"/>
        <v>10000</v>
      </c>
      <c r="K71" s="13">
        <f t="shared" si="9"/>
        <v>2376</v>
      </c>
      <c r="L71" s="14">
        <f t="shared" si="10"/>
        <v>0.21214285714285713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0.5</v>
      </c>
      <c r="B72" s="10" t="s">
        <v>17</v>
      </c>
      <c r="C72" s="11" t="s">
        <v>32</v>
      </c>
      <c r="D72" s="13">
        <v>2400</v>
      </c>
      <c r="E72" s="13">
        <f t="shared" si="6"/>
        <v>1200</v>
      </c>
      <c r="F72" s="13">
        <f t="shared" si="7"/>
        <v>1326</v>
      </c>
      <c r="G72" s="2"/>
      <c r="H72" s="2"/>
      <c r="I72" s="13">
        <f>12000/7</f>
        <v>1714.2857142857142</v>
      </c>
      <c r="J72" s="13">
        <f t="shared" si="8"/>
        <v>857.14285714285711</v>
      </c>
      <c r="K72" s="13">
        <f t="shared" si="9"/>
        <v>468.85714285714289</v>
      </c>
      <c r="L72" s="14">
        <f t="shared" si="10"/>
        <v>0.39071428571428574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0.5</v>
      </c>
      <c r="B73" s="10" t="s">
        <v>17</v>
      </c>
      <c r="C73" s="11" t="s">
        <v>33</v>
      </c>
      <c r="D73" s="13">
        <v>2800</v>
      </c>
      <c r="E73" s="13">
        <f t="shared" si="6"/>
        <v>1400</v>
      </c>
      <c r="F73" s="13">
        <f t="shared" si="7"/>
        <v>1547</v>
      </c>
      <c r="G73" s="2"/>
      <c r="H73" s="2"/>
      <c r="I73" s="13">
        <f>15000/7</f>
        <v>2142.8571428571427</v>
      </c>
      <c r="J73" s="13">
        <f t="shared" si="8"/>
        <v>1071.4285714285713</v>
      </c>
      <c r="K73" s="13">
        <f t="shared" si="9"/>
        <v>475.57142857142867</v>
      </c>
      <c r="L73" s="14">
        <f t="shared" si="10"/>
        <v>0.33969387755102048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5</v>
      </c>
      <c r="B74" s="10" t="s">
        <v>17</v>
      </c>
      <c r="C74" s="11" t="s">
        <v>123</v>
      </c>
      <c r="D74" s="13">
        <v>3200</v>
      </c>
      <c r="E74" s="13">
        <f t="shared" si="6"/>
        <v>16000</v>
      </c>
      <c r="F74" s="13">
        <f t="shared" si="7"/>
        <v>17680</v>
      </c>
      <c r="G74" s="2"/>
      <c r="H74" s="2"/>
      <c r="I74" s="13">
        <f>32000/15</f>
        <v>2133.3333333333335</v>
      </c>
      <c r="J74" s="13">
        <f t="shared" si="8"/>
        <v>10666.666666666668</v>
      </c>
      <c r="K74" s="13">
        <f t="shared" si="9"/>
        <v>7013.3333333333321</v>
      </c>
      <c r="L74" s="14">
        <f t="shared" si="10"/>
        <v>0.43833333333333324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</v>
      </c>
      <c r="B75" s="10" t="s">
        <v>17</v>
      </c>
      <c r="C75" s="11" t="s">
        <v>35</v>
      </c>
      <c r="D75" s="13">
        <v>2500</v>
      </c>
      <c r="E75" s="13">
        <f t="shared" si="6"/>
        <v>2500</v>
      </c>
      <c r="F75" s="13">
        <f t="shared" si="7"/>
        <v>2762.5</v>
      </c>
      <c r="G75" s="2"/>
      <c r="H75" s="2"/>
      <c r="I75" s="13">
        <f>14000/9</f>
        <v>1555.5555555555557</v>
      </c>
      <c r="J75" s="13">
        <f t="shared" si="8"/>
        <v>1555.5555555555557</v>
      </c>
      <c r="K75" s="13">
        <f t="shared" si="9"/>
        <v>1206.9444444444443</v>
      </c>
      <c r="L75" s="14">
        <f t="shared" si="10"/>
        <v>0.48277777777777775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2</v>
      </c>
      <c r="B76" s="10" t="s">
        <v>17</v>
      </c>
      <c r="C76" s="11" t="s">
        <v>36</v>
      </c>
      <c r="D76" s="13">
        <v>1800</v>
      </c>
      <c r="E76" s="13">
        <f t="shared" si="6"/>
        <v>3600</v>
      </c>
      <c r="F76" s="13">
        <f t="shared" si="7"/>
        <v>3978</v>
      </c>
      <c r="G76" s="2"/>
      <c r="H76" s="2"/>
      <c r="I76" s="13">
        <v>1000</v>
      </c>
      <c r="J76" s="13">
        <f t="shared" si="8"/>
        <v>2000</v>
      </c>
      <c r="K76" s="13">
        <f t="shared" si="9"/>
        <v>1978</v>
      </c>
      <c r="L76" s="14">
        <f t="shared" si="10"/>
        <v>0.5494444444444444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1.5</v>
      </c>
      <c r="B77" s="10" t="s">
        <v>17</v>
      </c>
      <c r="C77" s="11" t="s">
        <v>38</v>
      </c>
      <c r="D77" s="13">
        <v>1800</v>
      </c>
      <c r="E77" s="13">
        <f t="shared" si="6"/>
        <v>2700</v>
      </c>
      <c r="F77" s="13">
        <f t="shared" si="7"/>
        <v>2983.5</v>
      </c>
      <c r="G77" s="2"/>
      <c r="H77" s="2"/>
      <c r="I77" s="13">
        <v>1000</v>
      </c>
      <c r="J77" s="13">
        <f t="shared" si="8"/>
        <v>1500</v>
      </c>
      <c r="K77" s="13">
        <f t="shared" si="9"/>
        <v>1483.5</v>
      </c>
      <c r="L77" s="14">
        <f t="shared" si="10"/>
        <v>0.5494444444444444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11</v>
      </c>
      <c r="B78" s="10" t="s">
        <v>17</v>
      </c>
      <c r="C78" s="11" t="s">
        <v>39</v>
      </c>
      <c r="D78" s="13">
        <v>2400</v>
      </c>
      <c r="E78" s="13">
        <f t="shared" si="6"/>
        <v>26400</v>
      </c>
      <c r="F78" s="13">
        <f t="shared" si="7"/>
        <v>29172</v>
      </c>
      <c r="G78" s="2"/>
      <c r="H78" s="2"/>
      <c r="I78" s="13">
        <f>25000/15</f>
        <v>1666.6666666666667</v>
      </c>
      <c r="J78" s="13">
        <f t="shared" si="8"/>
        <v>18333.333333333336</v>
      </c>
      <c r="K78" s="13">
        <f t="shared" si="9"/>
        <v>10838.666666666664</v>
      </c>
      <c r="L78" s="14">
        <f t="shared" si="10"/>
        <v>0.41055555555555545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0.8</v>
      </c>
      <c r="B79" s="10" t="s">
        <v>17</v>
      </c>
      <c r="C79" s="11" t="s">
        <v>93</v>
      </c>
      <c r="D79" s="13">
        <v>3000</v>
      </c>
      <c r="E79" s="13">
        <f t="shared" si="6"/>
        <v>2400</v>
      </c>
      <c r="F79" s="13">
        <f t="shared" si="7"/>
        <v>2652</v>
      </c>
      <c r="G79" s="2"/>
      <c r="H79" s="2"/>
      <c r="I79" s="13">
        <f>7000/6</f>
        <v>1166.6666666666667</v>
      </c>
      <c r="J79" s="13">
        <f t="shared" si="8"/>
        <v>933.33333333333348</v>
      </c>
      <c r="K79" s="13">
        <f t="shared" si="9"/>
        <v>1718.6666666666665</v>
      </c>
      <c r="L79" s="14">
        <f t="shared" si="10"/>
        <v>0.71611111111111103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1</v>
      </c>
      <c r="B80" s="10" t="s">
        <v>15</v>
      </c>
      <c r="C80" s="11" t="s">
        <v>40</v>
      </c>
      <c r="D80" s="13">
        <v>12000</v>
      </c>
      <c r="E80" s="13">
        <f t="shared" si="6"/>
        <v>12000</v>
      </c>
      <c r="F80" s="13">
        <f t="shared" si="7"/>
        <v>13260</v>
      </c>
      <c r="G80" s="2"/>
      <c r="H80" s="2"/>
      <c r="I80" s="13">
        <v>7000</v>
      </c>
      <c r="J80" s="13">
        <f t="shared" si="8"/>
        <v>7000</v>
      </c>
      <c r="K80" s="13">
        <f t="shared" si="9"/>
        <v>6260</v>
      </c>
      <c r="L80" s="14">
        <f t="shared" si="10"/>
        <v>0.52166666666666661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4.5</v>
      </c>
      <c r="B81" s="10" t="s">
        <v>17</v>
      </c>
      <c r="C81" s="11" t="s">
        <v>40</v>
      </c>
      <c r="D81" s="13">
        <v>1300</v>
      </c>
      <c r="E81" s="13">
        <f t="shared" si="6"/>
        <v>5850</v>
      </c>
      <c r="F81" s="13">
        <f t="shared" si="7"/>
        <v>6464.25</v>
      </c>
      <c r="G81" s="2"/>
      <c r="H81" s="2"/>
      <c r="I81" s="13">
        <v>1000</v>
      </c>
      <c r="J81" s="13">
        <f t="shared" si="8"/>
        <v>4500</v>
      </c>
      <c r="K81" s="13">
        <f t="shared" si="9"/>
        <v>1964.25</v>
      </c>
      <c r="L81" s="14">
        <f t="shared" si="10"/>
        <v>0.33576923076923076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3.5</v>
      </c>
      <c r="B82" s="10" t="s">
        <v>17</v>
      </c>
      <c r="C82" s="11" t="s">
        <v>82</v>
      </c>
      <c r="D82" s="13">
        <v>1400</v>
      </c>
      <c r="E82" s="13">
        <f t="shared" si="6"/>
        <v>4900</v>
      </c>
      <c r="F82" s="13">
        <f t="shared" si="7"/>
        <v>5414.5</v>
      </c>
      <c r="G82" s="2"/>
      <c r="H82" s="2"/>
      <c r="I82" s="13">
        <f>15000/14</f>
        <v>1071.4285714285713</v>
      </c>
      <c r="J82" s="13">
        <f t="shared" si="8"/>
        <v>3749.9999999999995</v>
      </c>
      <c r="K82" s="13">
        <f t="shared" si="9"/>
        <v>1664.5000000000005</v>
      </c>
      <c r="L82" s="14">
        <f t="shared" si="10"/>
        <v>0.33969387755102048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0.5</v>
      </c>
      <c r="B83" s="10" t="s">
        <v>17</v>
      </c>
      <c r="C83" s="11" t="s">
        <v>99</v>
      </c>
      <c r="D83" s="13">
        <v>1500</v>
      </c>
      <c r="E83" s="13">
        <f t="shared" si="6"/>
        <v>750</v>
      </c>
      <c r="F83" s="13">
        <f t="shared" si="7"/>
        <v>828.75</v>
      </c>
      <c r="G83" s="2"/>
      <c r="H83" s="7" t="s">
        <v>37</v>
      </c>
      <c r="I83" s="13">
        <f>32000/17</f>
        <v>1882.3529411764705</v>
      </c>
      <c r="J83" s="13">
        <f t="shared" si="8"/>
        <v>941.17647058823525</v>
      </c>
      <c r="K83" s="13">
        <f t="shared" si="9"/>
        <v>-112.42647058823525</v>
      </c>
      <c r="L83" s="14">
        <f t="shared" si="10"/>
        <v>-0.14990196078431367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2</v>
      </c>
      <c r="B84" s="10" t="s">
        <v>17</v>
      </c>
      <c r="C84" s="11" t="s">
        <v>43</v>
      </c>
      <c r="D84" s="13">
        <v>4000</v>
      </c>
      <c r="E84" s="13">
        <f t="shared" si="6"/>
        <v>8000</v>
      </c>
      <c r="F84" s="13">
        <f t="shared" si="7"/>
        <v>8840</v>
      </c>
      <c r="G84" s="2"/>
      <c r="H84" s="2"/>
      <c r="I84" s="13">
        <f>18000/4</f>
        <v>4500</v>
      </c>
      <c r="J84" s="13">
        <f t="shared" si="8"/>
        <v>9000</v>
      </c>
      <c r="K84" s="13">
        <f t="shared" si="9"/>
        <v>-160</v>
      </c>
      <c r="L84" s="14">
        <f t="shared" si="10"/>
        <v>-0.02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15</v>
      </c>
      <c r="B85" s="10" t="s">
        <v>21</v>
      </c>
      <c r="C85" s="11" t="s">
        <v>46</v>
      </c>
      <c r="D85" s="13">
        <v>600</v>
      </c>
      <c r="E85" s="13">
        <f t="shared" si="6"/>
        <v>9000</v>
      </c>
      <c r="F85" s="13">
        <f t="shared" si="7"/>
        <v>9945</v>
      </c>
      <c r="G85" s="2"/>
      <c r="H85" s="2"/>
      <c r="I85" s="13">
        <f>8000/24</f>
        <v>333.33333333333331</v>
      </c>
      <c r="J85" s="13">
        <f t="shared" si="8"/>
        <v>5000</v>
      </c>
      <c r="K85" s="13">
        <f t="shared" si="9"/>
        <v>4945</v>
      </c>
      <c r="L85" s="14">
        <f t="shared" si="10"/>
        <v>0.5494444444444444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1.5</v>
      </c>
      <c r="B86" s="10" t="s">
        <v>17</v>
      </c>
      <c r="C86" s="11" t="s">
        <v>61</v>
      </c>
      <c r="D86" s="13">
        <v>1400</v>
      </c>
      <c r="E86" s="13">
        <f t="shared" si="6"/>
        <v>2100</v>
      </c>
      <c r="F86" s="13">
        <f t="shared" si="7"/>
        <v>2320.5</v>
      </c>
      <c r="G86" s="2"/>
      <c r="H86" s="13"/>
      <c r="I86" s="13">
        <f>12000/14</f>
        <v>857.14285714285711</v>
      </c>
      <c r="J86" s="13">
        <f t="shared" si="8"/>
        <v>1285.7142857142858</v>
      </c>
      <c r="K86" s="13">
        <f t="shared" si="9"/>
        <v>1034.7857142857142</v>
      </c>
      <c r="L86" s="14">
        <f t="shared" si="10"/>
        <v>0.4927551020408163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0.5</v>
      </c>
      <c r="B87" s="10" t="s">
        <v>23</v>
      </c>
      <c r="C87" s="11" t="s">
        <v>12</v>
      </c>
      <c r="D87" s="13">
        <v>54000</v>
      </c>
      <c r="E87" s="13">
        <f t="shared" si="6"/>
        <v>27000</v>
      </c>
      <c r="F87" s="13">
        <f>E87*1.21</f>
        <v>32670</v>
      </c>
      <c r="G87" s="2"/>
      <c r="H87" s="2"/>
      <c r="I87" s="13">
        <v>50000</v>
      </c>
      <c r="J87" s="13">
        <f t="shared" si="8"/>
        <v>25000</v>
      </c>
      <c r="K87" s="13">
        <f t="shared" si="9"/>
        <v>7670</v>
      </c>
      <c r="L87" s="14">
        <f t="shared" si="10"/>
        <v>0.28407407407407409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5"/>
      <c r="B88" s="2"/>
      <c r="C88" s="4"/>
      <c r="D88" s="2"/>
      <c r="E88" s="2"/>
      <c r="F88" s="2"/>
      <c r="G88" s="2"/>
      <c r="H88" s="2"/>
      <c r="I88" s="2"/>
      <c r="J88" s="2"/>
      <c r="K88" s="2"/>
      <c r="L88" s="3"/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"/>
      <c r="B89" s="2"/>
      <c r="C89" s="4"/>
      <c r="D89" s="2"/>
      <c r="E89" s="13">
        <f t="shared" ref="E89:F89" si="11">SUM(E51:E87)</f>
        <v>400175</v>
      </c>
      <c r="F89" s="13">
        <f t="shared" si="11"/>
        <v>445028.375</v>
      </c>
      <c r="G89" s="2"/>
      <c r="H89" s="2"/>
      <c r="I89" s="2"/>
      <c r="J89" s="2"/>
      <c r="K89" s="13">
        <f>SUM(K51:K87)</f>
        <v>139357.27354426618</v>
      </c>
      <c r="L89" s="14">
        <f>K89/F89</f>
        <v>0.31314244523007367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"/>
      <c r="B90" s="2"/>
      <c r="C90" s="4"/>
      <c r="D90" s="2"/>
      <c r="E90" s="2"/>
      <c r="F90" s="2"/>
      <c r="G90" s="2"/>
      <c r="H90" s="2"/>
      <c r="I90" s="2"/>
      <c r="J90" s="2"/>
      <c r="K90" s="2"/>
      <c r="L90" s="3"/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"/>
      <c r="B91" s="2"/>
      <c r="C91" s="4"/>
      <c r="D91" s="2"/>
      <c r="E91" s="2"/>
      <c r="F91" s="2"/>
      <c r="G91" s="2"/>
      <c r="H91" s="2"/>
      <c r="I91" s="2"/>
      <c r="J91" s="2"/>
      <c r="K91" s="2"/>
      <c r="L91" s="3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"/>
      <c r="B92" s="2"/>
      <c r="C92" s="4"/>
      <c r="D92" s="2"/>
      <c r="E92" s="2"/>
      <c r="F92" s="2"/>
      <c r="G92" s="2"/>
      <c r="H92" s="2"/>
      <c r="I92" s="2"/>
      <c r="J92" s="2"/>
      <c r="K92" s="2"/>
      <c r="L92" s="3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"/>
      <c r="B93" s="1"/>
      <c r="C93" s="1"/>
      <c r="D93" s="2"/>
      <c r="E93" s="2"/>
      <c r="F93" s="5"/>
      <c r="G93" s="2"/>
      <c r="H93" s="2"/>
      <c r="I93" s="2"/>
      <c r="J93" s="2"/>
      <c r="K93" s="2"/>
      <c r="L93" s="3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88" t="s">
        <v>57</v>
      </c>
      <c r="B94" s="89"/>
      <c r="C94" s="89"/>
      <c r="D94" s="2"/>
      <c r="E94" s="7" t="s">
        <v>179</v>
      </c>
      <c r="F94" s="8">
        <v>46119</v>
      </c>
      <c r="G94" s="2"/>
      <c r="H94" s="2"/>
      <c r="I94" s="91" t="s">
        <v>2</v>
      </c>
      <c r="J94" s="89"/>
      <c r="K94" s="89"/>
      <c r="L94" s="3"/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"/>
      <c r="B95" s="2"/>
      <c r="C95" s="5"/>
      <c r="D95" s="2"/>
      <c r="E95" s="2"/>
      <c r="F95" s="2"/>
      <c r="G95" s="2"/>
      <c r="H95" s="2"/>
      <c r="I95" s="2"/>
      <c r="J95" s="2"/>
      <c r="K95" s="2"/>
      <c r="L95" s="3"/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6" t="s">
        <v>3</v>
      </c>
      <c r="B96" s="10" t="s">
        <v>4</v>
      </c>
      <c r="C96" s="11" t="s">
        <v>5</v>
      </c>
      <c r="D96" s="10" t="s">
        <v>6</v>
      </c>
      <c r="E96" s="10" t="s">
        <v>7</v>
      </c>
      <c r="F96" s="10" t="s">
        <v>8</v>
      </c>
      <c r="G96" s="2"/>
      <c r="H96" s="2"/>
      <c r="I96" s="10" t="s">
        <v>9</v>
      </c>
      <c r="J96" s="10" t="s">
        <v>7</v>
      </c>
      <c r="K96" s="10" t="s">
        <v>10</v>
      </c>
      <c r="L96" s="3"/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10.199999999999999</v>
      </c>
      <c r="B97" s="10" t="s">
        <v>17</v>
      </c>
      <c r="C97" s="11" t="s">
        <v>123</v>
      </c>
      <c r="D97" s="13">
        <v>3200</v>
      </c>
      <c r="E97" s="13">
        <f t="shared" ref="E97:E125" si="12">A97*D97</f>
        <v>32639.999999999996</v>
      </c>
      <c r="F97" s="13">
        <f t="shared" ref="F97:F124" si="13">E97*1.105</f>
        <v>36067.199999999997</v>
      </c>
      <c r="G97" s="2"/>
      <c r="H97" s="2"/>
      <c r="I97" s="13">
        <f>32000/15</f>
        <v>2133.3333333333335</v>
      </c>
      <c r="J97" s="13">
        <f t="shared" ref="J97:J125" si="14">I97*A97</f>
        <v>21760</v>
      </c>
      <c r="K97" s="13">
        <f t="shared" ref="K97:K125" si="15">F97-J97</f>
        <v>14307.199999999997</v>
      </c>
      <c r="L97" s="14">
        <f t="shared" ref="L97:L125" si="16">IFERROR(K97/E97, 0)</f>
        <v>0.4383333333333333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23</v>
      </c>
      <c r="C98" s="11" t="s">
        <v>26</v>
      </c>
      <c r="D98" s="13">
        <v>26000</v>
      </c>
      <c r="E98" s="13">
        <f t="shared" si="12"/>
        <v>52000</v>
      </c>
      <c r="F98" s="13">
        <f t="shared" si="13"/>
        <v>57460</v>
      </c>
      <c r="G98" s="2"/>
      <c r="H98" s="2"/>
      <c r="I98" s="13">
        <v>25000</v>
      </c>
      <c r="J98" s="13">
        <f t="shared" si="14"/>
        <v>50000</v>
      </c>
      <c r="K98" s="13">
        <f t="shared" si="15"/>
        <v>7460</v>
      </c>
      <c r="L98" s="14">
        <f t="shared" si="16"/>
        <v>0.14346153846153847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3</v>
      </c>
      <c r="B99" s="10" t="s">
        <v>17</v>
      </c>
      <c r="C99" s="11" t="s">
        <v>62</v>
      </c>
      <c r="D99" s="13">
        <v>3000</v>
      </c>
      <c r="E99" s="13">
        <f t="shared" si="12"/>
        <v>9000</v>
      </c>
      <c r="F99" s="13">
        <f t="shared" si="13"/>
        <v>9945</v>
      </c>
      <c r="G99" s="2"/>
      <c r="H99" s="2"/>
      <c r="I99" s="13">
        <f>32000/17</f>
        <v>1882.3529411764705</v>
      </c>
      <c r="J99" s="13">
        <f t="shared" si="14"/>
        <v>5647.0588235294117</v>
      </c>
      <c r="K99" s="13">
        <f t="shared" si="15"/>
        <v>4297.9411764705883</v>
      </c>
      <c r="L99" s="14">
        <f t="shared" si="16"/>
        <v>0.47754901960784313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10</v>
      </c>
      <c r="B100" s="10" t="s">
        <v>17</v>
      </c>
      <c r="C100" s="11" t="s">
        <v>24</v>
      </c>
      <c r="D100" s="13">
        <v>3600</v>
      </c>
      <c r="E100" s="13">
        <f t="shared" si="12"/>
        <v>36000</v>
      </c>
      <c r="F100" s="13">
        <f t="shared" si="13"/>
        <v>39780</v>
      </c>
      <c r="G100" s="2"/>
      <c r="H100" s="2"/>
      <c r="I100" s="13">
        <f>50000/17</f>
        <v>2941.1764705882351</v>
      </c>
      <c r="J100" s="13">
        <f t="shared" si="14"/>
        <v>29411.76470588235</v>
      </c>
      <c r="K100" s="13">
        <f t="shared" si="15"/>
        <v>10368.23529411765</v>
      </c>
      <c r="L100" s="14">
        <f t="shared" si="16"/>
        <v>0.28800653594771253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7</v>
      </c>
      <c r="B101" s="10" t="s">
        <v>21</v>
      </c>
      <c r="C101" s="11" t="s">
        <v>22</v>
      </c>
      <c r="D101" s="13">
        <v>1700</v>
      </c>
      <c r="E101" s="13">
        <f t="shared" si="12"/>
        <v>11900</v>
      </c>
      <c r="F101" s="13">
        <f t="shared" si="13"/>
        <v>13149.5</v>
      </c>
      <c r="G101" s="2"/>
      <c r="H101" s="2"/>
      <c r="I101" s="13">
        <v>1070</v>
      </c>
      <c r="J101" s="13">
        <f t="shared" si="14"/>
        <v>7490</v>
      </c>
      <c r="K101" s="13">
        <f t="shared" si="15"/>
        <v>5659.5</v>
      </c>
      <c r="L101" s="14">
        <f t="shared" si="16"/>
        <v>0.47558823529411764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0.8</v>
      </c>
      <c r="B102" s="10" t="s">
        <v>17</v>
      </c>
      <c r="C102" s="11" t="s">
        <v>93</v>
      </c>
      <c r="D102" s="13">
        <v>3000</v>
      </c>
      <c r="E102" s="13">
        <f t="shared" si="12"/>
        <v>2400</v>
      </c>
      <c r="F102" s="13">
        <f t="shared" si="13"/>
        <v>2652</v>
      </c>
      <c r="G102" s="2"/>
      <c r="H102" s="2"/>
      <c r="I102" s="13">
        <f>7000/6</f>
        <v>1166.6666666666667</v>
      </c>
      <c r="J102" s="13">
        <f t="shared" si="14"/>
        <v>933.33333333333348</v>
      </c>
      <c r="K102" s="13">
        <f t="shared" si="15"/>
        <v>1718.6666666666665</v>
      </c>
      <c r="L102" s="14">
        <f t="shared" si="16"/>
        <v>0.71611111111111103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1</v>
      </c>
      <c r="B103" s="10" t="s">
        <v>17</v>
      </c>
      <c r="C103" s="11" t="s">
        <v>18</v>
      </c>
      <c r="D103" s="13">
        <v>1600</v>
      </c>
      <c r="E103" s="13">
        <f t="shared" si="12"/>
        <v>1600</v>
      </c>
      <c r="F103" s="13">
        <f t="shared" si="13"/>
        <v>1768</v>
      </c>
      <c r="G103" s="2"/>
      <c r="H103" s="2"/>
      <c r="I103" s="13">
        <v>1000</v>
      </c>
      <c r="J103" s="13">
        <f t="shared" si="14"/>
        <v>1000</v>
      </c>
      <c r="K103" s="13">
        <f t="shared" si="15"/>
        <v>768</v>
      </c>
      <c r="L103" s="14">
        <f t="shared" si="16"/>
        <v>0.48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1</v>
      </c>
      <c r="B104" s="10" t="s">
        <v>17</v>
      </c>
      <c r="C104" s="11" t="s">
        <v>56</v>
      </c>
      <c r="D104" s="13">
        <v>800</v>
      </c>
      <c r="E104" s="13">
        <f t="shared" si="12"/>
        <v>800</v>
      </c>
      <c r="F104" s="13">
        <f t="shared" si="13"/>
        <v>884</v>
      </c>
      <c r="G104" s="2"/>
      <c r="H104" s="2"/>
      <c r="I104" s="13">
        <f>10000/15</f>
        <v>666.66666666666663</v>
      </c>
      <c r="J104" s="13">
        <f t="shared" si="14"/>
        <v>666.66666666666663</v>
      </c>
      <c r="K104" s="13">
        <f t="shared" si="15"/>
        <v>217.33333333333337</v>
      </c>
      <c r="L104" s="14">
        <f t="shared" si="16"/>
        <v>0.27166666666666672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15</v>
      </c>
      <c r="C105" s="11" t="s">
        <v>40</v>
      </c>
      <c r="D105" s="13">
        <v>12000</v>
      </c>
      <c r="E105" s="13">
        <f t="shared" si="12"/>
        <v>24000</v>
      </c>
      <c r="F105" s="13">
        <f t="shared" si="13"/>
        <v>26520</v>
      </c>
      <c r="G105" s="2"/>
      <c r="H105" s="2"/>
      <c r="I105" s="13">
        <v>7000</v>
      </c>
      <c r="J105" s="13">
        <f t="shared" si="14"/>
        <v>14000</v>
      </c>
      <c r="K105" s="13">
        <f t="shared" si="15"/>
        <v>12520</v>
      </c>
      <c r="L105" s="14">
        <f t="shared" si="16"/>
        <v>0.52166666666666661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4</v>
      </c>
      <c r="B106" s="10" t="s">
        <v>17</v>
      </c>
      <c r="C106" s="11" t="s">
        <v>82</v>
      </c>
      <c r="D106" s="13">
        <v>1400</v>
      </c>
      <c r="E106" s="13">
        <f t="shared" si="12"/>
        <v>5600</v>
      </c>
      <c r="F106" s="13">
        <f t="shared" si="13"/>
        <v>6188</v>
      </c>
      <c r="G106" s="2"/>
      <c r="H106" s="2"/>
      <c r="I106" s="13">
        <f>15000/14</f>
        <v>1071.4285714285713</v>
      </c>
      <c r="J106" s="13">
        <f t="shared" si="14"/>
        <v>4285.7142857142853</v>
      </c>
      <c r="K106" s="13">
        <f t="shared" si="15"/>
        <v>1902.2857142857147</v>
      </c>
      <c r="L106" s="14">
        <f t="shared" si="16"/>
        <v>0.33969387755102048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2</v>
      </c>
      <c r="B107" s="10" t="s">
        <v>17</v>
      </c>
      <c r="C107" s="11" t="s">
        <v>61</v>
      </c>
      <c r="D107" s="13">
        <v>1400</v>
      </c>
      <c r="E107" s="13">
        <f t="shared" si="12"/>
        <v>2800</v>
      </c>
      <c r="F107" s="13">
        <f t="shared" si="13"/>
        <v>3094</v>
      </c>
      <c r="G107" s="2"/>
      <c r="H107" s="2"/>
      <c r="I107" s="13">
        <f>12000/14</f>
        <v>857.14285714285711</v>
      </c>
      <c r="J107" s="13">
        <f t="shared" si="14"/>
        <v>1714.2857142857142</v>
      </c>
      <c r="K107" s="13">
        <f t="shared" si="15"/>
        <v>1379.7142857142858</v>
      </c>
      <c r="L107" s="14">
        <f t="shared" si="16"/>
        <v>0.49275510204081635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</v>
      </c>
      <c r="B108" s="10" t="s">
        <v>17</v>
      </c>
      <c r="C108" s="11" t="s">
        <v>99</v>
      </c>
      <c r="D108" s="13">
        <v>1500</v>
      </c>
      <c r="E108" s="13">
        <f t="shared" si="12"/>
        <v>3000</v>
      </c>
      <c r="F108" s="13">
        <f t="shared" si="13"/>
        <v>3315</v>
      </c>
      <c r="G108" s="2"/>
      <c r="H108" s="2"/>
      <c r="I108" s="13">
        <f>10000/8</f>
        <v>1250</v>
      </c>
      <c r="J108" s="13">
        <f t="shared" si="14"/>
        <v>2500</v>
      </c>
      <c r="K108" s="13">
        <f t="shared" si="15"/>
        <v>815</v>
      </c>
      <c r="L108" s="14">
        <f t="shared" si="16"/>
        <v>0.27166666666666667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14</v>
      </c>
      <c r="B109" s="10" t="s">
        <v>17</v>
      </c>
      <c r="C109" s="11" t="s">
        <v>39</v>
      </c>
      <c r="D109" s="13">
        <v>2400</v>
      </c>
      <c r="E109" s="13">
        <f t="shared" si="12"/>
        <v>33600</v>
      </c>
      <c r="F109" s="13">
        <f t="shared" si="13"/>
        <v>37128</v>
      </c>
      <c r="G109" s="2"/>
      <c r="H109" s="2"/>
      <c r="I109" s="13">
        <f>25000/15</f>
        <v>1666.6666666666667</v>
      </c>
      <c r="J109" s="13">
        <f t="shared" si="14"/>
        <v>23333.333333333336</v>
      </c>
      <c r="K109" s="13">
        <f t="shared" si="15"/>
        <v>13794.666666666664</v>
      </c>
      <c r="L109" s="14">
        <f t="shared" si="16"/>
        <v>0.41055555555555551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0.2</v>
      </c>
      <c r="B110" s="10" t="s">
        <v>17</v>
      </c>
      <c r="C110" s="11" t="s">
        <v>64</v>
      </c>
      <c r="D110" s="13">
        <v>2500</v>
      </c>
      <c r="E110" s="13">
        <f t="shared" si="12"/>
        <v>500</v>
      </c>
      <c r="F110" s="13">
        <f t="shared" si="13"/>
        <v>552.5</v>
      </c>
      <c r="G110" s="2"/>
      <c r="H110" s="2"/>
      <c r="I110" s="13">
        <f>9000/8</f>
        <v>1125</v>
      </c>
      <c r="J110" s="13">
        <f t="shared" si="14"/>
        <v>225</v>
      </c>
      <c r="K110" s="13">
        <f t="shared" si="15"/>
        <v>327.5</v>
      </c>
      <c r="L110" s="14">
        <f t="shared" si="16"/>
        <v>0.65500000000000003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2</v>
      </c>
      <c r="B111" s="10" t="s">
        <v>17</v>
      </c>
      <c r="C111" s="11" t="s">
        <v>36</v>
      </c>
      <c r="D111" s="13">
        <v>1800</v>
      </c>
      <c r="E111" s="13">
        <f t="shared" si="12"/>
        <v>3600</v>
      </c>
      <c r="F111" s="13">
        <f t="shared" si="13"/>
        <v>3978</v>
      </c>
      <c r="G111" s="2"/>
      <c r="H111" s="2"/>
      <c r="I111" s="13">
        <v>1000</v>
      </c>
      <c r="J111" s="13">
        <f t="shared" si="14"/>
        <v>2000</v>
      </c>
      <c r="K111" s="13">
        <f t="shared" si="15"/>
        <v>1978</v>
      </c>
      <c r="L111" s="14">
        <f t="shared" si="16"/>
        <v>0.5494444444444444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2.2000000000000002</v>
      </c>
      <c r="B112" s="10" t="s">
        <v>17</v>
      </c>
      <c r="C112" s="11" t="s">
        <v>38</v>
      </c>
      <c r="D112" s="13">
        <v>1800</v>
      </c>
      <c r="E112" s="13">
        <f t="shared" si="12"/>
        <v>3960.0000000000005</v>
      </c>
      <c r="F112" s="13">
        <f t="shared" si="13"/>
        <v>4375.8</v>
      </c>
      <c r="G112" s="2"/>
      <c r="H112" s="2"/>
      <c r="I112" s="13">
        <v>1000</v>
      </c>
      <c r="J112" s="13">
        <f t="shared" si="14"/>
        <v>2200</v>
      </c>
      <c r="K112" s="13">
        <f t="shared" si="15"/>
        <v>2175.8000000000002</v>
      </c>
      <c r="L112" s="14">
        <f t="shared" si="16"/>
        <v>0.5494444444444444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1</v>
      </c>
      <c r="B113" s="10" t="s">
        <v>21</v>
      </c>
      <c r="C113" s="11" t="s">
        <v>28</v>
      </c>
      <c r="D113" s="13">
        <v>3000</v>
      </c>
      <c r="E113" s="13">
        <f t="shared" si="12"/>
        <v>3000</v>
      </c>
      <c r="F113" s="13">
        <f t="shared" si="13"/>
        <v>3315</v>
      </c>
      <c r="G113" s="2"/>
      <c r="H113" s="2"/>
      <c r="I113" s="13">
        <v>2000</v>
      </c>
      <c r="J113" s="13">
        <f t="shared" si="14"/>
        <v>2000</v>
      </c>
      <c r="K113" s="13">
        <f t="shared" si="15"/>
        <v>1315</v>
      </c>
      <c r="L113" s="14">
        <f t="shared" si="16"/>
        <v>0.43833333333333335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1</v>
      </c>
      <c r="B114" s="10" t="s">
        <v>21</v>
      </c>
      <c r="C114" s="11" t="s">
        <v>133</v>
      </c>
      <c r="D114" s="13">
        <v>3000</v>
      </c>
      <c r="E114" s="13">
        <f t="shared" si="12"/>
        <v>3000</v>
      </c>
      <c r="F114" s="13">
        <f t="shared" si="13"/>
        <v>3315</v>
      </c>
      <c r="G114" s="2"/>
      <c r="H114" s="2"/>
      <c r="I114" s="13">
        <v>2000</v>
      </c>
      <c r="J114" s="13">
        <f t="shared" si="14"/>
        <v>2000</v>
      </c>
      <c r="K114" s="13">
        <f t="shared" si="15"/>
        <v>1315</v>
      </c>
      <c r="L114" s="14">
        <f t="shared" si="16"/>
        <v>0.43833333333333335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1</v>
      </c>
      <c r="B115" s="10" t="s">
        <v>21</v>
      </c>
      <c r="C115" s="11" t="s">
        <v>29</v>
      </c>
      <c r="D115" s="13">
        <v>3500</v>
      </c>
      <c r="E115" s="13">
        <f t="shared" si="12"/>
        <v>3500</v>
      </c>
      <c r="F115" s="13">
        <f t="shared" si="13"/>
        <v>3867.5</v>
      </c>
      <c r="G115" s="2"/>
      <c r="H115" s="2"/>
      <c r="I115" s="13">
        <v>1500</v>
      </c>
      <c r="J115" s="13">
        <f t="shared" si="14"/>
        <v>1500</v>
      </c>
      <c r="K115" s="13">
        <f t="shared" si="15"/>
        <v>2367.5</v>
      </c>
      <c r="L115" s="14">
        <f t="shared" si="16"/>
        <v>0.67642857142857138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17</v>
      </c>
      <c r="C116" s="11" t="s">
        <v>31</v>
      </c>
      <c r="D116" s="13">
        <v>3200</v>
      </c>
      <c r="E116" s="13">
        <f t="shared" si="12"/>
        <v>3200</v>
      </c>
      <c r="F116" s="13">
        <f t="shared" si="13"/>
        <v>3536</v>
      </c>
      <c r="G116" s="2"/>
      <c r="H116" s="2"/>
      <c r="I116" s="13">
        <f>20000/7</f>
        <v>2857.1428571428573</v>
      </c>
      <c r="J116" s="13">
        <f t="shared" si="14"/>
        <v>2857.1428571428573</v>
      </c>
      <c r="K116" s="13">
        <f t="shared" si="15"/>
        <v>678.85714285714266</v>
      </c>
      <c r="L116" s="14">
        <f t="shared" si="16"/>
        <v>0.21214285714285708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1</v>
      </c>
      <c r="B117" s="10" t="s">
        <v>17</v>
      </c>
      <c r="C117" s="11" t="s">
        <v>32</v>
      </c>
      <c r="D117" s="13">
        <v>2400</v>
      </c>
      <c r="E117" s="13">
        <f t="shared" si="12"/>
        <v>2400</v>
      </c>
      <c r="F117" s="13">
        <f t="shared" si="13"/>
        <v>2652</v>
      </c>
      <c r="G117" s="2"/>
      <c r="H117" s="2"/>
      <c r="I117" s="13">
        <f>12000/7</f>
        <v>1714.2857142857142</v>
      </c>
      <c r="J117" s="13">
        <f t="shared" si="14"/>
        <v>1714.2857142857142</v>
      </c>
      <c r="K117" s="13">
        <f t="shared" si="15"/>
        <v>937.71428571428578</v>
      </c>
      <c r="L117" s="14">
        <f t="shared" si="16"/>
        <v>0.39071428571428574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1</v>
      </c>
      <c r="B118" s="10" t="s">
        <v>17</v>
      </c>
      <c r="C118" s="11" t="s">
        <v>33</v>
      </c>
      <c r="D118" s="13">
        <v>2800</v>
      </c>
      <c r="E118" s="13">
        <f t="shared" si="12"/>
        <v>2800</v>
      </c>
      <c r="F118" s="13">
        <f t="shared" si="13"/>
        <v>3094</v>
      </c>
      <c r="G118" s="2"/>
      <c r="H118" s="2"/>
      <c r="I118" s="13">
        <f>15000/7</f>
        <v>2142.8571428571427</v>
      </c>
      <c r="J118" s="13">
        <f t="shared" si="14"/>
        <v>2142.8571428571427</v>
      </c>
      <c r="K118" s="13">
        <f t="shared" si="15"/>
        <v>951.14285714285734</v>
      </c>
      <c r="L118" s="14">
        <f t="shared" si="16"/>
        <v>0.33969387755102048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2</v>
      </c>
      <c r="B119" s="10" t="s">
        <v>4</v>
      </c>
      <c r="C119" s="11" t="s">
        <v>14</v>
      </c>
      <c r="D119" s="13">
        <v>2600</v>
      </c>
      <c r="E119" s="13">
        <f t="shared" si="12"/>
        <v>5200</v>
      </c>
      <c r="F119" s="13">
        <f t="shared" si="13"/>
        <v>5746</v>
      </c>
      <c r="G119" s="2"/>
      <c r="H119" s="2"/>
      <c r="I119" s="13">
        <f>15000/8</f>
        <v>1875</v>
      </c>
      <c r="J119" s="13">
        <f t="shared" si="14"/>
        <v>3750</v>
      </c>
      <c r="K119" s="13">
        <f t="shared" si="15"/>
        <v>1996</v>
      </c>
      <c r="L119" s="14">
        <f t="shared" si="16"/>
        <v>0.38384615384615384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15</v>
      </c>
      <c r="B120" s="10" t="s">
        <v>21</v>
      </c>
      <c r="C120" s="11" t="s">
        <v>46</v>
      </c>
      <c r="D120" s="13">
        <v>600</v>
      </c>
      <c r="E120" s="13">
        <f t="shared" si="12"/>
        <v>9000</v>
      </c>
      <c r="F120" s="13">
        <f t="shared" si="13"/>
        <v>9945</v>
      </c>
      <c r="G120" s="2"/>
      <c r="H120" s="2"/>
      <c r="I120" s="13">
        <f>8000/24</f>
        <v>333.33333333333331</v>
      </c>
      <c r="J120" s="13">
        <f t="shared" si="14"/>
        <v>5000</v>
      </c>
      <c r="K120" s="13">
        <f t="shared" si="15"/>
        <v>4945</v>
      </c>
      <c r="L120" s="14">
        <f t="shared" si="16"/>
        <v>0.5494444444444444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1</v>
      </c>
      <c r="B121" s="10" t="s">
        <v>17</v>
      </c>
      <c r="C121" s="11" t="s">
        <v>35</v>
      </c>
      <c r="D121" s="13">
        <v>2500</v>
      </c>
      <c r="E121" s="13">
        <f t="shared" si="12"/>
        <v>2500</v>
      </c>
      <c r="F121" s="13">
        <f t="shared" si="13"/>
        <v>2762.5</v>
      </c>
      <c r="G121" s="2"/>
      <c r="H121" s="2"/>
      <c r="I121" s="13">
        <f>14000/9</f>
        <v>1555.5555555555557</v>
      </c>
      <c r="J121" s="13">
        <f t="shared" si="14"/>
        <v>1555.5555555555557</v>
      </c>
      <c r="K121" s="13">
        <f t="shared" si="15"/>
        <v>1206.9444444444443</v>
      </c>
      <c r="L121" s="14">
        <f t="shared" si="16"/>
        <v>0.48277777777777775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4</v>
      </c>
      <c r="B122" s="10" t="s">
        <v>15</v>
      </c>
      <c r="C122" s="11" t="s">
        <v>27</v>
      </c>
      <c r="D122" s="13">
        <v>23000</v>
      </c>
      <c r="E122" s="13">
        <f t="shared" si="12"/>
        <v>92000</v>
      </c>
      <c r="F122" s="13">
        <f t="shared" si="13"/>
        <v>101660</v>
      </c>
      <c r="G122" s="2"/>
      <c r="H122" s="2"/>
      <c r="I122" s="13">
        <v>17500</v>
      </c>
      <c r="J122" s="13">
        <f t="shared" si="14"/>
        <v>70000</v>
      </c>
      <c r="K122" s="13">
        <f t="shared" si="15"/>
        <v>31660</v>
      </c>
      <c r="L122" s="14">
        <f t="shared" si="16"/>
        <v>0.34413043478260869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7.8</v>
      </c>
      <c r="B123" s="10" t="s">
        <v>17</v>
      </c>
      <c r="C123" s="11" t="s">
        <v>16</v>
      </c>
      <c r="D123" s="13">
        <v>1000</v>
      </c>
      <c r="E123" s="13">
        <f t="shared" si="12"/>
        <v>7800</v>
      </c>
      <c r="F123" s="13">
        <f t="shared" si="13"/>
        <v>8619</v>
      </c>
      <c r="G123" s="2"/>
      <c r="H123" s="2"/>
      <c r="I123" s="13">
        <f>7000/15</f>
        <v>466.66666666666669</v>
      </c>
      <c r="J123" s="13">
        <f t="shared" si="14"/>
        <v>3640</v>
      </c>
      <c r="K123" s="13">
        <f t="shared" si="15"/>
        <v>4979</v>
      </c>
      <c r="L123" s="14">
        <f t="shared" si="16"/>
        <v>0.63833333333333331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0.25</v>
      </c>
      <c r="B124" s="10" t="s">
        <v>17</v>
      </c>
      <c r="C124" s="11" t="s">
        <v>88</v>
      </c>
      <c r="D124" s="13">
        <v>2400</v>
      </c>
      <c r="E124" s="13">
        <f t="shared" si="12"/>
        <v>600</v>
      </c>
      <c r="F124" s="13">
        <f t="shared" si="13"/>
        <v>663</v>
      </c>
      <c r="G124" s="2"/>
      <c r="H124" s="2"/>
      <c r="I124" s="13">
        <f>20000/15</f>
        <v>1333.3333333333333</v>
      </c>
      <c r="J124" s="13">
        <f t="shared" si="14"/>
        <v>333.33333333333331</v>
      </c>
      <c r="K124" s="13">
        <f t="shared" si="15"/>
        <v>329.66666666666669</v>
      </c>
      <c r="L124" s="14">
        <f t="shared" si="16"/>
        <v>0.54944444444444451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5</v>
      </c>
      <c r="B125" s="10" t="s">
        <v>11</v>
      </c>
      <c r="C125" s="11" t="s">
        <v>12</v>
      </c>
      <c r="D125" s="13">
        <v>4500</v>
      </c>
      <c r="E125" s="13">
        <f t="shared" si="12"/>
        <v>22500</v>
      </c>
      <c r="F125" s="13">
        <f>E125*1.21</f>
        <v>27225</v>
      </c>
      <c r="G125" s="2"/>
      <c r="H125" s="2"/>
      <c r="I125" s="13">
        <f>50000/12</f>
        <v>4166.666666666667</v>
      </c>
      <c r="J125" s="13">
        <f t="shared" si="14"/>
        <v>20833.333333333336</v>
      </c>
      <c r="K125" s="13">
        <f t="shared" si="15"/>
        <v>6391.6666666666642</v>
      </c>
      <c r="L125" s="14">
        <f t="shared" si="16"/>
        <v>0.28407407407407398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5"/>
      <c r="B126" s="2"/>
      <c r="C126" s="4"/>
      <c r="D126" s="2"/>
      <c r="E126" s="2"/>
      <c r="F126" s="2"/>
      <c r="G126" s="2"/>
      <c r="H126" s="2"/>
      <c r="I126" s="2"/>
      <c r="J126" s="2"/>
      <c r="K126" s="2"/>
      <c r="L126" s="3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"/>
      <c r="B127" s="2"/>
      <c r="C127" s="4"/>
      <c r="D127" s="2"/>
      <c r="E127" s="13">
        <f t="shared" ref="E127:F127" si="17">SUM(E97:E125)</f>
        <v>380900</v>
      </c>
      <c r="F127" s="13">
        <f t="shared" si="17"/>
        <v>423257</v>
      </c>
      <c r="G127" s="2"/>
      <c r="H127" s="2"/>
      <c r="I127" s="2"/>
      <c r="J127" s="2"/>
      <c r="K127" s="13">
        <f>SUM(K97:K125)</f>
        <v>138763.33520074695</v>
      </c>
      <c r="L127" s="14">
        <f>K127/F127</f>
        <v>0.32784652161865474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88" t="s">
        <v>63</v>
      </c>
      <c r="B132" s="89"/>
      <c r="C132" s="89"/>
      <c r="D132" s="2"/>
      <c r="E132" s="7" t="s">
        <v>179</v>
      </c>
      <c r="F132" s="8">
        <v>46119</v>
      </c>
      <c r="G132" s="7"/>
      <c r="H132" s="2"/>
      <c r="I132" s="91" t="s">
        <v>2</v>
      </c>
      <c r="J132" s="89"/>
      <c r="K132" s="89"/>
      <c r="L132" s="3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3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6" t="s">
        <v>3</v>
      </c>
      <c r="B134" s="10" t="s">
        <v>4</v>
      </c>
      <c r="C134" s="11" t="s">
        <v>5</v>
      </c>
      <c r="D134" s="10" t="s">
        <v>6</v>
      </c>
      <c r="E134" s="10" t="s">
        <v>7</v>
      </c>
      <c r="F134" s="10" t="s">
        <v>8</v>
      </c>
      <c r="G134" s="2"/>
      <c r="H134" s="2"/>
      <c r="I134" s="10" t="s">
        <v>9</v>
      </c>
      <c r="J134" s="10" t="s">
        <v>7</v>
      </c>
      <c r="K134" s="10" t="s">
        <v>10</v>
      </c>
      <c r="L134" s="3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1</v>
      </c>
      <c r="B135" s="10" t="s">
        <v>23</v>
      </c>
      <c r="C135" s="11" t="s">
        <v>123</v>
      </c>
      <c r="D135" s="13">
        <v>40000</v>
      </c>
      <c r="E135" s="13">
        <f t="shared" ref="E135:E142" si="18">A135*D135</f>
        <v>40000</v>
      </c>
      <c r="F135" s="13">
        <f t="shared" ref="F135:F142" si="19">E135*1.105</f>
        <v>44200</v>
      </c>
      <c r="G135" s="2"/>
      <c r="H135" s="2"/>
      <c r="I135" s="13">
        <v>32000</v>
      </c>
      <c r="J135" s="13">
        <f t="shared" ref="J135:J142" si="20">I135*A135</f>
        <v>32000</v>
      </c>
      <c r="K135" s="13">
        <f t="shared" ref="K135:K142" si="21">F135-J135</f>
        <v>12200</v>
      </c>
      <c r="L135" s="14">
        <f t="shared" ref="L135:L142" si="22">IFERROR(K135/E135, 0)</f>
        <v>0.30499999999999999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1</v>
      </c>
      <c r="B136" s="10" t="s">
        <v>21</v>
      </c>
      <c r="C136" s="11" t="s">
        <v>51</v>
      </c>
      <c r="D136" s="13">
        <v>1500</v>
      </c>
      <c r="E136" s="13">
        <f t="shared" si="18"/>
        <v>1500</v>
      </c>
      <c r="F136" s="13">
        <f t="shared" si="19"/>
        <v>1657.5</v>
      </c>
      <c r="G136" s="2"/>
      <c r="H136" s="2"/>
      <c r="I136" s="13">
        <v>1000</v>
      </c>
      <c r="J136" s="13">
        <f t="shared" si="20"/>
        <v>1000</v>
      </c>
      <c r="K136" s="13">
        <f t="shared" si="21"/>
        <v>657.5</v>
      </c>
      <c r="L136" s="14">
        <f t="shared" si="22"/>
        <v>0.43833333333333335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1</v>
      </c>
      <c r="B137" s="10" t="s">
        <v>17</v>
      </c>
      <c r="C137" s="11" t="s">
        <v>35</v>
      </c>
      <c r="D137" s="13">
        <v>2500</v>
      </c>
      <c r="E137" s="13">
        <f t="shared" si="18"/>
        <v>2500</v>
      </c>
      <c r="F137" s="13">
        <f t="shared" si="19"/>
        <v>2762.5</v>
      </c>
      <c r="G137" s="2"/>
      <c r="H137" s="2"/>
      <c r="I137" s="13">
        <f>14000/9</f>
        <v>1555.5555555555557</v>
      </c>
      <c r="J137" s="13">
        <f t="shared" si="20"/>
        <v>1555.5555555555557</v>
      </c>
      <c r="K137" s="13">
        <f t="shared" si="21"/>
        <v>1206.9444444444443</v>
      </c>
      <c r="L137" s="14">
        <f t="shared" si="22"/>
        <v>0.48277777777777775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</v>
      </c>
      <c r="B138" s="10" t="s">
        <v>15</v>
      </c>
      <c r="C138" s="11" t="s">
        <v>129</v>
      </c>
      <c r="D138" s="13">
        <v>16000</v>
      </c>
      <c r="E138" s="13">
        <f t="shared" si="18"/>
        <v>16000</v>
      </c>
      <c r="F138" s="13">
        <f t="shared" si="19"/>
        <v>17680</v>
      </c>
      <c r="G138" s="2"/>
      <c r="H138" s="2"/>
      <c r="I138" s="13">
        <v>12000</v>
      </c>
      <c r="J138" s="13">
        <f t="shared" si="20"/>
        <v>12000</v>
      </c>
      <c r="K138" s="13">
        <f t="shared" si="21"/>
        <v>5680</v>
      </c>
      <c r="L138" s="14">
        <f t="shared" si="22"/>
        <v>0.35499999999999998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2</v>
      </c>
      <c r="B139" s="10" t="s">
        <v>15</v>
      </c>
      <c r="C139" s="11" t="s">
        <v>48</v>
      </c>
      <c r="D139" s="13">
        <v>13000</v>
      </c>
      <c r="E139" s="13">
        <f t="shared" si="18"/>
        <v>26000</v>
      </c>
      <c r="F139" s="13">
        <f t="shared" si="19"/>
        <v>28730</v>
      </c>
      <c r="G139" s="2"/>
      <c r="H139" s="2"/>
      <c r="I139" s="13">
        <v>7000</v>
      </c>
      <c r="J139" s="13">
        <f t="shared" si="20"/>
        <v>14000</v>
      </c>
      <c r="K139" s="13">
        <f t="shared" si="21"/>
        <v>14730</v>
      </c>
      <c r="L139" s="14">
        <f t="shared" si="22"/>
        <v>0.56653846153846155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1</v>
      </c>
      <c r="B140" s="10" t="s">
        <v>15</v>
      </c>
      <c r="C140" s="11" t="s">
        <v>40</v>
      </c>
      <c r="D140" s="13">
        <v>12000</v>
      </c>
      <c r="E140" s="13">
        <f t="shared" si="18"/>
        <v>12000</v>
      </c>
      <c r="F140" s="13">
        <f t="shared" si="19"/>
        <v>13260</v>
      </c>
      <c r="G140" s="2"/>
      <c r="H140" s="2"/>
      <c r="I140" s="13">
        <v>7000</v>
      </c>
      <c r="J140" s="13">
        <f t="shared" si="20"/>
        <v>7000</v>
      </c>
      <c r="K140" s="13">
        <f t="shared" si="21"/>
        <v>6260</v>
      </c>
      <c r="L140" s="14">
        <f t="shared" si="22"/>
        <v>0.52166666666666661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2</v>
      </c>
      <c r="B141" s="10" t="s">
        <v>23</v>
      </c>
      <c r="C141" s="11" t="s">
        <v>26</v>
      </c>
      <c r="D141" s="13">
        <v>26000</v>
      </c>
      <c r="E141" s="13">
        <f t="shared" si="18"/>
        <v>52000</v>
      </c>
      <c r="F141" s="13">
        <f t="shared" si="19"/>
        <v>57460</v>
      </c>
      <c r="G141" s="2"/>
      <c r="H141" s="2"/>
      <c r="I141" s="13">
        <v>25000</v>
      </c>
      <c r="J141" s="13">
        <f t="shared" si="20"/>
        <v>50000</v>
      </c>
      <c r="K141" s="13">
        <f t="shared" si="21"/>
        <v>7460</v>
      </c>
      <c r="L141" s="14">
        <f t="shared" si="22"/>
        <v>0.14346153846153847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3</v>
      </c>
      <c r="B142" s="10" t="s">
        <v>17</v>
      </c>
      <c r="C142" s="11" t="s">
        <v>88</v>
      </c>
      <c r="D142" s="13">
        <v>2400</v>
      </c>
      <c r="E142" s="13">
        <f t="shared" si="18"/>
        <v>7200</v>
      </c>
      <c r="F142" s="13">
        <f t="shared" si="19"/>
        <v>7956</v>
      </c>
      <c r="G142" s="2"/>
      <c r="H142" s="2"/>
      <c r="I142" s="13">
        <f>20000/15</f>
        <v>1333.3333333333333</v>
      </c>
      <c r="J142" s="13">
        <f t="shared" si="20"/>
        <v>4000</v>
      </c>
      <c r="K142" s="13">
        <f t="shared" si="21"/>
        <v>3956</v>
      </c>
      <c r="L142" s="14">
        <f t="shared" si="22"/>
        <v>0.5494444444444444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"/>
      <c r="B143" s="2"/>
      <c r="C143" s="4"/>
      <c r="D143" s="2"/>
      <c r="E143" s="2"/>
      <c r="F143" s="2"/>
      <c r="G143" s="2"/>
      <c r="H143" s="2"/>
      <c r="I143" s="2"/>
      <c r="J143" s="2"/>
      <c r="K143" s="2"/>
      <c r="L143" s="3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"/>
      <c r="B144" s="2"/>
      <c r="C144" s="4"/>
      <c r="D144" s="2"/>
      <c r="E144" s="13">
        <f t="shared" ref="E144:F144" si="23">SUM(E135:E142)</f>
        <v>157200</v>
      </c>
      <c r="F144" s="13">
        <f t="shared" si="23"/>
        <v>173706</v>
      </c>
      <c r="G144" s="2"/>
      <c r="H144" s="2"/>
      <c r="I144" s="2"/>
      <c r="J144" s="2"/>
      <c r="K144" s="13">
        <f>SUM(K135:K142)</f>
        <v>52150.444444444445</v>
      </c>
      <c r="L144" s="14">
        <f>K144/F144</f>
        <v>0.30022247040657457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0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0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88" t="s">
        <v>70</v>
      </c>
      <c r="B147" s="89"/>
      <c r="C147" s="89"/>
      <c r="D147" s="2"/>
      <c r="E147" s="7" t="s">
        <v>71</v>
      </c>
      <c r="F147" s="8">
        <v>46119</v>
      </c>
      <c r="G147" s="2"/>
      <c r="H147" s="2"/>
      <c r="I147" s="91" t="s">
        <v>2</v>
      </c>
      <c r="J147" s="89"/>
      <c r="K147" s="89"/>
      <c r="L147" s="3"/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3"/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6" t="s">
        <v>3</v>
      </c>
      <c r="B149" s="10" t="s">
        <v>4</v>
      </c>
      <c r="C149" s="11" t="s">
        <v>5</v>
      </c>
      <c r="D149" s="10" t="s">
        <v>6</v>
      </c>
      <c r="E149" s="10" t="s">
        <v>7</v>
      </c>
      <c r="F149" s="10" t="s">
        <v>8</v>
      </c>
      <c r="G149" s="2"/>
      <c r="H149" s="2"/>
      <c r="I149" s="10" t="s">
        <v>9</v>
      </c>
      <c r="J149" s="10" t="s">
        <v>7</v>
      </c>
      <c r="K149" s="10" t="s">
        <v>10</v>
      </c>
      <c r="L149" s="3"/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15</v>
      </c>
      <c r="C150" s="11" t="s">
        <v>27</v>
      </c>
      <c r="D150" s="13">
        <v>23000</v>
      </c>
      <c r="E150" s="13">
        <f t="shared" ref="E150:E167" si="24">A150*D150</f>
        <v>23000</v>
      </c>
      <c r="F150" s="13">
        <f t="shared" ref="F150:F166" si="25">E150*1.105</f>
        <v>25415</v>
      </c>
      <c r="G150" s="2"/>
      <c r="H150" s="2"/>
      <c r="I150" s="13">
        <v>17500</v>
      </c>
      <c r="J150" s="13">
        <f t="shared" ref="J150:J167" si="26">I150*A150</f>
        <v>17500</v>
      </c>
      <c r="K150" s="13">
        <f t="shared" ref="K150:K167" si="27">F150-J150</f>
        <v>7915</v>
      </c>
      <c r="L150" s="18">
        <f t="shared" ref="L150:L167" si="28">IFERROR(K150/E150, 0)</f>
        <v>0.34413043478260869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1.5</v>
      </c>
      <c r="B151" s="10" t="s">
        <v>17</v>
      </c>
      <c r="C151" s="11" t="s">
        <v>31</v>
      </c>
      <c r="D151" s="13">
        <v>3200</v>
      </c>
      <c r="E151" s="13">
        <f t="shared" si="24"/>
        <v>4800</v>
      </c>
      <c r="F151" s="13">
        <f t="shared" si="25"/>
        <v>5304</v>
      </c>
      <c r="G151" s="2"/>
      <c r="H151" s="2"/>
      <c r="I151" s="13">
        <f>20000/7</f>
        <v>2857.1428571428573</v>
      </c>
      <c r="J151" s="13">
        <f t="shared" si="26"/>
        <v>4285.7142857142862</v>
      </c>
      <c r="K151" s="13">
        <f t="shared" si="27"/>
        <v>1018.2857142857138</v>
      </c>
      <c r="L151" s="18">
        <f t="shared" si="28"/>
        <v>0.21214285714285702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6</v>
      </c>
      <c r="B152" s="10" t="s">
        <v>17</v>
      </c>
      <c r="C152" s="11" t="s">
        <v>16</v>
      </c>
      <c r="D152" s="13">
        <v>1000</v>
      </c>
      <c r="E152" s="13">
        <f t="shared" si="24"/>
        <v>6000</v>
      </c>
      <c r="F152" s="13">
        <f t="shared" si="25"/>
        <v>6630</v>
      </c>
      <c r="G152" s="2"/>
      <c r="H152" s="2"/>
      <c r="I152" s="13">
        <f>7000/15</f>
        <v>466.66666666666669</v>
      </c>
      <c r="J152" s="13">
        <f t="shared" si="26"/>
        <v>2800</v>
      </c>
      <c r="K152" s="13">
        <f t="shared" si="27"/>
        <v>3830</v>
      </c>
      <c r="L152" s="18">
        <f t="shared" si="28"/>
        <v>0.63833333333333331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</v>
      </c>
      <c r="B153" s="10" t="s">
        <v>17</v>
      </c>
      <c r="C153" s="11" t="s">
        <v>99</v>
      </c>
      <c r="D153" s="13">
        <v>1500</v>
      </c>
      <c r="E153" s="13">
        <f t="shared" si="24"/>
        <v>1500</v>
      </c>
      <c r="F153" s="13">
        <f t="shared" si="25"/>
        <v>1657.5</v>
      </c>
      <c r="G153" s="2"/>
      <c r="H153" s="2"/>
      <c r="I153" s="13">
        <f>10000/8</f>
        <v>1250</v>
      </c>
      <c r="J153" s="13">
        <f t="shared" si="26"/>
        <v>1250</v>
      </c>
      <c r="K153" s="13">
        <f t="shared" si="27"/>
        <v>407.5</v>
      </c>
      <c r="L153" s="18">
        <f t="shared" si="28"/>
        <v>0.27166666666666667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4</v>
      </c>
      <c r="B154" s="10" t="s">
        <v>17</v>
      </c>
      <c r="C154" s="11" t="s">
        <v>56</v>
      </c>
      <c r="D154" s="13">
        <v>800</v>
      </c>
      <c r="E154" s="13">
        <f t="shared" si="24"/>
        <v>3200</v>
      </c>
      <c r="F154" s="13">
        <f t="shared" si="25"/>
        <v>3536</v>
      </c>
      <c r="G154" s="2"/>
      <c r="H154" s="2"/>
      <c r="I154" s="13">
        <f>10000/15</f>
        <v>666.66666666666663</v>
      </c>
      <c r="J154" s="13">
        <f t="shared" si="26"/>
        <v>2666.6666666666665</v>
      </c>
      <c r="K154" s="13">
        <f t="shared" si="27"/>
        <v>869.33333333333348</v>
      </c>
      <c r="L154" s="18">
        <f t="shared" si="28"/>
        <v>0.27166666666666672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5</v>
      </c>
      <c r="B155" s="10" t="s">
        <v>17</v>
      </c>
      <c r="C155" s="11" t="s">
        <v>39</v>
      </c>
      <c r="D155" s="13">
        <v>2400</v>
      </c>
      <c r="E155" s="13">
        <f t="shared" si="24"/>
        <v>12000</v>
      </c>
      <c r="F155" s="13">
        <f t="shared" si="25"/>
        <v>13260</v>
      </c>
      <c r="G155" s="2"/>
      <c r="H155" s="2"/>
      <c r="I155" s="13">
        <f>25000/15</f>
        <v>1666.6666666666667</v>
      </c>
      <c r="J155" s="13">
        <f t="shared" si="26"/>
        <v>8333.3333333333339</v>
      </c>
      <c r="K155" s="13">
        <f t="shared" si="27"/>
        <v>4926.6666666666661</v>
      </c>
      <c r="L155" s="18">
        <f t="shared" si="28"/>
        <v>0.41055555555555551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1.4</v>
      </c>
      <c r="B156" s="10" t="s">
        <v>17</v>
      </c>
      <c r="C156" s="11" t="s">
        <v>34</v>
      </c>
      <c r="D156" s="13">
        <v>5000</v>
      </c>
      <c r="E156" s="13">
        <f t="shared" si="24"/>
        <v>7000</v>
      </c>
      <c r="F156" s="13">
        <f t="shared" si="25"/>
        <v>7735</v>
      </c>
      <c r="G156" s="2"/>
      <c r="H156" s="2"/>
      <c r="I156" s="13">
        <v>3000</v>
      </c>
      <c r="J156" s="13">
        <f t="shared" si="26"/>
        <v>4200</v>
      </c>
      <c r="K156" s="13">
        <f t="shared" si="27"/>
        <v>3535</v>
      </c>
      <c r="L156" s="18">
        <f t="shared" si="28"/>
        <v>0.505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1</v>
      </c>
      <c r="B157" s="10" t="s">
        <v>17</v>
      </c>
      <c r="C157" s="11" t="s">
        <v>77</v>
      </c>
      <c r="D157" s="13">
        <v>2600</v>
      </c>
      <c r="E157" s="13">
        <f t="shared" si="24"/>
        <v>2600</v>
      </c>
      <c r="F157" s="13">
        <f t="shared" si="25"/>
        <v>2873</v>
      </c>
      <c r="G157" s="2"/>
      <c r="H157" s="2"/>
      <c r="I157" s="13">
        <v>1800</v>
      </c>
      <c r="J157" s="13">
        <f t="shared" si="26"/>
        <v>1800</v>
      </c>
      <c r="K157" s="13">
        <f t="shared" si="27"/>
        <v>1073</v>
      </c>
      <c r="L157" s="18">
        <f t="shared" si="28"/>
        <v>0.41269230769230769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1</v>
      </c>
      <c r="B158" s="10" t="s">
        <v>17</v>
      </c>
      <c r="C158" s="11" t="s">
        <v>82</v>
      </c>
      <c r="D158" s="13">
        <v>1400</v>
      </c>
      <c r="E158" s="13">
        <f t="shared" si="24"/>
        <v>1400</v>
      </c>
      <c r="F158" s="13">
        <f t="shared" si="25"/>
        <v>1547</v>
      </c>
      <c r="G158" s="2"/>
      <c r="H158" s="2"/>
      <c r="I158" s="13">
        <f>15000/14</f>
        <v>1071.4285714285713</v>
      </c>
      <c r="J158" s="13">
        <f t="shared" si="26"/>
        <v>1071.4285714285713</v>
      </c>
      <c r="K158" s="13">
        <f t="shared" si="27"/>
        <v>475.57142857142867</v>
      </c>
      <c r="L158" s="18">
        <f t="shared" si="28"/>
        <v>0.33969387755102048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1</v>
      </c>
      <c r="B159" s="10" t="s">
        <v>17</v>
      </c>
      <c r="C159" s="11" t="s">
        <v>88</v>
      </c>
      <c r="D159" s="13">
        <v>2400</v>
      </c>
      <c r="E159" s="13">
        <f t="shared" si="24"/>
        <v>2400</v>
      </c>
      <c r="F159" s="13">
        <f t="shared" si="25"/>
        <v>2652</v>
      </c>
      <c r="G159" s="2"/>
      <c r="H159" s="2"/>
      <c r="I159" s="13">
        <f>20000/15</f>
        <v>1333.3333333333333</v>
      </c>
      <c r="J159" s="13">
        <f t="shared" si="26"/>
        <v>1333.3333333333333</v>
      </c>
      <c r="K159" s="13">
        <f t="shared" si="27"/>
        <v>1318.6666666666667</v>
      </c>
      <c r="L159" s="18">
        <f t="shared" si="28"/>
        <v>0.54944444444444451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2</v>
      </c>
      <c r="B160" s="10" t="s">
        <v>17</v>
      </c>
      <c r="C160" s="11" t="s">
        <v>40</v>
      </c>
      <c r="D160" s="13">
        <v>1300</v>
      </c>
      <c r="E160" s="13">
        <f t="shared" si="24"/>
        <v>2600</v>
      </c>
      <c r="F160" s="13">
        <f t="shared" si="25"/>
        <v>2873</v>
      </c>
      <c r="G160" s="2"/>
      <c r="H160" s="2"/>
      <c r="I160" s="13">
        <v>1000</v>
      </c>
      <c r="J160" s="13">
        <f t="shared" si="26"/>
        <v>2000</v>
      </c>
      <c r="K160" s="13">
        <f t="shared" si="27"/>
        <v>873</v>
      </c>
      <c r="L160" s="18">
        <f t="shared" si="28"/>
        <v>0.33576923076923076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1</v>
      </c>
      <c r="B161" s="10" t="s">
        <v>17</v>
      </c>
      <c r="C161" s="11" t="s">
        <v>62</v>
      </c>
      <c r="D161" s="13">
        <v>3000</v>
      </c>
      <c r="E161" s="13">
        <f t="shared" si="24"/>
        <v>3000</v>
      </c>
      <c r="F161" s="13">
        <f t="shared" si="25"/>
        <v>3315</v>
      </c>
      <c r="G161" s="2"/>
      <c r="H161" s="2"/>
      <c r="I161" s="13">
        <f>32000/17</f>
        <v>1882.3529411764705</v>
      </c>
      <c r="J161" s="13">
        <f t="shared" si="26"/>
        <v>1882.3529411764705</v>
      </c>
      <c r="K161" s="13">
        <f t="shared" si="27"/>
        <v>1432.6470588235295</v>
      </c>
      <c r="L161" s="18">
        <f t="shared" si="28"/>
        <v>0.47754901960784318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4</v>
      </c>
      <c r="B162" s="10" t="s">
        <v>17</v>
      </c>
      <c r="C162" s="11" t="s">
        <v>26</v>
      </c>
      <c r="D162" s="13">
        <v>1800</v>
      </c>
      <c r="E162" s="13">
        <f t="shared" si="24"/>
        <v>7200</v>
      </c>
      <c r="F162" s="13">
        <f t="shared" si="25"/>
        <v>7956</v>
      </c>
      <c r="G162" s="2"/>
      <c r="H162" s="2"/>
      <c r="I162" s="13">
        <f>25000/15</f>
        <v>1666.6666666666667</v>
      </c>
      <c r="J162" s="13">
        <f t="shared" si="26"/>
        <v>6666.666666666667</v>
      </c>
      <c r="K162" s="13">
        <f t="shared" si="27"/>
        <v>1289.333333333333</v>
      </c>
      <c r="L162" s="18">
        <f t="shared" si="28"/>
        <v>0.17907407407407402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2">
        <v>1</v>
      </c>
      <c r="B163" s="10" t="s">
        <v>17</v>
      </c>
      <c r="C163" s="11" t="s">
        <v>25</v>
      </c>
      <c r="D163" s="13">
        <v>4500</v>
      </c>
      <c r="E163" s="13">
        <f t="shared" si="24"/>
        <v>4500</v>
      </c>
      <c r="F163" s="13">
        <f t="shared" si="25"/>
        <v>4972.5</v>
      </c>
      <c r="G163" s="2"/>
      <c r="H163" s="2"/>
      <c r="I163" s="13">
        <f>65000/17</f>
        <v>3823.5294117647059</v>
      </c>
      <c r="J163" s="13">
        <f t="shared" si="26"/>
        <v>3823.5294117647059</v>
      </c>
      <c r="K163" s="13">
        <f t="shared" si="27"/>
        <v>1148.9705882352941</v>
      </c>
      <c r="L163" s="18">
        <f t="shared" si="28"/>
        <v>0.25532679738562092</v>
      </c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2</v>
      </c>
      <c r="B164" s="10" t="s">
        <v>17</v>
      </c>
      <c r="C164" s="11" t="s">
        <v>24</v>
      </c>
      <c r="D164" s="13">
        <v>3600</v>
      </c>
      <c r="E164" s="13">
        <f t="shared" si="24"/>
        <v>7200</v>
      </c>
      <c r="F164" s="13">
        <f t="shared" si="25"/>
        <v>7956</v>
      </c>
      <c r="G164" s="2"/>
      <c r="H164" s="2"/>
      <c r="I164" s="13">
        <f>50000/17</f>
        <v>2941.1764705882351</v>
      </c>
      <c r="J164" s="13">
        <f t="shared" si="26"/>
        <v>5882.3529411764703</v>
      </c>
      <c r="K164" s="13">
        <f t="shared" si="27"/>
        <v>2073.6470588235297</v>
      </c>
      <c r="L164" s="18">
        <f t="shared" si="28"/>
        <v>0.28800653594771247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2">
        <v>1</v>
      </c>
      <c r="B165" s="10" t="s">
        <v>17</v>
      </c>
      <c r="C165" s="11" t="s">
        <v>123</v>
      </c>
      <c r="D165" s="13">
        <v>3200</v>
      </c>
      <c r="E165" s="13">
        <f t="shared" si="24"/>
        <v>3200</v>
      </c>
      <c r="F165" s="13">
        <f t="shared" si="25"/>
        <v>3536</v>
      </c>
      <c r="G165" s="2"/>
      <c r="H165" s="2"/>
      <c r="I165" s="13">
        <f>32000/15</f>
        <v>2133.3333333333335</v>
      </c>
      <c r="J165" s="13">
        <f t="shared" si="26"/>
        <v>2133.3333333333335</v>
      </c>
      <c r="K165" s="13">
        <f t="shared" si="27"/>
        <v>1402.6666666666665</v>
      </c>
      <c r="L165" s="18">
        <f t="shared" si="28"/>
        <v>0.4383333333333333</v>
      </c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2</v>
      </c>
      <c r="B166" s="10" t="s">
        <v>4</v>
      </c>
      <c r="C166" s="11" t="s">
        <v>13</v>
      </c>
      <c r="D166" s="13">
        <v>900</v>
      </c>
      <c r="E166" s="13">
        <f t="shared" si="24"/>
        <v>1800</v>
      </c>
      <c r="F166" s="13">
        <f t="shared" si="25"/>
        <v>1989</v>
      </c>
      <c r="G166" s="2"/>
      <c r="H166" s="2"/>
      <c r="I166" s="13">
        <v>460</v>
      </c>
      <c r="J166" s="13">
        <f t="shared" si="26"/>
        <v>920</v>
      </c>
      <c r="K166" s="13">
        <f t="shared" si="27"/>
        <v>1069</v>
      </c>
      <c r="L166" s="18">
        <f t="shared" si="28"/>
        <v>0.59388888888888891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0.5</v>
      </c>
      <c r="B167" s="10" t="s">
        <v>23</v>
      </c>
      <c r="C167" s="11" t="s">
        <v>12</v>
      </c>
      <c r="D167" s="13">
        <v>54000</v>
      </c>
      <c r="E167" s="13">
        <f t="shared" si="24"/>
        <v>27000</v>
      </c>
      <c r="F167" s="13">
        <f>E167*1.21</f>
        <v>32670</v>
      </c>
      <c r="G167" s="2"/>
      <c r="H167" s="2"/>
      <c r="I167" s="13">
        <v>50000</v>
      </c>
      <c r="J167" s="13">
        <f t="shared" si="26"/>
        <v>25000</v>
      </c>
      <c r="K167" s="13">
        <f t="shared" si="27"/>
        <v>7670</v>
      </c>
      <c r="L167" s="36">
        <f t="shared" si="28"/>
        <v>0.28407407407407409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"/>
      <c r="B168" s="2"/>
      <c r="C168" s="4"/>
      <c r="D168" s="2"/>
      <c r="E168" s="2"/>
      <c r="F168" s="2"/>
      <c r="G168" s="2"/>
      <c r="H168" s="2"/>
      <c r="I168" s="2"/>
      <c r="J168" s="2"/>
      <c r="K168" s="2"/>
      <c r="L168" s="3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"/>
      <c r="B169" s="2"/>
      <c r="C169" s="4"/>
      <c r="D169" s="2"/>
      <c r="E169" s="13">
        <f t="shared" ref="E169:F169" si="29">SUM(E150:E167)</f>
        <v>120400</v>
      </c>
      <c r="F169" s="13">
        <f t="shared" si="29"/>
        <v>135877</v>
      </c>
      <c r="G169" s="2"/>
      <c r="H169" s="2"/>
      <c r="I169" s="2"/>
      <c r="J169" s="2"/>
      <c r="K169" s="13">
        <f>SUM(K150:K167)</f>
        <v>42328.288515406159</v>
      </c>
      <c r="L169" s="18">
        <f>K169/F169</f>
        <v>0.31151915714511036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0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0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0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6" t="s">
        <v>119</v>
      </c>
      <c r="B173" s="1"/>
      <c r="C173" s="1"/>
      <c r="D173" s="22" t="s">
        <v>180</v>
      </c>
      <c r="E173" s="8">
        <v>46119</v>
      </c>
      <c r="F173" s="24" t="s">
        <v>37</v>
      </c>
      <c r="G173" s="2"/>
      <c r="H173" s="2"/>
      <c r="I173" s="2"/>
      <c r="J173" s="2"/>
      <c r="K173" s="2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2"/>
      <c r="C174" s="4"/>
      <c r="D174" s="2"/>
      <c r="E174" s="2"/>
      <c r="F174" s="2"/>
      <c r="G174" s="2"/>
      <c r="H174" s="2"/>
      <c r="I174" s="2"/>
      <c r="J174" s="2"/>
      <c r="K174" s="2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6" t="s">
        <v>3</v>
      </c>
      <c r="B175" s="10" t="s">
        <v>4</v>
      </c>
      <c r="C175" s="11" t="s">
        <v>5</v>
      </c>
      <c r="D175" s="10" t="s">
        <v>6</v>
      </c>
      <c r="E175" s="10" t="s">
        <v>7</v>
      </c>
      <c r="F175" s="2"/>
      <c r="G175" s="2"/>
      <c r="H175" s="2"/>
      <c r="I175" s="10" t="s">
        <v>6</v>
      </c>
      <c r="J175" s="10" t="s">
        <v>7</v>
      </c>
      <c r="K175" s="10" t="s">
        <v>10</v>
      </c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2</v>
      </c>
      <c r="B176" s="10" t="s">
        <v>23</v>
      </c>
      <c r="C176" s="11" t="s">
        <v>181</v>
      </c>
      <c r="D176" s="13">
        <v>55000</v>
      </c>
      <c r="E176" s="13">
        <f>A176*D176</f>
        <v>110000</v>
      </c>
      <c r="F176" s="2"/>
      <c r="G176" s="2"/>
      <c r="H176" s="2"/>
      <c r="I176" s="13">
        <v>50000</v>
      </c>
      <c r="J176" s="13">
        <f>I176*A176</f>
        <v>100000</v>
      </c>
      <c r="K176" s="13">
        <f>E176-J176</f>
        <v>10000</v>
      </c>
      <c r="L176" s="21">
        <f>K176/E176</f>
        <v>9.0909090909090912E-2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5"/>
      <c r="B177" s="2"/>
      <c r="C177" s="4"/>
      <c r="D177" s="2"/>
      <c r="E177" s="2"/>
      <c r="F177" s="2"/>
      <c r="G177" s="4"/>
      <c r="H177" s="2"/>
      <c r="I177" s="2"/>
      <c r="J177" s="2"/>
      <c r="K177" s="2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"/>
      <c r="B178" s="2"/>
      <c r="C178" s="4"/>
      <c r="D178" s="2"/>
      <c r="E178" s="13">
        <f>SUM(E176)</f>
        <v>110000</v>
      </c>
      <c r="F178" s="2"/>
      <c r="G178" s="2"/>
      <c r="H178" s="2"/>
      <c r="I178" s="2"/>
      <c r="J178" s="2"/>
      <c r="K178" s="13">
        <f>SUM(K172:K176)</f>
        <v>10000</v>
      </c>
      <c r="L178" s="14">
        <f>K178/E178</f>
        <v>9.0909090909090912E-2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0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0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0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0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0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6" t="s">
        <v>124</v>
      </c>
      <c r="B184" s="1"/>
      <c r="C184" s="1"/>
      <c r="D184" s="22" t="s">
        <v>92</v>
      </c>
      <c r="E184" s="8">
        <v>46119</v>
      </c>
      <c r="F184" s="24" t="s">
        <v>37</v>
      </c>
      <c r="G184" s="2"/>
      <c r="H184" s="2"/>
      <c r="I184" s="2"/>
      <c r="J184" s="2"/>
      <c r="K184" s="2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2"/>
      <c r="C185" s="4"/>
      <c r="D185" s="2"/>
      <c r="E185" s="2"/>
      <c r="F185" s="2"/>
      <c r="G185" s="2"/>
      <c r="H185" s="2"/>
      <c r="I185" s="2"/>
      <c r="J185" s="2"/>
      <c r="K185" s="2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6" t="s">
        <v>3</v>
      </c>
      <c r="B186" s="10" t="s">
        <v>4</v>
      </c>
      <c r="C186" s="11" t="s">
        <v>5</v>
      </c>
      <c r="D186" s="10" t="s">
        <v>6</v>
      </c>
      <c r="E186" s="10" t="s">
        <v>7</v>
      </c>
      <c r="F186" s="2"/>
      <c r="G186" s="2"/>
      <c r="H186" s="2"/>
      <c r="I186" s="10" t="s">
        <v>6</v>
      </c>
      <c r="J186" s="10" t="s">
        <v>7</v>
      </c>
      <c r="K186" s="10" t="s">
        <v>10</v>
      </c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2</v>
      </c>
      <c r="B187" s="10" t="s">
        <v>17</v>
      </c>
      <c r="C187" s="11" t="s">
        <v>182</v>
      </c>
      <c r="D187" s="13">
        <v>11500</v>
      </c>
      <c r="E187" s="13">
        <f t="shared" ref="E187:E196" si="30">A187*D187</f>
        <v>23000</v>
      </c>
      <c r="F187" s="2"/>
      <c r="G187" s="2"/>
      <c r="H187" s="2"/>
      <c r="I187" s="13">
        <v>8500</v>
      </c>
      <c r="J187" s="13">
        <f t="shared" ref="J187:J196" si="31">I187*A187</f>
        <v>17000</v>
      </c>
      <c r="K187" s="13">
        <f t="shared" ref="K187:K196" si="32">E187-J187</f>
        <v>6000</v>
      </c>
      <c r="L187" s="14">
        <f t="shared" ref="L187:L196" si="33">K187/E187</f>
        <v>0.2608695652173913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1</v>
      </c>
      <c r="B188" s="10" t="s">
        <v>4</v>
      </c>
      <c r="C188" s="11" t="s">
        <v>183</v>
      </c>
      <c r="D188" s="13">
        <v>6000</v>
      </c>
      <c r="E188" s="13">
        <f t="shared" si="30"/>
        <v>6000</v>
      </c>
      <c r="F188" s="2"/>
      <c r="G188" s="2"/>
      <c r="H188" s="2"/>
      <c r="I188" s="13">
        <v>4500</v>
      </c>
      <c r="J188" s="13">
        <f t="shared" si="31"/>
        <v>4500</v>
      </c>
      <c r="K188" s="13">
        <f t="shared" si="32"/>
        <v>1500</v>
      </c>
      <c r="L188" s="14">
        <f t="shared" si="33"/>
        <v>0.25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2</v>
      </c>
      <c r="B189" s="10" t="s">
        <v>17</v>
      </c>
      <c r="C189" s="11" t="s">
        <v>31</v>
      </c>
      <c r="D189" s="13">
        <v>3000</v>
      </c>
      <c r="E189" s="13">
        <f t="shared" si="30"/>
        <v>6000</v>
      </c>
      <c r="F189" s="2"/>
      <c r="G189" s="2"/>
      <c r="H189" s="2"/>
      <c r="I189" s="13">
        <f>20000/7</f>
        <v>2857.1428571428573</v>
      </c>
      <c r="J189" s="13">
        <f t="shared" si="31"/>
        <v>5714.2857142857147</v>
      </c>
      <c r="K189" s="13">
        <f t="shared" si="32"/>
        <v>285.71428571428532</v>
      </c>
      <c r="L189" s="14">
        <f t="shared" si="33"/>
        <v>4.7619047619047554E-2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0.5</v>
      </c>
      <c r="B190" s="10" t="s">
        <v>17</v>
      </c>
      <c r="C190" s="11" t="s">
        <v>42</v>
      </c>
      <c r="D190" s="13">
        <v>5000</v>
      </c>
      <c r="E190" s="13">
        <f t="shared" si="30"/>
        <v>2500</v>
      </c>
      <c r="F190" s="2"/>
      <c r="G190" s="2"/>
      <c r="H190" s="2"/>
      <c r="I190" s="13">
        <v>2000</v>
      </c>
      <c r="J190" s="13">
        <f t="shared" si="31"/>
        <v>1000</v>
      </c>
      <c r="K190" s="13">
        <f t="shared" si="32"/>
        <v>1500</v>
      </c>
      <c r="L190" s="14">
        <f t="shared" si="33"/>
        <v>0.6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1</v>
      </c>
      <c r="B191" s="10" t="s">
        <v>23</v>
      </c>
      <c r="C191" s="11" t="s">
        <v>88</v>
      </c>
      <c r="D191" s="13">
        <v>28000</v>
      </c>
      <c r="E191" s="13">
        <f t="shared" si="30"/>
        <v>28000</v>
      </c>
      <c r="F191" s="2"/>
      <c r="G191" s="2"/>
      <c r="H191" s="2"/>
      <c r="I191" s="13">
        <v>20000</v>
      </c>
      <c r="J191" s="13">
        <f t="shared" si="31"/>
        <v>20000</v>
      </c>
      <c r="K191" s="13">
        <f t="shared" si="32"/>
        <v>8000</v>
      </c>
      <c r="L191" s="14">
        <f t="shared" si="33"/>
        <v>0.2857142857142857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3</v>
      </c>
      <c r="B192" s="10" t="s">
        <v>23</v>
      </c>
      <c r="C192" s="11" t="s">
        <v>127</v>
      </c>
      <c r="D192" s="13">
        <v>26000</v>
      </c>
      <c r="E192" s="13">
        <f t="shared" si="30"/>
        <v>78000</v>
      </c>
      <c r="F192" s="2"/>
      <c r="G192" s="2"/>
      <c r="H192" s="2"/>
      <c r="I192" s="13">
        <v>25000</v>
      </c>
      <c r="J192" s="13">
        <f t="shared" si="31"/>
        <v>75000</v>
      </c>
      <c r="K192" s="13">
        <f t="shared" si="32"/>
        <v>3000</v>
      </c>
      <c r="L192" s="14">
        <f t="shared" si="33"/>
        <v>3.8461538461538464E-2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1</v>
      </c>
      <c r="B193" s="10" t="s">
        <v>23</v>
      </c>
      <c r="C193" s="11" t="s">
        <v>123</v>
      </c>
      <c r="D193" s="13">
        <v>42000</v>
      </c>
      <c r="E193" s="13">
        <f t="shared" si="30"/>
        <v>42000</v>
      </c>
      <c r="F193" s="2"/>
      <c r="G193" s="2"/>
      <c r="H193" s="2"/>
      <c r="I193" s="13">
        <v>32000</v>
      </c>
      <c r="J193" s="13">
        <f t="shared" si="31"/>
        <v>32000</v>
      </c>
      <c r="K193" s="13">
        <f t="shared" si="32"/>
        <v>10000</v>
      </c>
      <c r="L193" s="14">
        <f t="shared" si="33"/>
        <v>0.23809523809523808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0.5</v>
      </c>
      <c r="B194" s="10" t="s">
        <v>17</v>
      </c>
      <c r="C194" s="11" t="s">
        <v>111</v>
      </c>
      <c r="D194" s="13">
        <v>11000</v>
      </c>
      <c r="E194" s="13">
        <f t="shared" si="30"/>
        <v>5500</v>
      </c>
      <c r="F194" s="2"/>
      <c r="G194" s="2"/>
      <c r="H194" s="2"/>
      <c r="I194" s="13">
        <v>7000</v>
      </c>
      <c r="J194" s="13">
        <f t="shared" si="31"/>
        <v>3500</v>
      </c>
      <c r="K194" s="13">
        <f t="shared" si="32"/>
        <v>2000</v>
      </c>
      <c r="L194" s="14">
        <f t="shared" si="33"/>
        <v>0.36363636363636365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3</v>
      </c>
      <c r="B195" s="10" t="s">
        <v>17</v>
      </c>
      <c r="C195" s="11" t="s">
        <v>87</v>
      </c>
      <c r="D195" s="13">
        <v>3000</v>
      </c>
      <c r="E195" s="13">
        <f t="shared" si="30"/>
        <v>9000</v>
      </c>
      <c r="F195" s="2"/>
      <c r="G195" s="2"/>
      <c r="H195" s="2"/>
      <c r="I195" s="13">
        <f>32000/17</f>
        <v>1882.3529411764705</v>
      </c>
      <c r="J195" s="13">
        <f t="shared" si="31"/>
        <v>5647.0588235294117</v>
      </c>
      <c r="K195" s="13">
        <f t="shared" si="32"/>
        <v>3352.9411764705883</v>
      </c>
      <c r="L195" s="14">
        <f t="shared" si="33"/>
        <v>0.37254901960784315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2">
        <v>1</v>
      </c>
      <c r="B196" s="10" t="s">
        <v>21</v>
      </c>
      <c r="C196" s="11" t="s">
        <v>112</v>
      </c>
      <c r="D196" s="13">
        <v>3000</v>
      </c>
      <c r="E196" s="13">
        <f t="shared" si="30"/>
        <v>3000</v>
      </c>
      <c r="F196" s="2"/>
      <c r="G196" s="2"/>
      <c r="H196" s="2"/>
      <c r="I196" s="13">
        <v>2000</v>
      </c>
      <c r="J196" s="13">
        <f t="shared" si="31"/>
        <v>2000</v>
      </c>
      <c r="K196" s="13">
        <f t="shared" si="32"/>
        <v>1000</v>
      </c>
      <c r="L196" s="14">
        <f t="shared" si="33"/>
        <v>0.33333333333333331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"/>
      <c r="B197" s="2"/>
      <c r="C197" s="4"/>
      <c r="D197" s="2"/>
      <c r="E197" s="2"/>
      <c r="F197" s="2"/>
      <c r="G197" s="4"/>
      <c r="H197" s="2"/>
      <c r="I197" s="2"/>
      <c r="J197" s="2"/>
      <c r="K197" s="2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"/>
      <c r="B198" s="2"/>
      <c r="C198" s="4"/>
      <c r="D198" s="2"/>
      <c r="E198" s="13">
        <f>SUM(E187:E196)</f>
        <v>203000</v>
      </c>
      <c r="F198" s="2"/>
      <c r="G198" s="2"/>
      <c r="H198" s="2"/>
      <c r="I198" s="2"/>
      <c r="J198" s="2"/>
      <c r="K198" s="13">
        <f>SUM(K187:K196)</f>
        <v>36638.655462184877</v>
      </c>
      <c r="L198" s="14">
        <f>K198/E198</f>
        <v>0.18048598749844766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0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0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0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6" t="s">
        <v>184</v>
      </c>
      <c r="B202" s="6"/>
      <c r="C202" s="6"/>
      <c r="D202" s="22" t="s">
        <v>97</v>
      </c>
      <c r="E202" s="8">
        <v>46119</v>
      </c>
      <c r="F202" s="23"/>
      <c r="G202" s="2"/>
      <c r="H202" s="2"/>
      <c r="I202" s="13"/>
      <c r="J202" s="13"/>
      <c r="K202" s="13"/>
      <c r="L202" s="14"/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B203" s="2"/>
      <c r="C203" s="4"/>
      <c r="D203" s="2"/>
      <c r="E203" s="2"/>
      <c r="F203" s="2"/>
      <c r="G203" s="2"/>
      <c r="H203" s="2"/>
      <c r="I203" s="13"/>
      <c r="J203" s="13"/>
      <c r="K203" s="13"/>
      <c r="L203" s="14"/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6" t="s">
        <v>3</v>
      </c>
      <c r="B204" s="10" t="s">
        <v>4</v>
      </c>
      <c r="C204" s="11" t="s">
        <v>5</v>
      </c>
      <c r="D204" s="10" t="s">
        <v>6</v>
      </c>
      <c r="E204" s="10" t="s">
        <v>7</v>
      </c>
      <c r="F204" s="10"/>
      <c r="G204" s="2"/>
      <c r="H204" s="2"/>
      <c r="I204" s="10" t="s">
        <v>6</v>
      </c>
      <c r="J204" s="10" t="s">
        <v>7</v>
      </c>
      <c r="K204" s="10" t="s">
        <v>10</v>
      </c>
      <c r="L204" s="14"/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2">
        <v>1</v>
      </c>
      <c r="B205" s="10" t="s">
        <v>23</v>
      </c>
      <c r="C205" s="11" t="s">
        <v>64</v>
      </c>
      <c r="D205" s="13">
        <v>14000</v>
      </c>
      <c r="E205" s="13">
        <f>A205*D205</f>
        <v>14000</v>
      </c>
      <c r="F205" s="13"/>
      <c r="G205" s="2"/>
      <c r="H205" s="7"/>
      <c r="I205" s="13">
        <v>9000</v>
      </c>
      <c r="J205" s="13">
        <f>I205*A205</f>
        <v>9000</v>
      </c>
      <c r="K205" s="13">
        <f>E205-J205</f>
        <v>5000</v>
      </c>
      <c r="L205" s="14">
        <f>K205/E205</f>
        <v>0.35714285714285715</v>
      </c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/>
      <c r="B206" s="10"/>
      <c r="C206" s="11"/>
      <c r="D206" s="13"/>
      <c r="E206" s="13"/>
      <c r="F206" s="13"/>
      <c r="H206" s="2"/>
      <c r="I206" s="13"/>
      <c r="J206" s="13"/>
      <c r="K206" s="13"/>
      <c r="L206" s="1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/>
      <c r="B207" s="10"/>
      <c r="C207" s="11"/>
      <c r="D207" s="13"/>
      <c r="E207" s="13">
        <f>SUM(E205)</f>
        <v>14000</v>
      </c>
      <c r="F207" s="13"/>
      <c r="G207" s="2"/>
      <c r="H207" s="2"/>
      <c r="I207" s="13"/>
      <c r="J207" s="13"/>
      <c r="K207" s="13">
        <f>SUM(K205)</f>
        <v>5000</v>
      </c>
      <c r="L207" s="14">
        <f>K207/E207</f>
        <v>0.35714285714285715</v>
      </c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0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0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6" t="s">
        <v>174</v>
      </c>
      <c r="B210" s="25"/>
      <c r="C210" s="1"/>
      <c r="D210" s="12" t="s">
        <v>179</v>
      </c>
      <c r="E210" s="8">
        <v>46119</v>
      </c>
      <c r="F210" s="15" t="s">
        <v>37</v>
      </c>
      <c r="G210" s="2"/>
      <c r="H210" s="2"/>
      <c r="I210" s="2"/>
      <c r="J210" s="2"/>
      <c r="K210" s="2"/>
      <c r="L210" s="3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"/>
      <c r="B211" s="2"/>
      <c r="C211" s="1"/>
      <c r="D211" s="2"/>
      <c r="E211" s="2"/>
      <c r="F211" s="2"/>
      <c r="G211" s="2"/>
      <c r="H211" s="2"/>
      <c r="I211" s="2"/>
      <c r="J211" s="2"/>
      <c r="K211" s="2"/>
      <c r="L211" s="3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6" t="s">
        <v>3</v>
      </c>
      <c r="B212" s="10" t="s">
        <v>4</v>
      </c>
      <c r="C212" s="6" t="s">
        <v>5</v>
      </c>
      <c r="D212" s="10" t="s">
        <v>6</v>
      </c>
      <c r="E212" s="10" t="s">
        <v>7</v>
      </c>
      <c r="F212" s="2"/>
      <c r="G212" s="2"/>
      <c r="H212" s="2"/>
      <c r="I212" s="10" t="s">
        <v>6</v>
      </c>
      <c r="J212" s="10" t="s">
        <v>7</v>
      </c>
      <c r="K212" s="10" t="s">
        <v>10</v>
      </c>
      <c r="L212" s="3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2">
        <v>3</v>
      </c>
      <c r="B213" s="10" t="s">
        <v>15</v>
      </c>
      <c r="C213" s="6" t="s">
        <v>77</v>
      </c>
      <c r="D213" s="13">
        <v>26000</v>
      </c>
      <c r="E213" s="13">
        <f t="shared" ref="E213:E223" si="34">A213*D213</f>
        <v>78000</v>
      </c>
      <c r="F213" s="2"/>
      <c r="G213" s="2"/>
      <c r="H213" s="2"/>
      <c r="I213" s="13">
        <v>18000</v>
      </c>
      <c r="J213" s="13">
        <f t="shared" ref="J213:J223" si="35">I213*A213</f>
        <v>54000</v>
      </c>
      <c r="K213" s="13">
        <f t="shared" ref="K213:K223" si="36">E213-J213</f>
        <v>24000</v>
      </c>
      <c r="L213" s="14">
        <f t="shared" ref="L213:L223" si="37">K213/E213</f>
        <v>0.30769230769230771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2">
        <v>0.5</v>
      </c>
      <c r="B214" s="10" t="s">
        <v>23</v>
      </c>
      <c r="C214" s="6" t="s">
        <v>51</v>
      </c>
      <c r="D214" s="13">
        <v>32000</v>
      </c>
      <c r="E214" s="13">
        <f t="shared" si="34"/>
        <v>16000</v>
      </c>
      <c r="F214" s="2"/>
      <c r="G214" s="2"/>
      <c r="H214" s="2"/>
      <c r="I214" s="13">
        <v>24000</v>
      </c>
      <c r="J214" s="13">
        <f t="shared" si="35"/>
        <v>12000</v>
      </c>
      <c r="K214" s="13">
        <f t="shared" si="36"/>
        <v>4000</v>
      </c>
      <c r="L214" s="14">
        <f t="shared" si="37"/>
        <v>0.25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0.5</v>
      </c>
      <c r="B215" s="10" t="s">
        <v>23</v>
      </c>
      <c r="C215" s="6" t="s">
        <v>39</v>
      </c>
      <c r="D215" s="13">
        <v>31000</v>
      </c>
      <c r="E215" s="13">
        <f t="shared" si="34"/>
        <v>15500</v>
      </c>
      <c r="F215" s="2"/>
      <c r="G215" s="2"/>
      <c r="H215" s="2"/>
      <c r="I215" s="13">
        <v>25000</v>
      </c>
      <c r="J215" s="13">
        <f t="shared" si="35"/>
        <v>12500</v>
      </c>
      <c r="K215" s="13">
        <f t="shared" si="36"/>
        <v>3000</v>
      </c>
      <c r="L215" s="14">
        <f t="shared" si="37"/>
        <v>0.19354838709677419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1</v>
      </c>
      <c r="B216" s="10" t="s">
        <v>23</v>
      </c>
      <c r="C216" s="6" t="s">
        <v>46</v>
      </c>
      <c r="D216" s="13">
        <v>11000</v>
      </c>
      <c r="E216" s="13">
        <f t="shared" si="34"/>
        <v>11000</v>
      </c>
      <c r="F216" s="2"/>
      <c r="G216" s="2"/>
      <c r="H216" s="2"/>
      <c r="I216" s="13">
        <v>8000</v>
      </c>
      <c r="J216" s="13">
        <f t="shared" si="35"/>
        <v>8000</v>
      </c>
      <c r="K216" s="13">
        <f t="shared" si="36"/>
        <v>3000</v>
      </c>
      <c r="L216" s="14">
        <f t="shared" si="37"/>
        <v>0.27272727272727271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6</v>
      </c>
      <c r="B217" s="10" t="s">
        <v>21</v>
      </c>
      <c r="C217" s="6" t="s">
        <v>46</v>
      </c>
      <c r="D217" s="13">
        <v>500</v>
      </c>
      <c r="E217" s="13">
        <f t="shared" si="34"/>
        <v>3000</v>
      </c>
      <c r="F217" s="2"/>
      <c r="G217" s="2"/>
      <c r="H217" s="2"/>
      <c r="I217" s="13">
        <f>8000/24</f>
        <v>333.33333333333331</v>
      </c>
      <c r="J217" s="13">
        <f t="shared" si="35"/>
        <v>2000</v>
      </c>
      <c r="K217" s="13">
        <f t="shared" si="36"/>
        <v>1000</v>
      </c>
      <c r="L217" s="14">
        <f t="shared" si="37"/>
        <v>0.33333333333333331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2</v>
      </c>
      <c r="B218" s="10" t="s">
        <v>23</v>
      </c>
      <c r="C218" s="6" t="s">
        <v>22</v>
      </c>
      <c r="D218" s="13">
        <v>17000</v>
      </c>
      <c r="E218" s="13">
        <f t="shared" si="34"/>
        <v>34000</v>
      </c>
      <c r="F218" s="2"/>
      <c r="G218" s="2"/>
      <c r="H218" s="2"/>
      <c r="I218" s="13">
        <v>13000</v>
      </c>
      <c r="J218" s="13">
        <f t="shared" si="35"/>
        <v>26000</v>
      </c>
      <c r="K218" s="13">
        <f t="shared" si="36"/>
        <v>8000</v>
      </c>
      <c r="L218" s="14">
        <f t="shared" si="37"/>
        <v>0.23529411764705882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2">
        <v>3</v>
      </c>
      <c r="B219" s="10" t="s">
        <v>23</v>
      </c>
      <c r="C219" s="6" t="s">
        <v>153</v>
      </c>
      <c r="D219" s="13">
        <v>24000</v>
      </c>
      <c r="E219" s="13">
        <f t="shared" si="34"/>
        <v>72000</v>
      </c>
      <c r="F219" s="2"/>
      <c r="G219" s="2"/>
      <c r="H219" s="2"/>
      <c r="I219" s="13">
        <v>15000</v>
      </c>
      <c r="J219" s="13">
        <f t="shared" si="35"/>
        <v>45000</v>
      </c>
      <c r="K219" s="13">
        <f t="shared" si="36"/>
        <v>27000</v>
      </c>
      <c r="L219" s="14">
        <f t="shared" si="37"/>
        <v>0.375</v>
      </c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1</v>
      </c>
      <c r="B220" s="10" t="s">
        <v>23</v>
      </c>
      <c r="C220" s="6" t="s">
        <v>93</v>
      </c>
      <c r="D220" s="13">
        <v>18000</v>
      </c>
      <c r="E220" s="13">
        <f t="shared" si="34"/>
        <v>18000</v>
      </c>
      <c r="F220" s="2"/>
      <c r="G220" s="2"/>
      <c r="H220" s="2"/>
      <c r="I220" s="13">
        <v>7000</v>
      </c>
      <c r="J220" s="13">
        <f t="shared" si="35"/>
        <v>7000</v>
      </c>
      <c r="K220" s="13">
        <f t="shared" si="36"/>
        <v>11000</v>
      </c>
      <c r="L220" s="14">
        <f t="shared" si="37"/>
        <v>0.61111111111111116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2">
        <v>0.5</v>
      </c>
      <c r="B221" s="10" t="s">
        <v>23</v>
      </c>
      <c r="C221" s="6" t="s">
        <v>34</v>
      </c>
      <c r="D221" s="13">
        <v>38000</v>
      </c>
      <c r="E221" s="13">
        <f t="shared" si="34"/>
        <v>19000</v>
      </c>
      <c r="F221" s="2"/>
      <c r="G221" s="2"/>
      <c r="H221" s="2"/>
      <c r="I221" s="13">
        <v>30000</v>
      </c>
      <c r="J221" s="13">
        <f t="shared" si="35"/>
        <v>15000</v>
      </c>
      <c r="K221" s="13">
        <f t="shared" si="36"/>
        <v>4000</v>
      </c>
      <c r="L221" s="14">
        <f t="shared" si="37"/>
        <v>0.21052631578947367</v>
      </c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2">
        <v>1</v>
      </c>
      <c r="B222" s="10" t="s">
        <v>86</v>
      </c>
      <c r="C222" s="6" t="s">
        <v>55</v>
      </c>
      <c r="D222" s="13">
        <v>90000</v>
      </c>
      <c r="E222" s="13">
        <f t="shared" si="34"/>
        <v>90000</v>
      </c>
      <c r="F222" s="2"/>
      <c r="G222" s="2"/>
      <c r="H222" s="2"/>
      <c r="I222" s="13">
        <f>17000*5</f>
        <v>85000</v>
      </c>
      <c r="J222" s="13">
        <f t="shared" si="35"/>
        <v>85000</v>
      </c>
      <c r="K222" s="13">
        <f t="shared" si="36"/>
        <v>5000</v>
      </c>
      <c r="L222" s="14">
        <f t="shared" si="37"/>
        <v>5.5555555555555552E-2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2">
        <v>1.5</v>
      </c>
      <c r="B223" s="10" t="s">
        <v>23</v>
      </c>
      <c r="C223" s="6" t="s">
        <v>41</v>
      </c>
      <c r="D223" s="13">
        <v>26000</v>
      </c>
      <c r="E223" s="13">
        <f t="shared" si="34"/>
        <v>39000</v>
      </c>
      <c r="F223" s="2"/>
      <c r="G223" s="2"/>
      <c r="H223" s="2"/>
      <c r="I223" s="13">
        <v>16000</v>
      </c>
      <c r="J223" s="13">
        <f t="shared" si="35"/>
        <v>24000</v>
      </c>
      <c r="K223" s="13">
        <f t="shared" si="36"/>
        <v>15000</v>
      </c>
      <c r="L223" s="14">
        <f t="shared" si="37"/>
        <v>0.38461538461538464</v>
      </c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"/>
      <c r="B224" s="2"/>
      <c r="C224" s="1"/>
      <c r="D224" s="2"/>
      <c r="E224" s="2"/>
      <c r="F224" s="2"/>
      <c r="G224" s="1"/>
      <c r="H224" s="2"/>
      <c r="I224" s="2"/>
      <c r="J224" s="2"/>
      <c r="K224" s="2"/>
      <c r="L224" s="3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"/>
      <c r="B225" s="2"/>
      <c r="C225" s="1"/>
      <c r="D225" s="2"/>
      <c r="E225" s="13">
        <f>SUM(E213:E223)</f>
        <v>395500</v>
      </c>
      <c r="F225" s="2"/>
      <c r="G225" s="2"/>
      <c r="H225" s="2"/>
      <c r="I225" s="2"/>
      <c r="J225" s="2"/>
      <c r="K225" s="13">
        <f>SUM(K213:K223)</f>
        <v>105000</v>
      </c>
      <c r="L225" s="14">
        <f>K225/E225</f>
        <v>0.26548672566371684</v>
      </c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0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0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0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6" t="s">
        <v>108</v>
      </c>
      <c r="B229" s="1"/>
      <c r="C229" s="1"/>
      <c r="D229" s="22" t="s">
        <v>185</v>
      </c>
      <c r="E229" s="8">
        <v>46119</v>
      </c>
      <c r="F229" s="24" t="s">
        <v>37</v>
      </c>
      <c r="G229" s="2"/>
      <c r="H229" s="2"/>
      <c r="I229" s="2"/>
      <c r="J229" s="2"/>
      <c r="K229" s="2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2"/>
      <c r="C230" s="4"/>
      <c r="D230" s="2"/>
      <c r="E230" s="2"/>
      <c r="F230" s="2"/>
      <c r="G230" s="2"/>
      <c r="H230" s="2"/>
      <c r="I230" s="2"/>
      <c r="J230" s="2"/>
      <c r="K230" s="2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6" t="s">
        <v>3</v>
      </c>
      <c r="B231" s="10" t="s">
        <v>4</v>
      </c>
      <c r="C231" s="11" t="s">
        <v>5</v>
      </c>
      <c r="D231" s="10" t="s">
        <v>6</v>
      </c>
      <c r="E231" s="10" t="s">
        <v>7</v>
      </c>
      <c r="F231" s="2"/>
      <c r="G231" s="2"/>
      <c r="H231" s="2"/>
      <c r="I231" s="10" t="s">
        <v>6</v>
      </c>
      <c r="J231" s="10" t="s">
        <v>7</v>
      </c>
      <c r="K231" s="10" t="s">
        <v>10</v>
      </c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2</v>
      </c>
      <c r="B232" s="10" t="s">
        <v>17</v>
      </c>
      <c r="C232" s="11" t="s">
        <v>113</v>
      </c>
      <c r="D232" s="13">
        <v>4000</v>
      </c>
      <c r="E232" s="13">
        <f t="shared" ref="E232:E237" si="38">A232*D232</f>
        <v>8000</v>
      </c>
      <c r="F232" s="2"/>
      <c r="G232" s="2"/>
      <c r="H232" s="2"/>
      <c r="I232" s="13">
        <v>2000</v>
      </c>
      <c r="J232" s="13">
        <f t="shared" ref="J232:J237" si="39">I232*A232</f>
        <v>4000</v>
      </c>
      <c r="K232" s="13">
        <f t="shared" ref="K232:K237" si="40">E232-J232</f>
        <v>4000</v>
      </c>
      <c r="L232" s="14">
        <f t="shared" ref="L232:L237" si="41">K232/E232</f>
        <v>0.5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1</v>
      </c>
      <c r="B233" s="10" t="s">
        <v>15</v>
      </c>
      <c r="C233" s="11" t="s">
        <v>84</v>
      </c>
      <c r="D233" s="13">
        <v>23000</v>
      </c>
      <c r="E233" s="13">
        <f t="shared" si="38"/>
        <v>23000</v>
      </c>
      <c r="F233" s="2"/>
      <c r="G233" s="2"/>
      <c r="H233" s="2"/>
      <c r="I233" s="13">
        <v>17500</v>
      </c>
      <c r="J233" s="13">
        <f t="shared" si="39"/>
        <v>17500</v>
      </c>
      <c r="K233" s="13">
        <f t="shared" si="40"/>
        <v>5500</v>
      </c>
      <c r="L233" s="14">
        <f t="shared" si="41"/>
        <v>0.2391304347826087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2</v>
      </c>
      <c r="B234" s="10" t="s">
        <v>21</v>
      </c>
      <c r="C234" s="11" t="s">
        <v>42</v>
      </c>
      <c r="D234" s="13">
        <v>5000</v>
      </c>
      <c r="E234" s="13">
        <f t="shared" si="38"/>
        <v>10000</v>
      </c>
      <c r="F234" s="2"/>
      <c r="G234" s="2"/>
      <c r="H234" s="2"/>
      <c r="I234" s="13">
        <v>2000</v>
      </c>
      <c r="J234" s="13">
        <f t="shared" si="39"/>
        <v>4000</v>
      </c>
      <c r="K234" s="13">
        <f t="shared" si="40"/>
        <v>6000</v>
      </c>
      <c r="L234" s="14">
        <f t="shared" si="41"/>
        <v>0.6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1</v>
      </c>
      <c r="B235" s="10" t="s">
        <v>23</v>
      </c>
      <c r="C235" s="11" t="s">
        <v>39</v>
      </c>
      <c r="D235" s="13">
        <v>32000</v>
      </c>
      <c r="E235" s="13">
        <f t="shared" si="38"/>
        <v>32000</v>
      </c>
      <c r="F235" s="2"/>
      <c r="G235" s="2"/>
      <c r="H235" s="2"/>
      <c r="I235" s="13">
        <v>25000</v>
      </c>
      <c r="J235" s="13">
        <f t="shared" si="39"/>
        <v>25000</v>
      </c>
      <c r="K235" s="13">
        <f t="shared" si="40"/>
        <v>7000</v>
      </c>
      <c r="L235" s="14">
        <f t="shared" si="41"/>
        <v>0.21875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3</v>
      </c>
      <c r="B236" s="10" t="s">
        <v>21</v>
      </c>
      <c r="C236" s="11" t="s">
        <v>133</v>
      </c>
      <c r="D236" s="13">
        <v>2000</v>
      </c>
      <c r="E236" s="13">
        <f t="shared" si="38"/>
        <v>6000</v>
      </c>
      <c r="F236" s="2"/>
      <c r="G236" s="2"/>
      <c r="H236" s="2"/>
      <c r="I236" s="13">
        <v>2000</v>
      </c>
      <c r="J236" s="13">
        <f t="shared" si="39"/>
        <v>6000</v>
      </c>
      <c r="K236" s="13">
        <f t="shared" si="40"/>
        <v>0</v>
      </c>
      <c r="L236" s="14">
        <f t="shared" si="41"/>
        <v>0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2</v>
      </c>
      <c r="B237" s="10" t="s">
        <v>21</v>
      </c>
      <c r="C237" s="11" t="s">
        <v>29</v>
      </c>
      <c r="D237" s="13">
        <v>4000</v>
      </c>
      <c r="E237" s="13">
        <f t="shared" si="38"/>
        <v>8000</v>
      </c>
      <c r="F237" s="2"/>
      <c r="G237" s="2"/>
      <c r="H237" s="2"/>
      <c r="I237" s="13">
        <v>1500</v>
      </c>
      <c r="J237" s="13">
        <f t="shared" si="39"/>
        <v>3000</v>
      </c>
      <c r="K237" s="13">
        <f t="shared" si="40"/>
        <v>5000</v>
      </c>
      <c r="L237" s="14">
        <f t="shared" si="41"/>
        <v>0.625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"/>
      <c r="B238" s="2"/>
      <c r="C238" s="4"/>
      <c r="D238" s="2"/>
      <c r="E238" s="2"/>
      <c r="F238" s="2"/>
      <c r="G238" s="4"/>
      <c r="H238" s="2"/>
      <c r="I238" s="2"/>
      <c r="J238" s="2"/>
      <c r="K238" s="2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2"/>
      <c r="C239" s="4"/>
      <c r="D239" s="2"/>
      <c r="E239" s="13">
        <f>SUM(E232:E237)</f>
        <v>87000</v>
      </c>
      <c r="F239" s="2"/>
      <c r="G239" s="2"/>
      <c r="H239" s="2"/>
      <c r="I239" s="2"/>
      <c r="J239" s="2"/>
      <c r="K239" s="13">
        <f>SUM(K232:K237)</f>
        <v>27500</v>
      </c>
      <c r="L239" s="14">
        <f>K239/E239</f>
        <v>0.31609195402298851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0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0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0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6" t="s">
        <v>140</v>
      </c>
      <c r="B243" s="1"/>
      <c r="C243" s="1"/>
      <c r="D243" s="22" t="s">
        <v>176</v>
      </c>
      <c r="E243" s="8">
        <v>46119</v>
      </c>
      <c r="F243" s="24" t="s">
        <v>37</v>
      </c>
      <c r="G243" s="2"/>
      <c r="H243" s="2"/>
      <c r="I243" s="2"/>
      <c r="J243" s="2"/>
      <c r="K243" s="2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2"/>
      <c r="C244" s="4"/>
      <c r="D244" s="2"/>
      <c r="E244" s="2"/>
      <c r="F244" s="2"/>
      <c r="G244" s="2"/>
      <c r="H244" s="2"/>
      <c r="I244" s="2"/>
      <c r="J244" s="2"/>
      <c r="K244" s="2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6" t="s">
        <v>3</v>
      </c>
      <c r="B245" s="10" t="s">
        <v>4</v>
      </c>
      <c r="C245" s="11" t="s">
        <v>5</v>
      </c>
      <c r="D245" s="10" t="s">
        <v>6</v>
      </c>
      <c r="E245" s="10" t="s">
        <v>7</v>
      </c>
      <c r="F245" s="10" t="s">
        <v>8</v>
      </c>
      <c r="G245" s="2"/>
      <c r="H245" s="2"/>
      <c r="I245" s="10" t="s">
        <v>6</v>
      </c>
      <c r="J245" s="10" t="s">
        <v>7</v>
      </c>
      <c r="K245" s="10" t="s">
        <v>10</v>
      </c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2</v>
      </c>
      <c r="B246" s="10" t="s">
        <v>15</v>
      </c>
      <c r="C246" s="11" t="s">
        <v>141</v>
      </c>
      <c r="D246" s="13">
        <v>14000</v>
      </c>
      <c r="E246" s="13">
        <f t="shared" ref="E246:E251" si="42">A246*D246</f>
        <v>28000</v>
      </c>
      <c r="F246" s="13">
        <f t="shared" ref="F246:F251" si="43">E246*1.105</f>
        <v>30940</v>
      </c>
      <c r="G246" s="2"/>
      <c r="H246" s="2"/>
      <c r="I246" s="13">
        <v>10000</v>
      </c>
      <c r="J246" s="13">
        <f t="shared" ref="J246:J251" si="44">I246*A246</f>
        <v>20000</v>
      </c>
      <c r="K246" s="13">
        <f t="shared" ref="K246:K251" si="45">E246-J246</f>
        <v>8000</v>
      </c>
      <c r="L246" s="14">
        <f t="shared" ref="L246:L251" si="46">K246/E246</f>
        <v>0.2857142857142857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20</v>
      </c>
      <c r="B247" s="10" t="s">
        <v>21</v>
      </c>
      <c r="C247" s="11" t="s">
        <v>46</v>
      </c>
      <c r="D247" s="13">
        <v>600</v>
      </c>
      <c r="E247" s="13">
        <f t="shared" si="42"/>
        <v>12000</v>
      </c>
      <c r="F247" s="13">
        <f t="shared" si="43"/>
        <v>13260</v>
      </c>
      <c r="G247" s="2"/>
      <c r="H247" s="2"/>
      <c r="I247" s="13">
        <f>8000/24</f>
        <v>333.33333333333331</v>
      </c>
      <c r="J247" s="13">
        <f t="shared" si="44"/>
        <v>6666.6666666666661</v>
      </c>
      <c r="K247" s="13">
        <f t="shared" si="45"/>
        <v>5333.3333333333339</v>
      </c>
      <c r="L247" s="14">
        <f t="shared" si="46"/>
        <v>0.44444444444444448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2</v>
      </c>
      <c r="B248" s="10" t="s">
        <v>17</v>
      </c>
      <c r="C248" s="11" t="s">
        <v>88</v>
      </c>
      <c r="D248" s="13">
        <v>2400</v>
      </c>
      <c r="E248" s="13">
        <f t="shared" si="42"/>
        <v>4800</v>
      </c>
      <c r="F248" s="13">
        <f t="shared" si="43"/>
        <v>5304</v>
      </c>
      <c r="G248" s="2"/>
      <c r="H248" s="2"/>
      <c r="I248" s="13">
        <f>20000/15</f>
        <v>1333.3333333333333</v>
      </c>
      <c r="J248" s="13">
        <f t="shared" si="44"/>
        <v>2666.6666666666665</v>
      </c>
      <c r="K248" s="13">
        <f t="shared" si="45"/>
        <v>2133.3333333333335</v>
      </c>
      <c r="L248" s="14">
        <f t="shared" si="46"/>
        <v>0.44444444444444448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</v>
      </c>
      <c r="B249" s="10" t="s">
        <v>23</v>
      </c>
      <c r="C249" s="11" t="s">
        <v>31</v>
      </c>
      <c r="D249" s="13">
        <v>24000</v>
      </c>
      <c r="E249" s="13">
        <f t="shared" si="42"/>
        <v>24000</v>
      </c>
      <c r="F249" s="13">
        <f t="shared" si="43"/>
        <v>26520</v>
      </c>
      <c r="G249" s="2"/>
      <c r="H249" s="2"/>
      <c r="I249" s="13">
        <v>20000</v>
      </c>
      <c r="J249" s="13">
        <f t="shared" si="44"/>
        <v>20000</v>
      </c>
      <c r="K249" s="13">
        <f t="shared" si="45"/>
        <v>4000</v>
      </c>
      <c r="L249" s="14">
        <f t="shared" si="46"/>
        <v>0.16666666666666666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1</v>
      </c>
      <c r="B250" s="10" t="s">
        <v>23</v>
      </c>
      <c r="C250" s="11" t="s">
        <v>81</v>
      </c>
      <c r="D250" s="13">
        <v>18000</v>
      </c>
      <c r="E250" s="13">
        <f t="shared" si="42"/>
        <v>18000</v>
      </c>
      <c r="F250" s="13">
        <f t="shared" si="43"/>
        <v>19890</v>
      </c>
      <c r="G250" s="2"/>
      <c r="H250" s="2"/>
      <c r="I250" s="13">
        <v>8000</v>
      </c>
      <c r="J250" s="13">
        <f t="shared" si="44"/>
        <v>8000</v>
      </c>
      <c r="K250" s="13">
        <f t="shared" si="45"/>
        <v>10000</v>
      </c>
      <c r="L250" s="14">
        <f t="shared" si="46"/>
        <v>0.55555555555555558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1</v>
      </c>
      <c r="B251" s="10" t="s">
        <v>23</v>
      </c>
      <c r="C251" s="11" t="s">
        <v>130</v>
      </c>
      <c r="D251" s="13">
        <v>13000</v>
      </c>
      <c r="E251" s="13">
        <f t="shared" si="42"/>
        <v>13000</v>
      </c>
      <c r="F251" s="13">
        <f t="shared" si="43"/>
        <v>14365</v>
      </c>
      <c r="G251" s="2"/>
      <c r="H251" s="2"/>
      <c r="I251" s="13">
        <v>10000</v>
      </c>
      <c r="J251" s="13">
        <f t="shared" si="44"/>
        <v>10000</v>
      </c>
      <c r="K251" s="13">
        <f t="shared" si="45"/>
        <v>3000</v>
      </c>
      <c r="L251" s="14">
        <f t="shared" si="46"/>
        <v>0.23076923076923078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"/>
      <c r="B252" s="2"/>
      <c r="C252" s="4"/>
      <c r="D252" s="2"/>
      <c r="E252" s="2"/>
      <c r="F252" s="13"/>
      <c r="G252" s="4"/>
      <c r="H252" s="2"/>
      <c r="I252" s="2"/>
      <c r="J252" s="2"/>
      <c r="K252" s="2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"/>
      <c r="B253" s="2"/>
      <c r="C253" s="4"/>
      <c r="D253" s="2"/>
      <c r="E253" s="13">
        <f t="shared" ref="E253:F253" si="47">SUM(E246:E251)</f>
        <v>99800</v>
      </c>
      <c r="F253" s="13">
        <f t="shared" si="47"/>
        <v>110279</v>
      </c>
      <c r="G253" s="2"/>
      <c r="H253" s="2"/>
      <c r="I253" s="2"/>
      <c r="J253" s="2"/>
      <c r="K253" s="13">
        <f>SUM(K246:K251)</f>
        <v>32466.666666666668</v>
      </c>
      <c r="L253" s="14">
        <f>K253/E253</f>
        <v>0.32531730126920511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"/>
      <c r="B254" s="1"/>
      <c r="C254" s="1"/>
      <c r="D254" s="1"/>
      <c r="E254" s="1"/>
      <c r="F254" s="13"/>
      <c r="G254" s="1"/>
      <c r="H254" s="1"/>
      <c r="I254" s="1"/>
      <c r="J254" s="1"/>
      <c r="K254" s="1"/>
      <c r="L254" s="20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"/>
      <c r="B255" s="1"/>
      <c r="C255" s="1"/>
      <c r="D255" s="1"/>
      <c r="E255" s="1"/>
      <c r="F255" s="13"/>
      <c r="G255" s="1"/>
      <c r="H255" s="1"/>
      <c r="I255" s="1"/>
      <c r="J255" s="1"/>
      <c r="K255" s="1"/>
      <c r="L255" s="20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"/>
      <c r="B256" s="1"/>
      <c r="C256" s="1"/>
      <c r="D256" s="1"/>
      <c r="E256" s="1"/>
      <c r="F256" s="13"/>
      <c r="G256" s="1"/>
      <c r="H256" s="1"/>
      <c r="I256" s="1"/>
      <c r="J256" s="1"/>
      <c r="K256" s="1"/>
      <c r="L256" s="20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6" t="s">
        <v>177</v>
      </c>
      <c r="B257" s="6"/>
      <c r="C257" s="6"/>
      <c r="D257" s="22" t="s">
        <v>150</v>
      </c>
      <c r="E257" s="8">
        <v>46119</v>
      </c>
      <c r="F257" s="23"/>
      <c r="G257" s="2"/>
      <c r="H257" s="2"/>
      <c r="I257" s="13"/>
      <c r="J257" s="13"/>
      <c r="K257" s="13"/>
      <c r="L257" s="14"/>
      <c r="M257" s="4"/>
      <c r="N257" s="2"/>
      <c r="O257" s="4"/>
      <c r="P257" s="2"/>
      <c r="Q257" s="2"/>
      <c r="R257" s="4"/>
      <c r="S257" s="2"/>
      <c r="T257" s="2"/>
      <c r="U257" s="1"/>
      <c r="V257" s="2"/>
      <c r="W257" s="2"/>
      <c r="X257" s="2"/>
      <c r="Y257" s="2"/>
      <c r="Z257" s="2"/>
    </row>
    <row r="258" spans="1:26" ht="15.75" customHeight="1" x14ac:dyDescent="0.2">
      <c r="B258" s="2"/>
      <c r="C258" s="4"/>
      <c r="D258" s="2"/>
      <c r="E258" s="2"/>
      <c r="F258" s="2"/>
      <c r="G258" s="2"/>
      <c r="H258" s="2"/>
      <c r="I258" s="13"/>
      <c r="J258" s="13"/>
      <c r="K258" s="13"/>
      <c r="L258" s="14"/>
      <c r="M258" s="4"/>
      <c r="N258" s="2"/>
      <c r="O258" s="4"/>
      <c r="P258" s="2"/>
      <c r="Q258" s="2"/>
      <c r="R258" s="4"/>
      <c r="S258" s="2"/>
      <c r="T258" s="2"/>
      <c r="U258" s="1"/>
      <c r="V258" s="2"/>
      <c r="W258" s="2"/>
      <c r="X258" s="2"/>
      <c r="Y258" s="2"/>
      <c r="Z258" s="2"/>
    </row>
    <row r="259" spans="1:26" ht="15.75" customHeight="1" x14ac:dyDescent="0.2">
      <c r="A259" s="6" t="s">
        <v>3</v>
      </c>
      <c r="B259" s="10" t="s">
        <v>4</v>
      </c>
      <c r="C259" s="11" t="s">
        <v>5</v>
      </c>
      <c r="D259" s="10" t="s">
        <v>6</v>
      </c>
      <c r="E259" s="10" t="s">
        <v>7</v>
      </c>
      <c r="F259" s="10"/>
      <c r="G259" s="2"/>
      <c r="H259" s="2"/>
      <c r="I259" s="10" t="s">
        <v>6</v>
      </c>
      <c r="J259" s="10" t="s">
        <v>7</v>
      </c>
      <c r="K259" s="10" t="s">
        <v>10</v>
      </c>
      <c r="L259" s="14"/>
      <c r="M259" s="4"/>
      <c r="N259" s="2"/>
      <c r="O259" s="4"/>
      <c r="P259" s="2"/>
      <c r="Q259" s="2"/>
      <c r="R259" s="4"/>
      <c r="S259" s="2"/>
      <c r="T259" s="2"/>
      <c r="U259" s="1"/>
      <c r="V259" s="2"/>
      <c r="W259" s="2"/>
      <c r="X259" s="2"/>
      <c r="Y259" s="2"/>
      <c r="Z259" s="2"/>
    </row>
    <row r="260" spans="1:26" ht="15.75" customHeight="1" x14ac:dyDescent="0.2">
      <c r="A260" s="12">
        <v>1</v>
      </c>
      <c r="B260" s="10" t="s">
        <v>15</v>
      </c>
      <c r="C260" s="11" t="s">
        <v>154</v>
      </c>
      <c r="D260" s="13">
        <v>23000</v>
      </c>
      <c r="E260" s="13">
        <f>A260*D260</f>
        <v>23000</v>
      </c>
      <c r="F260" s="13"/>
      <c r="G260" s="2"/>
      <c r="H260" s="7"/>
      <c r="I260" s="13">
        <v>17000</v>
      </c>
      <c r="J260" s="13">
        <f>I260*A260</f>
        <v>17000</v>
      </c>
      <c r="K260" s="13">
        <f>E260-J260</f>
        <v>6000</v>
      </c>
      <c r="L260" s="14">
        <f>K260/E260</f>
        <v>0.2608695652173913</v>
      </c>
      <c r="M260" s="4"/>
      <c r="N260" s="2"/>
      <c r="O260" s="4"/>
      <c r="P260" s="2"/>
      <c r="Q260" s="2"/>
      <c r="R260" s="4"/>
      <c r="S260" s="2"/>
      <c r="T260" s="2"/>
      <c r="U260" s="1"/>
      <c r="V260" s="2"/>
      <c r="W260" s="2"/>
      <c r="X260" s="2"/>
      <c r="Y260" s="2"/>
      <c r="Z260" s="2"/>
    </row>
    <row r="261" spans="1:26" ht="15.75" customHeight="1" x14ac:dyDescent="0.2">
      <c r="A261" s="12"/>
      <c r="B261" s="10"/>
      <c r="C261" s="11"/>
      <c r="D261" s="13"/>
      <c r="E261" s="13"/>
      <c r="F261" s="13"/>
      <c r="H261" s="2"/>
      <c r="I261" s="13"/>
      <c r="J261" s="13"/>
      <c r="K261" s="13"/>
      <c r="L261" s="14"/>
      <c r="N261" s="2"/>
      <c r="O261" s="4"/>
      <c r="P261" s="2"/>
      <c r="Q261" s="2"/>
      <c r="R261" s="4"/>
      <c r="S261" s="2"/>
      <c r="T261" s="2"/>
      <c r="U261" s="1"/>
      <c r="V261" s="2"/>
      <c r="W261" s="2"/>
      <c r="X261" s="2"/>
      <c r="Y261" s="2"/>
      <c r="Z261" s="2"/>
    </row>
    <row r="262" spans="1:26" ht="15.75" customHeight="1" x14ac:dyDescent="0.2">
      <c r="A262" s="12"/>
      <c r="B262" s="10"/>
      <c r="C262" s="11"/>
      <c r="D262" s="13"/>
      <c r="E262" s="13">
        <f>SUM(E260)</f>
        <v>23000</v>
      </c>
      <c r="F262" s="13"/>
      <c r="G262" s="2"/>
      <c r="H262" s="2"/>
      <c r="I262" s="13"/>
      <c r="J262" s="13"/>
      <c r="K262" s="13">
        <f>SUM(K260)</f>
        <v>6000</v>
      </c>
      <c r="L262" s="14">
        <f>K262/E262</f>
        <v>0.2608695652173913</v>
      </c>
      <c r="M262" s="4"/>
      <c r="N262" s="2"/>
      <c r="O262" s="4"/>
      <c r="P262" s="2"/>
      <c r="Q262" s="2"/>
      <c r="R262" s="4"/>
      <c r="S262" s="2"/>
      <c r="T262" s="2"/>
      <c r="U262" s="1"/>
      <c r="V262" s="2"/>
      <c r="W262" s="2"/>
      <c r="X262" s="2"/>
      <c r="Y262" s="2"/>
      <c r="Z262" s="2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0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20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"/>
      <c r="B265" s="1"/>
      <c r="C265" s="1"/>
      <c r="D265" s="1"/>
      <c r="E265" s="1"/>
      <c r="F265" s="13"/>
      <c r="G265" s="1"/>
      <c r="H265" s="1"/>
      <c r="I265" s="1"/>
      <c r="J265" s="1"/>
      <c r="K265" s="1"/>
      <c r="L265" s="20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5.5" customHeight="1" x14ac:dyDescent="0.25">
      <c r="A266" s="26" t="s">
        <v>101</v>
      </c>
      <c r="B266" s="27">
        <f>E262+F253+E239+E225+E207+E198+E178+F169+F144+F127+F89+F45</f>
        <v>2712933.5750000002</v>
      </c>
      <c r="C266" s="4"/>
      <c r="D266" s="4"/>
      <c r="E266" s="4"/>
      <c r="F266" s="4"/>
      <c r="G266" s="4"/>
      <c r="H266" s="4"/>
      <c r="I266" s="4"/>
      <c r="J266" s="4"/>
      <c r="K266" s="4"/>
      <c r="L266" s="28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8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7" customHeight="1" x14ac:dyDescent="0.25">
      <c r="A268" s="26" t="s">
        <v>102</v>
      </c>
      <c r="B268" s="27">
        <f>K262+K253+K239+K225+K207+K198+K178+K169+K144+K127+K89+K45</f>
        <v>784484.88110729132</v>
      </c>
      <c r="C268" s="4"/>
      <c r="D268" s="4"/>
      <c r="E268" s="4"/>
      <c r="F268" s="4"/>
      <c r="G268" s="4"/>
      <c r="H268" s="4"/>
      <c r="I268" s="4"/>
      <c r="J268" s="4"/>
      <c r="K268" s="4"/>
      <c r="L268" s="28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8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8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6.25" customHeight="1" x14ac:dyDescent="0.25">
      <c r="A271" s="26" t="s">
        <v>103</v>
      </c>
      <c r="B271" s="29">
        <f>B268/B266</f>
        <v>0.28916479501614456</v>
      </c>
      <c r="C271" s="4"/>
      <c r="D271" s="4"/>
      <c r="E271" s="4"/>
      <c r="F271" s="4"/>
      <c r="G271" s="4"/>
      <c r="H271" s="4"/>
      <c r="I271" s="4"/>
      <c r="J271" s="4"/>
      <c r="K271" s="4"/>
      <c r="L271" s="2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90" t="s">
        <v>104</v>
      </c>
      <c r="B273" s="89"/>
      <c r="C273" s="4"/>
      <c r="D273" s="4"/>
      <c r="E273" s="4"/>
      <c r="F273" s="4"/>
      <c r="G273" s="4"/>
      <c r="H273" s="4"/>
      <c r="I273" s="4"/>
      <c r="J273" s="4"/>
      <c r="K273" s="4"/>
      <c r="L273" s="2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0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0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0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0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0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0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0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</sheetData>
  <mergeCells count="11">
    <mergeCell ref="A132:C132"/>
    <mergeCell ref="A147:C147"/>
    <mergeCell ref="I147:K147"/>
    <mergeCell ref="A273:B273"/>
    <mergeCell ref="A3:C3"/>
    <mergeCell ref="I3:K3"/>
    <mergeCell ref="A48:C48"/>
    <mergeCell ref="I48:K48"/>
    <mergeCell ref="A94:C94"/>
    <mergeCell ref="I94:K94"/>
    <mergeCell ref="I132:K132"/>
  </mergeCells>
  <conditionalFormatting sqref="L1:L280">
    <cfRule type="cellIs" dxfId="89" priority="2" operator="lessThanOrEqual">
      <formula>"20%"</formula>
    </cfRule>
    <cfRule type="cellIs" dxfId="88" priority="3" operator="between">
      <formula>"20.01%"</formula>
      <formula>"25%"</formula>
    </cfRule>
    <cfRule type="cellIs" dxfId="87" priority="4" operator="greaterThan">
      <formula>"25%"</formula>
    </cfRule>
  </conditionalFormatting>
  <conditionalFormatting sqref="L202:L207 L257:L262 L266:L273">
    <cfRule type="cellIs" dxfId="86" priority="1" operator="between">
      <formula>"20%"</formula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207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53</v>
      </c>
      <c r="B3" s="89"/>
      <c r="C3" s="89"/>
      <c r="D3" s="2"/>
      <c r="E3" s="7" t="s">
        <v>76</v>
      </c>
      <c r="F3" s="8">
        <v>46120</v>
      </c>
      <c r="G3" s="2"/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1</v>
      </c>
      <c r="B6" s="10" t="s">
        <v>23</v>
      </c>
      <c r="C6" s="11" t="s">
        <v>39</v>
      </c>
      <c r="D6" s="13">
        <v>36000</v>
      </c>
      <c r="E6" s="13">
        <f t="shared" ref="E6:E34" si="0">A6*D6</f>
        <v>36000</v>
      </c>
      <c r="F6" s="13">
        <f t="shared" ref="F6:F33" si="1">E6*1.105</f>
        <v>39780</v>
      </c>
      <c r="G6" s="2"/>
      <c r="H6" s="2"/>
      <c r="I6" s="13">
        <v>22000</v>
      </c>
      <c r="J6" s="13">
        <f t="shared" ref="J6:J34" si="2">I6*A6</f>
        <v>22000</v>
      </c>
      <c r="K6" s="13">
        <f t="shared" ref="K6:K34" si="3">F6-J6</f>
        <v>17780</v>
      </c>
      <c r="L6" s="14">
        <f t="shared" ref="L6:L34" si="4">IFERROR(K6/E6, 0)</f>
        <v>0.49388888888888888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23</v>
      </c>
      <c r="C7" s="11" t="s">
        <v>43</v>
      </c>
      <c r="D7" s="13">
        <v>20000</v>
      </c>
      <c r="E7" s="13">
        <f t="shared" si="0"/>
        <v>20000</v>
      </c>
      <c r="F7" s="13">
        <f t="shared" si="1"/>
        <v>22100</v>
      </c>
      <c r="G7" s="2"/>
      <c r="H7" s="2"/>
      <c r="I7" s="13">
        <v>17000</v>
      </c>
      <c r="J7" s="13">
        <f t="shared" si="2"/>
        <v>17000</v>
      </c>
      <c r="K7" s="13">
        <f t="shared" si="3"/>
        <v>5100</v>
      </c>
      <c r="L7" s="14">
        <f t="shared" si="4"/>
        <v>0.255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1</v>
      </c>
      <c r="B8" s="10" t="s">
        <v>23</v>
      </c>
      <c r="C8" s="11" t="s">
        <v>46</v>
      </c>
      <c r="D8" s="13">
        <v>13000</v>
      </c>
      <c r="E8" s="13">
        <f t="shared" si="0"/>
        <v>13000</v>
      </c>
      <c r="F8" s="13">
        <f t="shared" si="1"/>
        <v>14365</v>
      </c>
      <c r="G8" s="2"/>
      <c r="H8" s="2"/>
      <c r="I8" s="13">
        <v>10000</v>
      </c>
      <c r="J8" s="13">
        <f t="shared" si="2"/>
        <v>10000</v>
      </c>
      <c r="K8" s="13">
        <f t="shared" si="3"/>
        <v>4365</v>
      </c>
      <c r="L8" s="14">
        <f t="shared" si="4"/>
        <v>0.33576923076923076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3</v>
      </c>
      <c r="B9" s="10" t="s">
        <v>15</v>
      </c>
      <c r="C9" s="11" t="s">
        <v>27</v>
      </c>
      <c r="D9" s="13">
        <v>25000</v>
      </c>
      <c r="E9" s="13">
        <f t="shared" si="0"/>
        <v>75000</v>
      </c>
      <c r="F9" s="13">
        <f t="shared" si="1"/>
        <v>82875</v>
      </c>
      <c r="G9" s="2"/>
      <c r="H9" s="2"/>
      <c r="I9" s="13">
        <v>20000</v>
      </c>
      <c r="J9" s="13">
        <f t="shared" si="2"/>
        <v>60000</v>
      </c>
      <c r="K9" s="13">
        <f t="shared" si="3"/>
        <v>22875</v>
      </c>
      <c r="L9" s="14">
        <f t="shared" si="4"/>
        <v>0.30499999999999999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4.2</v>
      </c>
      <c r="B10" s="10" t="s">
        <v>17</v>
      </c>
      <c r="C10" s="11" t="s">
        <v>36</v>
      </c>
      <c r="D10" s="13">
        <v>1800</v>
      </c>
      <c r="E10" s="13">
        <f t="shared" si="0"/>
        <v>7560</v>
      </c>
      <c r="F10" s="13">
        <f t="shared" si="1"/>
        <v>8353.7999999999993</v>
      </c>
      <c r="G10" s="2"/>
      <c r="H10" s="2"/>
      <c r="I10" s="13">
        <v>1000</v>
      </c>
      <c r="J10" s="13">
        <f t="shared" si="2"/>
        <v>4200</v>
      </c>
      <c r="K10" s="13">
        <f t="shared" si="3"/>
        <v>4153.7999999999993</v>
      </c>
      <c r="L10" s="14">
        <f t="shared" si="4"/>
        <v>0.5494444444444444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3.45</v>
      </c>
      <c r="B11" s="10" t="s">
        <v>17</v>
      </c>
      <c r="C11" s="11" t="s">
        <v>38</v>
      </c>
      <c r="D11" s="13">
        <v>1800</v>
      </c>
      <c r="E11" s="13">
        <f t="shared" si="0"/>
        <v>6210</v>
      </c>
      <c r="F11" s="13">
        <f t="shared" si="1"/>
        <v>6862.05</v>
      </c>
      <c r="G11" s="2"/>
      <c r="H11" s="2"/>
      <c r="I11" s="13">
        <v>1000</v>
      </c>
      <c r="J11" s="13">
        <f t="shared" si="2"/>
        <v>3450</v>
      </c>
      <c r="K11" s="13">
        <f t="shared" si="3"/>
        <v>3412.05</v>
      </c>
      <c r="L11" s="14">
        <f t="shared" si="4"/>
        <v>0.54944444444444451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2</v>
      </c>
      <c r="B12" s="10" t="s">
        <v>17</v>
      </c>
      <c r="C12" s="11" t="s">
        <v>82</v>
      </c>
      <c r="D12" s="13">
        <v>1400</v>
      </c>
      <c r="E12" s="13">
        <f t="shared" si="0"/>
        <v>2800</v>
      </c>
      <c r="F12" s="13">
        <f t="shared" si="1"/>
        <v>3094</v>
      </c>
      <c r="G12" s="2"/>
      <c r="H12" s="2"/>
      <c r="I12" s="13">
        <f>15000/14</f>
        <v>1071.4285714285713</v>
      </c>
      <c r="J12" s="13">
        <f t="shared" si="2"/>
        <v>2142.8571428571427</v>
      </c>
      <c r="K12" s="13">
        <f t="shared" si="3"/>
        <v>951.14285714285734</v>
      </c>
      <c r="L12" s="14">
        <f t="shared" si="4"/>
        <v>0.33969387755102048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3</v>
      </c>
      <c r="B13" s="10" t="s">
        <v>17</v>
      </c>
      <c r="C13" s="11" t="s">
        <v>31</v>
      </c>
      <c r="D13" s="13">
        <v>3200</v>
      </c>
      <c r="E13" s="13">
        <f t="shared" si="0"/>
        <v>9600</v>
      </c>
      <c r="F13" s="13">
        <f t="shared" si="1"/>
        <v>10608</v>
      </c>
      <c r="G13" s="2"/>
      <c r="H13" s="2"/>
      <c r="I13" s="13">
        <f>14000/7</f>
        <v>2000</v>
      </c>
      <c r="J13" s="13">
        <f t="shared" si="2"/>
        <v>6000</v>
      </c>
      <c r="K13" s="13">
        <f t="shared" si="3"/>
        <v>4608</v>
      </c>
      <c r="L13" s="14">
        <f t="shared" si="4"/>
        <v>0.48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2</v>
      </c>
      <c r="B14" s="10" t="s">
        <v>17</v>
      </c>
      <c r="C14" s="11" t="s">
        <v>32</v>
      </c>
      <c r="D14" s="13">
        <v>2400</v>
      </c>
      <c r="E14" s="13">
        <f t="shared" si="0"/>
        <v>4800</v>
      </c>
      <c r="F14" s="13">
        <f t="shared" si="1"/>
        <v>5304</v>
      </c>
      <c r="G14" s="2"/>
      <c r="H14" s="2"/>
      <c r="I14" s="13">
        <f>13000/7</f>
        <v>1857.1428571428571</v>
      </c>
      <c r="J14" s="13">
        <f t="shared" si="2"/>
        <v>3714.2857142857142</v>
      </c>
      <c r="K14" s="13">
        <f t="shared" si="3"/>
        <v>1589.7142857142858</v>
      </c>
      <c r="L14" s="14">
        <f t="shared" si="4"/>
        <v>0.3311904761904762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2</v>
      </c>
      <c r="B15" s="10" t="s">
        <v>17</v>
      </c>
      <c r="C15" s="34" t="s">
        <v>33</v>
      </c>
      <c r="D15" s="13">
        <v>2800</v>
      </c>
      <c r="E15" s="13">
        <f t="shared" si="0"/>
        <v>5600</v>
      </c>
      <c r="F15" s="13">
        <f t="shared" si="1"/>
        <v>6188</v>
      </c>
      <c r="G15" s="2"/>
      <c r="H15" s="2"/>
      <c r="I15" s="13">
        <f>15000/7</f>
        <v>2142.8571428571427</v>
      </c>
      <c r="J15" s="13">
        <f t="shared" si="2"/>
        <v>4285.7142857142853</v>
      </c>
      <c r="K15" s="13">
        <f t="shared" si="3"/>
        <v>1902.2857142857147</v>
      </c>
      <c r="L15" s="14">
        <f t="shared" si="4"/>
        <v>0.33969387755102048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17</v>
      </c>
      <c r="C16" s="11" t="s">
        <v>99</v>
      </c>
      <c r="D16" s="13">
        <v>2000</v>
      </c>
      <c r="E16" s="13">
        <f t="shared" si="0"/>
        <v>2000</v>
      </c>
      <c r="F16" s="13">
        <f t="shared" si="1"/>
        <v>2210</v>
      </c>
      <c r="G16" s="2"/>
      <c r="H16" s="2"/>
      <c r="I16" s="13">
        <f>10000/7</f>
        <v>1428.5714285714287</v>
      </c>
      <c r="J16" s="13">
        <f t="shared" si="2"/>
        <v>1428.5714285714287</v>
      </c>
      <c r="K16" s="13">
        <f t="shared" si="3"/>
        <v>781.42857142857133</v>
      </c>
      <c r="L16" s="14">
        <f t="shared" si="4"/>
        <v>0.39071428571428568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1</v>
      </c>
      <c r="B17" s="10" t="s">
        <v>21</v>
      </c>
      <c r="C17" s="11" t="s">
        <v>42</v>
      </c>
      <c r="D17" s="13">
        <v>4500</v>
      </c>
      <c r="E17" s="13">
        <f t="shared" si="0"/>
        <v>4500</v>
      </c>
      <c r="F17" s="13">
        <f t="shared" si="1"/>
        <v>4972.5</v>
      </c>
      <c r="G17" s="2"/>
      <c r="H17" s="2"/>
      <c r="I17" s="13">
        <v>2000</v>
      </c>
      <c r="J17" s="13">
        <f t="shared" si="2"/>
        <v>2000</v>
      </c>
      <c r="K17" s="13">
        <f t="shared" si="3"/>
        <v>2972.5</v>
      </c>
      <c r="L17" s="14">
        <f t="shared" si="4"/>
        <v>0.66055555555555556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3</v>
      </c>
      <c r="B18" s="10" t="s">
        <v>4</v>
      </c>
      <c r="C18" s="11" t="s">
        <v>65</v>
      </c>
      <c r="D18" s="13">
        <v>1600</v>
      </c>
      <c r="E18" s="13">
        <f t="shared" si="0"/>
        <v>4800</v>
      </c>
      <c r="F18" s="13">
        <f t="shared" si="1"/>
        <v>5304</v>
      </c>
      <c r="G18" s="2"/>
      <c r="H18" s="2"/>
      <c r="I18" s="13">
        <f>85000/70</f>
        <v>1214.2857142857142</v>
      </c>
      <c r="J18" s="13">
        <f t="shared" si="2"/>
        <v>3642.8571428571427</v>
      </c>
      <c r="K18" s="13">
        <f t="shared" si="3"/>
        <v>1661.1428571428573</v>
      </c>
      <c r="L18" s="14">
        <f t="shared" si="4"/>
        <v>0.34607142857142859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1</v>
      </c>
      <c r="B19" s="10" t="s">
        <v>21</v>
      </c>
      <c r="C19" s="11" t="s">
        <v>133</v>
      </c>
      <c r="D19" s="13">
        <v>3000</v>
      </c>
      <c r="E19" s="13">
        <f t="shared" si="0"/>
        <v>3000</v>
      </c>
      <c r="F19" s="13">
        <f t="shared" si="1"/>
        <v>3315</v>
      </c>
      <c r="G19" s="2"/>
      <c r="H19" s="2"/>
      <c r="I19" s="13">
        <v>2000</v>
      </c>
      <c r="J19" s="13">
        <f t="shared" si="2"/>
        <v>2000</v>
      </c>
      <c r="K19" s="13">
        <f t="shared" si="3"/>
        <v>1315</v>
      </c>
      <c r="L19" s="14">
        <f t="shared" si="4"/>
        <v>0.43833333333333335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2</v>
      </c>
      <c r="B20" s="10" t="s">
        <v>21</v>
      </c>
      <c r="C20" s="11" t="s">
        <v>29</v>
      </c>
      <c r="D20" s="13">
        <v>3500</v>
      </c>
      <c r="E20" s="13">
        <f t="shared" si="0"/>
        <v>7000</v>
      </c>
      <c r="F20" s="13">
        <f t="shared" si="1"/>
        <v>7735</v>
      </c>
      <c r="G20" s="2"/>
      <c r="H20" s="2"/>
      <c r="I20" s="13">
        <v>1500</v>
      </c>
      <c r="J20" s="13">
        <f t="shared" si="2"/>
        <v>3000</v>
      </c>
      <c r="K20" s="13">
        <f t="shared" si="3"/>
        <v>4735</v>
      </c>
      <c r="L20" s="14">
        <f t="shared" si="4"/>
        <v>0.67642857142857138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2</v>
      </c>
      <c r="B21" s="10" t="s">
        <v>4</v>
      </c>
      <c r="C21" s="11" t="s">
        <v>13</v>
      </c>
      <c r="D21" s="13">
        <v>900</v>
      </c>
      <c r="E21" s="13">
        <f t="shared" si="0"/>
        <v>1800</v>
      </c>
      <c r="F21" s="13">
        <f t="shared" si="1"/>
        <v>1989</v>
      </c>
      <c r="G21" s="2"/>
      <c r="H21" s="2"/>
      <c r="I21" s="13">
        <v>460</v>
      </c>
      <c r="J21" s="13">
        <f t="shared" si="2"/>
        <v>920</v>
      </c>
      <c r="K21" s="13">
        <f t="shared" si="3"/>
        <v>1069</v>
      </c>
      <c r="L21" s="14">
        <f t="shared" si="4"/>
        <v>0.59388888888888891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0.5</v>
      </c>
      <c r="B22" s="10" t="s">
        <v>17</v>
      </c>
      <c r="C22" s="11" t="s">
        <v>30</v>
      </c>
      <c r="D22" s="13">
        <v>1500</v>
      </c>
      <c r="E22" s="13">
        <f t="shared" si="0"/>
        <v>750</v>
      </c>
      <c r="F22" s="13">
        <f t="shared" si="1"/>
        <v>828.75</v>
      </c>
      <c r="G22" s="2"/>
      <c r="H22" s="2"/>
      <c r="I22" s="13">
        <f>8000/14</f>
        <v>571.42857142857144</v>
      </c>
      <c r="J22" s="13">
        <f t="shared" si="2"/>
        <v>285.71428571428572</v>
      </c>
      <c r="K22" s="13">
        <f t="shared" si="3"/>
        <v>543.03571428571422</v>
      </c>
      <c r="L22" s="14">
        <f t="shared" si="4"/>
        <v>0.72404761904761894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2</v>
      </c>
      <c r="B23" s="10" t="s">
        <v>17</v>
      </c>
      <c r="C23" s="11" t="s">
        <v>61</v>
      </c>
      <c r="D23" s="13">
        <v>1400</v>
      </c>
      <c r="E23" s="13">
        <f t="shared" si="0"/>
        <v>2800</v>
      </c>
      <c r="F23" s="13">
        <f t="shared" si="1"/>
        <v>3094</v>
      </c>
      <c r="G23" s="2"/>
      <c r="H23" s="2"/>
      <c r="I23" s="13">
        <f>12000/14</f>
        <v>857.14285714285711</v>
      </c>
      <c r="J23" s="13">
        <f t="shared" si="2"/>
        <v>1714.2857142857142</v>
      </c>
      <c r="K23" s="13">
        <f t="shared" si="3"/>
        <v>1379.7142857142858</v>
      </c>
      <c r="L23" s="14">
        <f t="shared" si="4"/>
        <v>0.49275510204081635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6</v>
      </c>
      <c r="B24" s="10" t="s">
        <v>17</v>
      </c>
      <c r="C24" s="34" t="s">
        <v>56</v>
      </c>
      <c r="D24" s="13">
        <v>1200</v>
      </c>
      <c r="E24" s="13">
        <f t="shared" si="0"/>
        <v>7200</v>
      </c>
      <c r="F24" s="13">
        <f t="shared" si="1"/>
        <v>7956</v>
      </c>
      <c r="G24" s="2"/>
      <c r="H24" s="2"/>
      <c r="I24" s="13">
        <f>12000/15</f>
        <v>800</v>
      </c>
      <c r="J24" s="13">
        <f t="shared" si="2"/>
        <v>4800</v>
      </c>
      <c r="K24" s="13">
        <f t="shared" si="3"/>
        <v>3156</v>
      </c>
      <c r="L24" s="14">
        <f t="shared" si="4"/>
        <v>0.43833333333333335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3</v>
      </c>
      <c r="B25" s="10" t="s">
        <v>17</v>
      </c>
      <c r="C25" s="11" t="s">
        <v>18</v>
      </c>
      <c r="D25" s="13">
        <v>1600</v>
      </c>
      <c r="E25" s="13">
        <f t="shared" si="0"/>
        <v>4800</v>
      </c>
      <c r="F25" s="13">
        <f t="shared" si="1"/>
        <v>5304</v>
      </c>
      <c r="G25" s="2"/>
      <c r="H25" s="2"/>
      <c r="I25" s="13">
        <v>1000</v>
      </c>
      <c r="J25" s="13">
        <f t="shared" si="2"/>
        <v>3000</v>
      </c>
      <c r="K25" s="13">
        <f t="shared" si="3"/>
        <v>2304</v>
      </c>
      <c r="L25" s="14">
        <f t="shared" si="4"/>
        <v>0.48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1</v>
      </c>
      <c r="B26" s="10" t="s">
        <v>21</v>
      </c>
      <c r="C26" s="11" t="s">
        <v>51</v>
      </c>
      <c r="D26" s="13">
        <v>1500</v>
      </c>
      <c r="E26" s="13">
        <f t="shared" si="0"/>
        <v>1500</v>
      </c>
      <c r="F26" s="13">
        <f t="shared" si="1"/>
        <v>1657.5</v>
      </c>
      <c r="G26" s="2"/>
      <c r="H26" s="2"/>
      <c r="I26" s="13">
        <v>1000</v>
      </c>
      <c r="J26" s="13">
        <f t="shared" si="2"/>
        <v>1000</v>
      </c>
      <c r="K26" s="13">
        <f t="shared" si="3"/>
        <v>657.5</v>
      </c>
      <c r="L26" s="14">
        <f t="shared" si="4"/>
        <v>0.43833333333333335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5</v>
      </c>
      <c r="B27" s="10" t="s">
        <v>4</v>
      </c>
      <c r="C27" s="11" t="s">
        <v>14</v>
      </c>
      <c r="D27" s="13">
        <v>3000</v>
      </c>
      <c r="E27" s="13">
        <f t="shared" si="0"/>
        <v>15000</v>
      </c>
      <c r="F27" s="13">
        <f t="shared" si="1"/>
        <v>16575</v>
      </c>
      <c r="G27" s="2"/>
      <c r="H27" s="13"/>
      <c r="I27" s="13">
        <f>18000/8</f>
        <v>2250</v>
      </c>
      <c r="J27" s="13">
        <f t="shared" si="2"/>
        <v>11250</v>
      </c>
      <c r="K27" s="13">
        <f t="shared" si="3"/>
        <v>5325</v>
      </c>
      <c r="L27" s="14">
        <f t="shared" si="4"/>
        <v>0.35499999999999998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1</v>
      </c>
      <c r="B28" s="10" t="s">
        <v>23</v>
      </c>
      <c r="C28" s="11" t="s">
        <v>24</v>
      </c>
      <c r="D28" s="13">
        <v>60000</v>
      </c>
      <c r="E28" s="13">
        <f t="shared" si="0"/>
        <v>60000</v>
      </c>
      <c r="F28" s="13">
        <f t="shared" si="1"/>
        <v>66300</v>
      </c>
      <c r="G28" s="2"/>
      <c r="H28" s="13"/>
      <c r="I28" s="13">
        <v>50000</v>
      </c>
      <c r="J28" s="13">
        <f t="shared" si="2"/>
        <v>50000</v>
      </c>
      <c r="K28" s="13">
        <f t="shared" si="3"/>
        <v>16300</v>
      </c>
      <c r="L28" s="14">
        <f t="shared" si="4"/>
        <v>0.27166666666666667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1</v>
      </c>
      <c r="B29" s="10" t="s">
        <v>23</v>
      </c>
      <c r="C29" s="11" t="s">
        <v>25</v>
      </c>
      <c r="D29" s="13">
        <v>72000</v>
      </c>
      <c r="E29" s="13">
        <f t="shared" si="0"/>
        <v>72000</v>
      </c>
      <c r="F29" s="13">
        <f t="shared" si="1"/>
        <v>79560</v>
      </c>
      <c r="G29" s="2"/>
      <c r="H29" s="2"/>
      <c r="I29" s="13">
        <v>65000</v>
      </c>
      <c r="J29" s="13">
        <f t="shared" si="2"/>
        <v>65000</v>
      </c>
      <c r="K29" s="13">
        <f t="shared" si="3"/>
        <v>14560</v>
      </c>
      <c r="L29" s="14">
        <f t="shared" si="4"/>
        <v>0.20222222222222222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2</v>
      </c>
      <c r="B30" s="10" t="s">
        <v>23</v>
      </c>
      <c r="C30" s="11" t="s">
        <v>26</v>
      </c>
      <c r="D30" s="13">
        <v>28000</v>
      </c>
      <c r="E30" s="13">
        <f t="shared" si="0"/>
        <v>56000</v>
      </c>
      <c r="F30" s="13">
        <f t="shared" si="1"/>
        <v>61880</v>
      </c>
      <c r="G30" s="2"/>
      <c r="H30" s="2"/>
      <c r="I30" s="13">
        <v>24000</v>
      </c>
      <c r="J30" s="13">
        <f t="shared" si="2"/>
        <v>48000</v>
      </c>
      <c r="K30" s="13">
        <f t="shared" si="3"/>
        <v>13880</v>
      </c>
      <c r="L30" s="14">
        <f t="shared" si="4"/>
        <v>0.24785714285714286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10</v>
      </c>
      <c r="B31" s="10" t="s">
        <v>17</v>
      </c>
      <c r="C31" s="11" t="s">
        <v>49</v>
      </c>
      <c r="D31" s="13">
        <v>3000</v>
      </c>
      <c r="E31" s="13">
        <f t="shared" si="0"/>
        <v>30000</v>
      </c>
      <c r="F31" s="13">
        <f t="shared" si="1"/>
        <v>33150</v>
      </c>
      <c r="G31" s="2"/>
      <c r="H31" s="2"/>
      <c r="I31" s="13">
        <f>20000/9</f>
        <v>2222.2222222222222</v>
      </c>
      <c r="J31" s="13">
        <f t="shared" si="2"/>
        <v>22222.222222222223</v>
      </c>
      <c r="K31" s="13">
        <f t="shared" si="3"/>
        <v>10927.777777777777</v>
      </c>
      <c r="L31" s="14">
        <f t="shared" si="4"/>
        <v>0.36425925925925923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15.4</v>
      </c>
      <c r="B32" s="10" t="s">
        <v>17</v>
      </c>
      <c r="C32" s="11" t="s">
        <v>62</v>
      </c>
      <c r="D32" s="13">
        <v>3000</v>
      </c>
      <c r="E32" s="13">
        <f t="shared" si="0"/>
        <v>46200</v>
      </c>
      <c r="F32" s="13">
        <f t="shared" si="1"/>
        <v>51051</v>
      </c>
      <c r="G32" s="2"/>
      <c r="H32" s="2"/>
      <c r="I32" s="13">
        <f>36000/17</f>
        <v>2117.6470588235293</v>
      </c>
      <c r="J32" s="13">
        <f t="shared" si="2"/>
        <v>32611.764705882353</v>
      </c>
      <c r="K32" s="13">
        <f t="shared" si="3"/>
        <v>18439.235294117647</v>
      </c>
      <c r="L32" s="14">
        <f t="shared" si="4"/>
        <v>0.39911764705882352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4</v>
      </c>
      <c r="B33" s="10" t="s">
        <v>17</v>
      </c>
      <c r="C33" s="11" t="s">
        <v>123</v>
      </c>
      <c r="D33" s="13">
        <v>3200</v>
      </c>
      <c r="E33" s="13">
        <f t="shared" si="0"/>
        <v>12800</v>
      </c>
      <c r="F33" s="13">
        <f t="shared" si="1"/>
        <v>14144</v>
      </c>
      <c r="G33" s="2"/>
      <c r="H33" s="2"/>
      <c r="I33" s="13">
        <f>32000/15</f>
        <v>2133.3333333333335</v>
      </c>
      <c r="J33" s="13">
        <f t="shared" si="2"/>
        <v>8533.3333333333339</v>
      </c>
      <c r="K33" s="13">
        <f t="shared" si="3"/>
        <v>5610.6666666666661</v>
      </c>
      <c r="L33" s="14">
        <f t="shared" si="4"/>
        <v>0.4383333333333333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0.5</v>
      </c>
      <c r="B34" s="10" t="s">
        <v>23</v>
      </c>
      <c r="C34" s="11" t="s">
        <v>12</v>
      </c>
      <c r="D34" s="13">
        <v>54000</v>
      </c>
      <c r="E34" s="13">
        <f t="shared" si="0"/>
        <v>27000</v>
      </c>
      <c r="F34" s="13">
        <f>E34*1.21</f>
        <v>32670</v>
      </c>
      <c r="G34" s="2"/>
      <c r="H34" s="2"/>
      <c r="I34" s="17">
        <v>50000</v>
      </c>
      <c r="J34" s="13">
        <f t="shared" si="2"/>
        <v>25000</v>
      </c>
      <c r="K34" s="13">
        <f t="shared" si="3"/>
        <v>7670</v>
      </c>
      <c r="L34" s="14">
        <f t="shared" si="4"/>
        <v>0.28407407407407409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5"/>
      <c r="B35" s="2"/>
      <c r="C35" s="4"/>
      <c r="D35" s="2"/>
      <c r="E35" s="2"/>
      <c r="F35" s="2"/>
      <c r="G35" s="2"/>
      <c r="H35" s="2"/>
      <c r="I35" s="2"/>
      <c r="J35" s="2"/>
      <c r="K35" s="2"/>
      <c r="L35" s="3"/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"/>
      <c r="B36" s="2"/>
      <c r="C36" s="4"/>
      <c r="D36" s="2"/>
      <c r="E36" s="13">
        <f t="shared" ref="E36:F36" si="5">SUM(E6:E34)</f>
        <v>539720</v>
      </c>
      <c r="F36" s="13">
        <f t="shared" si="5"/>
        <v>599225.59999999998</v>
      </c>
      <c r="G36" s="2"/>
      <c r="H36" s="2"/>
      <c r="I36" s="2"/>
      <c r="J36" s="2"/>
      <c r="K36" s="13">
        <f>SUM(K6:K34)</f>
        <v>180023.99402427638</v>
      </c>
      <c r="L36" s="14">
        <f>K36/F36</f>
        <v>0.30042774211294776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"/>
      <c r="B37" s="2"/>
      <c r="C37" s="4"/>
      <c r="D37" s="2"/>
      <c r="E37" s="2"/>
      <c r="F37" s="2"/>
      <c r="G37" s="2"/>
      <c r="H37" s="2"/>
      <c r="I37" s="2"/>
      <c r="J37" s="2"/>
      <c r="K37" s="2"/>
      <c r="L37" s="3"/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"/>
      <c r="B38" s="2"/>
      <c r="C38" s="4"/>
      <c r="D38" s="2"/>
      <c r="E38" s="2"/>
      <c r="F38" s="2"/>
      <c r="G38" s="2"/>
      <c r="H38" s="2"/>
      <c r="I38" s="2"/>
      <c r="J38" s="2"/>
      <c r="K38" s="2"/>
      <c r="L38" s="3"/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"/>
      <c r="B39" s="2"/>
      <c r="C39" s="4"/>
      <c r="D39" s="2"/>
      <c r="E39" s="2"/>
      <c r="F39" s="2"/>
      <c r="G39" s="2"/>
      <c r="H39" s="2"/>
      <c r="I39" s="2"/>
      <c r="J39" s="2"/>
      <c r="K39" s="2"/>
      <c r="L39" s="3"/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88" t="s">
        <v>59</v>
      </c>
      <c r="B42" s="89"/>
      <c r="C42" s="89"/>
      <c r="D42" s="2"/>
      <c r="E42" s="7" t="s">
        <v>69</v>
      </c>
      <c r="F42" s="8">
        <v>46120</v>
      </c>
      <c r="G42" s="2"/>
      <c r="H42" s="2"/>
      <c r="I42" s="91" t="s">
        <v>2</v>
      </c>
      <c r="J42" s="89"/>
      <c r="K42" s="89"/>
      <c r="L42" s="3"/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"/>
      <c r="B43" s="2"/>
      <c r="C43" s="5"/>
      <c r="D43" s="2"/>
      <c r="E43" s="2"/>
      <c r="F43" s="2"/>
      <c r="G43" s="2"/>
      <c r="H43" s="2"/>
      <c r="I43" s="2"/>
      <c r="J43" s="2"/>
      <c r="K43" s="2"/>
      <c r="L43" s="3"/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6" t="s">
        <v>3</v>
      </c>
      <c r="B44" s="10" t="s">
        <v>4</v>
      </c>
      <c r="C44" s="11" t="s">
        <v>5</v>
      </c>
      <c r="D44" s="10" t="s">
        <v>6</v>
      </c>
      <c r="E44" s="10" t="s">
        <v>7</v>
      </c>
      <c r="F44" s="10" t="s">
        <v>8</v>
      </c>
      <c r="G44" s="2"/>
      <c r="H44" s="2"/>
      <c r="I44" s="10" t="s">
        <v>9</v>
      </c>
      <c r="J44" s="10" t="s">
        <v>7</v>
      </c>
      <c r="K44" s="10" t="s">
        <v>10</v>
      </c>
      <c r="L44" s="3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10</v>
      </c>
      <c r="B45" s="10" t="s">
        <v>17</v>
      </c>
      <c r="C45" s="11" t="s">
        <v>39</v>
      </c>
      <c r="D45" s="13">
        <v>2400</v>
      </c>
      <c r="E45" s="13">
        <f t="shared" ref="E45:E59" si="6">A45*D45</f>
        <v>24000</v>
      </c>
      <c r="F45" s="13">
        <f t="shared" ref="F45:F59" si="7">E45*1.105</f>
        <v>26520</v>
      </c>
      <c r="G45" s="2"/>
      <c r="H45" s="2"/>
      <c r="I45" s="13">
        <f>22000/15</f>
        <v>1466.6666666666667</v>
      </c>
      <c r="J45" s="13">
        <f t="shared" ref="J45:J59" si="8">I45*A45</f>
        <v>14666.666666666668</v>
      </c>
      <c r="K45" s="13">
        <f t="shared" ref="K45:K59" si="9">F45-J45</f>
        <v>11853.333333333332</v>
      </c>
      <c r="L45" s="14">
        <f t="shared" ref="L45:L59" si="10">IFERROR(K45/E45, 0)</f>
        <v>0.49388888888888882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6</v>
      </c>
      <c r="B46" s="10" t="s">
        <v>21</v>
      </c>
      <c r="C46" s="11" t="s">
        <v>22</v>
      </c>
      <c r="D46" s="13">
        <v>1700</v>
      </c>
      <c r="E46" s="13">
        <f t="shared" si="6"/>
        <v>10200</v>
      </c>
      <c r="F46" s="13">
        <f t="shared" si="7"/>
        <v>11271</v>
      </c>
      <c r="G46" s="2"/>
      <c r="H46" s="2"/>
      <c r="I46" s="13">
        <f>13000/12</f>
        <v>1083.3333333333333</v>
      </c>
      <c r="J46" s="13">
        <f t="shared" si="8"/>
        <v>6500</v>
      </c>
      <c r="K46" s="13">
        <f t="shared" si="9"/>
        <v>4771</v>
      </c>
      <c r="L46" s="14">
        <f t="shared" si="10"/>
        <v>0.46774509803921571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2</v>
      </c>
      <c r="B47" s="10" t="s">
        <v>4</v>
      </c>
      <c r="C47" s="11" t="s">
        <v>14</v>
      </c>
      <c r="D47" s="13">
        <v>3000</v>
      </c>
      <c r="E47" s="13">
        <f t="shared" si="6"/>
        <v>6000</v>
      </c>
      <c r="F47" s="13">
        <f t="shared" si="7"/>
        <v>6630</v>
      </c>
      <c r="G47" s="2"/>
      <c r="H47" s="2"/>
      <c r="I47" s="13">
        <f>18000/8</f>
        <v>2250</v>
      </c>
      <c r="J47" s="13">
        <f t="shared" si="8"/>
        <v>4500</v>
      </c>
      <c r="K47" s="13">
        <f t="shared" si="9"/>
        <v>2130</v>
      </c>
      <c r="L47" s="14">
        <f t="shared" si="10"/>
        <v>0.35499999999999998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1.5</v>
      </c>
      <c r="B48" s="10" t="s">
        <v>17</v>
      </c>
      <c r="C48" s="11" t="s">
        <v>31</v>
      </c>
      <c r="D48" s="13">
        <v>3200</v>
      </c>
      <c r="E48" s="13">
        <f t="shared" si="6"/>
        <v>4800</v>
      </c>
      <c r="F48" s="13">
        <f t="shared" si="7"/>
        <v>5304</v>
      </c>
      <c r="G48" s="2"/>
      <c r="H48" s="2"/>
      <c r="I48" s="13">
        <f>14000/7</f>
        <v>2000</v>
      </c>
      <c r="J48" s="13">
        <f t="shared" si="8"/>
        <v>3000</v>
      </c>
      <c r="K48" s="13">
        <f t="shared" si="9"/>
        <v>2304</v>
      </c>
      <c r="L48" s="14">
        <f t="shared" si="10"/>
        <v>0.48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10</v>
      </c>
      <c r="B49" s="10" t="s">
        <v>21</v>
      </c>
      <c r="C49" s="11" t="s">
        <v>46</v>
      </c>
      <c r="D49" s="13">
        <v>600</v>
      </c>
      <c r="E49" s="13">
        <f t="shared" si="6"/>
        <v>6000</v>
      </c>
      <c r="F49" s="13">
        <f t="shared" si="7"/>
        <v>6630</v>
      </c>
      <c r="G49" s="2"/>
      <c r="H49" s="2"/>
      <c r="I49" s="13">
        <f>10000/24</f>
        <v>416.66666666666669</v>
      </c>
      <c r="J49" s="13">
        <f t="shared" si="8"/>
        <v>4166.666666666667</v>
      </c>
      <c r="K49" s="13">
        <f t="shared" si="9"/>
        <v>2463.333333333333</v>
      </c>
      <c r="L49" s="14">
        <f t="shared" si="10"/>
        <v>0.41055555555555551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3</v>
      </c>
      <c r="B50" s="10" t="s">
        <v>17</v>
      </c>
      <c r="C50" s="11" t="s">
        <v>82</v>
      </c>
      <c r="D50" s="13">
        <v>1400</v>
      </c>
      <c r="E50" s="13">
        <f t="shared" si="6"/>
        <v>4200</v>
      </c>
      <c r="F50" s="13">
        <f t="shared" si="7"/>
        <v>4641</v>
      </c>
      <c r="G50" s="2"/>
      <c r="H50" s="2"/>
      <c r="I50" s="13">
        <f>15000/14</f>
        <v>1071.4285714285713</v>
      </c>
      <c r="J50" s="13">
        <f t="shared" si="8"/>
        <v>3214.2857142857138</v>
      </c>
      <c r="K50" s="13">
        <f t="shared" si="9"/>
        <v>1426.7142857142862</v>
      </c>
      <c r="L50" s="14">
        <f t="shared" si="10"/>
        <v>0.33969387755102054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1</v>
      </c>
      <c r="B51" s="10" t="s">
        <v>17</v>
      </c>
      <c r="C51" s="11" t="s">
        <v>61</v>
      </c>
      <c r="D51" s="13">
        <v>1400</v>
      </c>
      <c r="E51" s="13">
        <f t="shared" si="6"/>
        <v>1400</v>
      </c>
      <c r="F51" s="13">
        <f t="shared" si="7"/>
        <v>1547</v>
      </c>
      <c r="G51" s="2"/>
      <c r="H51" s="2"/>
      <c r="I51" s="13">
        <f>12000/14</f>
        <v>857.14285714285711</v>
      </c>
      <c r="J51" s="13">
        <f t="shared" si="8"/>
        <v>857.14285714285711</v>
      </c>
      <c r="K51" s="13">
        <f t="shared" si="9"/>
        <v>689.85714285714289</v>
      </c>
      <c r="L51" s="14">
        <f t="shared" si="10"/>
        <v>0.49275510204081635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3</v>
      </c>
      <c r="B52" s="10" t="s">
        <v>17</v>
      </c>
      <c r="C52" s="11" t="s">
        <v>18</v>
      </c>
      <c r="D52" s="13">
        <v>1600</v>
      </c>
      <c r="E52" s="13">
        <f t="shared" si="6"/>
        <v>4800</v>
      </c>
      <c r="F52" s="13">
        <f t="shared" si="7"/>
        <v>5304</v>
      </c>
      <c r="G52" s="2"/>
      <c r="H52" s="2"/>
      <c r="I52" s="13">
        <v>1000</v>
      </c>
      <c r="J52" s="13">
        <f t="shared" si="8"/>
        <v>3000</v>
      </c>
      <c r="K52" s="13">
        <f t="shared" si="9"/>
        <v>2304</v>
      </c>
      <c r="L52" s="14">
        <f t="shared" si="10"/>
        <v>0.48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1</v>
      </c>
      <c r="B53" s="10" t="s">
        <v>17</v>
      </c>
      <c r="C53" s="11" t="s">
        <v>56</v>
      </c>
      <c r="D53" s="13">
        <v>1200</v>
      </c>
      <c r="E53" s="13">
        <f t="shared" si="6"/>
        <v>1200</v>
      </c>
      <c r="F53" s="13">
        <f t="shared" si="7"/>
        <v>1326</v>
      </c>
      <c r="G53" s="2"/>
      <c r="H53" s="2"/>
      <c r="I53" s="13">
        <v>800</v>
      </c>
      <c r="J53" s="13">
        <f t="shared" si="8"/>
        <v>800</v>
      </c>
      <c r="K53" s="13">
        <f t="shared" si="9"/>
        <v>526</v>
      </c>
      <c r="L53" s="14">
        <f t="shared" si="10"/>
        <v>0.43833333333333335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2</v>
      </c>
      <c r="B54" s="10" t="s">
        <v>4</v>
      </c>
      <c r="C54" s="11" t="s">
        <v>64</v>
      </c>
      <c r="D54" s="13">
        <v>2500</v>
      </c>
      <c r="E54" s="13">
        <f t="shared" si="6"/>
        <v>5000</v>
      </c>
      <c r="F54" s="13">
        <f t="shared" si="7"/>
        <v>5525</v>
      </c>
      <c r="G54" s="2"/>
      <c r="H54" s="2"/>
      <c r="I54" s="13">
        <f>9000/8</f>
        <v>1125</v>
      </c>
      <c r="J54" s="13">
        <f t="shared" si="8"/>
        <v>2250</v>
      </c>
      <c r="K54" s="13">
        <f t="shared" si="9"/>
        <v>3275</v>
      </c>
      <c r="L54" s="14">
        <f t="shared" si="10"/>
        <v>0.65500000000000003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</v>
      </c>
      <c r="B55" s="10" t="s">
        <v>17</v>
      </c>
      <c r="C55" s="11" t="s">
        <v>99</v>
      </c>
      <c r="D55" s="13">
        <v>2000</v>
      </c>
      <c r="E55" s="13">
        <f t="shared" si="6"/>
        <v>2000</v>
      </c>
      <c r="F55" s="13">
        <f t="shared" si="7"/>
        <v>2210</v>
      </c>
      <c r="G55" s="2"/>
      <c r="H55" s="2"/>
      <c r="I55" s="17">
        <f>10000/7</f>
        <v>1428.5714285714287</v>
      </c>
      <c r="J55" s="13">
        <f t="shared" si="8"/>
        <v>1428.5714285714287</v>
      </c>
      <c r="K55" s="13">
        <f t="shared" si="9"/>
        <v>781.42857142857133</v>
      </c>
      <c r="L55" s="14">
        <f t="shared" si="10"/>
        <v>0.39071428571428568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3</v>
      </c>
      <c r="B56" s="10" t="s">
        <v>15</v>
      </c>
      <c r="C56" s="11" t="s">
        <v>27</v>
      </c>
      <c r="D56" s="13">
        <v>25000</v>
      </c>
      <c r="E56" s="13">
        <f t="shared" si="6"/>
        <v>75000</v>
      </c>
      <c r="F56" s="13">
        <f t="shared" si="7"/>
        <v>82875</v>
      </c>
      <c r="G56" s="2"/>
      <c r="H56" s="2"/>
      <c r="I56" s="13">
        <v>20000</v>
      </c>
      <c r="J56" s="13">
        <f t="shared" si="8"/>
        <v>60000</v>
      </c>
      <c r="K56" s="13">
        <f t="shared" si="9"/>
        <v>22875</v>
      </c>
      <c r="L56" s="14">
        <f t="shared" si="10"/>
        <v>0.30499999999999999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3</v>
      </c>
      <c r="B57" s="10" t="s">
        <v>17</v>
      </c>
      <c r="C57" s="11" t="s">
        <v>62</v>
      </c>
      <c r="D57" s="13">
        <v>3000</v>
      </c>
      <c r="E57" s="13">
        <f t="shared" si="6"/>
        <v>9000</v>
      </c>
      <c r="F57" s="13">
        <f t="shared" si="7"/>
        <v>9945</v>
      </c>
      <c r="G57" s="2"/>
      <c r="H57" s="2"/>
      <c r="I57" s="13">
        <f>36000/17</f>
        <v>2117.6470588235293</v>
      </c>
      <c r="J57" s="13">
        <f t="shared" si="8"/>
        <v>6352.9411764705874</v>
      </c>
      <c r="K57" s="13">
        <f t="shared" si="9"/>
        <v>3592.0588235294126</v>
      </c>
      <c r="L57" s="14">
        <f t="shared" si="10"/>
        <v>0.39911764705882363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3</v>
      </c>
      <c r="B58" s="10" t="s">
        <v>17</v>
      </c>
      <c r="C58" s="11" t="s">
        <v>25</v>
      </c>
      <c r="D58" s="13">
        <v>4500</v>
      </c>
      <c r="E58" s="13">
        <f t="shared" si="6"/>
        <v>13500</v>
      </c>
      <c r="F58" s="13">
        <f t="shared" si="7"/>
        <v>14917.5</v>
      </c>
      <c r="G58" s="2"/>
      <c r="H58" s="2"/>
      <c r="I58" s="13">
        <f>65000/17</f>
        <v>3823.5294117647059</v>
      </c>
      <c r="J58" s="13">
        <f t="shared" si="8"/>
        <v>11470.588235294117</v>
      </c>
      <c r="K58" s="13">
        <f t="shared" si="9"/>
        <v>3446.9117647058829</v>
      </c>
      <c r="L58" s="14">
        <f t="shared" si="10"/>
        <v>0.25532679738562097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3</v>
      </c>
      <c r="B59" s="10" t="s">
        <v>17</v>
      </c>
      <c r="C59" s="11" t="s">
        <v>24</v>
      </c>
      <c r="D59" s="13">
        <v>3600</v>
      </c>
      <c r="E59" s="13">
        <f t="shared" si="6"/>
        <v>10800</v>
      </c>
      <c r="F59" s="13">
        <f t="shared" si="7"/>
        <v>11934</v>
      </c>
      <c r="G59" s="2"/>
      <c r="H59" s="2"/>
      <c r="I59" s="13">
        <f>50000/17</f>
        <v>2941.1764705882351</v>
      </c>
      <c r="J59" s="13">
        <f t="shared" si="8"/>
        <v>8823.5294117647063</v>
      </c>
      <c r="K59" s="13">
        <f t="shared" si="9"/>
        <v>3110.4705882352937</v>
      </c>
      <c r="L59" s="14">
        <f t="shared" si="10"/>
        <v>0.28800653594771236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5"/>
      <c r="B60" s="2"/>
      <c r="C60" s="4"/>
      <c r="D60" s="2"/>
      <c r="E60" s="2"/>
      <c r="F60" s="2"/>
      <c r="G60" s="2"/>
      <c r="H60" s="2"/>
      <c r="I60" s="2"/>
      <c r="J60" s="2"/>
      <c r="K60" s="2"/>
      <c r="L60" s="3"/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"/>
      <c r="B61" s="2"/>
      <c r="C61" s="4"/>
      <c r="D61" s="2"/>
      <c r="E61" s="13">
        <f t="shared" ref="E61:F61" si="11">SUM(E45:E59)</f>
        <v>177900</v>
      </c>
      <c r="F61" s="13">
        <f t="shared" si="11"/>
        <v>196579.5</v>
      </c>
      <c r="G61" s="2"/>
      <c r="H61" s="2"/>
      <c r="I61" s="2"/>
      <c r="J61" s="2"/>
      <c r="K61" s="13">
        <f>SUM(K45:K59)</f>
        <v>65549.107843137259</v>
      </c>
      <c r="L61" s="14">
        <f>K61/F61</f>
        <v>0.33344833944097557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0"/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"/>
      <c r="B65" s="1"/>
      <c r="C65" s="1"/>
      <c r="D65" s="1"/>
      <c r="E65" s="1"/>
      <c r="F65" s="8"/>
      <c r="G65" s="1"/>
      <c r="H65" s="1"/>
      <c r="I65" s="1"/>
      <c r="J65" s="1"/>
      <c r="K65" s="1"/>
      <c r="L65" s="20"/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88" t="s">
        <v>66</v>
      </c>
      <c r="B66" s="89"/>
      <c r="C66" s="89"/>
      <c r="D66" s="2"/>
      <c r="E66" s="7" t="s">
        <v>76</v>
      </c>
      <c r="F66" s="8">
        <v>46120</v>
      </c>
      <c r="G66" s="2"/>
      <c r="H66" s="2"/>
      <c r="I66" s="91" t="s">
        <v>2</v>
      </c>
      <c r="J66" s="89"/>
      <c r="K66" s="89"/>
      <c r="L66" s="3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"/>
      <c r="B67" s="2"/>
      <c r="C67" s="5"/>
      <c r="D67" s="2"/>
      <c r="E67" s="2"/>
      <c r="F67" s="8"/>
      <c r="G67" s="2"/>
      <c r="H67" s="2"/>
      <c r="I67" s="2"/>
      <c r="J67" s="2"/>
      <c r="K67" s="2"/>
      <c r="L67" s="3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6" t="s">
        <v>3</v>
      </c>
      <c r="B68" s="10" t="s">
        <v>4</v>
      </c>
      <c r="C68" s="11" t="s">
        <v>5</v>
      </c>
      <c r="D68" s="10" t="s">
        <v>6</v>
      </c>
      <c r="E68" s="10" t="s">
        <v>7</v>
      </c>
      <c r="F68" s="10" t="s">
        <v>8</v>
      </c>
      <c r="G68" s="2"/>
      <c r="H68" s="2"/>
      <c r="I68" s="10" t="s">
        <v>9</v>
      </c>
      <c r="J68" s="10" t="s">
        <v>7</v>
      </c>
      <c r="K68" s="10" t="s">
        <v>10</v>
      </c>
      <c r="L68" s="3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6</v>
      </c>
      <c r="B69" s="10" t="s">
        <v>17</v>
      </c>
      <c r="C69" s="11" t="s">
        <v>39</v>
      </c>
      <c r="D69" s="13">
        <v>2400</v>
      </c>
      <c r="E69" s="13">
        <f t="shared" ref="E69:E96" si="12">A69*D69</f>
        <v>14400</v>
      </c>
      <c r="F69" s="13">
        <f t="shared" ref="F69:F96" si="13">E69*1.105</f>
        <v>15912</v>
      </c>
      <c r="G69" s="2"/>
      <c r="H69" s="2"/>
      <c r="I69" s="13">
        <f>22000/14</f>
        <v>1571.4285714285713</v>
      </c>
      <c r="J69" s="13">
        <f t="shared" ref="J69:J96" si="14">I69*A69</f>
        <v>9428.5714285714275</v>
      </c>
      <c r="K69" s="13">
        <f t="shared" ref="K69:K96" si="15">F69-J69</f>
        <v>6483.4285714285725</v>
      </c>
      <c r="L69" s="14">
        <f t="shared" ref="L69:L96" si="16">IFERROR(K69/E69, 0)</f>
        <v>0.45023809523809533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0.5</v>
      </c>
      <c r="B70" s="10" t="s">
        <v>21</v>
      </c>
      <c r="C70" s="11" t="s">
        <v>29</v>
      </c>
      <c r="D70" s="13">
        <v>3500</v>
      </c>
      <c r="E70" s="13">
        <f t="shared" si="12"/>
        <v>1750</v>
      </c>
      <c r="F70" s="13">
        <f t="shared" si="13"/>
        <v>1933.75</v>
      </c>
      <c r="G70" s="2"/>
      <c r="H70" s="2"/>
      <c r="I70" s="13">
        <v>1500</v>
      </c>
      <c r="J70" s="13">
        <f t="shared" si="14"/>
        <v>750</v>
      </c>
      <c r="K70" s="13">
        <f t="shared" si="15"/>
        <v>1183.75</v>
      </c>
      <c r="L70" s="14">
        <f t="shared" si="16"/>
        <v>0.67642857142857138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1.3</v>
      </c>
      <c r="B71" s="10" t="s">
        <v>4</v>
      </c>
      <c r="C71" s="11" t="s">
        <v>36</v>
      </c>
      <c r="D71" s="13">
        <v>1800</v>
      </c>
      <c r="E71" s="13">
        <f t="shared" si="12"/>
        <v>2340</v>
      </c>
      <c r="F71" s="13">
        <f t="shared" si="13"/>
        <v>2585.6999999999998</v>
      </c>
      <c r="G71" s="2"/>
      <c r="H71" s="7" t="s">
        <v>37</v>
      </c>
      <c r="I71" s="13">
        <v>1000</v>
      </c>
      <c r="J71" s="13">
        <f t="shared" si="14"/>
        <v>1300</v>
      </c>
      <c r="K71" s="13">
        <f t="shared" si="15"/>
        <v>1285.6999999999998</v>
      </c>
      <c r="L71" s="14">
        <f t="shared" si="16"/>
        <v>0.5494444444444444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1.2</v>
      </c>
      <c r="B72" s="10" t="s">
        <v>4</v>
      </c>
      <c r="C72" s="11" t="s">
        <v>38</v>
      </c>
      <c r="D72" s="13">
        <v>1800</v>
      </c>
      <c r="E72" s="13">
        <f t="shared" si="12"/>
        <v>2160</v>
      </c>
      <c r="F72" s="13">
        <f t="shared" si="13"/>
        <v>2386.8000000000002</v>
      </c>
      <c r="G72" s="2"/>
      <c r="H72" s="2"/>
      <c r="I72" s="13">
        <v>1000</v>
      </c>
      <c r="J72" s="13">
        <f t="shared" si="14"/>
        <v>1200</v>
      </c>
      <c r="K72" s="13">
        <f t="shared" si="15"/>
        <v>1186.8000000000002</v>
      </c>
      <c r="L72" s="14">
        <f t="shared" si="16"/>
        <v>0.54944444444444451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1</v>
      </c>
      <c r="B73" s="10" t="s">
        <v>15</v>
      </c>
      <c r="C73" s="11" t="s">
        <v>40</v>
      </c>
      <c r="D73" s="13">
        <v>12000</v>
      </c>
      <c r="E73" s="13">
        <f t="shared" si="12"/>
        <v>12000</v>
      </c>
      <c r="F73" s="13">
        <f t="shared" si="13"/>
        <v>13260</v>
      </c>
      <c r="G73" s="2"/>
      <c r="H73" s="2"/>
      <c r="I73" s="13">
        <v>7000</v>
      </c>
      <c r="J73" s="13">
        <f t="shared" si="14"/>
        <v>7000</v>
      </c>
      <c r="K73" s="13">
        <f t="shared" si="15"/>
        <v>6260</v>
      </c>
      <c r="L73" s="14">
        <f t="shared" si="16"/>
        <v>0.52166666666666661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4</v>
      </c>
      <c r="B74" s="10" t="s">
        <v>17</v>
      </c>
      <c r="C74" s="11" t="s">
        <v>43</v>
      </c>
      <c r="D74" s="13">
        <v>5000</v>
      </c>
      <c r="E74" s="13">
        <f t="shared" si="12"/>
        <v>20000</v>
      </c>
      <c r="F74" s="13">
        <f t="shared" si="13"/>
        <v>22100</v>
      </c>
      <c r="G74" s="2"/>
      <c r="H74" s="2"/>
      <c r="I74" s="13">
        <f>17000/4</f>
        <v>4250</v>
      </c>
      <c r="J74" s="13">
        <f t="shared" si="14"/>
        <v>17000</v>
      </c>
      <c r="K74" s="13">
        <f t="shared" si="15"/>
        <v>5100</v>
      </c>
      <c r="L74" s="14">
        <f t="shared" si="16"/>
        <v>0.255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16</v>
      </c>
      <c r="B75" s="10" t="s">
        <v>21</v>
      </c>
      <c r="C75" s="11" t="s">
        <v>46</v>
      </c>
      <c r="D75" s="13">
        <v>600</v>
      </c>
      <c r="E75" s="13">
        <f t="shared" si="12"/>
        <v>9600</v>
      </c>
      <c r="F75" s="13">
        <f t="shared" si="13"/>
        <v>10608</v>
      </c>
      <c r="G75" s="2"/>
      <c r="H75" s="2"/>
      <c r="I75" s="13">
        <f>10000/24</f>
        <v>416.66666666666669</v>
      </c>
      <c r="J75" s="13">
        <f t="shared" si="14"/>
        <v>6666.666666666667</v>
      </c>
      <c r="K75" s="13">
        <f t="shared" si="15"/>
        <v>3941.333333333333</v>
      </c>
      <c r="L75" s="14">
        <f t="shared" si="16"/>
        <v>0.41055555555555551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0.5</v>
      </c>
      <c r="B76" s="10" t="s">
        <v>17</v>
      </c>
      <c r="C76" s="11" t="s">
        <v>35</v>
      </c>
      <c r="D76" s="13">
        <v>2500</v>
      </c>
      <c r="E76" s="13">
        <f t="shared" si="12"/>
        <v>1250</v>
      </c>
      <c r="F76" s="13">
        <f t="shared" si="13"/>
        <v>1381.25</v>
      </c>
      <c r="G76" s="2"/>
      <c r="H76" s="2"/>
      <c r="I76" s="13">
        <f>14000/9</f>
        <v>1555.5555555555557</v>
      </c>
      <c r="J76" s="13">
        <f t="shared" si="14"/>
        <v>777.77777777777783</v>
      </c>
      <c r="K76" s="13">
        <f t="shared" si="15"/>
        <v>603.47222222222217</v>
      </c>
      <c r="L76" s="14">
        <f t="shared" si="16"/>
        <v>0.48277777777777775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1</v>
      </c>
      <c r="B77" s="10" t="s">
        <v>15</v>
      </c>
      <c r="C77" s="11" t="s">
        <v>48</v>
      </c>
      <c r="D77" s="13">
        <v>13000</v>
      </c>
      <c r="E77" s="13">
        <f t="shared" si="12"/>
        <v>13000</v>
      </c>
      <c r="F77" s="13">
        <f t="shared" si="13"/>
        <v>14365</v>
      </c>
      <c r="G77" s="2"/>
      <c r="H77" s="2"/>
      <c r="I77" s="13">
        <v>8000</v>
      </c>
      <c r="J77" s="13">
        <f t="shared" si="14"/>
        <v>8000</v>
      </c>
      <c r="K77" s="13">
        <f t="shared" si="15"/>
        <v>6365</v>
      </c>
      <c r="L77" s="14">
        <f t="shared" si="16"/>
        <v>0.48961538461538462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4</v>
      </c>
      <c r="B78" s="10" t="s">
        <v>15</v>
      </c>
      <c r="C78" s="11" t="s">
        <v>27</v>
      </c>
      <c r="D78" s="13">
        <v>25000</v>
      </c>
      <c r="E78" s="13">
        <f t="shared" si="12"/>
        <v>100000</v>
      </c>
      <c r="F78" s="13">
        <f t="shared" si="13"/>
        <v>110500</v>
      </c>
      <c r="G78" s="2"/>
      <c r="H78" s="2"/>
      <c r="I78" s="17">
        <v>20000</v>
      </c>
      <c r="J78" s="13">
        <f t="shared" si="14"/>
        <v>80000</v>
      </c>
      <c r="K78" s="13">
        <f t="shared" si="15"/>
        <v>30500</v>
      </c>
      <c r="L78" s="14">
        <f t="shared" si="16"/>
        <v>0.30499999999999999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5</v>
      </c>
      <c r="B79" s="10" t="s">
        <v>17</v>
      </c>
      <c r="C79" s="11" t="s">
        <v>25</v>
      </c>
      <c r="D79" s="13">
        <v>4500</v>
      </c>
      <c r="E79" s="13">
        <f t="shared" si="12"/>
        <v>22500</v>
      </c>
      <c r="F79" s="13">
        <f t="shared" si="13"/>
        <v>24862.5</v>
      </c>
      <c r="G79" s="2"/>
      <c r="H79" s="2"/>
      <c r="I79" s="13">
        <f>65000/17</f>
        <v>3823.5294117647059</v>
      </c>
      <c r="J79" s="13">
        <f t="shared" si="14"/>
        <v>19117.647058823528</v>
      </c>
      <c r="K79" s="13">
        <f t="shared" si="15"/>
        <v>5744.8529411764721</v>
      </c>
      <c r="L79" s="14">
        <f t="shared" si="16"/>
        <v>0.25532679738562097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8</v>
      </c>
      <c r="B80" s="10" t="s">
        <v>17</v>
      </c>
      <c r="C80" s="11" t="s">
        <v>24</v>
      </c>
      <c r="D80" s="13">
        <v>3600</v>
      </c>
      <c r="E80" s="13">
        <f t="shared" si="12"/>
        <v>28800</v>
      </c>
      <c r="F80" s="13">
        <f t="shared" si="13"/>
        <v>31824</v>
      </c>
      <c r="G80" s="2"/>
      <c r="H80" s="2"/>
      <c r="I80" s="13">
        <f>50000/17</f>
        <v>2941.1764705882351</v>
      </c>
      <c r="J80" s="13">
        <f t="shared" si="14"/>
        <v>23529.411764705881</v>
      </c>
      <c r="K80" s="13">
        <f t="shared" si="15"/>
        <v>8294.5882352941189</v>
      </c>
      <c r="L80" s="14">
        <f t="shared" si="16"/>
        <v>0.28800653594771247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1</v>
      </c>
      <c r="B81" s="10" t="s">
        <v>23</v>
      </c>
      <c r="C81" s="11" t="s">
        <v>26</v>
      </c>
      <c r="D81" s="13">
        <v>28000</v>
      </c>
      <c r="E81" s="13">
        <f t="shared" si="12"/>
        <v>28000</v>
      </c>
      <c r="F81" s="13">
        <f t="shared" si="13"/>
        <v>30940</v>
      </c>
      <c r="G81" s="2"/>
      <c r="H81" s="2"/>
      <c r="I81" s="13">
        <v>24000</v>
      </c>
      <c r="J81" s="13">
        <f t="shared" si="14"/>
        <v>24000</v>
      </c>
      <c r="K81" s="13">
        <f t="shared" si="15"/>
        <v>6940</v>
      </c>
      <c r="L81" s="14">
        <f t="shared" si="16"/>
        <v>0.24785714285714286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3</v>
      </c>
      <c r="B82" s="10" t="s">
        <v>17</v>
      </c>
      <c r="C82" s="11" t="s">
        <v>62</v>
      </c>
      <c r="D82" s="13">
        <v>3000</v>
      </c>
      <c r="E82" s="13">
        <f t="shared" si="12"/>
        <v>9000</v>
      </c>
      <c r="F82" s="13">
        <f t="shared" si="13"/>
        <v>9945</v>
      </c>
      <c r="G82" s="2"/>
      <c r="H82" s="2"/>
      <c r="I82" s="13">
        <f>36000/17</f>
        <v>2117.6470588235293</v>
      </c>
      <c r="J82" s="13">
        <f t="shared" si="14"/>
        <v>6352.9411764705874</v>
      </c>
      <c r="K82" s="13">
        <f t="shared" si="15"/>
        <v>3592.0588235294126</v>
      </c>
      <c r="L82" s="14">
        <f t="shared" si="16"/>
        <v>0.39911764705882363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3</v>
      </c>
      <c r="B83" s="10" t="s">
        <v>17</v>
      </c>
      <c r="C83" s="11" t="s">
        <v>123</v>
      </c>
      <c r="D83" s="13">
        <v>3200</v>
      </c>
      <c r="E83" s="13">
        <f t="shared" si="12"/>
        <v>9600</v>
      </c>
      <c r="F83" s="13">
        <f t="shared" si="13"/>
        <v>10608</v>
      </c>
      <c r="G83" s="2"/>
      <c r="H83" s="2"/>
      <c r="I83" s="13">
        <f>32000/15</f>
        <v>2133.3333333333335</v>
      </c>
      <c r="J83" s="13">
        <f t="shared" si="14"/>
        <v>6400</v>
      </c>
      <c r="K83" s="13">
        <f t="shared" si="15"/>
        <v>4208</v>
      </c>
      <c r="L83" s="14">
        <f t="shared" si="16"/>
        <v>0.43833333333333335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2</v>
      </c>
      <c r="B84" s="10" t="s">
        <v>17</v>
      </c>
      <c r="C84" s="11" t="s">
        <v>31</v>
      </c>
      <c r="D84" s="13">
        <v>3200</v>
      </c>
      <c r="E84" s="13">
        <f t="shared" si="12"/>
        <v>6400</v>
      </c>
      <c r="F84" s="13">
        <f t="shared" si="13"/>
        <v>7072</v>
      </c>
      <c r="G84" s="2"/>
      <c r="H84" s="13"/>
      <c r="I84" s="13">
        <f>14000/7</f>
        <v>2000</v>
      </c>
      <c r="J84" s="13">
        <f t="shared" si="14"/>
        <v>4000</v>
      </c>
      <c r="K84" s="13">
        <f t="shared" si="15"/>
        <v>3072</v>
      </c>
      <c r="L84" s="14">
        <f t="shared" si="16"/>
        <v>0.48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</v>
      </c>
      <c r="B85" s="10" t="s">
        <v>17</v>
      </c>
      <c r="C85" s="11" t="s">
        <v>33</v>
      </c>
      <c r="D85" s="13">
        <v>2800</v>
      </c>
      <c r="E85" s="13">
        <f t="shared" si="12"/>
        <v>2800</v>
      </c>
      <c r="F85" s="13">
        <f t="shared" si="13"/>
        <v>3094</v>
      </c>
      <c r="G85" s="2"/>
      <c r="H85" s="13"/>
      <c r="I85" s="13">
        <f>15000/7</f>
        <v>2142.8571428571427</v>
      </c>
      <c r="J85" s="13">
        <f t="shared" si="14"/>
        <v>2142.8571428571427</v>
      </c>
      <c r="K85" s="13">
        <f t="shared" si="15"/>
        <v>951.14285714285734</v>
      </c>
      <c r="L85" s="14">
        <f t="shared" si="16"/>
        <v>0.33969387755102048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1</v>
      </c>
      <c r="B86" s="10" t="s">
        <v>17</v>
      </c>
      <c r="C86" s="11" t="s">
        <v>32</v>
      </c>
      <c r="D86" s="13">
        <v>2400</v>
      </c>
      <c r="E86" s="13">
        <f t="shared" si="12"/>
        <v>2400</v>
      </c>
      <c r="F86" s="13">
        <f t="shared" si="13"/>
        <v>2652</v>
      </c>
      <c r="G86" s="2"/>
      <c r="H86" s="2"/>
      <c r="I86" s="13">
        <f>13000/7</f>
        <v>1857.1428571428571</v>
      </c>
      <c r="J86" s="13">
        <f t="shared" si="14"/>
        <v>1857.1428571428571</v>
      </c>
      <c r="K86" s="13">
        <f t="shared" si="15"/>
        <v>794.85714285714289</v>
      </c>
      <c r="L86" s="14">
        <f t="shared" si="16"/>
        <v>0.3311904761904762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1</v>
      </c>
      <c r="B87" s="10" t="s">
        <v>17</v>
      </c>
      <c r="C87" s="11" t="s">
        <v>56</v>
      </c>
      <c r="D87" s="13">
        <v>1200</v>
      </c>
      <c r="E87" s="13">
        <f t="shared" si="12"/>
        <v>1200</v>
      </c>
      <c r="F87" s="13">
        <f t="shared" si="13"/>
        <v>1326</v>
      </c>
      <c r="G87" s="2"/>
      <c r="H87" s="2"/>
      <c r="I87" s="13">
        <v>800</v>
      </c>
      <c r="J87" s="13">
        <f t="shared" si="14"/>
        <v>800</v>
      </c>
      <c r="K87" s="13">
        <f t="shared" si="15"/>
        <v>526</v>
      </c>
      <c r="L87" s="14">
        <f t="shared" si="16"/>
        <v>0.43833333333333335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1</v>
      </c>
      <c r="B88" s="10" t="s">
        <v>17</v>
      </c>
      <c r="C88" s="11" t="s">
        <v>18</v>
      </c>
      <c r="D88" s="13">
        <v>1600</v>
      </c>
      <c r="E88" s="13">
        <f t="shared" si="12"/>
        <v>1600</v>
      </c>
      <c r="F88" s="13">
        <f t="shared" si="13"/>
        <v>1768</v>
      </c>
      <c r="G88" s="2"/>
      <c r="H88" s="13"/>
      <c r="I88" s="13">
        <v>1000</v>
      </c>
      <c r="J88" s="13">
        <f t="shared" si="14"/>
        <v>1000</v>
      </c>
      <c r="K88" s="13">
        <f t="shared" si="15"/>
        <v>768</v>
      </c>
      <c r="L88" s="14">
        <f t="shared" si="16"/>
        <v>0.48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0.5</v>
      </c>
      <c r="B89" s="10" t="s">
        <v>17</v>
      </c>
      <c r="C89" s="11" t="s">
        <v>30</v>
      </c>
      <c r="D89" s="13">
        <v>1500</v>
      </c>
      <c r="E89" s="13">
        <f t="shared" si="12"/>
        <v>750</v>
      </c>
      <c r="F89" s="13">
        <f t="shared" si="13"/>
        <v>828.75</v>
      </c>
      <c r="G89" s="2"/>
      <c r="H89" s="13"/>
      <c r="I89" s="13">
        <f>8000/14</f>
        <v>571.42857142857144</v>
      </c>
      <c r="J89" s="13">
        <f t="shared" si="14"/>
        <v>285.71428571428572</v>
      </c>
      <c r="K89" s="13">
        <f t="shared" si="15"/>
        <v>543.03571428571422</v>
      </c>
      <c r="L89" s="14">
        <f t="shared" si="16"/>
        <v>0.72404761904761894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17</v>
      </c>
      <c r="C90" s="11" t="s">
        <v>61</v>
      </c>
      <c r="D90" s="13">
        <v>1400</v>
      </c>
      <c r="E90" s="13">
        <f t="shared" si="12"/>
        <v>1400</v>
      </c>
      <c r="F90" s="13">
        <f t="shared" si="13"/>
        <v>1547</v>
      </c>
      <c r="G90" s="2"/>
      <c r="H90" s="2"/>
      <c r="I90" s="13">
        <f>12000/14</f>
        <v>857.14285714285711</v>
      </c>
      <c r="J90" s="13">
        <f t="shared" si="14"/>
        <v>857.14285714285711</v>
      </c>
      <c r="K90" s="13">
        <f t="shared" si="15"/>
        <v>689.85714285714289</v>
      </c>
      <c r="L90" s="14">
        <f t="shared" si="16"/>
        <v>0.49275510204081635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1</v>
      </c>
      <c r="B91" s="10" t="s">
        <v>4</v>
      </c>
      <c r="C91" s="11" t="s">
        <v>14</v>
      </c>
      <c r="D91" s="13">
        <v>3000</v>
      </c>
      <c r="E91" s="13">
        <f t="shared" si="12"/>
        <v>3000</v>
      </c>
      <c r="F91" s="13">
        <f t="shared" si="13"/>
        <v>3315</v>
      </c>
      <c r="G91" s="2"/>
      <c r="H91" s="2"/>
      <c r="I91" s="13">
        <f>18000/8</f>
        <v>2250</v>
      </c>
      <c r="J91" s="13">
        <f t="shared" si="14"/>
        <v>2250</v>
      </c>
      <c r="K91" s="13">
        <f t="shared" si="15"/>
        <v>1065</v>
      </c>
      <c r="L91" s="14">
        <f t="shared" si="16"/>
        <v>0.35499999999999998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2</v>
      </c>
      <c r="B92" s="10" t="s">
        <v>17</v>
      </c>
      <c r="C92" s="11" t="s">
        <v>82</v>
      </c>
      <c r="D92" s="13">
        <v>1400</v>
      </c>
      <c r="E92" s="13">
        <f t="shared" si="12"/>
        <v>2800</v>
      </c>
      <c r="F92" s="13">
        <f t="shared" si="13"/>
        <v>3094</v>
      </c>
      <c r="G92" s="2"/>
      <c r="H92" s="2"/>
      <c r="I92" s="13">
        <f>15000/14</f>
        <v>1071.4285714285713</v>
      </c>
      <c r="J92" s="13">
        <f t="shared" si="14"/>
        <v>2142.8571428571427</v>
      </c>
      <c r="K92" s="13">
        <f t="shared" si="15"/>
        <v>951.14285714285734</v>
      </c>
      <c r="L92" s="14">
        <f t="shared" si="16"/>
        <v>0.33969387755102048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0.5</v>
      </c>
      <c r="B93" s="10" t="s">
        <v>17</v>
      </c>
      <c r="C93" s="11" t="s">
        <v>99</v>
      </c>
      <c r="D93" s="13">
        <v>2000</v>
      </c>
      <c r="E93" s="13">
        <f t="shared" si="12"/>
        <v>1000</v>
      </c>
      <c r="F93" s="13">
        <f t="shared" si="13"/>
        <v>1105</v>
      </c>
      <c r="G93" s="2"/>
      <c r="H93" s="2"/>
      <c r="I93" s="13">
        <f>10000/7</f>
        <v>1428.5714285714287</v>
      </c>
      <c r="J93" s="13">
        <f t="shared" si="14"/>
        <v>714.28571428571433</v>
      </c>
      <c r="K93" s="13">
        <f t="shared" si="15"/>
        <v>390.71428571428567</v>
      </c>
      <c r="L93" s="14">
        <f t="shared" si="16"/>
        <v>0.39071428571428568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1</v>
      </c>
      <c r="B94" s="10" t="s">
        <v>21</v>
      </c>
      <c r="C94" s="11" t="s">
        <v>133</v>
      </c>
      <c r="D94" s="13">
        <v>3000</v>
      </c>
      <c r="E94" s="13">
        <f t="shared" si="12"/>
        <v>3000</v>
      </c>
      <c r="F94" s="13">
        <f t="shared" si="13"/>
        <v>3315</v>
      </c>
      <c r="G94" s="2"/>
      <c r="H94" s="2"/>
      <c r="I94" s="13">
        <v>2000</v>
      </c>
      <c r="J94" s="13">
        <f t="shared" si="14"/>
        <v>2000</v>
      </c>
      <c r="K94" s="13">
        <f t="shared" si="15"/>
        <v>1315</v>
      </c>
      <c r="L94" s="14">
        <f t="shared" si="16"/>
        <v>0.43833333333333335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1</v>
      </c>
      <c r="B95" s="10" t="s">
        <v>21</v>
      </c>
      <c r="C95" s="11" t="s">
        <v>28</v>
      </c>
      <c r="D95" s="13">
        <v>3000</v>
      </c>
      <c r="E95" s="13">
        <f t="shared" si="12"/>
        <v>3000</v>
      </c>
      <c r="F95" s="13">
        <f t="shared" si="13"/>
        <v>3315</v>
      </c>
      <c r="G95" s="2"/>
      <c r="H95" s="2"/>
      <c r="I95" s="13">
        <v>2000</v>
      </c>
      <c r="J95" s="13">
        <f t="shared" si="14"/>
        <v>2000</v>
      </c>
      <c r="K95" s="13">
        <f t="shared" si="15"/>
        <v>1315</v>
      </c>
      <c r="L95" s="14">
        <f t="shared" si="16"/>
        <v>0.43833333333333335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1</v>
      </c>
      <c r="B96" s="10" t="s">
        <v>21</v>
      </c>
      <c r="C96" s="11" t="s">
        <v>51</v>
      </c>
      <c r="D96" s="13">
        <v>1500</v>
      </c>
      <c r="E96" s="13">
        <f t="shared" si="12"/>
        <v>1500</v>
      </c>
      <c r="F96" s="13">
        <f t="shared" si="13"/>
        <v>1657.5</v>
      </c>
      <c r="G96" s="2"/>
      <c r="H96" s="2"/>
      <c r="I96" s="13">
        <v>1000</v>
      </c>
      <c r="J96" s="13">
        <f t="shared" si="14"/>
        <v>1000</v>
      </c>
      <c r="K96" s="13">
        <f t="shared" si="15"/>
        <v>657.5</v>
      </c>
      <c r="L96" s="14">
        <f t="shared" si="16"/>
        <v>0.43833333333333335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"/>
      <c r="B97" s="2"/>
      <c r="C97" s="4"/>
      <c r="D97" s="2"/>
      <c r="E97" s="2"/>
      <c r="F97" s="2"/>
      <c r="G97" s="2"/>
      <c r="H97" s="2"/>
      <c r="I97" s="2"/>
      <c r="J97" s="2"/>
      <c r="K97" s="2"/>
      <c r="L97" s="3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"/>
      <c r="B98" s="2"/>
      <c r="C98" s="4"/>
      <c r="D98" s="2"/>
      <c r="E98" s="13">
        <f t="shared" ref="E98:F98" si="17">SUM(E69:E96)</f>
        <v>305250</v>
      </c>
      <c r="F98" s="13">
        <f t="shared" si="17"/>
        <v>337301.25</v>
      </c>
      <c r="G98" s="2"/>
      <c r="H98" s="2"/>
      <c r="I98" s="2"/>
      <c r="J98" s="2"/>
      <c r="K98" s="13">
        <f>SUM(K69:K96)</f>
        <v>104728.23412698413</v>
      </c>
      <c r="L98" s="14">
        <f>K98/F98</f>
        <v>0.31048872225342816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0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0"/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0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88" t="s">
        <v>66</v>
      </c>
      <c r="B102" s="89"/>
      <c r="C102" s="89"/>
      <c r="D102" s="2"/>
      <c r="E102" s="7" t="s">
        <v>45</v>
      </c>
      <c r="F102" s="8">
        <v>46120</v>
      </c>
      <c r="G102" s="2"/>
      <c r="H102" s="2"/>
      <c r="I102" s="91" t="s">
        <v>2</v>
      </c>
      <c r="J102" s="89"/>
      <c r="K102" s="89"/>
      <c r="L102" s="3"/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3"/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6" t="s">
        <v>3</v>
      </c>
      <c r="B104" s="10" t="s">
        <v>4</v>
      </c>
      <c r="C104" s="11" t="s">
        <v>5</v>
      </c>
      <c r="D104" s="10" t="s">
        <v>6</v>
      </c>
      <c r="E104" s="10" t="s">
        <v>7</v>
      </c>
      <c r="F104" s="10" t="s">
        <v>8</v>
      </c>
      <c r="G104" s="2"/>
      <c r="H104" s="2"/>
      <c r="I104" s="10" t="s">
        <v>9</v>
      </c>
      <c r="J104" s="10" t="s">
        <v>7</v>
      </c>
      <c r="K104" s="10" t="s">
        <v>10</v>
      </c>
      <c r="L104" s="3"/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17</v>
      </c>
      <c r="C105" s="11" t="s">
        <v>30</v>
      </c>
      <c r="D105" s="13">
        <v>1500</v>
      </c>
      <c r="E105" s="13">
        <f t="shared" ref="E105:E111" si="18">A105*D105</f>
        <v>3000</v>
      </c>
      <c r="F105" s="13">
        <f t="shared" ref="F105:F111" si="19">E105*1.105</f>
        <v>3315</v>
      </c>
      <c r="G105" s="2"/>
      <c r="H105" s="2"/>
      <c r="I105" s="13">
        <f>8000/14</f>
        <v>571.42857142857144</v>
      </c>
      <c r="J105" s="13">
        <f t="shared" ref="J105:J111" si="20">I105*A105</f>
        <v>1142.8571428571429</v>
      </c>
      <c r="K105" s="13">
        <f t="shared" ref="K105:K111" si="21">F105-J105</f>
        <v>2172.1428571428569</v>
      </c>
      <c r="L105" s="14">
        <f t="shared" ref="L105:L111" si="22">IFERROR(K105/E105, 0)</f>
        <v>0.72404761904761894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3</v>
      </c>
      <c r="B106" s="10" t="s">
        <v>17</v>
      </c>
      <c r="C106" s="11" t="s">
        <v>56</v>
      </c>
      <c r="D106" s="13">
        <v>1200</v>
      </c>
      <c r="E106" s="13">
        <f t="shared" si="18"/>
        <v>3600</v>
      </c>
      <c r="F106" s="13">
        <f t="shared" si="19"/>
        <v>3978</v>
      </c>
      <c r="G106" s="2"/>
      <c r="H106" s="2"/>
      <c r="I106" s="13">
        <v>800</v>
      </c>
      <c r="J106" s="13">
        <f t="shared" si="20"/>
        <v>2400</v>
      </c>
      <c r="K106" s="13">
        <f t="shared" si="21"/>
        <v>1578</v>
      </c>
      <c r="L106" s="14">
        <f t="shared" si="22"/>
        <v>0.43833333333333335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1</v>
      </c>
      <c r="B107" s="10" t="s">
        <v>17</v>
      </c>
      <c r="C107" s="11" t="s">
        <v>18</v>
      </c>
      <c r="D107" s="13">
        <v>1600</v>
      </c>
      <c r="E107" s="13">
        <f t="shared" si="18"/>
        <v>1600</v>
      </c>
      <c r="F107" s="13">
        <f t="shared" si="19"/>
        <v>1768</v>
      </c>
      <c r="G107" s="2"/>
      <c r="H107" s="2"/>
      <c r="I107" s="13">
        <v>1000</v>
      </c>
      <c r="J107" s="13">
        <f t="shared" si="20"/>
        <v>1000</v>
      </c>
      <c r="K107" s="13">
        <f t="shared" si="21"/>
        <v>768</v>
      </c>
      <c r="L107" s="14">
        <f t="shared" si="22"/>
        <v>0.48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5.0999999999999996</v>
      </c>
      <c r="B108" s="10" t="s">
        <v>4</v>
      </c>
      <c r="C108" s="11" t="s">
        <v>31</v>
      </c>
      <c r="D108" s="13">
        <v>3200</v>
      </c>
      <c r="E108" s="13">
        <f t="shared" si="18"/>
        <v>16319.999999999998</v>
      </c>
      <c r="F108" s="13">
        <f t="shared" si="19"/>
        <v>18033.599999999999</v>
      </c>
      <c r="G108" s="2"/>
      <c r="H108" s="2"/>
      <c r="I108" s="13">
        <v>2000</v>
      </c>
      <c r="J108" s="13">
        <f t="shared" si="20"/>
        <v>10200</v>
      </c>
      <c r="K108" s="13">
        <f t="shared" si="21"/>
        <v>7833.5999999999985</v>
      </c>
      <c r="L108" s="14">
        <f t="shared" si="22"/>
        <v>0.48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3.7</v>
      </c>
      <c r="B109" s="10" t="s">
        <v>4</v>
      </c>
      <c r="C109" s="11" t="s">
        <v>33</v>
      </c>
      <c r="D109" s="13">
        <v>2800</v>
      </c>
      <c r="E109" s="13">
        <f t="shared" si="18"/>
        <v>10360</v>
      </c>
      <c r="F109" s="13">
        <f t="shared" si="19"/>
        <v>11447.8</v>
      </c>
      <c r="G109" s="2"/>
      <c r="H109" s="2"/>
      <c r="I109" s="13">
        <f>15000/7</f>
        <v>2142.8571428571427</v>
      </c>
      <c r="J109" s="13">
        <f t="shared" si="20"/>
        <v>7928.5714285714284</v>
      </c>
      <c r="K109" s="13">
        <f t="shared" si="21"/>
        <v>3519.2285714285708</v>
      </c>
      <c r="L109" s="14">
        <f t="shared" si="22"/>
        <v>0.33969387755102037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4</v>
      </c>
      <c r="B110" s="10" t="s">
        <v>17</v>
      </c>
      <c r="C110" s="11" t="s">
        <v>43</v>
      </c>
      <c r="D110" s="13">
        <v>5000</v>
      </c>
      <c r="E110" s="13">
        <f t="shared" si="18"/>
        <v>20000</v>
      </c>
      <c r="F110" s="13">
        <f t="shared" si="19"/>
        <v>22100</v>
      </c>
      <c r="G110" s="2"/>
      <c r="H110" s="2"/>
      <c r="I110" s="13">
        <f>17000/4</f>
        <v>4250</v>
      </c>
      <c r="J110" s="13">
        <f t="shared" si="20"/>
        <v>17000</v>
      </c>
      <c r="K110" s="13">
        <f t="shared" si="21"/>
        <v>5100</v>
      </c>
      <c r="L110" s="14">
        <f t="shared" si="22"/>
        <v>0.255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13</v>
      </c>
      <c r="B111" s="10" t="s">
        <v>17</v>
      </c>
      <c r="C111" s="11" t="s">
        <v>39</v>
      </c>
      <c r="D111" s="13">
        <v>2400</v>
      </c>
      <c r="E111" s="13">
        <f t="shared" si="18"/>
        <v>31200</v>
      </c>
      <c r="F111" s="13">
        <f t="shared" si="19"/>
        <v>34476</v>
      </c>
      <c r="G111" s="2"/>
      <c r="H111" s="2"/>
      <c r="I111" s="13">
        <f>22000/15</f>
        <v>1466.6666666666667</v>
      </c>
      <c r="J111" s="13">
        <f t="shared" si="20"/>
        <v>19066.666666666668</v>
      </c>
      <c r="K111" s="13">
        <f t="shared" si="21"/>
        <v>15409.333333333332</v>
      </c>
      <c r="L111" s="14">
        <f t="shared" si="22"/>
        <v>0.49388888888888888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"/>
      <c r="B112" s="2"/>
      <c r="C112" s="4"/>
      <c r="D112" s="2"/>
      <c r="E112" s="2"/>
      <c r="F112" s="2"/>
      <c r="G112" s="2"/>
      <c r="H112" s="2"/>
      <c r="I112" s="2"/>
      <c r="J112" s="2"/>
      <c r="K112" s="2"/>
      <c r="L112" s="3"/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"/>
      <c r="B113" s="2"/>
      <c r="C113" s="4"/>
      <c r="D113" s="2"/>
      <c r="E113" s="13">
        <f t="shared" ref="E113:F113" si="23">SUM(E105:E111)</f>
        <v>86080</v>
      </c>
      <c r="F113" s="13">
        <f t="shared" si="23"/>
        <v>95118.399999999994</v>
      </c>
      <c r="G113" s="2"/>
      <c r="H113" s="2"/>
      <c r="I113" s="2"/>
      <c r="J113" s="2"/>
      <c r="K113" s="13">
        <f>SUM(K105:K111)</f>
        <v>36380.304761904757</v>
      </c>
      <c r="L113" s="14">
        <f>K113/F113</f>
        <v>0.38247389318895986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0"/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0"/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88" t="s">
        <v>68</v>
      </c>
      <c r="B117" s="89"/>
      <c r="C117" s="89"/>
      <c r="D117" s="2"/>
      <c r="E117" s="7" t="s">
        <v>45</v>
      </c>
      <c r="F117" s="8">
        <v>46120</v>
      </c>
      <c r="G117" s="2"/>
      <c r="H117" s="2"/>
      <c r="I117" s="91" t="s">
        <v>2</v>
      </c>
      <c r="J117" s="89"/>
      <c r="K117" s="89"/>
      <c r="L117" s="3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3"/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6" t="s">
        <v>3</v>
      </c>
      <c r="B119" s="10" t="s">
        <v>4</v>
      </c>
      <c r="C119" s="11" t="s">
        <v>5</v>
      </c>
      <c r="D119" s="10" t="s">
        <v>6</v>
      </c>
      <c r="E119" s="10" t="s">
        <v>7</v>
      </c>
      <c r="F119" s="10" t="s">
        <v>8</v>
      </c>
      <c r="G119" s="2"/>
      <c r="H119" s="2"/>
      <c r="I119" s="10" t="s">
        <v>9</v>
      </c>
      <c r="J119" s="10" t="s">
        <v>7</v>
      </c>
      <c r="K119" s="10" t="s">
        <v>10</v>
      </c>
      <c r="L119" s="3"/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2</v>
      </c>
      <c r="B120" s="10" t="s">
        <v>15</v>
      </c>
      <c r="C120" s="11" t="s">
        <v>27</v>
      </c>
      <c r="D120" s="13">
        <v>25000</v>
      </c>
      <c r="E120" s="13">
        <f t="shared" ref="E120:E142" si="24">A120*D120</f>
        <v>50000</v>
      </c>
      <c r="F120" s="13">
        <f t="shared" ref="F120:F141" si="25">E120*1.105</f>
        <v>55250</v>
      </c>
      <c r="G120" s="2"/>
      <c r="H120" s="2"/>
      <c r="I120" s="13">
        <v>20000</v>
      </c>
      <c r="J120" s="13">
        <f t="shared" ref="J120:J142" si="26">I120*A120</f>
        <v>40000</v>
      </c>
      <c r="K120" s="13">
        <f t="shared" ref="K120:K142" si="27">F120-J120</f>
        <v>15250</v>
      </c>
      <c r="L120" s="14">
        <f t="shared" ref="L120:L142" si="28">IFERROR(K120/E120, 0)</f>
        <v>0.30499999999999999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1</v>
      </c>
      <c r="B121" s="10" t="s">
        <v>15</v>
      </c>
      <c r="C121" s="11" t="s">
        <v>48</v>
      </c>
      <c r="D121" s="13">
        <v>13000</v>
      </c>
      <c r="E121" s="13">
        <f t="shared" si="24"/>
        <v>13000</v>
      </c>
      <c r="F121" s="13">
        <f t="shared" si="25"/>
        <v>14365</v>
      </c>
      <c r="G121" s="2"/>
      <c r="H121" s="2"/>
      <c r="I121" s="13">
        <v>8000</v>
      </c>
      <c r="J121" s="13">
        <f t="shared" si="26"/>
        <v>8000</v>
      </c>
      <c r="K121" s="13">
        <f t="shared" si="27"/>
        <v>6365</v>
      </c>
      <c r="L121" s="14">
        <f t="shared" si="28"/>
        <v>0.48961538461538462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1</v>
      </c>
      <c r="B122" s="10" t="s">
        <v>15</v>
      </c>
      <c r="C122" s="11" t="s">
        <v>40</v>
      </c>
      <c r="D122" s="13">
        <v>12000</v>
      </c>
      <c r="E122" s="13">
        <f t="shared" si="24"/>
        <v>12000</v>
      </c>
      <c r="F122" s="13">
        <f t="shared" si="25"/>
        <v>13260</v>
      </c>
      <c r="G122" s="2"/>
      <c r="H122" s="2"/>
      <c r="I122" s="13">
        <v>7000</v>
      </c>
      <c r="J122" s="13">
        <f t="shared" si="26"/>
        <v>7000</v>
      </c>
      <c r="K122" s="13">
        <f t="shared" si="27"/>
        <v>6260</v>
      </c>
      <c r="L122" s="14">
        <f t="shared" si="28"/>
        <v>0.52166666666666661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2</v>
      </c>
      <c r="B123" s="10" t="s">
        <v>4</v>
      </c>
      <c r="C123" s="11" t="s">
        <v>14</v>
      </c>
      <c r="D123" s="13">
        <v>3000</v>
      </c>
      <c r="E123" s="13">
        <f t="shared" si="24"/>
        <v>6000</v>
      </c>
      <c r="F123" s="13">
        <f t="shared" si="25"/>
        <v>6630</v>
      </c>
      <c r="G123" s="2"/>
      <c r="H123" s="2"/>
      <c r="I123" s="13">
        <f>18000/8</f>
        <v>2250</v>
      </c>
      <c r="J123" s="13">
        <f t="shared" si="26"/>
        <v>4500</v>
      </c>
      <c r="K123" s="13">
        <f t="shared" si="27"/>
        <v>2130</v>
      </c>
      <c r="L123" s="14">
        <f t="shared" si="28"/>
        <v>0.35499999999999998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12</v>
      </c>
      <c r="B124" s="10" t="s">
        <v>21</v>
      </c>
      <c r="C124" s="11" t="s">
        <v>22</v>
      </c>
      <c r="D124" s="13">
        <v>1700</v>
      </c>
      <c r="E124" s="13">
        <f t="shared" si="24"/>
        <v>20400</v>
      </c>
      <c r="F124" s="13">
        <f t="shared" si="25"/>
        <v>22542</v>
      </c>
      <c r="G124" s="2"/>
      <c r="H124" s="2"/>
      <c r="I124" s="13">
        <f>13000/12</f>
        <v>1083.3333333333333</v>
      </c>
      <c r="J124" s="13">
        <f t="shared" si="26"/>
        <v>13000</v>
      </c>
      <c r="K124" s="13">
        <f t="shared" si="27"/>
        <v>9542</v>
      </c>
      <c r="L124" s="14">
        <f t="shared" si="28"/>
        <v>0.46774509803921571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1</v>
      </c>
      <c r="B125" s="10" t="s">
        <v>21</v>
      </c>
      <c r="C125" s="11" t="s">
        <v>42</v>
      </c>
      <c r="D125" s="13">
        <v>4500</v>
      </c>
      <c r="E125" s="13">
        <f t="shared" si="24"/>
        <v>4500</v>
      </c>
      <c r="F125" s="13">
        <f t="shared" si="25"/>
        <v>4972.5</v>
      </c>
      <c r="G125" s="2"/>
      <c r="H125" s="2"/>
      <c r="I125" s="13">
        <v>2000</v>
      </c>
      <c r="J125" s="13">
        <f t="shared" si="26"/>
        <v>2000</v>
      </c>
      <c r="K125" s="13">
        <f t="shared" si="27"/>
        <v>2972.5</v>
      </c>
      <c r="L125" s="14">
        <f t="shared" si="28"/>
        <v>0.66055555555555556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1</v>
      </c>
      <c r="B126" s="10" t="s">
        <v>21</v>
      </c>
      <c r="C126" s="11" t="s">
        <v>34</v>
      </c>
      <c r="D126" s="13">
        <v>5000</v>
      </c>
      <c r="E126" s="13">
        <f t="shared" si="24"/>
        <v>5000</v>
      </c>
      <c r="F126" s="13">
        <f t="shared" si="25"/>
        <v>5525</v>
      </c>
      <c r="G126" s="2"/>
      <c r="H126" s="2"/>
      <c r="I126" s="13">
        <v>2500</v>
      </c>
      <c r="J126" s="13">
        <f t="shared" si="26"/>
        <v>2500</v>
      </c>
      <c r="K126" s="13">
        <f t="shared" si="27"/>
        <v>3025</v>
      </c>
      <c r="L126" s="14">
        <f t="shared" si="28"/>
        <v>0.60499999999999998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12</v>
      </c>
      <c r="B127" s="10" t="s">
        <v>21</v>
      </c>
      <c r="C127" s="11" t="s">
        <v>46</v>
      </c>
      <c r="D127" s="13">
        <v>600</v>
      </c>
      <c r="E127" s="13">
        <f t="shared" si="24"/>
        <v>7200</v>
      </c>
      <c r="F127" s="13">
        <f t="shared" si="25"/>
        <v>7956</v>
      </c>
      <c r="G127" s="2"/>
      <c r="H127" s="2"/>
      <c r="I127" s="13">
        <f>10000/24</f>
        <v>416.66666666666669</v>
      </c>
      <c r="J127" s="13">
        <f t="shared" si="26"/>
        <v>5000</v>
      </c>
      <c r="K127" s="13">
        <f t="shared" si="27"/>
        <v>2956</v>
      </c>
      <c r="L127" s="14">
        <f t="shared" si="28"/>
        <v>0.41055555555555556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1</v>
      </c>
      <c r="B128" s="10" t="s">
        <v>17</v>
      </c>
      <c r="C128" s="11" t="s">
        <v>43</v>
      </c>
      <c r="D128" s="13">
        <v>5000</v>
      </c>
      <c r="E128" s="13">
        <f t="shared" si="24"/>
        <v>5000</v>
      </c>
      <c r="F128" s="13">
        <f t="shared" si="25"/>
        <v>5525</v>
      </c>
      <c r="G128" s="2"/>
      <c r="H128" s="2"/>
      <c r="I128" s="13">
        <f>17000/4</f>
        <v>4250</v>
      </c>
      <c r="J128" s="13">
        <f t="shared" si="26"/>
        <v>4250</v>
      </c>
      <c r="K128" s="13">
        <f t="shared" si="27"/>
        <v>1275</v>
      </c>
      <c r="L128" s="14">
        <f t="shared" si="28"/>
        <v>0.255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1</v>
      </c>
      <c r="B129" s="10" t="s">
        <v>17</v>
      </c>
      <c r="C129" s="11" t="s">
        <v>82</v>
      </c>
      <c r="D129" s="13">
        <v>1400</v>
      </c>
      <c r="E129" s="13">
        <f t="shared" si="24"/>
        <v>1400</v>
      </c>
      <c r="F129" s="13">
        <f t="shared" si="25"/>
        <v>1547</v>
      </c>
      <c r="G129" s="2"/>
      <c r="H129" s="2"/>
      <c r="I129" s="13">
        <f>15000/14</f>
        <v>1071.4285714285713</v>
      </c>
      <c r="J129" s="13">
        <f t="shared" si="26"/>
        <v>1071.4285714285713</v>
      </c>
      <c r="K129" s="13">
        <f t="shared" si="27"/>
        <v>475.57142857142867</v>
      </c>
      <c r="L129" s="14">
        <f t="shared" si="28"/>
        <v>0.33969387755102048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8</v>
      </c>
      <c r="B130" s="10" t="s">
        <v>17</v>
      </c>
      <c r="C130" s="11" t="s">
        <v>39</v>
      </c>
      <c r="D130" s="13">
        <v>2400</v>
      </c>
      <c r="E130" s="13">
        <f t="shared" si="24"/>
        <v>19200</v>
      </c>
      <c r="F130" s="13">
        <f t="shared" si="25"/>
        <v>21216</v>
      </c>
      <c r="G130" s="2"/>
      <c r="H130" s="2"/>
      <c r="I130" s="13">
        <f>22000/15</f>
        <v>1466.6666666666667</v>
      </c>
      <c r="J130" s="13">
        <f t="shared" si="26"/>
        <v>11733.333333333334</v>
      </c>
      <c r="K130" s="13">
        <f t="shared" si="27"/>
        <v>9482.6666666666661</v>
      </c>
      <c r="L130" s="14">
        <f t="shared" si="28"/>
        <v>0.49388888888888888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0.5</v>
      </c>
      <c r="B131" s="10" t="s">
        <v>17</v>
      </c>
      <c r="C131" s="11" t="s">
        <v>30</v>
      </c>
      <c r="D131" s="13">
        <v>1500</v>
      </c>
      <c r="E131" s="13">
        <f t="shared" si="24"/>
        <v>750</v>
      </c>
      <c r="F131" s="13">
        <f t="shared" si="25"/>
        <v>828.75</v>
      </c>
      <c r="G131" s="2"/>
      <c r="H131" s="2"/>
      <c r="I131" s="13">
        <f>8000/14</f>
        <v>571.42857142857144</v>
      </c>
      <c r="J131" s="13">
        <f t="shared" si="26"/>
        <v>285.71428571428572</v>
      </c>
      <c r="K131" s="13">
        <f t="shared" si="27"/>
        <v>543.03571428571422</v>
      </c>
      <c r="L131" s="14">
        <f t="shared" si="28"/>
        <v>0.72404761904761894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2</v>
      </c>
      <c r="B132" s="10" t="s">
        <v>17</v>
      </c>
      <c r="C132" s="11" t="s">
        <v>31</v>
      </c>
      <c r="D132" s="13">
        <v>3200</v>
      </c>
      <c r="E132" s="13">
        <f t="shared" si="24"/>
        <v>6400</v>
      </c>
      <c r="F132" s="13">
        <f t="shared" si="25"/>
        <v>7072</v>
      </c>
      <c r="G132" s="2"/>
      <c r="H132" s="2"/>
      <c r="I132" s="13">
        <v>2000</v>
      </c>
      <c r="J132" s="13">
        <f t="shared" si="26"/>
        <v>4000</v>
      </c>
      <c r="K132" s="13">
        <f t="shared" si="27"/>
        <v>3072</v>
      </c>
      <c r="L132" s="14">
        <f t="shared" si="28"/>
        <v>0.48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1</v>
      </c>
      <c r="B133" s="10" t="s">
        <v>17</v>
      </c>
      <c r="C133" s="11" t="s">
        <v>32</v>
      </c>
      <c r="D133" s="13">
        <v>2400</v>
      </c>
      <c r="E133" s="13">
        <f t="shared" si="24"/>
        <v>2400</v>
      </c>
      <c r="F133" s="13">
        <f t="shared" si="25"/>
        <v>2652</v>
      </c>
      <c r="G133" s="2"/>
      <c r="H133" s="2"/>
      <c r="I133" s="13">
        <f>13000/7</f>
        <v>1857.1428571428571</v>
      </c>
      <c r="J133" s="13">
        <f t="shared" si="26"/>
        <v>1857.1428571428571</v>
      </c>
      <c r="K133" s="13">
        <f t="shared" si="27"/>
        <v>794.85714285714289</v>
      </c>
      <c r="L133" s="14">
        <f t="shared" si="28"/>
        <v>0.3311904761904762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1</v>
      </c>
      <c r="B134" s="10" t="s">
        <v>17</v>
      </c>
      <c r="C134" s="11" t="s">
        <v>33</v>
      </c>
      <c r="D134" s="13">
        <v>2800</v>
      </c>
      <c r="E134" s="13">
        <f t="shared" si="24"/>
        <v>2800</v>
      </c>
      <c r="F134" s="13">
        <f t="shared" si="25"/>
        <v>3094</v>
      </c>
      <c r="G134" s="2"/>
      <c r="H134" s="2"/>
      <c r="I134" s="13">
        <f>15000/7</f>
        <v>2142.8571428571427</v>
      </c>
      <c r="J134" s="13">
        <f t="shared" si="26"/>
        <v>2142.8571428571427</v>
      </c>
      <c r="K134" s="13">
        <f t="shared" si="27"/>
        <v>951.14285714285734</v>
      </c>
      <c r="L134" s="14">
        <f t="shared" si="28"/>
        <v>0.33969387755102048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0.5</v>
      </c>
      <c r="B135" s="10" t="s">
        <v>17</v>
      </c>
      <c r="C135" s="11" t="s">
        <v>93</v>
      </c>
      <c r="D135" s="13">
        <v>3000</v>
      </c>
      <c r="E135" s="13">
        <f t="shared" si="24"/>
        <v>1500</v>
      </c>
      <c r="F135" s="13">
        <f t="shared" si="25"/>
        <v>1657.5</v>
      </c>
      <c r="G135" s="2"/>
      <c r="H135" s="2"/>
      <c r="I135" s="13">
        <f>8000/6</f>
        <v>1333.3333333333333</v>
      </c>
      <c r="J135" s="13">
        <f t="shared" si="26"/>
        <v>666.66666666666663</v>
      </c>
      <c r="K135" s="13">
        <f t="shared" si="27"/>
        <v>990.83333333333337</v>
      </c>
      <c r="L135" s="14">
        <f t="shared" si="28"/>
        <v>0.66055555555555556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0.5</v>
      </c>
      <c r="B136" s="10" t="s">
        <v>17</v>
      </c>
      <c r="C136" s="11" t="s">
        <v>61</v>
      </c>
      <c r="D136" s="13">
        <v>1400</v>
      </c>
      <c r="E136" s="13">
        <f t="shared" si="24"/>
        <v>700</v>
      </c>
      <c r="F136" s="13">
        <f t="shared" si="25"/>
        <v>773.5</v>
      </c>
      <c r="G136" s="2"/>
      <c r="H136" s="2"/>
      <c r="I136" s="13">
        <f>12000/14</f>
        <v>857.14285714285711</v>
      </c>
      <c r="J136" s="13">
        <f t="shared" si="26"/>
        <v>428.57142857142856</v>
      </c>
      <c r="K136" s="13">
        <f t="shared" si="27"/>
        <v>344.92857142857144</v>
      </c>
      <c r="L136" s="14">
        <f t="shared" si="28"/>
        <v>0.49275510204081635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1</v>
      </c>
      <c r="B137" s="10" t="s">
        <v>23</v>
      </c>
      <c r="C137" s="11" t="s">
        <v>26</v>
      </c>
      <c r="D137" s="13">
        <v>28000</v>
      </c>
      <c r="E137" s="13">
        <f t="shared" si="24"/>
        <v>28000</v>
      </c>
      <c r="F137" s="13">
        <f t="shared" si="25"/>
        <v>30940</v>
      </c>
      <c r="G137" s="2"/>
      <c r="H137" s="2"/>
      <c r="I137" s="13">
        <v>24000</v>
      </c>
      <c r="J137" s="13">
        <f t="shared" si="26"/>
        <v>24000</v>
      </c>
      <c r="K137" s="13">
        <f t="shared" si="27"/>
        <v>6940</v>
      </c>
      <c r="L137" s="14">
        <f t="shared" si="28"/>
        <v>0.24785714285714286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</v>
      </c>
      <c r="B138" s="10" t="s">
        <v>17</v>
      </c>
      <c r="C138" s="11" t="s">
        <v>88</v>
      </c>
      <c r="D138" s="13">
        <v>2400</v>
      </c>
      <c r="E138" s="13">
        <f t="shared" si="24"/>
        <v>2400</v>
      </c>
      <c r="F138" s="13">
        <f t="shared" si="25"/>
        <v>2652</v>
      </c>
      <c r="G138" s="2"/>
      <c r="H138" s="2"/>
      <c r="I138" s="13">
        <f>21000/15</f>
        <v>1400</v>
      </c>
      <c r="J138" s="13">
        <f t="shared" si="26"/>
        <v>1400</v>
      </c>
      <c r="K138" s="13">
        <f t="shared" si="27"/>
        <v>1252</v>
      </c>
      <c r="L138" s="14">
        <f t="shared" si="28"/>
        <v>0.52166666666666661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3</v>
      </c>
      <c r="B139" s="10" t="s">
        <v>17</v>
      </c>
      <c r="C139" s="11" t="s">
        <v>49</v>
      </c>
      <c r="D139" s="13">
        <v>3000</v>
      </c>
      <c r="E139" s="13">
        <f t="shared" si="24"/>
        <v>9000</v>
      </c>
      <c r="F139" s="13">
        <f t="shared" si="25"/>
        <v>9945</v>
      </c>
      <c r="G139" s="2"/>
      <c r="H139" s="2"/>
      <c r="I139" s="13">
        <f>20000/9</f>
        <v>2222.2222222222222</v>
      </c>
      <c r="J139" s="13">
        <f t="shared" si="26"/>
        <v>6666.6666666666661</v>
      </c>
      <c r="K139" s="13">
        <f t="shared" si="27"/>
        <v>3278.3333333333339</v>
      </c>
      <c r="L139" s="14">
        <f t="shared" si="28"/>
        <v>0.36425925925925934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3</v>
      </c>
      <c r="B140" s="10" t="s">
        <v>17</v>
      </c>
      <c r="C140" s="11" t="s">
        <v>62</v>
      </c>
      <c r="D140" s="13">
        <v>3000</v>
      </c>
      <c r="E140" s="13">
        <f t="shared" si="24"/>
        <v>9000</v>
      </c>
      <c r="F140" s="13">
        <f t="shared" si="25"/>
        <v>9945</v>
      </c>
      <c r="G140" s="2"/>
      <c r="H140" s="2"/>
      <c r="I140" s="13">
        <f>36000/17</f>
        <v>2117.6470588235293</v>
      </c>
      <c r="J140" s="13">
        <f t="shared" si="26"/>
        <v>6352.9411764705874</v>
      </c>
      <c r="K140" s="13">
        <f t="shared" si="27"/>
        <v>3592.0588235294126</v>
      </c>
      <c r="L140" s="14">
        <f t="shared" si="28"/>
        <v>0.39911764705882363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6</v>
      </c>
      <c r="B141" s="10" t="s">
        <v>17</v>
      </c>
      <c r="C141" s="11" t="s">
        <v>123</v>
      </c>
      <c r="D141" s="13">
        <v>3200</v>
      </c>
      <c r="E141" s="13">
        <f t="shared" si="24"/>
        <v>19200</v>
      </c>
      <c r="F141" s="13">
        <f t="shared" si="25"/>
        <v>21216</v>
      </c>
      <c r="G141" s="2"/>
      <c r="H141" s="2"/>
      <c r="I141" s="13">
        <f>32000/15</f>
        <v>2133.3333333333335</v>
      </c>
      <c r="J141" s="13">
        <f t="shared" si="26"/>
        <v>12800</v>
      </c>
      <c r="K141" s="13">
        <f t="shared" si="27"/>
        <v>8416</v>
      </c>
      <c r="L141" s="14">
        <f t="shared" si="28"/>
        <v>0.43833333333333335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0.5</v>
      </c>
      <c r="B142" s="10" t="s">
        <v>23</v>
      </c>
      <c r="C142" s="11" t="s">
        <v>12</v>
      </c>
      <c r="D142" s="13">
        <v>54000</v>
      </c>
      <c r="E142" s="13">
        <f t="shared" si="24"/>
        <v>27000</v>
      </c>
      <c r="F142" s="13">
        <f>E142*1.21</f>
        <v>32670</v>
      </c>
      <c r="G142" s="2"/>
      <c r="H142" s="2"/>
      <c r="I142" s="13">
        <v>50000</v>
      </c>
      <c r="J142" s="13">
        <f t="shared" si="26"/>
        <v>25000</v>
      </c>
      <c r="K142" s="13">
        <f t="shared" si="27"/>
        <v>7670</v>
      </c>
      <c r="L142" s="14">
        <f t="shared" si="28"/>
        <v>0.28407407407407409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"/>
      <c r="B143" s="2"/>
      <c r="C143" s="4"/>
      <c r="D143" s="2"/>
      <c r="E143" s="2"/>
      <c r="F143" s="2"/>
      <c r="G143" s="2"/>
      <c r="H143" s="2"/>
      <c r="I143" s="2"/>
      <c r="J143" s="2"/>
      <c r="K143" s="2"/>
      <c r="L143" s="3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"/>
      <c r="B144" s="2"/>
      <c r="C144" s="4"/>
      <c r="D144" s="2"/>
      <c r="E144" s="13">
        <f t="shared" ref="E144:F144" si="29">SUM(E120:E142)</f>
        <v>252850</v>
      </c>
      <c r="F144" s="13">
        <f t="shared" si="29"/>
        <v>282234.25</v>
      </c>
      <c r="G144" s="2"/>
      <c r="H144" s="2"/>
      <c r="I144" s="2"/>
      <c r="J144" s="2"/>
      <c r="K144" s="13">
        <f>SUM(K120:K142)</f>
        <v>97578.927871148451</v>
      </c>
      <c r="L144" s="14">
        <f>K144/F144</f>
        <v>0.34573737195662274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0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0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0"/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6" t="s">
        <v>96</v>
      </c>
      <c r="B148" s="1"/>
      <c r="C148" s="1"/>
      <c r="D148" s="22" t="s">
        <v>158</v>
      </c>
      <c r="E148" s="8">
        <v>46120</v>
      </c>
      <c r="F148" s="24" t="s">
        <v>37</v>
      </c>
      <c r="G148" s="2"/>
      <c r="H148" s="2"/>
      <c r="I148" s="2"/>
      <c r="J148" s="2"/>
      <c r="K148" s="2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2"/>
      <c r="C149" s="4"/>
      <c r="D149" s="2"/>
      <c r="E149" s="2"/>
      <c r="F149" s="2"/>
      <c r="G149" s="2"/>
      <c r="H149" s="2"/>
      <c r="I149" s="2"/>
      <c r="J149" s="2"/>
      <c r="K149" s="2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6" t="s">
        <v>3</v>
      </c>
      <c r="B150" s="10" t="s">
        <v>4</v>
      </c>
      <c r="C150" s="11" t="s">
        <v>5</v>
      </c>
      <c r="D150" s="10" t="s">
        <v>6</v>
      </c>
      <c r="E150" s="10" t="s">
        <v>7</v>
      </c>
      <c r="F150" s="2"/>
      <c r="G150" s="2"/>
      <c r="H150" s="2"/>
      <c r="I150" s="10" t="s">
        <v>6</v>
      </c>
      <c r="J150" s="10" t="s">
        <v>7</v>
      </c>
      <c r="K150" s="10" t="s">
        <v>10</v>
      </c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3</v>
      </c>
      <c r="B151" s="10" t="s">
        <v>23</v>
      </c>
      <c r="C151" s="11" t="s">
        <v>130</v>
      </c>
      <c r="D151" s="13">
        <v>12000</v>
      </c>
      <c r="E151" s="13">
        <f t="shared" ref="E151:E164" si="30">A151*D151</f>
        <v>36000</v>
      </c>
      <c r="F151" s="2"/>
      <c r="G151" s="2"/>
      <c r="H151" s="2"/>
      <c r="I151" s="13">
        <v>8000</v>
      </c>
      <c r="J151" s="13">
        <f t="shared" ref="J151:J164" si="31">I151*A151</f>
        <v>24000</v>
      </c>
      <c r="K151" s="13">
        <f t="shared" ref="K151:K164" si="32">E151-J151</f>
        <v>12000</v>
      </c>
      <c r="L151" s="14">
        <f t="shared" ref="L151:L164" si="33">K151/E151</f>
        <v>0.33333333333333331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2</v>
      </c>
      <c r="B152" s="10" t="s">
        <v>23</v>
      </c>
      <c r="C152" s="11" t="s">
        <v>22</v>
      </c>
      <c r="D152" s="13">
        <v>16000</v>
      </c>
      <c r="E152" s="13">
        <f t="shared" si="30"/>
        <v>32000</v>
      </c>
      <c r="F152" s="2"/>
      <c r="G152" s="2"/>
      <c r="H152" s="2"/>
      <c r="I152" s="13">
        <v>13000</v>
      </c>
      <c r="J152" s="13">
        <f t="shared" si="31"/>
        <v>26000</v>
      </c>
      <c r="K152" s="13">
        <f t="shared" si="32"/>
        <v>6000</v>
      </c>
      <c r="L152" s="14">
        <f t="shared" si="33"/>
        <v>0.1875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</v>
      </c>
      <c r="B153" s="10" t="s">
        <v>15</v>
      </c>
      <c r="C153" s="11" t="s">
        <v>167</v>
      </c>
      <c r="D153" s="13">
        <v>16000</v>
      </c>
      <c r="E153" s="13">
        <f t="shared" si="30"/>
        <v>16000</v>
      </c>
      <c r="F153" s="2"/>
      <c r="G153" s="2"/>
      <c r="H153" s="2"/>
      <c r="I153" s="13">
        <v>10000</v>
      </c>
      <c r="J153" s="13">
        <f t="shared" si="31"/>
        <v>10000</v>
      </c>
      <c r="K153" s="13">
        <f t="shared" si="32"/>
        <v>6000</v>
      </c>
      <c r="L153" s="14">
        <f t="shared" si="33"/>
        <v>0.375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1</v>
      </c>
      <c r="B154" s="10" t="s">
        <v>23</v>
      </c>
      <c r="C154" s="11" t="s">
        <v>31</v>
      </c>
      <c r="D154" s="13">
        <v>20000</v>
      </c>
      <c r="E154" s="13">
        <f t="shared" si="30"/>
        <v>20000</v>
      </c>
      <c r="F154" s="2"/>
      <c r="G154" s="2"/>
      <c r="H154" s="2"/>
      <c r="I154" s="13">
        <v>14000</v>
      </c>
      <c r="J154" s="13">
        <f t="shared" si="31"/>
        <v>14000</v>
      </c>
      <c r="K154" s="13">
        <f t="shared" si="32"/>
        <v>6000</v>
      </c>
      <c r="L154" s="14">
        <f t="shared" si="33"/>
        <v>0.3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12</v>
      </c>
      <c r="B155" s="10" t="s">
        <v>21</v>
      </c>
      <c r="C155" s="11" t="s">
        <v>46</v>
      </c>
      <c r="D155" s="13">
        <v>500</v>
      </c>
      <c r="E155" s="13">
        <f t="shared" si="30"/>
        <v>6000</v>
      </c>
      <c r="F155" s="2"/>
      <c r="G155" s="2"/>
      <c r="H155" s="2"/>
      <c r="I155" s="13">
        <f>10000/24</f>
        <v>416.66666666666669</v>
      </c>
      <c r="J155" s="13">
        <f t="shared" si="31"/>
        <v>5000</v>
      </c>
      <c r="K155" s="13">
        <f t="shared" si="32"/>
        <v>1000</v>
      </c>
      <c r="L155" s="14">
        <f t="shared" si="33"/>
        <v>0.16666666666666666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</v>
      </c>
      <c r="B156" s="10" t="s">
        <v>23</v>
      </c>
      <c r="C156" s="11" t="s">
        <v>99</v>
      </c>
      <c r="D156" s="13">
        <v>13000</v>
      </c>
      <c r="E156" s="13">
        <f t="shared" si="30"/>
        <v>13000</v>
      </c>
      <c r="F156" s="2"/>
      <c r="G156" s="2"/>
      <c r="H156" s="2"/>
      <c r="I156" s="13">
        <v>10000</v>
      </c>
      <c r="J156" s="13">
        <f t="shared" si="31"/>
        <v>10000</v>
      </c>
      <c r="K156" s="13">
        <f t="shared" si="32"/>
        <v>3000</v>
      </c>
      <c r="L156" s="14">
        <f t="shared" si="33"/>
        <v>0.23076923076923078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3</v>
      </c>
      <c r="B157" s="10" t="s">
        <v>15</v>
      </c>
      <c r="C157" s="11" t="s">
        <v>84</v>
      </c>
      <c r="D157" s="13">
        <v>18000</v>
      </c>
      <c r="E157" s="13">
        <f t="shared" si="30"/>
        <v>54000</v>
      </c>
      <c r="F157" s="2"/>
      <c r="G157" s="2"/>
      <c r="H157" s="2"/>
      <c r="I157" s="13">
        <v>14000</v>
      </c>
      <c r="J157" s="13">
        <f t="shared" si="31"/>
        <v>42000</v>
      </c>
      <c r="K157" s="13">
        <f t="shared" si="32"/>
        <v>12000</v>
      </c>
      <c r="L157" s="14">
        <f t="shared" si="33"/>
        <v>0.22222222222222221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3</v>
      </c>
      <c r="B158" s="10" t="s">
        <v>15</v>
      </c>
      <c r="C158" s="11" t="s">
        <v>16</v>
      </c>
      <c r="D158" s="13">
        <v>13000</v>
      </c>
      <c r="E158" s="13">
        <f t="shared" si="30"/>
        <v>39000</v>
      </c>
      <c r="F158" s="2"/>
      <c r="G158" s="2"/>
      <c r="H158" s="2"/>
      <c r="I158" s="13">
        <v>8000</v>
      </c>
      <c r="J158" s="13">
        <f t="shared" si="31"/>
        <v>24000</v>
      </c>
      <c r="K158" s="13">
        <f t="shared" si="32"/>
        <v>15000</v>
      </c>
      <c r="L158" s="14">
        <f t="shared" si="33"/>
        <v>0.38461538461538464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1</v>
      </c>
      <c r="B159" s="10" t="s">
        <v>21</v>
      </c>
      <c r="C159" s="11" t="s">
        <v>29</v>
      </c>
      <c r="D159" s="13">
        <v>2500</v>
      </c>
      <c r="E159" s="13">
        <f t="shared" si="30"/>
        <v>2500</v>
      </c>
      <c r="F159" s="2"/>
      <c r="G159" s="2"/>
      <c r="H159" s="2"/>
      <c r="I159" s="13">
        <v>1500</v>
      </c>
      <c r="J159" s="13">
        <f t="shared" si="31"/>
        <v>1500</v>
      </c>
      <c r="K159" s="13">
        <f t="shared" si="32"/>
        <v>1000</v>
      </c>
      <c r="L159" s="14">
        <f t="shared" si="33"/>
        <v>0.4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1</v>
      </c>
      <c r="B160" s="10" t="s">
        <v>23</v>
      </c>
      <c r="C160" s="11" t="s">
        <v>82</v>
      </c>
      <c r="D160" s="13">
        <v>19000</v>
      </c>
      <c r="E160" s="13">
        <f t="shared" si="30"/>
        <v>19000</v>
      </c>
      <c r="F160" s="2"/>
      <c r="G160" s="2"/>
      <c r="H160" s="2"/>
      <c r="I160" s="13">
        <v>15000</v>
      </c>
      <c r="J160" s="13">
        <f t="shared" si="31"/>
        <v>15000</v>
      </c>
      <c r="K160" s="13">
        <f t="shared" si="32"/>
        <v>4000</v>
      </c>
      <c r="L160" s="14">
        <f t="shared" si="33"/>
        <v>0.21052631578947367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3</v>
      </c>
      <c r="B161" s="10" t="s">
        <v>21</v>
      </c>
      <c r="C161" s="11" t="s">
        <v>51</v>
      </c>
      <c r="D161" s="13">
        <v>1500</v>
      </c>
      <c r="E161" s="13">
        <f t="shared" si="30"/>
        <v>4500</v>
      </c>
      <c r="F161" s="2"/>
      <c r="G161" s="2"/>
      <c r="H161" s="2"/>
      <c r="I161" s="13">
        <v>1000</v>
      </c>
      <c r="J161" s="13">
        <f t="shared" si="31"/>
        <v>3000</v>
      </c>
      <c r="K161" s="13">
        <f t="shared" si="32"/>
        <v>1500</v>
      </c>
      <c r="L161" s="14">
        <f t="shared" si="33"/>
        <v>0.33333333333333331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3</v>
      </c>
      <c r="B162" s="10" t="s">
        <v>21</v>
      </c>
      <c r="C162" s="11" t="s">
        <v>34</v>
      </c>
      <c r="D162" s="13">
        <v>4000</v>
      </c>
      <c r="E162" s="13">
        <f t="shared" si="30"/>
        <v>12000</v>
      </c>
      <c r="F162" s="2"/>
      <c r="G162" s="2"/>
      <c r="H162" s="2"/>
      <c r="I162" s="13">
        <v>2500</v>
      </c>
      <c r="J162" s="13">
        <f t="shared" si="31"/>
        <v>7500</v>
      </c>
      <c r="K162" s="13">
        <f t="shared" si="32"/>
        <v>4500</v>
      </c>
      <c r="L162" s="14">
        <f t="shared" si="33"/>
        <v>0.375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2">
        <v>0.5</v>
      </c>
      <c r="B163" s="10" t="s">
        <v>23</v>
      </c>
      <c r="C163" s="11" t="s">
        <v>39</v>
      </c>
      <c r="D163" s="13">
        <v>26000</v>
      </c>
      <c r="E163" s="13">
        <f t="shared" si="30"/>
        <v>13000</v>
      </c>
      <c r="F163" s="2"/>
      <c r="G163" s="2"/>
      <c r="H163" s="2"/>
      <c r="I163" s="13">
        <v>22000</v>
      </c>
      <c r="J163" s="13">
        <f t="shared" si="31"/>
        <v>11000</v>
      </c>
      <c r="K163" s="13">
        <f t="shared" si="32"/>
        <v>2000</v>
      </c>
      <c r="L163" s="14">
        <f t="shared" si="33"/>
        <v>0.15384615384615385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6</v>
      </c>
      <c r="B164" s="10" t="s">
        <v>100</v>
      </c>
      <c r="C164" s="11" t="s">
        <v>186</v>
      </c>
      <c r="D164" s="13">
        <v>5000</v>
      </c>
      <c r="E164" s="13">
        <f t="shared" si="30"/>
        <v>30000</v>
      </c>
      <c r="F164" s="2"/>
      <c r="G164" s="2"/>
      <c r="H164" s="2"/>
      <c r="I164" s="13">
        <v>4000</v>
      </c>
      <c r="J164" s="13">
        <f t="shared" si="31"/>
        <v>24000</v>
      </c>
      <c r="K164" s="13">
        <f t="shared" si="32"/>
        <v>6000</v>
      </c>
      <c r="L164" s="14">
        <f t="shared" si="33"/>
        <v>0.2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"/>
      <c r="B165" s="2"/>
      <c r="C165" s="4"/>
      <c r="D165" s="2"/>
      <c r="E165" s="2"/>
      <c r="F165" s="2"/>
      <c r="G165" s="4"/>
      <c r="H165" s="2"/>
      <c r="I165" s="2"/>
      <c r="J165" s="2"/>
      <c r="K165" s="2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"/>
      <c r="B166" s="2"/>
      <c r="C166" s="4"/>
      <c r="D166" s="2"/>
      <c r="E166" s="13">
        <f>SUM(E151:E164)</f>
        <v>297000</v>
      </c>
      <c r="F166" s="2"/>
      <c r="G166" s="2"/>
      <c r="H166" s="2"/>
      <c r="I166" s="2"/>
      <c r="J166" s="2"/>
      <c r="K166" s="13">
        <f>SUM(K151:K164)</f>
        <v>80000</v>
      </c>
      <c r="L166" s="14">
        <f>K166/E166</f>
        <v>0.26936026936026936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0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0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0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6" t="s">
        <v>91</v>
      </c>
      <c r="B170" s="1"/>
      <c r="C170" s="1"/>
      <c r="D170" s="22" t="s">
        <v>92</v>
      </c>
      <c r="E170" s="8">
        <v>46120</v>
      </c>
      <c r="F170" s="24" t="s">
        <v>37</v>
      </c>
      <c r="G170" s="2"/>
      <c r="H170" s="2"/>
      <c r="I170" s="2"/>
      <c r="J170" s="2"/>
      <c r="K170" s="2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2"/>
      <c r="C171" s="4"/>
      <c r="D171" s="2"/>
      <c r="E171" s="2"/>
      <c r="F171" s="2"/>
      <c r="G171" s="2"/>
      <c r="H171" s="2"/>
      <c r="I171" s="2"/>
      <c r="J171" s="2"/>
      <c r="K171" s="2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6" t="s">
        <v>3</v>
      </c>
      <c r="B172" s="10" t="s">
        <v>4</v>
      </c>
      <c r="C172" s="11" t="s">
        <v>5</v>
      </c>
      <c r="D172" s="10" t="s">
        <v>6</v>
      </c>
      <c r="E172" s="10" t="s">
        <v>7</v>
      </c>
      <c r="F172" s="2"/>
      <c r="G172" s="2"/>
      <c r="H172" s="2"/>
      <c r="I172" s="10" t="s">
        <v>6</v>
      </c>
      <c r="J172" s="10" t="s">
        <v>7</v>
      </c>
      <c r="K172" s="10" t="s">
        <v>10</v>
      </c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5</v>
      </c>
      <c r="B173" s="10" t="s">
        <v>4</v>
      </c>
      <c r="C173" s="11" t="s">
        <v>65</v>
      </c>
      <c r="D173" s="13">
        <v>1600</v>
      </c>
      <c r="E173" s="13">
        <f t="shared" ref="E173:E177" si="34">A173*D173</f>
        <v>8000</v>
      </c>
      <c r="F173" s="2"/>
      <c r="G173" s="2"/>
      <c r="H173" s="2"/>
      <c r="I173" s="13">
        <f>85000/70</f>
        <v>1214.2857142857142</v>
      </c>
      <c r="J173" s="13">
        <f t="shared" ref="J173:J177" si="35">I173*A173</f>
        <v>6071.4285714285706</v>
      </c>
      <c r="K173" s="13">
        <f t="shared" ref="K173:K177" si="36">E173-J173</f>
        <v>1928.5714285714294</v>
      </c>
      <c r="L173" s="14">
        <f t="shared" ref="L173:L177" si="37">K173/E173</f>
        <v>0.24107142857142866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2">
        <v>3</v>
      </c>
      <c r="B174" s="10" t="s">
        <v>21</v>
      </c>
      <c r="C174" s="11" t="s">
        <v>51</v>
      </c>
      <c r="D174" s="13">
        <v>1500</v>
      </c>
      <c r="E174" s="13">
        <f t="shared" si="34"/>
        <v>4500</v>
      </c>
      <c r="F174" s="2"/>
      <c r="G174" s="2"/>
      <c r="H174" s="2"/>
      <c r="I174" s="13">
        <v>1000</v>
      </c>
      <c r="J174" s="13">
        <f t="shared" si="35"/>
        <v>3000</v>
      </c>
      <c r="K174" s="13">
        <f t="shared" si="36"/>
        <v>1500</v>
      </c>
      <c r="L174" s="14">
        <f t="shared" si="37"/>
        <v>0.33333333333333331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1</v>
      </c>
      <c r="B175" s="10" t="s">
        <v>21</v>
      </c>
      <c r="C175" s="11" t="s">
        <v>64</v>
      </c>
      <c r="D175" s="13">
        <v>2400</v>
      </c>
      <c r="E175" s="13">
        <f t="shared" si="34"/>
        <v>2400</v>
      </c>
      <c r="F175" s="2"/>
      <c r="G175" s="2"/>
      <c r="H175" s="2"/>
      <c r="I175" s="13">
        <f>9000/8</f>
        <v>1125</v>
      </c>
      <c r="J175" s="13">
        <f t="shared" si="35"/>
        <v>1125</v>
      </c>
      <c r="K175" s="13">
        <f t="shared" si="36"/>
        <v>1275</v>
      </c>
      <c r="L175" s="14">
        <f t="shared" si="37"/>
        <v>0.53125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0.5</v>
      </c>
      <c r="B176" s="10" t="s">
        <v>23</v>
      </c>
      <c r="C176" s="11" t="s">
        <v>46</v>
      </c>
      <c r="D176" s="13">
        <v>15000</v>
      </c>
      <c r="E176" s="13">
        <f t="shared" si="34"/>
        <v>7500</v>
      </c>
      <c r="F176" s="2"/>
      <c r="G176" s="2"/>
      <c r="H176" s="2"/>
      <c r="I176" s="13">
        <v>10000</v>
      </c>
      <c r="J176" s="13">
        <f t="shared" si="35"/>
        <v>5000</v>
      </c>
      <c r="K176" s="13">
        <f t="shared" si="36"/>
        <v>2500</v>
      </c>
      <c r="L176" s="14">
        <f t="shared" si="37"/>
        <v>0.33333333333333331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2">
        <v>3</v>
      </c>
      <c r="B177" s="10" t="s">
        <v>17</v>
      </c>
      <c r="C177" s="11" t="s">
        <v>81</v>
      </c>
      <c r="D177" s="13">
        <v>2200</v>
      </c>
      <c r="E177" s="13">
        <f t="shared" si="34"/>
        <v>6600</v>
      </c>
      <c r="F177" s="2"/>
      <c r="G177" s="2"/>
      <c r="H177" s="2"/>
      <c r="I177" s="13">
        <f>22000/15</f>
        <v>1466.6666666666667</v>
      </c>
      <c r="J177" s="13">
        <f t="shared" si="35"/>
        <v>4400</v>
      </c>
      <c r="K177" s="13">
        <f t="shared" si="36"/>
        <v>2200</v>
      </c>
      <c r="L177" s="14">
        <f t="shared" si="37"/>
        <v>0.33333333333333331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"/>
      <c r="B178" s="2"/>
      <c r="C178" s="4"/>
      <c r="D178" s="2"/>
      <c r="E178" s="2"/>
      <c r="F178" s="2"/>
      <c r="G178" s="4"/>
      <c r="H178" s="2"/>
      <c r="I178" s="2"/>
      <c r="J178" s="2"/>
      <c r="K178" s="2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2"/>
      <c r="C179" s="4"/>
      <c r="D179" s="2"/>
      <c r="E179" s="13">
        <f>SUM(E173:E177)</f>
        <v>29000</v>
      </c>
      <c r="F179" s="2"/>
      <c r="G179" s="2"/>
      <c r="H179" s="2"/>
      <c r="I179" s="2"/>
      <c r="J179" s="2"/>
      <c r="K179" s="13">
        <f>SUM(K173:K177)</f>
        <v>9403.5714285714294</v>
      </c>
      <c r="L179" s="14">
        <f>K179/E179</f>
        <v>0.32426108374384238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0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0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6" t="s">
        <v>75</v>
      </c>
      <c r="B182" s="6"/>
      <c r="C182" s="6"/>
      <c r="D182" s="22" t="s">
        <v>45</v>
      </c>
      <c r="E182" s="8">
        <v>46113</v>
      </c>
      <c r="F182" s="23"/>
      <c r="G182" s="2"/>
      <c r="H182" s="2"/>
      <c r="I182" s="13"/>
      <c r="J182" s="13"/>
      <c r="K182" s="13"/>
      <c r="L182" s="14"/>
      <c r="M182" s="4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ht="15.75" customHeight="1" x14ac:dyDescent="0.2">
      <c r="B183" s="2"/>
      <c r="C183" s="4"/>
      <c r="D183" s="2"/>
      <c r="E183" s="2"/>
      <c r="F183" s="2"/>
      <c r="G183" s="2"/>
      <c r="H183" s="2"/>
      <c r="I183" s="13"/>
      <c r="J183" s="13"/>
      <c r="K183" s="13"/>
      <c r="L183" s="14"/>
      <c r="M183" s="4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ht="15.75" customHeight="1" x14ac:dyDescent="0.2">
      <c r="A184" s="6" t="s">
        <v>3</v>
      </c>
      <c r="B184" s="10" t="s">
        <v>4</v>
      </c>
      <c r="C184" s="11" t="s">
        <v>5</v>
      </c>
      <c r="D184" s="10" t="s">
        <v>6</v>
      </c>
      <c r="E184" s="10" t="s">
        <v>7</v>
      </c>
      <c r="F184" s="10"/>
      <c r="G184" s="2"/>
      <c r="H184" s="2"/>
      <c r="I184" s="10" t="s">
        <v>6</v>
      </c>
      <c r="J184" s="10" t="s">
        <v>7</v>
      </c>
      <c r="K184" s="10" t="s">
        <v>10</v>
      </c>
      <c r="L184" s="14"/>
      <c r="M184" s="4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ht="15.75" customHeight="1" x14ac:dyDescent="0.2">
      <c r="A185" s="12">
        <v>1</v>
      </c>
      <c r="B185" s="10" t="s">
        <v>4</v>
      </c>
      <c r="C185" s="11" t="s">
        <v>64</v>
      </c>
      <c r="D185" s="13">
        <v>2500</v>
      </c>
      <c r="E185" s="13">
        <f t="shared" ref="E185:E206" si="38">A185*D185</f>
        <v>2500</v>
      </c>
      <c r="F185" s="13"/>
      <c r="G185" s="2"/>
      <c r="H185" s="7"/>
      <c r="I185" s="13">
        <f>9000/8</f>
        <v>1125</v>
      </c>
      <c r="J185" s="13">
        <f t="shared" ref="J185:J206" si="39">I185*A185</f>
        <v>1125</v>
      </c>
      <c r="K185" s="13">
        <f t="shared" ref="K185:K206" si="40">E185-J185</f>
        <v>1375</v>
      </c>
      <c r="L185" s="14">
        <f t="shared" ref="L185:L206" si="41">K185/E185</f>
        <v>0.55000000000000004</v>
      </c>
      <c r="M185" s="4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ht="15.75" customHeight="1" x14ac:dyDescent="0.2">
      <c r="A186" s="12">
        <v>3</v>
      </c>
      <c r="B186" s="10" t="s">
        <v>4</v>
      </c>
      <c r="C186" s="11" t="s">
        <v>13</v>
      </c>
      <c r="D186" s="13">
        <v>900</v>
      </c>
      <c r="E186" s="13">
        <f t="shared" si="38"/>
        <v>2700</v>
      </c>
      <c r="F186" s="13"/>
      <c r="G186" s="2"/>
      <c r="H186" s="7"/>
      <c r="I186" s="13">
        <v>460</v>
      </c>
      <c r="J186" s="13">
        <f t="shared" si="39"/>
        <v>1380</v>
      </c>
      <c r="K186" s="13">
        <f t="shared" si="40"/>
        <v>1320</v>
      </c>
      <c r="L186" s="14">
        <f t="shared" si="41"/>
        <v>0.48888888888888887</v>
      </c>
      <c r="M186" s="4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ht="15.75" customHeight="1" x14ac:dyDescent="0.2">
      <c r="A187" s="12">
        <v>3</v>
      </c>
      <c r="B187" s="10" t="s">
        <v>17</v>
      </c>
      <c r="C187" s="11" t="s">
        <v>129</v>
      </c>
      <c r="D187" s="13">
        <v>2400</v>
      </c>
      <c r="E187" s="13">
        <f t="shared" si="38"/>
        <v>7200</v>
      </c>
      <c r="F187" s="13"/>
      <c r="G187" s="2"/>
      <c r="H187" s="7"/>
      <c r="I187" s="13">
        <f>12000/11</f>
        <v>1090.909090909091</v>
      </c>
      <c r="J187" s="13">
        <f t="shared" si="39"/>
        <v>3272.727272727273</v>
      </c>
      <c r="K187" s="13">
        <f t="shared" si="40"/>
        <v>3927.272727272727</v>
      </c>
      <c r="L187" s="14">
        <f t="shared" si="41"/>
        <v>0.54545454545454541</v>
      </c>
      <c r="M187" s="4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ht="15.75" customHeight="1" x14ac:dyDescent="0.2">
      <c r="A188" s="12">
        <v>0.9</v>
      </c>
      <c r="B188" s="10" t="s">
        <v>17</v>
      </c>
      <c r="C188" s="11" t="s">
        <v>77</v>
      </c>
      <c r="D188" s="13">
        <v>2400</v>
      </c>
      <c r="E188" s="13">
        <f t="shared" si="38"/>
        <v>2160</v>
      </c>
      <c r="F188" s="13"/>
      <c r="G188" s="2"/>
      <c r="H188" s="7"/>
      <c r="I188" s="13">
        <f>18000/11</f>
        <v>1636.3636363636363</v>
      </c>
      <c r="J188" s="13">
        <f t="shared" si="39"/>
        <v>1472.7272727272727</v>
      </c>
      <c r="K188" s="13">
        <f t="shared" si="40"/>
        <v>687.27272727272725</v>
      </c>
      <c r="L188" s="14">
        <f t="shared" si="41"/>
        <v>0.31818181818181818</v>
      </c>
      <c r="M188" s="4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ht="15.75" customHeight="1" x14ac:dyDescent="0.2">
      <c r="A189" s="12">
        <v>1</v>
      </c>
      <c r="B189" s="10" t="s">
        <v>17</v>
      </c>
      <c r="C189" s="11" t="s">
        <v>78</v>
      </c>
      <c r="D189" s="13">
        <v>4000</v>
      </c>
      <c r="E189" s="13">
        <f t="shared" si="38"/>
        <v>4000</v>
      </c>
      <c r="F189" s="13"/>
      <c r="G189" s="2"/>
      <c r="H189" s="7"/>
      <c r="I189" s="13">
        <f>18000/8</f>
        <v>2250</v>
      </c>
      <c r="J189" s="13">
        <f t="shared" si="39"/>
        <v>2250</v>
      </c>
      <c r="K189" s="13">
        <f t="shared" si="40"/>
        <v>1750</v>
      </c>
      <c r="L189" s="14">
        <f t="shared" si="41"/>
        <v>0.4375</v>
      </c>
      <c r="M189" s="4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ht="15.75" customHeight="1" x14ac:dyDescent="0.2">
      <c r="A190" s="12">
        <v>2</v>
      </c>
      <c r="B190" s="10" t="s">
        <v>17</v>
      </c>
      <c r="C190" s="11" t="s">
        <v>31</v>
      </c>
      <c r="D190" s="13">
        <v>3000</v>
      </c>
      <c r="E190" s="13">
        <f t="shared" si="38"/>
        <v>6000</v>
      </c>
      <c r="F190" s="13"/>
      <c r="G190" s="2"/>
      <c r="H190" s="7"/>
      <c r="I190" s="13">
        <f>14000/7</f>
        <v>2000</v>
      </c>
      <c r="J190" s="13">
        <f t="shared" si="39"/>
        <v>4000</v>
      </c>
      <c r="K190" s="13">
        <f t="shared" si="40"/>
        <v>2000</v>
      </c>
      <c r="L190" s="14">
        <f t="shared" si="41"/>
        <v>0.33333333333333331</v>
      </c>
      <c r="M190" s="4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ht="15.75" customHeight="1" x14ac:dyDescent="0.2">
      <c r="A191" s="12">
        <v>2</v>
      </c>
      <c r="B191" s="10" t="s">
        <v>17</v>
      </c>
      <c r="C191" s="11" t="s">
        <v>79</v>
      </c>
      <c r="D191" s="13">
        <v>5000</v>
      </c>
      <c r="E191" s="13">
        <f t="shared" si="38"/>
        <v>10000</v>
      </c>
      <c r="F191" s="13"/>
      <c r="G191" s="2"/>
      <c r="H191" s="7"/>
      <c r="I191" s="13">
        <f>17000/4</f>
        <v>4250</v>
      </c>
      <c r="J191" s="13">
        <f t="shared" si="39"/>
        <v>8500</v>
      </c>
      <c r="K191" s="13">
        <f t="shared" si="40"/>
        <v>1500</v>
      </c>
      <c r="L191" s="14">
        <f t="shared" si="41"/>
        <v>0.15</v>
      </c>
      <c r="M191" s="4"/>
      <c r="N191" s="2"/>
      <c r="O191" s="4"/>
      <c r="P191" s="2"/>
      <c r="Q191" s="2"/>
      <c r="R191" s="4"/>
      <c r="S191" s="2"/>
      <c r="T191" s="2"/>
      <c r="U191" s="1"/>
      <c r="V191" s="2"/>
      <c r="W191" s="2"/>
      <c r="X191" s="2"/>
      <c r="Y191" s="2"/>
      <c r="Z191" s="2"/>
    </row>
    <row r="192" spans="1:26" ht="15.75" customHeight="1" x14ac:dyDescent="0.2">
      <c r="A192" s="12">
        <v>4</v>
      </c>
      <c r="B192" s="10" t="s">
        <v>21</v>
      </c>
      <c r="C192" s="11" t="s">
        <v>35</v>
      </c>
      <c r="D192" s="13">
        <v>2500</v>
      </c>
      <c r="E192" s="13">
        <f t="shared" si="38"/>
        <v>10000</v>
      </c>
      <c r="F192" s="13"/>
      <c r="G192" s="2"/>
      <c r="H192" s="7"/>
      <c r="I192" s="13">
        <f>14000/9</f>
        <v>1555.5555555555557</v>
      </c>
      <c r="J192" s="13">
        <f t="shared" si="39"/>
        <v>6222.2222222222226</v>
      </c>
      <c r="K192" s="13">
        <f t="shared" si="40"/>
        <v>3777.7777777777774</v>
      </c>
      <c r="L192" s="14">
        <f t="shared" si="41"/>
        <v>0.37777777777777771</v>
      </c>
      <c r="M192" s="4"/>
      <c r="N192" s="2"/>
      <c r="O192" s="4"/>
      <c r="P192" s="2"/>
      <c r="Q192" s="2"/>
      <c r="R192" s="4"/>
      <c r="S192" s="2"/>
      <c r="T192" s="2"/>
      <c r="U192" s="1"/>
      <c r="V192" s="2"/>
      <c r="W192" s="2"/>
      <c r="X192" s="2"/>
      <c r="Y192" s="2"/>
      <c r="Z192" s="2"/>
    </row>
    <row r="193" spans="1:26" ht="15.75" customHeight="1" x14ac:dyDescent="0.2">
      <c r="A193" s="12">
        <v>3</v>
      </c>
      <c r="B193" s="10" t="s">
        <v>21</v>
      </c>
      <c r="C193" s="11" t="s">
        <v>46</v>
      </c>
      <c r="D193" s="13">
        <v>600</v>
      </c>
      <c r="E193" s="13">
        <f t="shared" si="38"/>
        <v>1800</v>
      </c>
      <c r="F193" s="13"/>
      <c r="G193" s="2"/>
      <c r="H193" s="7"/>
      <c r="I193" s="13">
        <f>10000/24</f>
        <v>416.66666666666669</v>
      </c>
      <c r="J193" s="13">
        <f t="shared" si="39"/>
        <v>1250</v>
      </c>
      <c r="K193" s="13">
        <f t="shared" si="40"/>
        <v>550</v>
      </c>
      <c r="L193" s="14">
        <f t="shared" si="41"/>
        <v>0.30555555555555558</v>
      </c>
      <c r="M193" s="4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ht="15.75" customHeight="1" x14ac:dyDescent="0.2">
      <c r="A194" s="12">
        <v>7</v>
      </c>
      <c r="B194" s="10" t="s">
        <v>17</v>
      </c>
      <c r="C194" s="11" t="s">
        <v>81</v>
      </c>
      <c r="D194" s="13">
        <v>2000</v>
      </c>
      <c r="E194" s="13">
        <f t="shared" si="38"/>
        <v>14000</v>
      </c>
      <c r="F194" s="13"/>
      <c r="G194" s="2"/>
      <c r="H194" s="7"/>
      <c r="I194" s="13">
        <f>8000/15</f>
        <v>533.33333333333337</v>
      </c>
      <c r="J194" s="13">
        <f t="shared" si="39"/>
        <v>3733.3333333333335</v>
      </c>
      <c r="K194" s="13">
        <f t="shared" si="40"/>
        <v>10266.666666666666</v>
      </c>
      <c r="L194" s="14">
        <f t="shared" si="41"/>
        <v>0.73333333333333328</v>
      </c>
      <c r="M194" s="4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ht="15.75" customHeight="1" x14ac:dyDescent="0.2">
      <c r="A195" s="12">
        <v>3</v>
      </c>
      <c r="B195" s="10" t="s">
        <v>17</v>
      </c>
      <c r="C195" s="11" t="s">
        <v>82</v>
      </c>
      <c r="D195" s="13">
        <v>1800</v>
      </c>
      <c r="E195" s="13">
        <f t="shared" si="38"/>
        <v>5400</v>
      </c>
      <c r="F195" s="13"/>
      <c r="G195" s="2"/>
      <c r="H195" s="7"/>
      <c r="I195" s="13">
        <f>15000/14</f>
        <v>1071.4285714285713</v>
      </c>
      <c r="J195" s="13">
        <f t="shared" si="39"/>
        <v>3214.2857142857138</v>
      </c>
      <c r="K195" s="13">
        <f t="shared" si="40"/>
        <v>2185.7142857142862</v>
      </c>
      <c r="L195" s="14">
        <f t="shared" si="41"/>
        <v>0.40476190476190488</v>
      </c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A196" s="12">
        <v>1</v>
      </c>
      <c r="B196" s="10" t="s">
        <v>17</v>
      </c>
      <c r="C196" s="11" t="s">
        <v>61</v>
      </c>
      <c r="D196" s="13">
        <v>1800</v>
      </c>
      <c r="E196" s="13">
        <f t="shared" si="38"/>
        <v>1800</v>
      </c>
      <c r="F196" s="13"/>
      <c r="G196" s="2"/>
      <c r="H196" s="7"/>
      <c r="I196" s="13">
        <f>12000/14</f>
        <v>857.14285714285711</v>
      </c>
      <c r="J196" s="13">
        <f t="shared" si="39"/>
        <v>857.14285714285711</v>
      </c>
      <c r="K196" s="13">
        <f t="shared" si="40"/>
        <v>942.85714285714289</v>
      </c>
      <c r="L196" s="14">
        <f t="shared" si="41"/>
        <v>0.52380952380952384</v>
      </c>
      <c r="M196" s="4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ht="15.75" customHeight="1" x14ac:dyDescent="0.2">
      <c r="A197" s="12">
        <v>1</v>
      </c>
      <c r="B197" s="10" t="s">
        <v>15</v>
      </c>
      <c r="C197" s="11" t="s">
        <v>83</v>
      </c>
      <c r="D197" s="13">
        <v>14000</v>
      </c>
      <c r="E197" s="13">
        <f t="shared" si="38"/>
        <v>14000</v>
      </c>
      <c r="F197" s="13"/>
      <c r="G197" s="2"/>
      <c r="H197" s="7"/>
      <c r="I197" s="13">
        <v>10000</v>
      </c>
      <c r="J197" s="13">
        <f t="shared" si="39"/>
        <v>10000</v>
      </c>
      <c r="K197" s="13">
        <f t="shared" si="40"/>
        <v>4000</v>
      </c>
      <c r="L197" s="14">
        <f t="shared" si="41"/>
        <v>0.2857142857142857</v>
      </c>
      <c r="M197" s="4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ht="15.75" customHeight="1" x14ac:dyDescent="0.2">
      <c r="A198" s="12">
        <v>0.5</v>
      </c>
      <c r="B198" s="10" t="s">
        <v>15</v>
      </c>
      <c r="C198" s="11" t="s">
        <v>56</v>
      </c>
      <c r="D198" s="13">
        <v>15000</v>
      </c>
      <c r="E198" s="13">
        <f t="shared" si="38"/>
        <v>7500</v>
      </c>
      <c r="F198" s="13"/>
      <c r="G198" s="2"/>
      <c r="H198" s="7"/>
      <c r="I198" s="13">
        <v>12000</v>
      </c>
      <c r="J198" s="13">
        <f t="shared" si="39"/>
        <v>6000</v>
      </c>
      <c r="K198" s="13">
        <f t="shared" si="40"/>
        <v>1500</v>
      </c>
      <c r="L198" s="14">
        <f t="shared" si="41"/>
        <v>0.2</v>
      </c>
      <c r="M198" s="4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ht="15.75" customHeight="1" x14ac:dyDescent="0.2">
      <c r="A199" s="12">
        <v>1</v>
      </c>
      <c r="B199" s="10" t="s">
        <v>15</v>
      </c>
      <c r="C199" s="11" t="s">
        <v>84</v>
      </c>
      <c r="D199" s="13">
        <v>18000</v>
      </c>
      <c r="E199" s="13">
        <f t="shared" si="38"/>
        <v>18000</v>
      </c>
      <c r="F199" s="13"/>
      <c r="G199" s="2"/>
      <c r="H199" s="7"/>
      <c r="I199" s="13">
        <v>14000</v>
      </c>
      <c r="J199" s="13">
        <f t="shared" si="39"/>
        <v>14000</v>
      </c>
      <c r="K199" s="13">
        <f t="shared" si="40"/>
        <v>4000</v>
      </c>
      <c r="L199" s="14">
        <f t="shared" si="41"/>
        <v>0.22222222222222221</v>
      </c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ht="15.75" customHeight="1" x14ac:dyDescent="0.2">
      <c r="A200" s="12">
        <v>1</v>
      </c>
      <c r="B200" s="10" t="s">
        <v>17</v>
      </c>
      <c r="C200" s="11" t="s">
        <v>40</v>
      </c>
      <c r="D200" s="13">
        <v>1400</v>
      </c>
      <c r="E200" s="13">
        <f t="shared" si="38"/>
        <v>1400</v>
      </c>
      <c r="F200" s="13"/>
      <c r="G200" s="2"/>
      <c r="H200" s="7"/>
      <c r="I200" s="13">
        <v>1000</v>
      </c>
      <c r="J200" s="13">
        <f t="shared" si="39"/>
        <v>1000</v>
      </c>
      <c r="K200" s="13">
        <f t="shared" si="40"/>
        <v>400</v>
      </c>
      <c r="L200" s="14">
        <f t="shared" si="41"/>
        <v>0.2857142857142857</v>
      </c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2">
        <v>11</v>
      </c>
      <c r="B201" s="10" t="s">
        <v>17</v>
      </c>
      <c r="C201" s="11" t="s">
        <v>87</v>
      </c>
      <c r="D201" s="13">
        <v>3200</v>
      </c>
      <c r="E201" s="13">
        <f t="shared" si="38"/>
        <v>35200</v>
      </c>
      <c r="F201" s="13"/>
      <c r="G201" s="2"/>
      <c r="H201" s="7"/>
      <c r="I201" s="13">
        <v>2000</v>
      </c>
      <c r="J201" s="13">
        <f t="shared" si="39"/>
        <v>22000</v>
      </c>
      <c r="K201" s="13">
        <f t="shared" si="40"/>
        <v>13200</v>
      </c>
      <c r="L201" s="14">
        <f t="shared" si="41"/>
        <v>0.375</v>
      </c>
      <c r="M201" s="4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ht="15.75" customHeight="1" x14ac:dyDescent="0.2">
      <c r="A202" s="12">
        <v>0.5</v>
      </c>
      <c r="B202" s="10" t="s">
        <v>23</v>
      </c>
      <c r="C202" s="11" t="s">
        <v>162</v>
      </c>
      <c r="D202" s="13">
        <v>42000</v>
      </c>
      <c r="E202" s="13">
        <f t="shared" si="38"/>
        <v>21000</v>
      </c>
      <c r="F202" s="13"/>
      <c r="G202" s="2"/>
      <c r="H202" s="7"/>
      <c r="I202" s="13">
        <v>34000</v>
      </c>
      <c r="J202" s="13">
        <f t="shared" si="39"/>
        <v>17000</v>
      </c>
      <c r="K202" s="13">
        <f t="shared" si="40"/>
        <v>4000</v>
      </c>
      <c r="L202" s="14">
        <f t="shared" si="41"/>
        <v>0.19047619047619047</v>
      </c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A203" s="12">
        <v>3</v>
      </c>
      <c r="B203" s="10" t="s">
        <v>17</v>
      </c>
      <c r="C203" s="11" t="s">
        <v>88</v>
      </c>
      <c r="D203" s="13">
        <v>2600</v>
      </c>
      <c r="E203" s="13">
        <f t="shared" si="38"/>
        <v>7800</v>
      </c>
      <c r="F203" s="13"/>
      <c r="G203" s="2"/>
      <c r="H203" s="7"/>
      <c r="I203" s="13">
        <f>20000/15</f>
        <v>1333.3333333333333</v>
      </c>
      <c r="J203" s="13">
        <f t="shared" si="39"/>
        <v>4000</v>
      </c>
      <c r="K203" s="13">
        <f t="shared" si="40"/>
        <v>3800</v>
      </c>
      <c r="L203" s="14">
        <f t="shared" si="41"/>
        <v>0.48717948717948717</v>
      </c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12">
        <v>0.5</v>
      </c>
      <c r="B204" s="10" t="s">
        <v>86</v>
      </c>
      <c r="C204" s="11" t="s">
        <v>24</v>
      </c>
      <c r="D204" s="13">
        <v>58000</v>
      </c>
      <c r="E204" s="13">
        <f t="shared" si="38"/>
        <v>29000</v>
      </c>
      <c r="F204" s="13"/>
      <c r="G204" s="2"/>
      <c r="H204" s="7"/>
      <c r="I204" s="13">
        <v>50000</v>
      </c>
      <c r="J204" s="13">
        <f t="shared" si="39"/>
        <v>25000</v>
      </c>
      <c r="K204" s="13">
        <f t="shared" si="40"/>
        <v>4000</v>
      </c>
      <c r="L204" s="14">
        <f t="shared" si="41"/>
        <v>0.13793103448275862</v>
      </c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2">
        <v>4</v>
      </c>
      <c r="B205" s="10" t="s">
        <v>17</v>
      </c>
      <c r="C205" s="11" t="s">
        <v>26</v>
      </c>
      <c r="D205" s="13">
        <v>2200</v>
      </c>
      <c r="E205" s="13">
        <f t="shared" si="38"/>
        <v>8800</v>
      </c>
      <c r="F205" s="13"/>
      <c r="G205" s="2"/>
      <c r="H205" s="7"/>
      <c r="I205" s="13">
        <f>24000/15</f>
        <v>1600</v>
      </c>
      <c r="J205" s="13">
        <f t="shared" si="39"/>
        <v>6400</v>
      </c>
      <c r="K205" s="13">
        <f t="shared" si="40"/>
        <v>2400</v>
      </c>
      <c r="L205" s="14">
        <f t="shared" si="41"/>
        <v>0.27272727272727271</v>
      </c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>
        <v>1</v>
      </c>
      <c r="B206" s="10" t="s">
        <v>187</v>
      </c>
      <c r="C206" s="11" t="s">
        <v>49</v>
      </c>
      <c r="D206" s="13">
        <v>28000</v>
      </c>
      <c r="E206" s="13">
        <f t="shared" si="38"/>
        <v>28000</v>
      </c>
      <c r="F206" s="13"/>
      <c r="G206" s="2"/>
      <c r="H206" s="7"/>
      <c r="I206" s="13">
        <v>20000</v>
      </c>
      <c r="J206" s="13">
        <f t="shared" si="39"/>
        <v>20000</v>
      </c>
      <c r="K206" s="13">
        <f t="shared" si="40"/>
        <v>8000</v>
      </c>
      <c r="L206" s="14">
        <f t="shared" si="41"/>
        <v>0.2857142857142857</v>
      </c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/>
      <c r="B207" s="10"/>
      <c r="C207" s="11"/>
      <c r="D207" s="13"/>
      <c r="E207" s="13"/>
      <c r="F207" s="13"/>
      <c r="H207" s="2"/>
      <c r="I207" s="13"/>
      <c r="J207" s="13"/>
      <c r="K207" s="13"/>
      <c r="L207" s="1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2"/>
      <c r="B208" s="10"/>
      <c r="C208" s="11"/>
      <c r="D208" s="13"/>
      <c r="E208" s="13">
        <f>SUM(E185:E207)</f>
        <v>238260</v>
      </c>
      <c r="F208" s="13"/>
      <c r="G208" s="2"/>
      <c r="H208" s="2"/>
      <c r="I208" s="13"/>
      <c r="J208" s="13"/>
      <c r="K208" s="13">
        <f>SUM(K185:K206)</f>
        <v>75582.561327561329</v>
      </c>
      <c r="L208" s="14">
        <f>K208/E208</f>
        <v>0.31722723632821848</v>
      </c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2"/>
      <c r="B209" s="10"/>
      <c r="C209" s="11"/>
      <c r="D209" s="13"/>
      <c r="E209" s="13"/>
      <c r="F209" s="13"/>
      <c r="G209" s="2"/>
      <c r="H209" s="2"/>
      <c r="I209" s="13"/>
      <c r="J209" s="13"/>
      <c r="K209" s="13"/>
      <c r="L209" s="14"/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2"/>
      <c r="B210" s="10"/>
      <c r="C210" s="11"/>
      <c r="D210" s="13"/>
      <c r="E210" s="13"/>
      <c r="F210" s="13"/>
      <c r="G210" s="2"/>
      <c r="H210" s="2"/>
      <c r="I210" s="13"/>
      <c r="J210" s="13"/>
      <c r="K210" s="13"/>
      <c r="L210" s="14"/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2"/>
      <c r="B211" s="10"/>
      <c r="C211" s="11"/>
      <c r="D211" s="13"/>
      <c r="E211" s="13"/>
      <c r="F211" s="13"/>
      <c r="G211" s="2"/>
      <c r="H211" s="2"/>
      <c r="I211" s="13"/>
      <c r="J211" s="13"/>
      <c r="K211" s="13"/>
      <c r="L211" s="14"/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25.5" customHeight="1" x14ac:dyDescent="0.25">
      <c r="A212" s="26" t="s">
        <v>101</v>
      </c>
      <c r="B212" s="27">
        <f>E208+E179+E166+F144+F113+F98+F61+F36</f>
        <v>2074719</v>
      </c>
      <c r="C212" s="4"/>
      <c r="D212" s="4"/>
      <c r="E212" s="4"/>
      <c r="F212" s="4"/>
      <c r="G212" s="4"/>
      <c r="H212" s="4"/>
      <c r="I212" s="4"/>
      <c r="J212" s="4"/>
      <c r="K212" s="4"/>
      <c r="L212" s="28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28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7" customHeight="1" x14ac:dyDescent="0.25">
      <c r="A214" s="26" t="s">
        <v>102</v>
      </c>
      <c r="B214" s="27">
        <f>K208+K179+K166+K144+K113+K98+K61+K36</f>
        <v>649246.70138358371</v>
      </c>
      <c r="C214" s="4"/>
      <c r="D214" s="4"/>
      <c r="E214" s="4"/>
      <c r="F214" s="4"/>
      <c r="G214" s="4"/>
      <c r="H214" s="4"/>
      <c r="I214" s="4"/>
      <c r="J214" s="4"/>
      <c r="K214" s="4"/>
      <c r="L214" s="28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28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28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6.25" customHeight="1" x14ac:dyDescent="0.25">
      <c r="A217" s="26" t="s">
        <v>103</v>
      </c>
      <c r="B217" s="29">
        <f>B214/B212</f>
        <v>0.31293235439767203</v>
      </c>
      <c r="C217" s="4"/>
      <c r="D217" s="4"/>
      <c r="E217" s="4"/>
      <c r="F217" s="4"/>
      <c r="G217" s="4"/>
      <c r="H217" s="4"/>
      <c r="I217" s="4"/>
      <c r="J217" s="4"/>
      <c r="K217" s="4"/>
      <c r="L217" s="28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28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90" t="s">
        <v>104</v>
      </c>
      <c r="B219" s="89"/>
      <c r="C219" s="4"/>
      <c r="D219" s="4"/>
      <c r="E219" s="4"/>
      <c r="F219" s="4"/>
      <c r="G219" s="4"/>
      <c r="H219" s="4"/>
      <c r="I219" s="4"/>
      <c r="J219" s="4"/>
      <c r="K219" s="4"/>
      <c r="L219" s="28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/>
      <c r="B220" s="10"/>
      <c r="C220" s="11"/>
      <c r="D220" s="13"/>
      <c r="E220" s="13"/>
      <c r="F220" s="13"/>
      <c r="G220" s="2"/>
      <c r="H220" s="2"/>
      <c r="I220" s="13"/>
      <c r="J220" s="13"/>
      <c r="K220" s="13"/>
      <c r="L220" s="14"/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2"/>
      <c r="B221" s="10"/>
      <c r="C221" s="11"/>
      <c r="D221" s="13"/>
      <c r="E221" s="13"/>
      <c r="F221" s="13"/>
      <c r="G221" s="2"/>
      <c r="H221" s="2"/>
      <c r="I221" s="13"/>
      <c r="J221" s="13"/>
      <c r="K221" s="13"/>
      <c r="L221" s="14"/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2"/>
      <c r="B222" s="10"/>
      <c r="C222" s="11"/>
      <c r="D222" s="13"/>
      <c r="E222" s="13"/>
      <c r="F222" s="13"/>
      <c r="G222" s="2"/>
      <c r="H222" s="2"/>
      <c r="I222" s="13"/>
      <c r="J222" s="13"/>
      <c r="K222" s="13"/>
      <c r="L222" s="14"/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2"/>
      <c r="B223" s="10"/>
      <c r="C223" s="11"/>
      <c r="D223" s="13"/>
      <c r="E223" s="13"/>
      <c r="F223" s="13"/>
      <c r="G223" s="2"/>
      <c r="H223" s="2"/>
      <c r="I223" s="13"/>
      <c r="J223" s="13"/>
      <c r="K223" s="13"/>
      <c r="L223" s="14"/>
      <c r="M223" s="4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ht="15.75" customHeight="1" x14ac:dyDescent="0.2">
      <c r="A224" s="12"/>
      <c r="B224" s="10"/>
      <c r="C224" s="11"/>
      <c r="D224" s="13"/>
      <c r="E224" s="13"/>
      <c r="F224" s="13"/>
      <c r="G224" s="2"/>
      <c r="H224" s="2"/>
      <c r="I224" s="13"/>
      <c r="J224" s="13"/>
      <c r="K224" s="13"/>
      <c r="L224" s="14"/>
      <c r="M224" s="4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ht="15.75" customHeight="1" x14ac:dyDescent="0.2">
      <c r="A225" s="12"/>
      <c r="B225" s="10"/>
      <c r="C225" s="11"/>
      <c r="D225" s="13"/>
      <c r="E225" s="13"/>
      <c r="F225" s="13"/>
      <c r="G225" s="2"/>
      <c r="H225" s="2"/>
      <c r="I225" s="13"/>
      <c r="J225" s="13"/>
      <c r="K225" s="13"/>
      <c r="L225" s="14"/>
      <c r="M225" s="4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ht="15.75" customHeight="1" x14ac:dyDescent="0.2">
      <c r="A226" s="12"/>
      <c r="B226" s="10"/>
      <c r="C226" s="11"/>
      <c r="D226" s="13"/>
      <c r="E226" s="13"/>
      <c r="F226" s="13"/>
      <c r="G226" s="2"/>
      <c r="H226" s="2"/>
      <c r="I226" s="13"/>
      <c r="J226" s="13"/>
      <c r="K226" s="13"/>
      <c r="L226" s="14"/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A227" s="12"/>
      <c r="B227" s="10"/>
      <c r="C227" s="11"/>
      <c r="D227" s="13"/>
      <c r="E227" s="13"/>
      <c r="F227" s="13"/>
      <c r="G227" s="2"/>
      <c r="H227" s="2"/>
      <c r="I227" s="13"/>
      <c r="J227" s="13"/>
      <c r="K227" s="13"/>
      <c r="L227" s="14"/>
      <c r="M227" s="4"/>
      <c r="N227" s="2"/>
      <c r="O227" s="4"/>
      <c r="P227" s="2"/>
      <c r="Q227" s="2"/>
      <c r="R227" s="4"/>
      <c r="S227" s="2"/>
      <c r="T227" s="2"/>
      <c r="U227" s="1"/>
      <c r="V227" s="2"/>
      <c r="W227" s="2"/>
      <c r="X227" s="2"/>
      <c r="Y227" s="2"/>
      <c r="Z227" s="2"/>
    </row>
    <row r="228" spans="1:26" ht="15.75" customHeight="1" x14ac:dyDescent="0.2">
      <c r="A228" s="12"/>
      <c r="B228" s="10"/>
      <c r="C228" s="11"/>
      <c r="D228" s="13"/>
      <c r="E228" s="13"/>
      <c r="F228" s="13"/>
      <c r="G228" s="2"/>
      <c r="H228" s="2"/>
      <c r="I228" s="13"/>
      <c r="J228" s="13"/>
      <c r="K228" s="13"/>
      <c r="L228" s="14"/>
      <c r="M228" s="4"/>
      <c r="N228" s="2"/>
      <c r="O228" s="4"/>
      <c r="P228" s="2"/>
      <c r="Q228" s="2"/>
      <c r="R228" s="4"/>
      <c r="S228" s="2"/>
      <c r="T228" s="2"/>
      <c r="U228" s="1"/>
      <c r="V228" s="2"/>
      <c r="W228" s="2"/>
      <c r="X228" s="2"/>
      <c r="Y228" s="2"/>
      <c r="Z228" s="2"/>
    </row>
    <row r="229" spans="1:26" ht="15.75" customHeight="1" x14ac:dyDescent="0.2">
      <c r="A229" s="12"/>
      <c r="B229" s="10"/>
      <c r="C229" s="11"/>
      <c r="D229" s="13"/>
      <c r="E229" s="13"/>
      <c r="F229" s="13"/>
      <c r="G229" s="2"/>
      <c r="H229" s="2"/>
      <c r="I229" s="13"/>
      <c r="J229" s="13"/>
      <c r="K229" s="13"/>
      <c r="L229" s="14"/>
      <c r="M229" s="4"/>
      <c r="N229" s="2"/>
      <c r="O229" s="4"/>
      <c r="P229" s="2"/>
      <c r="Q229" s="2"/>
      <c r="R229" s="4"/>
      <c r="S229" s="2"/>
      <c r="T229" s="2"/>
      <c r="U229" s="1"/>
      <c r="V229" s="2"/>
      <c r="W229" s="2"/>
      <c r="X229" s="2"/>
      <c r="Y229" s="2"/>
      <c r="Z229" s="2"/>
    </row>
    <row r="230" spans="1:26" ht="15.75" customHeight="1" x14ac:dyDescent="0.2">
      <c r="A230" s="12"/>
      <c r="B230" s="10"/>
      <c r="C230" s="11"/>
      <c r="D230" s="13"/>
      <c r="E230" s="13"/>
      <c r="F230" s="13"/>
      <c r="G230" s="2"/>
      <c r="H230" s="2"/>
      <c r="I230" s="13"/>
      <c r="J230" s="13"/>
      <c r="K230" s="13"/>
      <c r="L230" s="14"/>
      <c r="M230" s="4"/>
      <c r="N230" s="2"/>
      <c r="O230" s="4"/>
      <c r="P230" s="2"/>
      <c r="Q230" s="2"/>
      <c r="R230" s="4"/>
      <c r="S230" s="2"/>
      <c r="T230" s="2"/>
      <c r="U230" s="1"/>
      <c r="V230" s="2"/>
      <c r="W230" s="2"/>
      <c r="X230" s="2"/>
      <c r="Y230" s="2"/>
      <c r="Z230" s="2"/>
    </row>
    <row r="231" spans="1:26" ht="15.75" customHeight="1" x14ac:dyDescent="0.2">
      <c r="A231" s="12"/>
      <c r="B231" s="10"/>
      <c r="C231" s="11"/>
      <c r="D231" s="13"/>
      <c r="E231" s="13"/>
      <c r="F231" s="13"/>
      <c r="G231" s="2"/>
      <c r="H231" s="2"/>
      <c r="I231" s="13"/>
      <c r="J231" s="13"/>
      <c r="K231" s="13"/>
      <c r="L231" s="14"/>
      <c r="M231" s="4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5.75" customHeight="1" x14ac:dyDescent="0.2">
      <c r="A232" s="12"/>
      <c r="B232" s="10"/>
      <c r="C232" s="11"/>
      <c r="D232" s="13"/>
      <c r="E232" s="13"/>
      <c r="F232" s="13"/>
      <c r="G232" s="2"/>
      <c r="H232" s="2"/>
      <c r="I232" s="13"/>
      <c r="J232" s="13"/>
      <c r="K232" s="13"/>
      <c r="L232" s="14"/>
      <c r="M232" s="4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2"/>
      <c r="B233" s="10"/>
      <c r="C233" s="11"/>
      <c r="D233" s="13"/>
      <c r="E233" s="13"/>
      <c r="F233" s="13"/>
      <c r="G233" s="2"/>
      <c r="H233" s="2"/>
      <c r="I233" s="13"/>
      <c r="J233" s="13"/>
      <c r="K233" s="13"/>
      <c r="L233" s="14"/>
      <c r="M233" s="4"/>
      <c r="N233" s="2"/>
      <c r="O233" s="4"/>
      <c r="P233" s="2"/>
      <c r="Q233" s="2"/>
      <c r="R233" s="4"/>
      <c r="S233" s="2"/>
      <c r="T233" s="2"/>
      <c r="U233" s="1"/>
      <c r="V233" s="2"/>
      <c r="W233" s="2"/>
      <c r="X233" s="2"/>
      <c r="Y233" s="2"/>
      <c r="Z233" s="2"/>
    </row>
    <row r="234" spans="1:26" ht="15.75" customHeight="1" x14ac:dyDescent="0.2">
      <c r="A234" s="12"/>
      <c r="B234" s="10"/>
      <c r="C234" s="11"/>
      <c r="D234" s="13"/>
      <c r="E234" s="13"/>
      <c r="F234" s="13"/>
      <c r="G234" s="2"/>
      <c r="H234" s="2"/>
      <c r="I234" s="13"/>
      <c r="J234" s="13"/>
      <c r="K234" s="13"/>
      <c r="L234" s="14"/>
      <c r="M234" s="4"/>
      <c r="N234" s="2"/>
      <c r="O234" s="4"/>
      <c r="P234" s="2"/>
      <c r="Q234" s="2"/>
      <c r="R234" s="4"/>
      <c r="S234" s="2"/>
      <c r="T234" s="2"/>
      <c r="U234" s="1"/>
      <c r="V234" s="2"/>
      <c r="W234" s="2"/>
      <c r="X234" s="2"/>
      <c r="Y234" s="2"/>
      <c r="Z234" s="2"/>
    </row>
    <row r="235" spans="1:26" ht="15.75" customHeight="1" x14ac:dyDescent="0.2">
      <c r="A235" s="12"/>
      <c r="B235" s="10"/>
      <c r="C235" s="11"/>
      <c r="D235" s="13"/>
      <c r="E235" s="13"/>
      <c r="F235" s="13"/>
      <c r="G235" s="2"/>
      <c r="H235" s="2"/>
      <c r="I235" s="13"/>
      <c r="J235" s="13"/>
      <c r="K235" s="13"/>
      <c r="L235" s="14"/>
      <c r="M235" s="4"/>
      <c r="N235" s="2"/>
      <c r="O235" s="4"/>
      <c r="P235" s="2"/>
      <c r="Q235" s="2"/>
      <c r="R235" s="4"/>
      <c r="S235" s="2"/>
      <c r="T235" s="2"/>
      <c r="U235" s="1"/>
      <c r="V235" s="2"/>
      <c r="W235" s="2"/>
      <c r="X235" s="2"/>
      <c r="Y235" s="2"/>
      <c r="Z235" s="2"/>
    </row>
    <row r="236" spans="1:26" ht="15.75" customHeight="1" x14ac:dyDescent="0.2">
      <c r="A236" s="12"/>
      <c r="B236" s="10"/>
      <c r="C236" s="11"/>
      <c r="D236" s="13"/>
      <c r="E236" s="13"/>
      <c r="F236" s="13"/>
      <c r="G236" s="2"/>
      <c r="H236" s="2"/>
      <c r="I236" s="13"/>
      <c r="J236" s="13"/>
      <c r="K236" s="13"/>
      <c r="L236" s="14"/>
      <c r="M236" s="4"/>
      <c r="N236" s="2"/>
      <c r="O236" s="4"/>
      <c r="P236" s="2"/>
      <c r="Q236" s="2"/>
      <c r="R236" s="4"/>
      <c r="S236" s="2"/>
      <c r="T236" s="2"/>
      <c r="U236" s="1"/>
      <c r="V236" s="2"/>
      <c r="W236" s="2"/>
      <c r="X236" s="2"/>
      <c r="Y236" s="2"/>
      <c r="Z236" s="2"/>
    </row>
    <row r="237" spans="1:26" ht="15.75" customHeight="1" x14ac:dyDescent="0.2">
      <c r="A237" s="12"/>
      <c r="B237" s="10"/>
      <c r="C237" s="11"/>
      <c r="D237" s="13"/>
      <c r="E237" s="13"/>
      <c r="F237" s="13"/>
      <c r="G237" s="2"/>
      <c r="H237" s="2"/>
      <c r="I237" s="13"/>
      <c r="J237" s="13"/>
      <c r="K237" s="13"/>
      <c r="L237" s="14"/>
      <c r="M237" s="4"/>
      <c r="N237" s="2"/>
      <c r="O237" s="4"/>
      <c r="P237" s="2"/>
      <c r="Q237" s="2"/>
      <c r="R237" s="4"/>
      <c r="S237" s="2"/>
      <c r="T237" s="2"/>
      <c r="U237" s="1"/>
      <c r="V237" s="2"/>
      <c r="W237" s="2"/>
      <c r="X237" s="2"/>
      <c r="Y237" s="2"/>
      <c r="Z237" s="2"/>
    </row>
    <row r="238" spans="1:26" ht="15.75" customHeight="1" x14ac:dyDescent="0.2">
      <c r="A238" s="12"/>
      <c r="B238" s="10"/>
      <c r="C238" s="11"/>
      <c r="D238" s="13"/>
      <c r="E238" s="13"/>
      <c r="F238" s="13"/>
      <c r="G238" s="2"/>
      <c r="H238" s="2"/>
      <c r="I238" s="13"/>
      <c r="J238" s="13"/>
      <c r="K238" s="13"/>
      <c r="L238" s="14"/>
      <c r="M238" s="4"/>
      <c r="N238" s="2"/>
      <c r="O238" s="4"/>
      <c r="P238" s="2"/>
      <c r="Q238" s="2"/>
      <c r="R238" s="4"/>
      <c r="S238" s="2"/>
      <c r="T238" s="2"/>
      <c r="U238" s="1"/>
      <c r="V238" s="2"/>
      <c r="W238" s="2"/>
      <c r="X238" s="2"/>
      <c r="Y238" s="2"/>
      <c r="Z238" s="2"/>
    </row>
    <row r="239" spans="1:26" ht="15.75" customHeight="1" x14ac:dyDescent="0.2">
      <c r="A239" s="12"/>
      <c r="B239" s="10"/>
      <c r="C239" s="11"/>
      <c r="D239" s="13"/>
      <c r="E239" s="13"/>
      <c r="F239" s="13"/>
      <c r="G239" s="2"/>
      <c r="H239" s="2"/>
      <c r="I239" s="13"/>
      <c r="J239" s="13"/>
      <c r="K239" s="13"/>
      <c r="L239" s="14"/>
      <c r="M239" s="4"/>
      <c r="N239" s="2"/>
      <c r="O239" s="4"/>
      <c r="P239" s="2"/>
      <c r="Q239" s="2"/>
      <c r="R239" s="4"/>
      <c r="S239" s="2"/>
      <c r="T239" s="2"/>
      <c r="U239" s="1"/>
      <c r="V239" s="2"/>
      <c r="W239" s="2"/>
      <c r="X239" s="2"/>
      <c r="Y239" s="2"/>
      <c r="Z239" s="2"/>
    </row>
    <row r="240" spans="1:26" ht="15.75" customHeight="1" x14ac:dyDescent="0.2">
      <c r="A240" s="12"/>
      <c r="B240" s="10"/>
      <c r="C240" s="11"/>
      <c r="D240" s="13"/>
      <c r="E240" s="13"/>
      <c r="F240" s="13"/>
      <c r="G240" s="2"/>
      <c r="H240" s="2"/>
      <c r="I240" s="13"/>
      <c r="J240" s="13"/>
      <c r="K240" s="13"/>
      <c r="L240" s="14"/>
      <c r="M240" s="4"/>
      <c r="N240" s="2"/>
      <c r="O240" s="4"/>
      <c r="P240" s="2"/>
      <c r="Q240" s="2"/>
      <c r="R240" s="4"/>
      <c r="S240" s="2"/>
      <c r="T240" s="2"/>
      <c r="U240" s="1"/>
      <c r="V240" s="2"/>
      <c r="W240" s="2"/>
      <c r="X240" s="2"/>
      <c r="Y240" s="2"/>
      <c r="Z240" s="2"/>
    </row>
    <row r="241" spans="1:26" ht="15.75" customHeight="1" x14ac:dyDescent="0.2">
      <c r="A241" s="12"/>
      <c r="B241" s="10"/>
      <c r="C241" s="11"/>
      <c r="D241" s="13"/>
      <c r="E241" s="13"/>
      <c r="F241" s="13"/>
      <c r="G241" s="2"/>
      <c r="H241" s="2"/>
      <c r="I241" s="13"/>
      <c r="J241" s="13"/>
      <c r="K241" s="13"/>
      <c r="L241" s="14"/>
      <c r="M241" s="4"/>
      <c r="N241" s="2"/>
      <c r="O241" s="4"/>
      <c r="P241" s="2"/>
      <c r="Q241" s="2"/>
      <c r="R241" s="4"/>
      <c r="S241" s="2"/>
      <c r="T241" s="2"/>
      <c r="U241" s="1"/>
      <c r="V241" s="2"/>
      <c r="W241" s="2"/>
      <c r="X241" s="2"/>
      <c r="Y241" s="2"/>
      <c r="Z241" s="2"/>
    </row>
    <row r="242" spans="1:26" ht="15.75" customHeight="1" x14ac:dyDescent="0.2">
      <c r="A242" s="12"/>
      <c r="B242" s="10"/>
      <c r="C242" s="11"/>
      <c r="D242" s="13"/>
      <c r="E242" s="13"/>
      <c r="F242" s="13"/>
      <c r="G242" s="2"/>
      <c r="H242" s="2"/>
      <c r="I242" s="13"/>
      <c r="J242" s="13"/>
      <c r="K242" s="13"/>
      <c r="L242" s="14"/>
      <c r="M242" s="4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2"/>
      <c r="B243" s="10"/>
      <c r="C243" s="11"/>
      <c r="D243" s="13"/>
      <c r="E243" s="13"/>
      <c r="F243" s="13"/>
      <c r="G243" s="2"/>
      <c r="H243" s="2"/>
      <c r="I243" s="13"/>
      <c r="J243" s="13"/>
      <c r="K243" s="13"/>
      <c r="L243" s="14"/>
      <c r="M243" s="4"/>
      <c r="N243" s="2"/>
      <c r="O243" s="4"/>
      <c r="P243" s="2"/>
      <c r="Q243" s="2"/>
      <c r="R243" s="4"/>
      <c r="S243" s="2"/>
      <c r="T243" s="2"/>
      <c r="U243" s="1"/>
      <c r="V243" s="2"/>
      <c r="W243" s="2"/>
      <c r="X243" s="2"/>
      <c r="Y243" s="2"/>
      <c r="Z243" s="2"/>
    </row>
    <row r="244" spans="1:26" ht="15.75" customHeight="1" x14ac:dyDescent="0.2">
      <c r="A244" s="12"/>
      <c r="B244" s="10"/>
      <c r="C244" s="11"/>
      <c r="D244" s="13"/>
      <c r="E244" s="13"/>
      <c r="F244" s="13"/>
      <c r="G244" s="2"/>
      <c r="H244" s="2"/>
      <c r="I244" s="13"/>
      <c r="J244" s="13"/>
      <c r="K244" s="13"/>
      <c r="L244" s="14"/>
      <c r="M244" s="4"/>
      <c r="N244" s="2"/>
      <c r="O244" s="4"/>
      <c r="P244" s="2"/>
      <c r="Q244" s="2"/>
      <c r="R244" s="4"/>
      <c r="S244" s="2"/>
      <c r="T244" s="2"/>
      <c r="U244" s="1"/>
      <c r="V244" s="2"/>
      <c r="W244" s="2"/>
      <c r="X244" s="2"/>
      <c r="Y244" s="2"/>
      <c r="Z244" s="2"/>
    </row>
    <row r="245" spans="1:26" ht="15.75" customHeight="1" x14ac:dyDescent="0.2">
      <c r="A245" s="12"/>
      <c r="B245" s="10"/>
      <c r="C245" s="11"/>
      <c r="D245" s="13"/>
      <c r="E245" s="13"/>
      <c r="F245" s="13"/>
      <c r="G245" s="2"/>
      <c r="H245" s="2"/>
      <c r="I245" s="13"/>
      <c r="J245" s="13"/>
      <c r="K245" s="13"/>
      <c r="L245" s="14"/>
      <c r="M245" s="4"/>
      <c r="N245" s="2"/>
      <c r="O245" s="4"/>
      <c r="P245" s="2"/>
      <c r="Q245" s="2"/>
      <c r="R245" s="4"/>
      <c r="S245" s="2"/>
      <c r="T245" s="2"/>
      <c r="U245" s="1"/>
      <c r="V245" s="2"/>
      <c r="W245" s="2"/>
      <c r="X245" s="2"/>
      <c r="Y245" s="2"/>
      <c r="Z245" s="2"/>
    </row>
    <row r="246" spans="1:26" ht="15.75" customHeight="1" x14ac:dyDescent="0.2">
      <c r="A246" s="12"/>
      <c r="B246" s="10"/>
      <c r="C246" s="11"/>
      <c r="D246" s="13"/>
      <c r="E246" s="13"/>
      <c r="F246" s="13"/>
      <c r="G246" s="2"/>
      <c r="H246" s="2"/>
      <c r="I246" s="13"/>
      <c r="J246" s="13"/>
      <c r="K246" s="13"/>
      <c r="L246" s="14"/>
      <c r="M246" s="4"/>
      <c r="N246" s="2"/>
      <c r="O246" s="4"/>
      <c r="P246" s="2"/>
      <c r="Q246" s="2"/>
      <c r="R246" s="4"/>
      <c r="S246" s="2"/>
      <c r="T246" s="2"/>
      <c r="U246" s="1"/>
      <c r="V246" s="2"/>
      <c r="W246" s="2"/>
      <c r="X246" s="2"/>
      <c r="Y246" s="2"/>
      <c r="Z246" s="2"/>
    </row>
    <row r="247" spans="1:26" ht="15.75" customHeight="1" x14ac:dyDescent="0.2">
      <c r="A247" s="12"/>
      <c r="B247" s="10"/>
      <c r="C247" s="11"/>
      <c r="D247" s="13"/>
      <c r="E247" s="13"/>
      <c r="F247" s="13"/>
      <c r="G247" s="2"/>
      <c r="H247" s="2"/>
      <c r="I247" s="13"/>
      <c r="J247" s="13"/>
      <c r="K247" s="13"/>
      <c r="L247" s="14"/>
      <c r="M247" s="4"/>
      <c r="N247" s="2"/>
      <c r="O247" s="4"/>
      <c r="P247" s="2"/>
      <c r="Q247" s="2"/>
      <c r="R247" s="4"/>
      <c r="S247" s="2"/>
      <c r="T247" s="2"/>
      <c r="U247" s="1"/>
      <c r="V247" s="2"/>
      <c r="W247" s="2"/>
      <c r="X247" s="2"/>
      <c r="Y247" s="2"/>
      <c r="Z247" s="2"/>
    </row>
    <row r="248" spans="1:26" ht="15.75" customHeight="1" x14ac:dyDescent="0.2">
      <c r="A248" s="12"/>
      <c r="B248" s="10"/>
      <c r="C248" s="11"/>
      <c r="D248" s="13"/>
      <c r="E248" s="13"/>
      <c r="F248" s="13"/>
      <c r="G248" s="2"/>
      <c r="H248" s="2"/>
      <c r="I248" s="13"/>
      <c r="J248" s="13"/>
      <c r="K248" s="13"/>
      <c r="L248" s="14"/>
      <c r="M248" s="4"/>
      <c r="N248" s="2"/>
      <c r="O248" s="4"/>
      <c r="P248" s="2"/>
      <c r="Q248" s="2"/>
      <c r="R248" s="4"/>
      <c r="S248" s="2"/>
      <c r="T248" s="2"/>
      <c r="U248" s="1"/>
      <c r="V248" s="2"/>
      <c r="W248" s="2"/>
      <c r="X248" s="2"/>
      <c r="Y248" s="2"/>
      <c r="Z248" s="2"/>
    </row>
    <row r="249" spans="1:26" ht="15.75" customHeight="1" x14ac:dyDescent="0.2">
      <c r="A249" s="12"/>
      <c r="B249" s="10"/>
      <c r="C249" s="11"/>
      <c r="D249" s="13"/>
      <c r="E249" s="13"/>
      <c r="F249" s="13"/>
      <c r="G249" s="2"/>
      <c r="H249" s="2"/>
      <c r="I249" s="13"/>
      <c r="J249" s="13"/>
      <c r="K249" s="13"/>
      <c r="L249" s="14"/>
      <c r="M249" s="4"/>
      <c r="N249" s="2"/>
      <c r="O249" s="4"/>
      <c r="P249" s="2"/>
      <c r="Q249" s="2"/>
      <c r="R249" s="4"/>
      <c r="S249" s="2"/>
      <c r="T249" s="2"/>
      <c r="U249" s="1"/>
      <c r="V249" s="2"/>
      <c r="W249" s="2"/>
      <c r="X249" s="2"/>
      <c r="Y249" s="2"/>
      <c r="Z249" s="2"/>
    </row>
    <row r="250" spans="1:26" ht="15.75" customHeight="1" x14ac:dyDescent="0.2">
      <c r="A250" s="12"/>
      <c r="B250" s="10"/>
      <c r="C250" s="11"/>
      <c r="D250" s="13"/>
      <c r="E250" s="13"/>
      <c r="F250" s="13"/>
      <c r="G250" s="2"/>
      <c r="H250" s="2"/>
      <c r="I250" s="13"/>
      <c r="J250" s="13"/>
      <c r="K250" s="13"/>
      <c r="L250" s="14"/>
      <c r="M250" s="4"/>
      <c r="N250" s="2"/>
      <c r="O250" s="4"/>
      <c r="P250" s="2"/>
      <c r="Q250" s="2"/>
      <c r="R250" s="4"/>
      <c r="S250" s="2"/>
      <c r="T250" s="2"/>
      <c r="U250" s="1"/>
      <c r="V250" s="2"/>
      <c r="W250" s="2"/>
      <c r="X250" s="2"/>
      <c r="Y250" s="2"/>
      <c r="Z250" s="2"/>
    </row>
    <row r="251" spans="1:26" ht="15.75" customHeight="1" x14ac:dyDescent="0.2">
      <c r="A251" s="12"/>
      <c r="B251" s="10"/>
      <c r="C251" s="11"/>
      <c r="D251" s="13"/>
      <c r="E251" s="13"/>
      <c r="F251" s="13"/>
      <c r="G251" s="2"/>
      <c r="H251" s="2"/>
      <c r="I251" s="13"/>
      <c r="J251" s="13"/>
      <c r="K251" s="13"/>
      <c r="L251" s="14"/>
      <c r="M251" s="4"/>
      <c r="N251" s="2"/>
      <c r="O251" s="4"/>
      <c r="P251" s="2"/>
      <c r="Q251" s="2"/>
      <c r="R251" s="4"/>
      <c r="S251" s="2"/>
      <c r="T251" s="2"/>
      <c r="U251" s="1"/>
      <c r="V251" s="2"/>
      <c r="W251" s="2"/>
      <c r="X251" s="2"/>
      <c r="Y251" s="2"/>
      <c r="Z251" s="2"/>
    </row>
    <row r="252" spans="1:26" ht="15.75" customHeight="1" x14ac:dyDescent="0.2">
      <c r="A252" s="12"/>
      <c r="B252" s="10"/>
      <c r="C252" s="11"/>
      <c r="D252" s="13"/>
      <c r="E252" s="13"/>
      <c r="F252" s="13"/>
      <c r="G252" s="2"/>
      <c r="H252" s="2"/>
      <c r="I252" s="13"/>
      <c r="J252" s="13"/>
      <c r="K252" s="13"/>
      <c r="L252" s="14"/>
      <c r="M252" s="4"/>
      <c r="N252" s="2"/>
      <c r="O252" s="4"/>
      <c r="P252" s="2"/>
      <c r="Q252" s="2"/>
      <c r="R252" s="4"/>
      <c r="S252" s="2"/>
      <c r="T252" s="2"/>
      <c r="U252" s="1"/>
      <c r="V252" s="2"/>
      <c r="W252" s="2"/>
      <c r="X252" s="2"/>
      <c r="Y252" s="2"/>
      <c r="Z252" s="2"/>
    </row>
    <row r="253" spans="1:26" ht="15.75" customHeight="1" x14ac:dyDescent="0.2">
      <c r="A253" s="12"/>
      <c r="B253" s="10"/>
      <c r="C253" s="11"/>
      <c r="D253" s="13"/>
      <c r="E253" s="13"/>
      <c r="F253" s="13"/>
      <c r="G253" s="2"/>
      <c r="H253" s="2"/>
      <c r="I253" s="13"/>
      <c r="J253" s="13"/>
      <c r="K253" s="13"/>
      <c r="L253" s="14"/>
      <c r="M253" s="4"/>
      <c r="N253" s="2"/>
      <c r="O253" s="4"/>
      <c r="P253" s="2"/>
      <c r="Q253" s="2"/>
      <c r="R253" s="4"/>
      <c r="S253" s="2"/>
      <c r="T253" s="2"/>
      <c r="U253" s="1"/>
      <c r="V253" s="2"/>
      <c r="W253" s="2"/>
      <c r="X253" s="2"/>
      <c r="Y253" s="2"/>
      <c r="Z253" s="2"/>
    </row>
    <row r="254" spans="1:26" ht="15.75" customHeight="1" x14ac:dyDescent="0.2">
      <c r="A254" s="12"/>
      <c r="B254" s="10"/>
      <c r="C254" s="11"/>
      <c r="D254" s="13"/>
      <c r="E254" s="13"/>
      <c r="F254" s="13"/>
      <c r="G254" s="2"/>
      <c r="H254" s="2"/>
      <c r="I254" s="13"/>
      <c r="J254" s="13"/>
      <c r="K254" s="13"/>
      <c r="L254" s="14"/>
      <c r="M254" s="4"/>
      <c r="N254" s="2"/>
      <c r="O254" s="4"/>
      <c r="P254" s="2"/>
      <c r="Q254" s="2"/>
      <c r="R254" s="4"/>
      <c r="S254" s="2"/>
      <c r="T254" s="2"/>
      <c r="U254" s="1"/>
      <c r="V254" s="2"/>
      <c r="W254" s="2"/>
      <c r="X254" s="2"/>
      <c r="Y254" s="2"/>
      <c r="Z254" s="2"/>
    </row>
    <row r="255" spans="1:26" ht="15.75" customHeight="1" x14ac:dyDescent="0.2">
      <c r="A255" s="12"/>
      <c r="B255" s="10"/>
      <c r="C255" s="11"/>
      <c r="D255" s="13"/>
      <c r="E255" s="13"/>
      <c r="F255" s="13"/>
      <c r="G255" s="2"/>
      <c r="H255" s="2"/>
      <c r="I255" s="13"/>
      <c r="J255" s="13"/>
      <c r="K255" s="13"/>
      <c r="L255" s="14"/>
      <c r="M255" s="4"/>
      <c r="N255" s="2"/>
      <c r="O255" s="4"/>
      <c r="P255" s="2"/>
      <c r="Q255" s="2"/>
      <c r="R255" s="4"/>
      <c r="S255" s="2"/>
      <c r="T255" s="2"/>
      <c r="U255" s="1"/>
      <c r="V255" s="2"/>
      <c r="W255" s="2"/>
      <c r="X255" s="2"/>
      <c r="Y255" s="2"/>
      <c r="Z255" s="2"/>
    </row>
    <row r="256" spans="1:26" ht="15.75" customHeight="1" x14ac:dyDescent="0.2">
      <c r="A256" s="12"/>
      <c r="B256" s="10"/>
      <c r="C256" s="11"/>
      <c r="D256" s="13"/>
      <c r="E256" s="13"/>
      <c r="F256" s="13"/>
      <c r="G256" s="2"/>
      <c r="H256" s="2"/>
      <c r="I256" s="13"/>
      <c r="J256" s="13"/>
      <c r="K256" s="13"/>
      <c r="L256" s="14"/>
      <c r="M256" s="4"/>
      <c r="N256" s="2"/>
      <c r="O256" s="4"/>
      <c r="P256" s="2"/>
      <c r="Q256" s="2"/>
      <c r="R256" s="4"/>
      <c r="S256" s="2"/>
      <c r="T256" s="2"/>
      <c r="U256" s="1"/>
      <c r="V256" s="2"/>
      <c r="W256" s="2"/>
      <c r="X256" s="2"/>
      <c r="Y256" s="2"/>
      <c r="Z256" s="2"/>
    </row>
    <row r="257" spans="1:26" ht="15.75" customHeight="1" x14ac:dyDescent="0.2">
      <c r="A257" s="12"/>
      <c r="B257" s="10"/>
      <c r="C257" s="11"/>
      <c r="D257" s="13"/>
      <c r="E257" s="13"/>
      <c r="F257" s="13"/>
      <c r="G257" s="2"/>
      <c r="H257" s="2"/>
      <c r="I257" s="13"/>
      <c r="J257" s="13"/>
      <c r="K257" s="13"/>
      <c r="L257" s="14"/>
      <c r="M257" s="4"/>
      <c r="N257" s="2"/>
      <c r="O257" s="4"/>
      <c r="P257" s="2"/>
      <c r="Q257" s="2"/>
      <c r="R257" s="4"/>
      <c r="S257" s="2"/>
      <c r="T257" s="2"/>
      <c r="U257" s="1"/>
      <c r="V257" s="2"/>
      <c r="W257" s="2"/>
      <c r="X257" s="2"/>
      <c r="Y257" s="2"/>
      <c r="Z257" s="2"/>
    </row>
    <row r="258" spans="1:26" ht="15.75" customHeight="1" x14ac:dyDescent="0.2">
      <c r="A258" s="12"/>
      <c r="B258" s="10"/>
      <c r="C258" s="11"/>
      <c r="D258" s="13"/>
      <c r="E258" s="13"/>
      <c r="F258" s="13"/>
      <c r="G258" s="2"/>
      <c r="H258" s="2"/>
      <c r="I258" s="13"/>
      <c r="J258" s="13"/>
      <c r="K258" s="13"/>
      <c r="L258" s="14"/>
      <c r="M258" s="4"/>
      <c r="N258" s="2"/>
      <c r="O258" s="4"/>
      <c r="P258" s="2"/>
      <c r="Q258" s="2"/>
      <c r="R258" s="4"/>
      <c r="S258" s="2"/>
      <c r="T258" s="2"/>
      <c r="U258" s="1"/>
      <c r="V258" s="2"/>
      <c r="W258" s="2"/>
      <c r="X258" s="2"/>
      <c r="Y258" s="2"/>
      <c r="Z258" s="2"/>
    </row>
    <row r="259" spans="1:26" ht="15.75" customHeight="1" x14ac:dyDescent="0.2">
      <c r="A259" s="12"/>
      <c r="B259" s="10"/>
      <c r="C259" s="11"/>
      <c r="D259" s="13"/>
      <c r="E259" s="13"/>
      <c r="F259" s="13"/>
      <c r="G259" s="2"/>
      <c r="H259" s="2"/>
      <c r="I259" s="13"/>
      <c r="J259" s="13"/>
      <c r="K259" s="13"/>
      <c r="L259" s="14"/>
      <c r="M259" s="4"/>
      <c r="N259" s="2"/>
      <c r="O259" s="4"/>
      <c r="P259" s="2"/>
      <c r="Q259" s="2"/>
      <c r="R259" s="4"/>
      <c r="S259" s="2"/>
      <c r="T259" s="2"/>
      <c r="U259" s="1"/>
      <c r="V259" s="2"/>
      <c r="W259" s="2"/>
      <c r="X259" s="2"/>
      <c r="Y259" s="2"/>
      <c r="Z259" s="2"/>
    </row>
    <row r="260" spans="1:26" ht="15.75" customHeight="1" x14ac:dyDescent="0.2">
      <c r="A260" s="12"/>
      <c r="B260" s="10"/>
      <c r="C260" s="11"/>
      <c r="D260" s="13"/>
      <c r="E260" s="13"/>
      <c r="F260" s="13"/>
      <c r="G260" s="2"/>
      <c r="H260" s="2"/>
      <c r="I260" s="13"/>
      <c r="J260" s="13"/>
      <c r="K260" s="13"/>
      <c r="L260" s="14"/>
      <c r="M260" s="4"/>
      <c r="N260" s="2"/>
      <c r="O260" s="4"/>
      <c r="P260" s="2"/>
      <c r="Q260" s="2"/>
      <c r="R260" s="4"/>
      <c r="S260" s="2"/>
      <c r="T260" s="2"/>
      <c r="U260" s="1"/>
      <c r="V260" s="2"/>
      <c r="W260" s="2"/>
      <c r="X260" s="2"/>
      <c r="Y260" s="2"/>
      <c r="Z260" s="2"/>
    </row>
    <row r="261" spans="1:26" ht="15.75" customHeight="1" x14ac:dyDescent="0.2">
      <c r="A261" s="12"/>
      <c r="B261" s="10"/>
      <c r="C261" s="11"/>
      <c r="D261" s="13"/>
      <c r="E261" s="13"/>
      <c r="F261" s="13"/>
      <c r="G261" s="2"/>
      <c r="H261" s="2"/>
      <c r="I261" s="13"/>
      <c r="J261" s="13"/>
      <c r="K261" s="13"/>
      <c r="L261" s="14"/>
      <c r="M261" s="4"/>
      <c r="N261" s="2"/>
      <c r="O261" s="4"/>
      <c r="P261" s="2"/>
      <c r="Q261" s="2"/>
      <c r="R261" s="4"/>
      <c r="S261" s="2"/>
      <c r="T261" s="2"/>
      <c r="U261" s="1"/>
      <c r="V261" s="2"/>
      <c r="W261" s="2"/>
      <c r="X261" s="2"/>
      <c r="Y261" s="2"/>
      <c r="Z261" s="2"/>
    </row>
    <row r="262" spans="1:26" ht="15.75" customHeight="1" x14ac:dyDescent="0.2">
      <c r="A262" s="12"/>
      <c r="B262" s="10"/>
      <c r="C262" s="11"/>
      <c r="D262" s="13"/>
      <c r="E262" s="13"/>
      <c r="F262" s="13"/>
      <c r="G262" s="2"/>
      <c r="H262" s="2"/>
      <c r="I262" s="13"/>
      <c r="J262" s="13"/>
      <c r="K262" s="13"/>
      <c r="L262" s="14"/>
      <c r="M262" s="4"/>
      <c r="N262" s="2"/>
      <c r="O262" s="4"/>
      <c r="P262" s="2"/>
      <c r="Q262" s="2"/>
      <c r="R262" s="4"/>
      <c r="S262" s="2"/>
      <c r="T262" s="2"/>
      <c r="U262" s="1"/>
      <c r="V262" s="2"/>
      <c r="W262" s="2"/>
      <c r="X262" s="2"/>
      <c r="Y262" s="2"/>
      <c r="Z262" s="2"/>
    </row>
    <row r="263" spans="1:26" ht="15.75" customHeight="1" x14ac:dyDescent="0.2">
      <c r="A263" s="12"/>
      <c r="B263" s="10"/>
      <c r="C263" s="11"/>
      <c r="D263" s="13"/>
      <c r="E263" s="13"/>
      <c r="F263" s="13"/>
      <c r="G263" s="2"/>
      <c r="H263" s="2"/>
      <c r="I263" s="13"/>
      <c r="J263" s="13"/>
      <c r="K263" s="13"/>
      <c r="L263" s="14"/>
      <c r="M263" s="4"/>
      <c r="N263" s="2"/>
      <c r="O263" s="4"/>
      <c r="P263" s="2"/>
      <c r="Q263" s="2"/>
      <c r="R263" s="4"/>
      <c r="S263" s="2"/>
      <c r="T263" s="2"/>
      <c r="U263" s="1"/>
      <c r="V263" s="2"/>
      <c r="W263" s="2"/>
      <c r="X263" s="2"/>
      <c r="Y263" s="2"/>
      <c r="Z263" s="2"/>
    </row>
    <row r="264" spans="1:26" ht="15.75" customHeight="1" x14ac:dyDescent="0.2">
      <c r="A264" s="12"/>
      <c r="B264" s="10"/>
      <c r="C264" s="11"/>
      <c r="D264" s="13"/>
      <c r="E264" s="13"/>
      <c r="F264" s="13"/>
      <c r="G264" s="2"/>
      <c r="H264" s="2"/>
      <c r="I264" s="13"/>
      <c r="J264" s="13"/>
      <c r="K264" s="13"/>
      <c r="L264" s="14"/>
      <c r="M264" s="4"/>
      <c r="N264" s="2"/>
      <c r="O264" s="4"/>
      <c r="P264" s="2"/>
      <c r="Q264" s="2"/>
      <c r="R264" s="4"/>
      <c r="S264" s="2"/>
      <c r="T264" s="2"/>
      <c r="U264" s="1"/>
      <c r="V264" s="2"/>
      <c r="W264" s="2"/>
      <c r="X264" s="2"/>
      <c r="Y264" s="2"/>
      <c r="Z264" s="2"/>
    </row>
    <row r="265" spans="1:26" ht="15.75" customHeight="1" x14ac:dyDescent="0.2">
      <c r="A265" s="12"/>
      <c r="B265" s="10"/>
      <c r="C265" s="11"/>
      <c r="D265" s="13"/>
      <c r="E265" s="13"/>
      <c r="F265" s="13"/>
      <c r="G265" s="2"/>
      <c r="H265" s="2"/>
      <c r="I265" s="13"/>
      <c r="J265" s="13"/>
      <c r="K265" s="13"/>
      <c r="L265" s="14"/>
      <c r="M265" s="4"/>
      <c r="N265" s="2"/>
      <c r="O265" s="4"/>
      <c r="P265" s="2"/>
      <c r="Q265" s="2"/>
      <c r="R265" s="4"/>
      <c r="S265" s="2"/>
      <c r="T265" s="2"/>
      <c r="U265" s="1"/>
      <c r="V265" s="2"/>
      <c r="W265" s="2"/>
      <c r="X265" s="2"/>
      <c r="Y265" s="2"/>
      <c r="Z265" s="2"/>
    </row>
    <row r="266" spans="1:26" ht="15.75" customHeight="1" x14ac:dyDescent="0.2">
      <c r="A266" s="12"/>
      <c r="B266" s="10"/>
      <c r="C266" s="11"/>
      <c r="D266" s="13"/>
      <c r="E266" s="13"/>
      <c r="F266" s="13"/>
      <c r="G266" s="2"/>
      <c r="H266" s="2"/>
      <c r="I266" s="13"/>
      <c r="J266" s="13"/>
      <c r="K266" s="13"/>
      <c r="L266" s="14"/>
      <c r="M266" s="4"/>
      <c r="N266" s="2"/>
      <c r="O266" s="4"/>
      <c r="P266" s="2"/>
      <c r="Q266" s="2"/>
      <c r="R266" s="4"/>
      <c r="S266" s="2"/>
      <c r="T266" s="2"/>
      <c r="U266" s="1"/>
      <c r="V266" s="2"/>
      <c r="W266" s="2"/>
      <c r="X266" s="2"/>
      <c r="Y266" s="2"/>
      <c r="Z266" s="2"/>
    </row>
    <row r="267" spans="1:26" ht="15.75" customHeight="1" x14ac:dyDescent="0.2">
      <c r="A267" s="12"/>
      <c r="B267" s="10"/>
      <c r="C267" s="11"/>
      <c r="D267" s="13"/>
      <c r="E267" s="13"/>
      <c r="F267" s="13"/>
      <c r="G267" s="2"/>
      <c r="H267" s="2"/>
      <c r="I267" s="13"/>
      <c r="J267" s="13"/>
      <c r="K267" s="13"/>
      <c r="L267" s="14"/>
      <c r="M267" s="4"/>
      <c r="N267" s="2"/>
      <c r="O267" s="4"/>
      <c r="P267" s="2"/>
      <c r="Q267" s="2"/>
      <c r="R267" s="4"/>
      <c r="S267" s="2"/>
      <c r="T267" s="2"/>
      <c r="U267" s="1"/>
      <c r="V267" s="2"/>
      <c r="W267" s="2"/>
      <c r="X267" s="2"/>
      <c r="Y267" s="2"/>
      <c r="Z267" s="2"/>
    </row>
    <row r="268" spans="1:26" ht="15.75" customHeight="1" x14ac:dyDescent="0.2">
      <c r="A268" s="12"/>
      <c r="B268" s="10"/>
      <c r="C268" s="11"/>
      <c r="D268" s="13"/>
      <c r="E268" s="13"/>
      <c r="F268" s="13"/>
      <c r="G268" s="2"/>
      <c r="H268" s="2"/>
      <c r="I268" s="13"/>
      <c r="J268" s="13"/>
      <c r="K268" s="13"/>
      <c r="L268" s="14"/>
      <c r="M268" s="4"/>
      <c r="N268" s="2"/>
      <c r="O268" s="4"/>
      <c r="P268" s="2"/>
      <c r="Q268" s="2"/>
      <c r="R268" s="4"/>
      <c r="S268" s="2"/>
      <c r="T268" s="2"/>
      <c r="U268" s="1"/>
      <c r="V268" s="2"/>
      <c r="W268" s="2"/>
      <c r="X268" s="2"/>
      <c r="Y268" s="2"/>
      <c r="Z268" s="2"/>
    </row>
    <row r="269" spans="1:26" ht="15.75" customHeight="1" x14ac:dyDescent="0.2">
      <c r="A269" s="12"/>
      <c r="B269" s="10"/>
      <c r="C269" s="11"/>
      <c r="D269" s="13"/>
      <c r="E269" s="13"/>
      <c r="F269" s="13"/>
      <c r="G269" s="2"/>
      <c r="H269" s="2"/>
      <c r="I269" s="13"/>
      <c r="J269" s="13"/>
      <c r="K269" s="13"/>
      <c r="L269" s="14"/>
      <c r="M269" s="4"/>
      <c r="N269" s="2"/>
      <c r="O269" s="4"/>
      <c r="P269" s="2"/>
      <c r="Q269" s="2"/>
      <c r="R269" s="4"/>
      <c r="S269" s="2"/>
      <c r="T269" s="2"/>
      <c r="U269" s="1"/>
      <c r="V269" s="2"/>
      <c r="W269" s="2"/>
      <c r="X269" s="2"/>
      <c r="Y269" s="2"/>
      <c r="Z269" s="2"/>
    </row>
    <row r="270" spans="1:26" ht="15.75" customHeight="1" x14ac:dyDescent="0.2">
      <c r="A270" s="12"/>
      <c r="B270" s="10"/>
      <c r="C270" s="11"/>
      <c r="D270" s="13"/>
      <c r="E270" s="13"/>
      <c r="F270" s="13"/>
      <c r="G270" s="2"/>
      <c r="H270" s="2"/>
      <c r="I270" s="13"/>
      <c r="J270" s="13"/>
      <c r="K270" s="13"/>
      <c r="L270" s="14"/>
      <c r="M270" s="4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12"/>
      <c r="B271" s="10"/>
      <c r="C271" s="11"/>
      <c r="D271" s="13"/>
      <c r="E271" s="13"/>
      <c r="F271" s="13"/>
      <c r="G271" s="2"/>
      <c r="H271" s="2"/>
      <c r="I271" s="13"/>
      <c r="J271" s="13"/>
      <c r="K271" s="13"/>
      <c r="L271" s="14"/>
      <c r="M271" s="4"/>
      <c r="N271" s="2"/>
      <c r="O271" s="4"/>
      <c r="P271" s="2"/>
      <c r="Q271" s="2"/>
      <c r="R271" s="4"/>
      <c r="S271" s="2"/>
      <c r="T271" s="2"/>
      <c r="U271" s="1"/>
      <c r="V271" s="2"/>
      <c r="W271" s="2"/>
      <c r="X271" s="2"/>
      <c r="Y271" s="2"/>
      <c r="Z271" s="2"/>
    </row>
    <row r="272" spans="1:26" ht="15.75" customHeight="1" x14ac:dyDescent="0.2">
      <c r="A272" s="12"/>
      <c r="B272" s="10"/>
      <c r="C272" s="11"/>
      <c r="D272" s="13"/>
      <c r="E272" s="13"/>
      <c r="F272" s="13"/>
      <c r="G272" s="2"/>
      <c r="H272" s="2"/>
      <c r="I272" s="13"/>
      <c r="J272" s="13"/>
      <c r="K272" s="13"/>
      <c r="L272" s="14"/>
      <c r="M272" s="4"/>
      <c r="N272" s="2"/>
      <c r="O272" s="4"/>
      <c r="P272" s="2"/>
      <c r="Q272" s="2"/>
      <c r="R272" s="4"/>
      <c r="S272" s="2"/>
      <c r="T272" s="2"/>
      <c r="U272" s="1"/>
      <c r="V272" s="2"/>
      <c r="W272" s="2"/>
      <c r="X272" s="2"/>
      <c r="Y272" s="2"/>
      <c r="Z272" s="2"/>
    </row>
    <row r="273" spans="1:26" ht="15.75" customHeight="1" x14ac:dyDescent="0.2">
      <c r="A273" s="12"/>
      <c r="B273" s="10"/>
      <c r="C273" s="11"/>
      <c r="D273" s="13"/>
      <c r="E273" s="13"/>
      <c r="F273" s="13"/>
      <c r="G273" s="2"/>
      <c r="H273" s="2"/>
      <c r="I273" s="13"/>
      <c r="J273" s="13"/>
      <c r="K273" s="13"/>
      <c r="L273" s="14"/>
      <c r="M273" s="4"/>
      <c r="N273" s="2"/>
      <c r="O273" s="4"/>
      <c r="P273" s="2"/>
      <c r="Q273" s="2"/>
      <c r="R273" s="4"/>
      <c r="S273" s="2"/>
      <c r="T273" s="2"/>
      <c r="U273" s="1"/>
      <c r="V273" s="2"/>
      <c r="W273" s="2"/>
      <c r="X273" s="2"/>
      <c r="Y273" s="2"/>
      <c r="Z273" s="2"/>
    </row>
    <row r="274" spans="1:26" ht="15.75" customHeight="1" x14ac:dyDescent="0.2">
      <c r="A274" s="12"/>
      <c r="B274" s="10"/>
      <c r="C274" s="11"/>
      <c r="D274" s="13"/>
      <c r="E274" s="13"/>
      <c r="F274" s="13"/>
      <c r="G274" s="2"/>
      <c r="H274" s="2"/>
      <c r="I274" s="13"/>
      <c r="J274" s="13"/>
      <c r="K274" s="13"/>
      <c r="L274" s="14"/>
      <c r="M274" s="4"/>
      <c r="N274" s="2"/>
      <c r="O274" s="4"/>
      <c r="P274" s="2"/>
      <c r="Q274" s="2"/>
      <c r="R274" s="4"/>
      <c r="S274" s="2"/>
      <c r="T274" s="2"/>
      <c r="U274" s="1"/>
      <c r="V274" s="2"/>
      <c r="W274" s="2"/>
      <c r="X274" s="2"/>
      <c r="Y274" s="2"/>
      <c r="Z274" s="2"/>
    </row>
    <row r="275" spans="1:26" ht="15.75" customHeight="1" x14ac:dyDescent="0.2">
      <c r="A275" s="12"/>
      <c r="B275" s="10"/>
      <c r="C275" s="11"/>
      <c r="D275" s="13"/>
      <c r="E275" s="13"/>
      <c r="F275" s="13"/>
      <c r="G275" s="2"/>
      <c r="H275" s="2"/>
      <c r="I275" s="13"/>
      <c r="J275" s="13"/>
      <c r="K275" s="13"/>
      <c r="L275" s="14"/>
      <c r="M275" s="4"/>
      <c r="N275" s="2"/>
      <c r="O275" s="4"/>
      <c r="P275" s="2"/>
      <c r="Q275" s="2"/>
      <c r="R275" s="4"/>
      <c r="S275" s="2"/>
      <c r="T275" s="2"/>
      <c r="U275" s="1"/>
      <c r="V275" s="2"/>
      <c r="W275" s="2"/>
      <c r="X275" s="2"/>
      <c r="Y275" s="2"/>
      <c r="Z275" s="2"/>
    </row>
    <row r="276" spans="1:26" ht="15.75" customHeight="1" x14ac:dyDescent="0.2">
      <c r="A276" s="12"/>
      <c r="B276" s="10"/>
      <c r="C276" s="11"/>
      <c r="D276" s="13"/>
      <c r="E276" s="13"/>
      <c r="F276" s="13"/>
      <c r="G276" s="2"/>
      <c r="H276" s="2"/>
      <c r="I276" s="13"/>
      <c r="J276" s="13"/>
      <c r="K276" s="13"/>
      <c r="L276" s="14"/>
      <c r="M276" s="4"/>
      <c r="N276" s="2"/>
      <c r="O276" s="4"/>
      <c r="P276" s="2"/>
      <c r="Q276" s="2"/>
      <c r="R276" s="4"/>
      <c r="S276" s="2"/>
      <c r="T276" s="2"/>
      <c r="U276" s="1"/>
      <c r="V276" s="2"/>
      <c r="W276" s="2"/>
      <c r="X276" s="2"/>
      <c r="Y276" s="2"/>
      <c r="Z276" s="2"/>
    </row>
    <row r="277" spans="1:26" ht="15.75" customHeight="1" x14ac:dyDescent="0.2">
      <c r="A277" s="12"/>
      <c r="B277" s="10"/>
      <c r="C277" s="11"/>
      <c r="D277" s="13"/>
      <c r="E277" s="13"/>
      <c r="F277" s="13"/>
      <c r="G277" s="2"/>
      <c r="H277" s="2"/>
      <c r="I277" s="13"/>
      <c r="J277" s="13"/>
      <c r="K277" s="13"/>
      <c r="L277" s="14"/>
      <c r="M277" s="4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12"/>
      <c r="B278" s="10"/>
      <c r="C278" s="11"/>
      <c r="D278" s="13"/>
      <c r="E278" s="13"/>
      <c r="F278" s="13"/>
      <c r="G278" s="2"/>
      <c r="H278" s="2"/>
      <c r="I278" s="13"/>
      <c r="J278" s="13"/>
      <c r="K278" s="13"/>
      <c r="L278" s="14"/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2"/>
      <c r="B279" s="10"/>
      <c r="C279" s="11"/>
      <c r="D279" s="13"/>
      <c r="E279" s="13"/>
      <c r="F279" s="13"/>
      <c r="G279" s="2"/>
      <c r="H279" s="2"/>
      <c r="I279" s="13"/>
      <c r="J279" s="13"/>
      <c r="K279" s="13"/>
      <c r="L279" s="14"/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12"/>
      <c r="B280" s="10"/>
      <c r="C280" s="11"/>
      <c r="D280" s="13"/>
      <c r="E280" s="13"/>
      <c r="F280" s="13"/>
      <c r="G280" s="2"/>
      <c r="H280" s="2"/>
      <c r="I280" s="13"/>
      <c r="J280" s="13"/>
      <c r="K280" s="13"/>
      <c r="L280" s="14"/>
      <c r="M280" s="4"/>
      <c r="N280" s="2"/>
      <c r="O280" s="4"/>
      <c r="P280" s="2"/>
      <c r="Q280" s="2"/>
      <c r="R280" s="4"/>
      <c r="S280" s="2"/>
      <c r="T280" s="2"/>
      <c r="U280" s="1"/>
      <c r="V280" s="2"/>
      <c r="W280" s="2"/>
      <c r="X280" s="2"/>
      <c r="Y280" s="2"/>
      <c r="Z280" s="2"/>
    </row>
    <row r="281" spans="1:26" ht="15.75" customHeight="1" x14ac:dyDescent="0.2">
      <c r="A281" s="12"/>
      <c r="B281" s="10"/>
      <c r="C281" s="11"/>
      <c r="D281" s="13"/>
      <c r="E281" s="13"/>
      <c r="F281" s="13"/>
      <c r="G281" s="2"/>
      <c r="H281" s="2"/>
      <c r="I281" s="13"/>
      <c r="J281" s="13"/>
      <c r="K281" s="13"/>
      <c r="L281" s="14"/>
      <c r="M281" s="4"/>
      <c r="N281" s="2"/>
      <c r="O281" s="4"/>
      <c r="P281" s="2"/>
      <c r="Q281" s="2"/>
      <c r="R281" s="4"/>
      <c r="S281" s="2"/>
      <c r="T281" s="2"/>
      <c r="U281" s="1"/>
      <c r="V281" s="2"/>
      <c r="W281" s="2"/>
      <c r="X281" s="2"/>
      <c r="Y281" s="2"/>
      <c r="Z281" s="2"/>
    </row>
    <row r="282" spans="1:26" ht="15.75" customHeight="1" x14ac:dyDescent="0.2">
      <c r="A282" s="12"/>
      <c r="B282" s="10"/>
      <c r="C282" s="11"/>
      <c r="D282" s="13"/>
      <c r="E282" s="13"/>
      <c r="F282" s="13"/>
      <c r="G282" s="2"/>
      <c r="H282" s="2"/>
      <c r="I282" s="13"/>
      <c r="J282" s="13"/>
      <c r="K282" s="13"/>
      <c r="L282" s="14"/>
      <c r="M282" s="4"/>
      <c r="N282" s="2"/>
      <c r="O282" s="4"/>
      <c r="P282" s="2"/>
      <c r="Q282" s="2"/>
      <c r="R282" s="4"/>
      <c r="S282" s="2"/>
      <c r="T282" s="2"/>
      <c r="U282" s="1"/>
      <c r="V282" s="2"/>
      <c r="W282" s="2"/>
      <c r="X282" s="2"/>
      <c r="Y282" s="2"/>
      <c r="Z282" s="2"/>
    </row>
    <row r="283" spans="1:26" ht="15.75" customHeight="1" x14ac:dyDescent="0.2">
      <c r="A283" s="12"/>
      <c r="B283" s="10"/>
      <c r="C283" s="11"/>
      <c r="D283" s="13"/>
      <c r="E283" s="13"/>
      <c r="F283" s="13"/>
      <c r="G283" s="2"/>
      <c r="H283" s="2"/>
      <c r="I283" s="13"/>
      <c r="J283" s="13"/>
      <c r="K283" s="13"/>
      <c r="L283" s="14"/>
      <c r="M283" s="4"/>
      <c r="N283" s="2"/>
      <c r="O283" s="4"/>
      <c r="P283" s="2"/>
      <c r="Q283" s="2"/>
      <c r="R283" s="4"/>
      <c r="S283" s="2"/>
      <c r="T283" s="2"/>
      <c r="U283" s="1"/>
      <c r="V283" s="2"/>
      <c r="W283" s="2"/>
      <c r="X283" s="2"/>
      <c r="Y283" s="2"/>
      <c r="Z283" s="2"/>
    </row>
    <row r="284" spans="1:26" ht="15.75" customHeight="1" x14ac:dyDescent="0.2">
      <c r="A284" s="12"/>
      <c r="B284" s="10"/>
      <c r="C284" s="11"/>
      <c r="D284" s="13"/>
      <c r="E284" s="13"/>
      <c r="F284" s="13"/>
      <c r="G284" s="2"/>
      <c r="H284" s="2"/>
      <c r="I284" s="13"/>
      <c r="J284" s="13"/>
      <c r="K284" s="13"/>
      <c r="L284" s="14"/>
      <c r="M284" s="4"/>
      <c r="N284" s="2"/>
      <c r="O284" s="4"/>
      <c r="P284" s="2"/>
      <c r="Q284" s="2"/>
      <c r="R284" s="4"/>
      <c r="S284" s="2"/>
      <c r="T284" s="2"/>
      <c r="U284" s="1"/>
      <c r="V284" s="2"/>
      <c r="W284" s="2"/>
      <c r="X284" s="2"/>
      <c r="Y284" s="2"/>
      <c r="Z284" s="2"/>
    </row>
    <row r="285" spans="1:26" ht="15.75" customHeight="1" x14ac:dyDescent="0.2">
      <c r="A285" s="12"/>
      <c r="B285" s="10"/>
      <c r="C285" s="11"/>
      <c r="D285" s="13"/>
      <c r="E285" s="13"/>
      <c r="F285" s="13"/>
      <c r="G285" s="2"/>
      <c r="H285" s="2"/>
      <c r="I285" s="13"/>
      <c r="J285" s="13"/>
      <c r="K285" s="13"/>
      <c r="L285" s="14"/>
      <c r="M285" s="4"/>
      <c r="N285" s="2"/>
      <c r="O285" s="4"/>
      <c r="P285" s="2"/>
      <c r="Q285" s="2"/>
      <c r="R285" s="4"/>
      <c r="S285" s="2"/>
      <c r="T285" s="2"/>
      <c r="U285" s="1"/>
      <c r="V285" s="2"/>
      <c r="W285" s="2"/>
      <c r="X285" s="2"/>
      <c r="Y285" s="2"/>
      <c r="Z285" s="2"/>
    </row>
    <row r="286" spans="1:26" ht="15.75" customHeight="1" x14ac:dyDescent="0.2">
      <c r="A286" s="12"/>
      <c r="B286" s="10"/>
      <c r="C286" s="11"/>
      <c r="D286" s="13"/>
      <c r="E286" s="13"/>
      <c r="F286" s="13"/>
      <c r="G286" s="2"/>
      <c r="H286" s="2"/>
      <c r="I286" s="13"/>
      <c r="J286" s="13"/>
      <c r="K286" s="13"/>
      <c r="L286" s="14"/>
      <c r="M286" s="4"/>
      <c r="N286" s="2"/>
      <c r="O286" s="4"/>
      <c r="P286" s="2"/>
      <c r="Q286" s="2"/>
      <c r="R286" s="4"/>
      <c r="S286" s="2"/>
      <c r="T286" s="2"/>
      <c r="U286" s="1"/>
      <c r="V286" s="2"/>
      <c r="W286" s="2"/>
      <c r="X286" s="2"/>
      <c r="Y286" s="2"/>
      <c r="Z286" s="2"/>
    </row>
    <row r="287" spans="1:26" ht="15.75" customHeight="1" x14ac:dyDescent="0.2">
      <c r="A287" s="12"/>
      <c r="B287" s="10"/>
      <c r="C287" s="11"/>
      <c r="D287" s="13"/>
      <c r="E287" s="13"/>
      <c r="F287" s="13"/>
      <c r="G287" s="2"/>
      <c r="H287" s="2"/>
      <c r="I287" s="13"/>
      <c r="J287" s="13"/>
      <c r="K287" s="13"/>
      <c r="L287" s="14"/>
      <c r="M287" s="4"/>
      <c r="N287" s="2"/>
      <c r="O287" s="4"/>
      <c r="P287" s="2"/>
      <c r="Q287" s="2"/>
      <c r="R287" s="4"/>
      <c r="S287" s="2"/>
      <c r="T287" s="2"/>
      <c r="U287" s="1"/>
      <c r="V287" s="2"/>
      <c r="W287" s="2"/>
      <c r="X287" s="2"/>
      <c r="Y287" s="2"/>
      <c r="Z287" s="2"/>
    </row>
    <row r="288" spans="1:26" ht="15.75" customHeight="1" x14ac:dyDescent="0.2">
      <c r="A288" s="12"/>
      <c r="B288" s="10"/>
      <c r="C288" s="11"/>
      <c r="D288" s="13"/>
      <c r="E288" s="13"/>
      <c r="F288" s="13"/>
      <c r="G288" s="2"/>
      <c r="H288" s="2"/>
      <c r="I288" s="13"/>
      <c r="J288" s="13"/>
      <c r="K288" s="13"/>
      <c r="L288" s="14"/>
      <c r="M288" s="4"/>
      <c r="N288" s="2"/>
      <c r="O288" s="4"/>
      <c r="P288" s="2"/>
      <c r="Q288" s="2"/>
      <c r="R288" s="4"/>
      <c r="S288" s="2"/>
      <c r="T288" s="2"/>
      <c r="U288" s="1"/>
      <c r="V288" s="2"/>
      <c r="W288" s="2"/>
      <c r="X288" s="2"/>
      <c r="Y288" s="2"/>
      <c r="Z288" s="2"/>
    </row>
    <row r="289" spans="1:26" ht="15.75" customHeight="1" x14ac:dyDescent="0.2">
      <c r="A289" s="12"/>
      <c r="B289" s="10"/>
      <c r="C289" s="11"/>
      <c r="D289" s="13"/>
      <c r="E289" s="13"/>
      <c r="F289" s="13"/>
      <c r="G289" s="2"/>
      <c r="H289" s="2"/>
      <c r="I289" s="13"/>
      <c r="J289" s="13"/>
      <c r="K289" s="13"/>
      <c r="L289" s="14"/>
      <c r="M289" s="4"/>
      <c r="N289" s="2"/>
      <c r="O289" s="4"/>
      <c r="P289" s="2"/>
      <c r="Q289" s="2"/>
      <c r="R289" s="4"/>
      <c r="S289" s="2"/>
      <c r="T289" s="2"/>
      <c r="U289" s="1"/>
      <c r="V289" s="2"/>
      <c r="W289" s="2"/>
      <c r="X289" s="2"/>
      <c r="Y289" s="2"/>
      <c r="Z289" s="2"/>
    </row>
    <row r="290" spans="1:26" ht="15.75" customHeight="1" x14ac:dyDescent="0.2">
      <c r="A290" s="12"/>
      <c r="B290" s="10"/>
      <c r="C290" s="11"/>
      <c r="D290" s="13"/>
      <c r="E290" s="13"/>
      <c r="F290" s="13"/>
      <c r="G290" s="2"/>
      <c r="H290" s="2"/>
      <c r="I290" s="13"/>
      <c r="J290" s="13"/>
      <c r="K290" s="13"/>
      <c r="L290" s="14"/>
      <c r="M290" s="4"/>
      <c r="N290" s="2"/>
      <c r="O290" s="4"/>
      <c r="P290" s="2"/>
      <c r="Q290" s="2"/>
      <c r="R290" s="4"/>
      <c r="S290" s="2"/>
      <c r="T290" s="2"/>
      <c r="U290" s="1"/>
      <c r="V290" s="2"/>
      <c r="W290" s="2"/>
      <c r="X290" s="2"/>
      <c r="Y290" s="2"/>
      <c r="Z290" s="2"/>
    </row>
    <row r="291" spans="1:26" ht="15.75" customHeight="1" x14ac:dyDescent="0.2">
      <c r="A291" s="12"/>
      <c r="B291" s="10"/>
      <c r="C291" s="11"/>
      <c r="D291" s="13"/>
      <c r="E291" s="13"/>
      <c r="F291" s="13"/>
      <c r="G291" s="2"/>
      <c r="H291" s="2"/>
      <c r="I291" s="13"/>
      <c r="J291" s="13"/>
      <c r="K291" s="13"/>
      <c r="L291" s="14"/>
      <c r="M291" s="4"/>
      <c r="N291" s="2"/>
      <c r="O291" s="4"/>
      <c r="P291" s="2"/>
      <c r="Q291" s="2"/>
      <c r="R291" s="4"/>
      <c r="S291" s="2"/>
      <c r="T291" s="2"/>
      <c r="U291" s="1"/>
      <c r="V291" s="2"/>
      <c r="W291" s="2"/>
      <c r="X291" s="2"/>
      <c r="Y291" s="2"/>
      <c r="Z291" s="2"/>
    </row>
    <row r="292" spans="1:26" ht="15.75" customHeight="1" x14ac:dyDescent="0.2">
      <c r="A292" s="12"/>
      <c r="B292" s="10"/>
      <c r="C292" s="11"/>
      <c r="D292" s="13"/>
      <c r="E292" s="13"/>
      <c r="F292" s="13"/>
      <c r="G292" s="2"/>
      <c r="H292" s="2"/>
      <c r="I292" s="13"/>
      <c r="J292" s="13"/>
      <c r="K292" s="13"/>
      <c r="L292" s="14"/>
      <c r="M292" s="4"/>
      <c r="N292" s="2"/>
      <c r="O292" s="4"/>
      <c r="P292" s="2"/>
      <c r="Q292" s="2"/>
      <c r="R292" s="4"/>
      <c r="S292" s="2"/>
      <c r="T292" s="2"/>
      <c r="U292" s="1"/>
      <c r="V292" s="2"/>
      <c r="W292" s="2"/>
      <c r="X292" s="2"/>
      <c r="Y292" s="2"/>
      <c r="Z292" s="2"/>
    </row>
    <row r="293" spans="1:26" ht="15.75" customHeight="1" x14ac:dyDescent="0.2">
      <c r="A293" s="12"/>
      <c r="B293" s="10"/>
      <c r="C293" s="11"/>
      <c r="D293" s="13"/>
      <c r="E293" s="13"/>
      <c r="F293" s="13"/>
      <c r="G293" s="2"/>
      <c r="H293" s="2"/>
      <c r="I293" s="13"/>
      <c r="J293" s="13"/>
      <c r="K293" s="13"/>
      <c r="L293" s="14"/>
      <c r="M293" s="4"/>
      <c r="N293" s="2"/>
      <c r="O293" s="4"/>
      <c r="P293" s="2"/>
      <c r="Q293" s="2"/>
      <c r="R293" s="4"/>
      <c r="S293" s="2"/>
      <c r="T293" s="2"/>
      <c r="U293" s="1"/>
      <c r="V293" s="2"/>
      <c r="W293" s="2"/>
      <c r="X293" s="2"/>
      <c r="Y293" s="2"/>
      <c r="Z293" s="2"/>
    </row>
    <row r="294" spans="1:26" ht="15.75" customHeight="1" x14ac:dyDescent="0.2">
      <c r="A294" s="12"/>
      <c r="B294" s="10"/>
      <c r="C294" s="11"/>
      <c r="D294" s="13"/>
      <c r="E294" s="13"/>
      <c r="F294" s="13"/>
      <c r="G294" s="2"/>
      <c r="H294" s="2"/>
      <c r="I294" s="13"/>
      <c r="J294" s="13"/>
      <c r="K294" s="13"/>
      <c r="L294" s="14"/>
      <c r="M294" s="4"/>
      <c r="N294" s="2"/>
      <c r="O294" s="4"/>
      <c r="P294" s="2"/>
      <c r="Q294" s="2"/>
      <c r="R294" s="4"/>
      <c r="S294" s="2"/>
      <c r="T294" s="2"/>
      <c r="U294" s="1"/>
      <c r="V294" s="2"/>
      <c r="W294" s="2"/>
      <c r="X294" s="2"/>
      <c r="Y294" s="2"/>
      <c r="Z294" s="2"/>
    </row>
    <row r="295" spans="1:26" ht="15.75" customHeight="1" x14ac:dyDescent="0.2">
      <c r="A295" s="12"/>
      <c r="B295" s="10"/>
      <c r="C295" s="11"/>
      <c r="D295" s="13"/>
      <c r="E295" s="13"/>
      <c r="F295" s="13"/>
      <c r="G295" s="2"/>
      <c r="H295" s="2"/>
      <c r="I295" s="13"/>
      <c r="J295" s="13"/>
      <c r="K295" s="13"/>
      <c r="L295" s="14"/>
      <c r="M295" s="4"/>
      <c r="N295" s="2"/>
      <c r="O295" s="4"/>
      <c r="P295" s="2"/>
      <c r="Q295" s="2"/>
      <c r="R295" s="4"/>
      <c r="S295" s="2"/>
      <c r="T295" s="2"/>
      <c r="U295" s="1"/>
      <c r="V295" s="2"/>
      <c r="W295" s="2"/>
      <c r="X295" s="2"/>
      <c r="Y295" s="2"/>
      <c r="Z295" s="2"/>
    </row>
    <row r="296" spans="1:26" ht="15.75" customHeight="1" x14ac:dyDescent="0.2">
      <c r="A296" s="12"/>
      <c r="B296" s="10"/>
      <c r="C296" s="11"/>
      <c r="D296" s="13"/>
      <c r="E296" s="13"/>
      <c r="F296" s="13"/>
      <c r="G296" s="2"/>
      <c r="H296" s="2"/>
      <c r="I296" s="13"/>
      <c r="J296" s="13"/>
      <c r="K296" s="13"/>
      <c r="L296" s="14"/>
      <c r="M296" s="4"/>
      <c r="N296" s="2"/>
      <c r="O296" s="4"/>
      <c r="P296" s="2"/>
      <c r="Q296" s="2"/>
      <c r="R296" s="4"/>
      <c r="S296" s="2"/>
      <c r="T296" s="2"/>
      <c r="U296" s="1"/>
      <c r="V296" s="2"/>
      <c r="W296" s="2"/>
      <c r="X296" s="2"/>
      <c r="Y296" s="2"/>
      <c r="Z296" s="2"/>
    </row>
    <row r="297" spans="1:26" ht="15.75" customHeight="1" x14ac:dyDescent="0.2">
      <c r="A297" s="12"/>
      <c r="B297" s="10"/>
      <c r="C297" s="11"/>
      <c r="D297" s="13"/>
      <c r="E297" s="13"/>
      <c r="F297" s="13"/>
      <c r="G297" s="2"/>
      <c r="H297" s="2"/>
      <c r="I297" s="13"/>
      <c r="J297" s="13"/>
      <c r="K297" s="13"/>
      <c r="L297" s="14"/>
      <c r="M297" s="4"/>
      <c r="N297" s="2"/>
      <c r="O297" s="4"/>
      <c r="P297" s="2"/>
      <c r="Q297" s="2"/>
      <c r="R297" s="4"/>
      <c r="S297" s="2"/>
      <c r="T297" s="2"/>
      <c r="U297" s="1"/>
      <c r="V297" s="2"/>
      <c r="W297" s="2"/>
      <c r="X297" s="2"/>
      <c r="Y297" s="2"/>
      <c r="Z297" s="2"/>
    </row>
    <row r="298" spans="1:26" ht="15.75" customHeight="1" x14ac:dyDescent="0.2">
      <c r="A298" s="12"/>
      <c r="B298" s="10"/>
      <c r="C298" s="11"/>
      <c r="D298" s="13"/>
      <c r="E298" s="13"/>
      <c r="F298" s="13"/>
      <c r="G298" s="2"/>
      <c r="H298" s="2"/>
      <c r="I298" s="13"/>
      <c r="J298" s="13"/>
      <c r="K298" s="13"/>
      <c r="L298" s="14"/>
      <c r="M298" s="4"/>
      <c r="N298" s="2"/>
      <c r="O298" s="4"/>
      <c r="P298" s="2"/>
      <c r="Q298" s="2"/>
      <c r="R298" s="4"/>
      <c r="S298" s="2"/>
      <c r="T298" s="2"/>
      <c r="U298" s="1"/>
      <c r="V298" s="2"/>
      <c r="W298" s="2"/>
      <c r="X298" s="2"/>
      <c r="Y298" s="2"/>
      <c r="Z298" s="2"/>
    </row>
    <row r="299" spans="1:26" ht="15.75" customHeight="1" x14ac:dyDescent="0.2">
      <c r="A299" s="12"/>
      <c r="B299" s="10"/>
      <c r="C299" s="11"/>
      <c r="D299" s="13"/>
      <c r="E299" s="13"/>
      <c r="F299" s="13"/>
      <c r="G299" s="2"/>
      <c r="H299" s="2"/>
      <c r="I299" s="13"/>
      <c r="J299" s="13"/>
      <c r="K299" s="13"/>
      <c r="L299" s="14"/>
      <c r="M299" s="4"/>
      <c r="N299" s="2"/>
      <c r="O299" s="4"/>
      <c r="P299" s="2"/>
      <c r="Q299" s="2"/>
      <c r="R299" s="4"/>
      <c r="S299" s="2"/>
      <c r="T299" s="2"/>
      <c r="U299" s="1"/>
      <c r="V299" s="2"/>
      <c r="W299" s="2"/>
      <c r="X299" s="2"/>
      <c r="Y299" s="2"/>
      <c r="Z299" s="2"/>
    </row>
    <row r="300" spans="1:26" ht="15.75" customHeight="1" x14ac:dyDescent="0.2">
      <c r="A300" s="12"/>
      <c r="B300" s="10"/>
      <c r="C300" s="11"/>
      <c r="D300" s="13"/>
      <c r="E300" s="13"/>
      <c r="F300" s="13"/>
      <c r="G300" s="2"/>
      <c r="H300" s="2"/>
      <c r="I300" s="13"/>
      <c r="J300" s="13"/>
      <c r="K300" s="13"/>
      <c r="L300" s="14"/>
      <c r="M300" s="4"/>
      <c r="N300" s="2"/>
      <c r="O300" s="4"/>
      <c r="P300" s="2"/>
      <c r="Q300" s="2"/>
      <c r="R300" s="4"/>
      <c r="S300" s="2"/>
      <c r="T300" s="2"/>
      <c r="U300" s="1"/>
      <c r="V300" s="2"/>
      <c r="W300" s="2"/>
      <c r="X300" s="2"/>
      <c r="Y300" s="2"/>
      <c r="Z300" s="2"/>
    </row>
    <row r="301" spans="1:26" ht="15.75" customHeight="1" x14ac:dyDescent="0.2">
      <c r="A301" s="12"/>
      <c r="B301" s="10"/>
      <c r="C301" s="11"/>
      <c r="D301" s="13"/>
      <c r="E301" s="13"/>
      <c r="F301" s="13"/>
      <c r="G301" s="2"/>
      <c r="H301" s="2"/>
      <c r="I301" s="13"/>
      <c r="J301" s="13"/>
      <c r="K301" s="13"/>
      <c r="L301" s="14"/>
      <c r="M301" s="4"/>
      <c r="N301" s="2"/>
      <c r="O301" s="4"/>
      <c r="P301" s="2"/>
      <c r="Q301" s="2"/>
      <c r="R301" s="4"/>
      <c r="S301" s="2"/>
      <c r="T301" s="2"/>
      <c r="U301" s="1"/>
      <c r="V301" s="2"/>
      <c r="W301" s="2"/>
      <c r="X301" s="2"/>
      <c r="Y301" s="2"/>
      <c r="Z301" s="2"/>
    </row>
    <row r="302" spans="1:26" ht="15.75" customHeight="1" x14ac:dyDescent="0.2">
      <c r="A302" s="12"/>
      <c r="B302" s="10"/>
      <c r="C302" s="11"/>
      <c r="D302" s="13"/>
      <c r="E302" s="13"/>
      <c r="F302" s="13"/>
      <c r="G302" s="2"/>
      <c r="H302" s="2"/>
      <c r="I302" s="13"/>
      <c r="J302" s="13"/>
      <c r="K302" s="13"/>
      <c r="L302" s="14"/>
      <c r="M302" s="4"/>
      <c r="N302" s="2"/>
      <c r="O302" s="4"/>
      <c r="P302" s="2"/>
      <c r="Q302" s="2"/>
      <c r="R302" s="4"/>
      <c r="S302" s="2"/>
      <c r="T302" s="2"/>
      <c r="U302" s="1"/>
      <c r="V302" s="2"/>
      <c r="W302" s="2"/>
      <c r="X302" s="2"/>
      <c r="Y302" s="2"/>
      <c r="Z302" s="2"/>
    </row>
    <row r="303" spans="1:26" ht="15.75" customHeight="1" x14ac:dyDescent="0.2">
      <c r="A303" s="12"/>
      <c r="B303" s="10"/>
      <c r="C303" s="11"/>
      <c r="D303" s="13"/>
      <c r="E303" s="13"/>
      <c r="F303" s="13"/>
      <c r="G303" s="2"/>
      <c r="H303" s="2"/>
      <c r="I303" s="13"/>
      <c r="J303" s="13"/>
      <c r="K303" s="13"/>
      <c r="L303" s="14"/>
      <c r="M303" s="4"/>
      <c r="N303" s="2"/>
      <c r="O303" s="4"/>
      <c r="P303" s="2"/>
      <c r="Q303" s="2"/>
      <c r="R303" s="4"/>
      <c r="S303" s="2"/>
      <c r="T303" s="2"/>
      <c r="U303" s="1"/>
      <c r="V303" s="2"/>
      <c r="W303" s="2"/>
      <c r="X303" s="2"/>
      <c r="Y303" s="2"/>
      <c r="Z303" s="2"/>
    </row>
    <row r="304" spans="1:26" ht="15.75" customHeight="1" x14ac:dyDescent="0.2">
      <c r="A304" s="12"/>
      <c r="B304" s="10"/>
      <c r="C304" s="11"/>
      <c r="D304" s="13"/>
      <c r="E304" s="13"/>
      <c r="F304" s="13"/>
      <c r="G304" s="2"/>
      <c r="H304" s="2"/>
      <c r="I304" s="13"/>
      <c r="J304" s="13"/>
      <c r="K304" s="13"/>
      <c r="L304" s="14"/>
      <c r="M304" s="4"/>
      <c r="N304" s="2"/>
      <c r="O304" s="4"/>
      <c r="P304" s="2"/>
      <c r="Q304" s="2"/>
      <c r="R304" s="4"/>
      <c r="S304" s="2"/>
      <c r="T304" s="2"/>
      <c r="U304" s="1"/>
      <c r="V304" s="2"/>
      <c r="W304" s="2"/>
      <c r="X304" s="2"/>
      <c r="Y304" s="2"/>
      <c r="Z304" s="2"/>
    </row>
    <row r="305" spans="1:26" ht="15.75" customHeight="1" x14ac:dyDescent="0.2">
      <c r="A305" s="12"/>
      <c r="B305" s="10"/>
      <c r="C305" s="11"/>
      <c r="D305" s="13"/>
      <c r="E305" s="13"/>
      <c r="F305" s="13"/>
      <c r="G305" s="2"/>
      <c r="H305" s="2"/>
      <c r="I305" s="13"/>
      <c r="J305" s="13"/>
      <c r="K305" s="13"/>
      <c r="L305" s="14"/>
      <c r="M305" s="4"/>
      <c r="N305" s="2"/>
      <c r="O305" s="4"/>
      <c r="P305" s="2"/>
      <c r="Q305" s="2"/>
      <c r="R305" s="4"/>
      <c r="S305" s="2"/>
      <c r="T305" s="2"/>
      <c r="U305" s="1"/>
      <c r="V305" s="2"/>
      <c r="W305" s="2"/>
      <c r="X305" s="2"/>
      <c r="Y305" s="2"/>
      <c r="Z305" s="2"/>
    </row>
    <row r="306" spans="1:26" ht="15.75" customHeight="1" x14ac:dyDescent="0.2">
      <c r="A306" s="12"/>
      <c r="B306" s="10"/>
      <c r="C306" s="11"/>
      <c r="D306" s="13"/>
      <c r="E306" s="13"/>
      <c r="F306" s="13"/>
      <c r="G306" s="2"/>
      <c r="H306" s="2"/>
      <c r="I306" s="13"/>
      <c r="J306" s="13"/>
      <c r="K306" s="13"/>
      <c r="L306" s="14"/>
      <c r="M306" s="4"/>
      <c r="N306" s="2"/>
      <c r="O306" s="4"/>
      <c r="P306" s="2"/>
      <c r="Q306" s="2"/>
      <c r="R306" s="4"/>
      <c r="S306" s="2"/>
      <c r="T306" s="2"/>
      <c r="U306" s="1"/>
      <c r="V306" s="2"/>
      <c r="W306" s="2"/>
      <c r="X306" s="2"/>
      <c r="Y306" s="2"/>
      <c r="Z306" s="2"/>
    </row>
    <row r="307" spans="1:26" ht="15.75" customHeight="1" x14ac:dyDescent="0.2">
      <c r="A307" s="12"/>
      <c r="B307" s="10"/>
      <c r="C307" s="11"/>
      <c r="D307" s="13"/>
      <c r="E307" s="13"/>
      <c r="F307" s="13"/>
      <c r="G307" s="2"/>
      <c r="H307" s="2"/>
      <c r="I307" s="13"/>
      <c r="J307" s="13"/>
      <c r="K307" s="13"/>
      <c r="L307" s="14"/>
      <c r="M307" s="4"/>
      <c r="N307" s="2"/>
      <c r="O307" s="4"/>
      <c r="P307" s="2"/>
      <c r="Q307" s="2"/>
      <c r="R307" s="4"/>
      <c r="S307" s="2"/>
      <c r="T307" s="2"/>
      <c r="U307" s="1"/>
      <c r="V307" s="2"/>
      <c r="W307" s="2"/>
      <c r="X307" s="2"/>
      <c r="Y307" s="2"/>
      <c r="Z307" s="2"/>
    </row>
    <row r="308" spans="1:26" ht="15.75" customHeight="1" x14ac:dyDescent="0.2">
      <c r="A308" s="12"/>
      <c r="B308" s="10"/>
      <c r="C308" s="11"/>
      <c r="D308" s="13"/>
      <c r="E308" s="13"/>
      <c r="F308" s="13"/>
      <c r="G308" s="2"/>
      <c r="H308" s="2"/>
      <c r="I308" s="13"/>
      <c r="J308" s="13"/>
      <c r="K308" s="13"/>
      <c r="L308" s="14"/>
      <c r="M308" s="4"/>
      <c r="N308" s="2"/>
      <c r="O308" s="4"/>
      <c r="P308" s="2"/>
      <c r="Q308" s="2"/>
      <c r="R308" s="4"/>
      <c r="S308" s="2"/>
      <c r="T308" s="2"/>
      <c r="U308" s="1"/>
      <c r="V308" s="2"/>
      <c r="W308" s="2"/>
      <c r="X308" s="2"/>
      <c r="Y308" s="2"/>
      <c r="Z308" s="2"/>
    </row>
    <row r="309" spans="1:26" ht="15.75" customHeight="1" x14ac:dyDescent="0.2">
      <c r="A309" s="12"/>
      <c r="B309" s="10"/>
      <c r="C309" s="11"/>
      <c r="D309" s="13"/>
      <c r="E309" s="13"/>
      <c r="F309" s="13"/>
      <c r="G309" s="2"/>
      <c r="H309" s="2"/>
      <c r="I309" s="13"/>
      <c r="J309" s="13"/>
      <c r="K309" s="13"/>
      <c r="L309" s="14"/>
      <c r="M309" s="4"/>
      <c r="N309" s="2"/>
      <c r="O309" s="4"/>
      <c r="P309" s="2"/>
      <c r="Q309" s="2"/>
      <c r="R309" s="4"/>
      <c r="S309" s="2"/>
      <c r="T309" s="2"/>
      <c r="U309" s="1"/>
      <c r="V309" s="2"/>
      <c r="W309" s="2"/>
      <c r="X309" s="2"/>
      <c r="Y309" s="2"/>
      <c r="Z309" s="2"/>
    </row>
    <row r="310" spans="1:26" ht="15.75" customHeight="1" x14ac:dyDescent="0.2">
      <c r="A310" s="12"/>
      <c r="B310" s="10"/>
      <c r="C310" s="11"/>
      <c r="D310" s="13"/>
      <c r="E310" s="13"/>
      <c r="F310" s="13"/>
      <c r="G310" s="2"/>
      <c r="H310" s="2"/>
      <c r="I310" s="13"/>
      <c r="J310" s="13"/>
      <c r="K310" s="13"/>
      <c r="L310" s="14"/>
      <c r="M310" s="4"/>
      <c r="N310" s="2"/>
      <c r="O310" s="4"/>
      <c r="P310" s="2"/>
      <c r="Q310" s="2"/>
      <c r="R310" s="4"/>
      <c r="S310" s="2"/>
      <c r="T310" s="2"/>
      <c r="U310" s="1"/>
      <c r="V310" s="2"/>
      <c r="W310" s="2"/>
      <c r="X310" s="2"/>
      <c r="Y310" s="2"/>
      <c r="Z310" s="2"/>
    </row>
    <row r="311" spans="1:26" ht="15.75" customHeight="1" x14ac:dyDescent="0.2">
      <c r="A311" s="12"/>
      <c r="B311" s="10"/>
      <c r="C311" s="11"/>
      <c r="D311" s="13"/>
      <c r="E311" s="13"/>
      <c r="F311" s="13"/>
      <c r="G311" s="2"/>
      <c r="H311" s="2"/>
      <c r="I311" s="13"/>
      <c r="J311" s="13"/>
      <c r="K311" s="13"/>
      <c r="L311" s="14"/>
      <c r="M311" s="4"/>
      <c r="N311" s="2"/>
      <c r="O311" s="4"/>
      <c r="P311" s="2"/>
      <c r="Q311" s="2"/>
      <c r="R311" s="4"/>
      <c r="S311" s="2"/>
      <c r="T311" s="2"/>
      <c r="U311" s="1"/>
      <c r="V311" s="2"/>
      <c r="W311" s="2"/>
      <c r="X311" s="2"/>
      <c r="Y311" s="2"/>
      <c r="Z311" s="2"/>
    </row>
    <row r="312" spans="1:26" ht="15.75" customHeight="1" x14ac:dyDescent="0.2">
      <c r="A312" s="12"/>
      <c r="B312" s="10"/>
      <c r="C312" s="11"/>
      <c r="D312" s="13"/>
      <c r="E312" s="13"/>
      <c r="F312" s="13"/>
      <c r="G312" s="2"/>
      <c r="H312" s="2"/>
      <c r="I312" s="13"/>
      <c r="J312" s="13"/>
      <c r="K312" s="13"/>
      <c r="L312" s="14"/>
      <c r="M312" s="4"/>
      <c r="N312" s="2"/>
      <c r="O312" s="4"/>
      <c r="P312" s="2"/>
      <c r="Q312" s="2"/>
      <c r="R312" s="4"/>
      <c r="S312" s="2"/>
      <c r="T312" s="2"/>
      <c r="U312" s="1"/>
      <c r="V312" s="2"/>
      <c r="W312" s="2"/>
      <c r="X312" s="2"/>
      <c r="Y312" s="2"/>
      <c r="Z312" s="2"/>
    </row>
    <row r="313" spans="1:26" ht="15.75" customHeight="1" x14ac:dyDescent="0.2">
      <c r="A313" s="12"/>
      <c r="B313" s="10"/>
      <c r="C313" s="11"/>
      <c r="D313" s="13"/>
      <c r="E313" s="13"/>
      <c r="F313" s="13"/>
      <c r="G313" s="2"/>
      <c r="H313" s="2"/>
      <c r="I313" s="13"/>
      <c r="J313" s="13"/>
      <c r="K313" s="13"/>
      <c r="L313" s="14"/>
      <c r="M313" s="4"/>
      <c r="N313" s="2"/>
      <c r="O313" s="4"/>
      <c r="P313" s="2"/>
      <c r="Q313" s="2"/>
      <c r="R313" s="4"/>
      <c r="S313" s="2"/>
      <c r="T313" s="2"/>
      <c r="U313" s="1"/>
      <c r="V313" s="2"/>
      <c r="W313" s="2"/>
      <c r="X313" s="2"/>
      <c r="Y313" s="2"/>
      <c r="Z313" s="2"/>
    </row>
    <row r="314" spans="1:26" ht="15.75" customHeight="1" x14ac:dyDescent="0.2">
      <c r="A314" s="12"/>
      <c r="B314" s="10"/>
      <c r="C314" s="11"/>
      <c r="D314" s="13"/>
      <c r="E314" s="13"/>
      <c r="F314" s="13"/>
      <c r="G314" s="2"/>
      <c r="H314" s="2"/>
      <c r="I314" s="13"/>
      <c r="J314" s="13"/>
      <c r="K314" s="13"/>
      <c r="L314" s="14"/>
      <c r="M314" s="4"/>
      <c r="N314" s="2"/>
      <c r="O314" s="4"/>
      <c r="P314" s="2"/>
      <c r="Q314" s="2"/>
      <c r="R314" s="4"/>
      <c r="S314" s="2"/>
      <c r="T314" s="2"/>
      <c r="U314" s="1"/>
      <c r="V314" s="2"/>
      <c r="W314" s="2"/>
      <c r="X314" s="2"/>
      <c r="Y314" s="2"/>
      <c r="Z314" s="2"/>
    </row>
    <row r="315" spans="1:26" ht="15.75" customHeight="1" x14ac:dyDescent="0.2">
      <c r="A315" s="12"/>
      <c r="B315" s="10"/>
      <c r="C315" s="11"/>
      <c r="D315" s="13"/>
      <c r="E315" s="13"/>
      <c r="F315" s="13"/>
      <c r="G315" s="2"/>
      <c r="H315" s="2"/>
      <c r="I315" s="13"/>
      <c r="J315" s="13"/>
      <c r="K315" s="13"/>
      <c r="L315" s="14"/>
      <c r="M315" s="4"/>
      <c r="N315" s="2"/>
      <c r="O315" s="4"/>
      <c r="P315" s="2"/>
      <c r="Q315" s="2"/>
      <c r="R315" s="4"/>
      <c r="S315" s="2"/>
      <c r="T315" s="2"/>
      <c r="U315" s="1"/>
      <c r="V315" s="2"/>
      <c r="W315" s="2"/>
      <c r="X315" s="2"/>
      <c r="Y315" s="2"/>
      <c r="Z315" s="2"/>
    </row>
    <row r="316" spans="1:26" ht="15.75" customHeight="1" x14ac:dyDescent="0.2">
      <c r="A316" s="12"/>
      <c r="B316" s="10"/>
      <c r="C316" s="11"/>
      <c r="D316" s="13"/>
      <c r="E316" s="13"/>
      <c r="F316" s="13"/>
      <c r="G316" s="2"/>
      <c r="H316" s="2"/>
      <c r="I316" s="13"/>
      <c r="J316" s="13"/>
      <c r="K316" s="13"/>
      <c r="L316" s="14"/>
      <c r="M316" s="4"/>
      <c r="N316" s="2"/>
      <c r="O316" s="4"/>
      <c r="P316" s="2"/>
      <c r="Q316" s="2"/>
      <c r="R316" s="4"/>
      <c r="S316" s="2"/>
      <c r="T316" s="2"/>
      <c r="U316" s="1"/>
      <c r="V316" s="2"/>
      <c r="W316" s="2"/>
      <c r="X316" s="2"/>
      <c r="Y316" s="2"/>
      <c r="Z316" s="2"/>
    </row>
    <row r="317" spans="1:26" ht="15.75" customHeight="1" x14ac:dyDescent="0.2">
      <c r="A317" s="12"/>
      <c r="B317" s="10"/>
      <c r="C317" s="11"/>
      <c r="D317" s="13"/>
      <c r="E317" s="13"/>
      <c r="F317" s="13"/>
      <c r="G317" s="2"/>
      <c r="H317" s="2"/>
      <c r="I317" s="13"/>
      <c r="J317" s="13"/>
      <c r="K317" s="13"/>
      <c r="L317" s="14"/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A318" s="12"/>
      <c r="B318" s="10"/>
      <c r="C318" s="11"/>
      <c r="D318" s="13"/>
      <c r="E318" s="13"/>
      <c r="F318" s="13"/>
      <c r="G318" s="2"/>
      <c r="H318" s="2"/>
      <c r="I318" s="13"/>
      <c r="J318" s="13"/>
      <c r="K318" s="13"/>
      <c r="L318" s="14"/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12"/>
      <c r="B319" s="10"/>
      <c r="C319" s="11"/>
      <c r="D319" s="13"/>
      <c r="E319" s="13"/>
      <c r="F319" s="13"/>
      <c r="G319" s="2"/>
      <c r="H319" s="2"/>
      <c r="I319" s="13"/>
      <c r="J319" s="13"/>
      <c r="K319" s="13"/>
      <c r="L319" s="14"/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2"/>
      <c r="B320" s="10"/>
      <c r="C320" s="11"/>
      <c r="D320" s="13"/>
      <c r="E320" s="13"/>
      <c r="F320" s="13"/>
      <c r="G320" s="2"/>
      <c r="H320" s="2"/>
      <c r="I320" s="13"/>
      <c r="J320" s="13"/>
      <c r="K320" s="13"/>
      <c r="L320" s="14"/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2"/>
      <c r="B321" s="10"/>
      <c r="C321" s="11"/>
      <c r="D321" s="13"/>
      <c r="E321" s="13"/>
      <c r="F321" s="13"/>
      <c r="G321" s="2"/>
      <c r="H321" s="2"/>
      <c r="I321" s="13"/>
      <c r="J321" s="13"/>
      <c r="K321" s="13"/>
      <c r="L321" s="14"/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2"/>
      <c r="B322" s="10"/>
      <c r="C322" s="11"/>
      <c r="D322" s="13"/>
      <c r="E322" s="13"/>
      <c r="F322" s="13"/>
      <c r="G322" s="2"/>
      <c r="H322" s="2"/>
      <c r="I322" s="13"/>
      <c r="J322" s="13"/>
      <c r="K322" s="13"/>
      <c r="L322" s="14"/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2"/>
      <c r="B323" s="10"/>
      <c r="C323" s="11"/>
      <c r="D323" s="13"/>
      <c r="E323" s="13"/>
      <c r="F323" s="13"/>
      <c r="G323" s="2"/>
      <c r="H323" s="2"/>
      <c r="I323" s="13"/>
      <c r="J323" s="13"/>
      <c r="K323" s="13"/>
      <c r="L323" s="14"/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2"/>
      <c r="B324" s="10"/>
      <c r="C324" s="11"/>
      <c r="D324" s="13"/>
      <c r="E324" s="13"/>
      <c r="F324" s="13"/>
      <c r="G324" s="2"/>
      <c r="H324" s="2"/>
      <c r="I324" s="13"/>
      <c r="J324" s="13"/>
      <c r="K324" s="13"/>
      <c r="L324" s="14"/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2"/>
      <c r="B325" s="10"/>
      <c r="C325" s="11"/>
      <c r="D325" s="13"/>
      <c r="E325" s="13"/>
      <c r="F325" s="13"/>
      <c r="G325" s="2"/>
      <c r="H325" s="2"/>
      <c r="I325" s="13"/>
      <c r="J325" s="13"/>
      <c r="K325" s="13"/>
      <c r="L325" s="14"/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2"/>
      <c r="B326" s="10"/>
      <c r="C326" s="11"/>
      <c r="D326" s="13"/>
      <c r="E326" s="13"/>
      <c r="F326" s="13"/>
      <c r="G326" s="2"/>
      <c r="H326" s="2"/>
      <c r="I326" s="13"/>
      <c r="J326" s="13"/>
      <c r="K326" s="13"/>
      <c r="L326" s="14"/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2"/>
      <c r="B327" s="10"/>
      <c r="C327" s="11"/>
      <c r="D327" s="13"/>
      <c r="E327" s="13"/>
      <c r="F327" s="13"/>
      <c r="G327" s="2"/>
      <c r="H327" s="2"/>
      <c r="I327" s="13"/>
      <c r="J327" s="13"/>
      <c r="K327" s="13"/>
      <c r="L327" s="14"/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2"/>
      <c r="B328" s="10"/>
      <c r="C328" s="11"/>
      <c r="D328" s="13"/>
      <c r="E328" s="13"/>
      <c r="F328" s="13"/>
      <c r="G328" s="2"/>
      <c r="H328" s="2"/>
      <c r="I328" s="13"/>
      <c r="J328" s="13"/>
      <c r="K328" s="13"/>
      <c r="L328" s="14"/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2"/>
      <c r="B329" s="10"/>
      <c r="C329" s="11"/>
      <c r="D329" s="13"/>
      <c r="E329" s="13"/>
      <c r="F329" s="13"/>
      <c r="G329" s="2"/>
      <c r="H329" s="2"/>
      <c r="I329" s="13"/>
      <c r="J329" s="13"/>
      <c r="K329" s="13"/>
      <c r="L329" s="14"/>
      <c r="M329" s="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2"/>
      <c r="B330" s="10"/>
      <c r="C330" s="11"/>
      <c r="D330" s="13"/>
      <c r="E330" s="13"/>
      <c r="F330" s="13"/>
      <c r="G330" s="2"/>
      <c r="H330" s="2"/>
      <c r="I330" s="13"/>
      <c r="J330" s="13"/>
      <c r="K330" s="13"/>
      <c r="L330" s="14"/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2"/>
      <c r="B331" s="10"/>
      <c r="C331" s="11"/>
      <c r="D331" s="13"/>
      <c r="E331" s="13"/>
      <c r="F331" s="13"/>
      <c r="G331" s="2"/>
      <c r="H331" s="2"/>
      <c r="I331" s="13"/>
      <c r="J331" s="13"/>
      <c r="K331" s="13"/>
      <c r="L331" s="14"/>
      <c r="M331" s="4"/>
      <c r="N331" s="2"/>
      <c r="O331" s="4"/>
      <c r="P331" s="2"/>
      <c r="Q331" s="2"/>
      <c r="R331" s="4"/>
      <c r="S331" s="2"/>
      <c r="T331" s="2"/>
      <c r="U331" s="1"/>
      <c r="V331" s="2"/>
      <c r="W331" s="2"/>
      <c r="X331" s="2"/>
      <c r="Y331" s="2"/>
      <c r="Z331" s="2"/>
    </row>
    <row r="332" spans="1:26" ht="15.75" customHeight="1" x14ac:dyDescent="0.2">
      <c r="A332" s="12"/>
      <c r="B332" s="10"/>
      <c r="C332" s="11"/>
      <c r="D332" s="13"/>
      <c r="E332" s="13"/>
      <c r="F332" s="13"/>
      <c r="G332" s="2"/>
      <c r="H332" s="2"/>
      <c r="I332" s="13"/>
      <c r="J332" s="13"/>
      <c r="K332" s="13"/>
      <c r="L332" s="14"/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12"/>
      <c r="B333" s="10"/>
      <c r="C333" s="11"/>
      <c r="D333" s="13"/>
      <c r="E333" s="13"/>
      <c r="F333" s="13"/>
      <c r="G333" s="2"/>
      <c r="H333" s="2"/>
      <c r="I333" s="13"/>
      <c r="J333" s="13"/>
      <c r="K333" s="13"/>
      <c r="L333" s="14"/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A334" s="12"/>
      <c r="B334" s="10"/>
      <c r="C334" s="11"/>
      <c r="D334" s="13"/>
      <c r="E334" s="13"/>
      <c r="F334" s="13"/>
      <c r="G334" s="2"/>
      <c r="H334" s="2"/>
      <c r="I334" s="13"/>
      <c r="J334" s="13"/>
      <c r="K334" s="13"/>
      <c r="L334" s="14"/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12"/>
      <c r="B335" s="10"/>
      <c r="C335" s="11"/>
      <c r="D335" s="13"/>
      <c r="E335" s="13"/>
      <c r="F335" s="13"/>
      <c r="G335" s="2"/>
      <c r="H335" s="2"/>
      <c r="I335" s="13"/>
      <c r="J335" s="13"/>
      <c r="K335" s="13"/>
      <c r="L335" s="14"/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2"/>
      <c r="B336" s="10"/>
      <c r="C336" s="11"/>
      <c r="D336" s="13"/>
      <c r="E336" s="13"/>
      <c r="F336" s="13"/>
      <c r="G336" s="2"/>
      <c r="H336" s="2"/>
      <c r="I336" s="13"/>
      <c r="J336" s="13"/>
      <c r="K336" s="13"/>
      <c r="L336" s="14"/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2"/>
      <c r="B337" s="10"/>
      <c r="C337" s="11"/>
      <c r="D337" s="13"/>
      <c r="E337" s="13"/>
      <c r="F337" s="13"/>
      <c r="G337" s="2"/>
      <c r="H337" s="2"/>
      <c r="I337" s="13"/>
      <c r="J337" s="13"/>
      <c r="K337" s="13"/>
      <c r="L337" s="14"/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2"/>
      <c r="B338" s="10"/>
      <c r="C338" s="11"/>
      <c r="D338" s="13"/>
      <c r="E338" s="13"/>
      <c r="F338" s="13"/>
      <c r="G338" s="2"/>
      <c r="H338" s="2"/>
      <c r="I338" s="13"/>
      <c r="J338" s="13"/>
      <c r="K338" s="13"/>
      <c r="L338" s="14"/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2"/>
      <c r="B339" s="10"/>
      <c r="C339" s="11"/>
      <c r="D339" s="13"/>
      <c r="E339" s="13"/>
      <c r="F339" s="13"/>
      <c r="G339" s="2"/>
      <c r="H339" s="2"/>
      <c r="I339" s="13"/>
      <c r="J339" s="13"/>
      <c r="K339" s="13"/>
      <c r="L339" s="14"/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2"/>
      <c r="B340" s="10"/>
      <c r="C340" s="11"/>
      <c r="D340" s="13"/>
      <c r="E340" s="13"/>
      <c r="F340" s="13"/>
      <c r="G340" s="2"/>
      <c r="H340" s="2"/>
      <c r="I340" s="13"/>
      <c r="J340" s="13"/>
      <c r="K340" s="13"/>
      <c r="L340" s="14"/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2"/>
      <c r="B341" s="10"/>
      <c r="C341" s="11"/>
      <c r="D341" s="13"/>
      <c r="E341" s="13"/>
      <c r="F341" s="13"/>
      <c r="G341" s="2"/>
      <c r="H341" s="2"/>
      <c r="I341" s="13"/>
      <c r="J341" s="13"/>
      <c r="K341" s="13"/>
      <c r="L341" s="14"/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2"/>
      <c r="B342" s="10"/>
      <c r="C342" s="11"/>
      <c r="D342" s="13"/>
      <c r="E342" s="13"/>
      <c r="F342" s="13"/>
      <c r="G342" s="2"/>
      <c r="H342" s="2"/>
      <c r="I342" s="13"/>
      <c r="J342" s="13"/>
      <c r="K342" s="13"/>
      <c r="L342" s="14"/>
      <c r="M342" s="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2"/>
      <c r="B343" s="10"/>
      <c r="C343" s="11"/>
      <c r="D343" s="13"/>
      <c r="E343" s="13"/>
      <c r="F343" s="13"/>
      <c r="G343" s="2"/>
      <c r="H343" s="2"/>
      <c r="I343" s="13"/>
      <c r="J343" s="13"/>
      <c r="K343" s="13"/>
      <c r="L343" s="14"/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2"/>
      <c r="B344" s="10"/>
      <c r="C344" s="11"/>
      <c r="D344" s="13"/>
      <c r="E344" s="13"/>
      <c r="F344" s="13"/>
      <c r="G344" s="2"/>
      <c r="H344" s="2"/>
      <c r="I344" s="13"/>
      <c r="J344" s="13"/>
      <c r="K344" s="13"/>
      <c r="L344" s="14"/>
      <c r="M344" s="4"/>
      <c r="N344" s="2"/>
      <c r="O344" s="4"/>
      <c r="P344" s="2"/>
      <c r="Q344" s="2"/>
      <c r="R344" s="4"/>
      <c r="S344" s="2"/>
      <c r="T344" s="2"/>
      <c r="U344" s="1"/>
      <c r="V344" s="2"/>
      <c r="W344" s="2"/>
      <c r="X344" s="2"/>
      <c r="Y344" s="2"/>
      <c r="Z344" s="2"/>
    </row>
    <row r="345" spans="1:26" ht="15.75" customHeight="1" x14ac:dyDescent="0.2">
      <c r="A345" s="12"/>
      <c r="B345" s="10"/>
      <c r="C345" s="11"/>
      <c r="D345" s="13"/>
      <c r="E345" s="13"/>
      <c r="F345" s="13"/>
      <c r="G345" s="2"/>
      <c r="H345" s="2"/>
      <c r="I345" s="13"/>
      <c r="J345" s="13"/>
      <c r="K345" s="13"/>
      <c r="L345" s="14"/>
      <c r="M345" s="4"/>
      <c r="N345" s="2"/>
      <c r="O345" s="4"/>
      <c r="P345" s="2"/>
      <c r="Q345" s="2"/>
      <c r="R345" s="4"/>
      <c r="S345" s="2"/>
      <c r="T345" s="2"/>
      <c r="U345" s="1"/>
      <c r="V345" s="2"/>
      <c r="W345" s="2"/>
      <c r="X345" s="2"/>
      <c r="Y345" s="2"/>
      <c r="Z345" s="2"/>
    </row>
    <row r="346" spans="1:26" ht="15.75" customHeight="1" x14ac:dyDescent="0.2">
      <c r="A346" s="12"/>
      <c r="B346" s="10"/>
      <c r="C346" s="11"/>
      <c r="D346" s="13"/>
      <c r="E346" s="13"/>
      <c r="F346" s="13"/>
      <c r="G346" s="2"/>
      <c r="H346" s="2"/>
      <c r="I346" s="13"/>
      <c r="J346" s="13"/>
      <c r="K346" s="13"/>
      <c r="L346" s="14"/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A347" s="12"/>
      <c r="B347" s="10"/>
      <c r="C347" s="11"/>
      <c r="D347" s="13"/>
      <c r="E347" s="13"/>
      <c r="F347" s="13"/>
      <c r="G347" s="2"/>
      <c r="H347" s="2"/>
      <c r="I347" s="13"/>
      <c r="J347" s="13"/>
      <c r="K347" s="13"/>
      <c r="L347" s="14"/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A348" s="12"/>
      <c r="B348" s="10"/>
      <c r="C348" s="11"/>
      <c r="D348" s="13"/>
      <c r="E348" s="13"/>
      <c r="F348" s="13"/>
      <c r="G348" s="2"/>
      <c r="H348" s="2"/>
      <c r="I348" s="13"/>
      <c r="J348" s="13"/>
      <c r="K348" s="13"/>
      <c r="L348" s="14"/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2"/>
      <c r="B349" s="10"/>
      <c r="C349" s="11"/>
      <c r="D349" s="13"/>
      <c r="E349" s="13"/>
      <c r="F349" s="13"/>
      <c r="G349" s="2"/>
      <c r="H349" s="2"/>
      <c r="I349" s="13"/>
      <c r="J349" s="13"/>
      <c r="K349" s="13"/>
      <c r="L349" s="14"/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A350" s="12"/>
      <c r="B350" s="10"/>
      <c r="C350" s="11"/>
      <c r="D350" s="13"/>
      <c r="E350" s="13"/>
      <c r="F350" s="13"/>
      <c r="G350" s="2"/>
      <c r="H350" s="2"/>
      <c r="I350" s="13"/>
      <c r="J350" s="13"/>
      <c r="K350" s="13"/>
      <c r="L350" s="14"/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2"/>
      <c r="B351" s="10"/>
      <c r="C351" s="11"/>
      <c r="D351" s="13"/>
      <c r="E351" s="13"/>
      <c r="F351" s="13"/>
      <c r="G351" s="2"/>
      <c r="H351" s="2"/>
      <c r="I351" s="13"/>
      <c r="J351" s="13"/>
      <c r="K351" s="13"/>
      <c r="L351" s="14"/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2"/>
      <c r="B352" s="10"/>
      <c r="C352" s="11"/>
      <c r="D352" s="13"/>
      <c r="E352" s="13"/>
      <c r="F352" s="13"/>
      <c r="G352" s="2"/>
      <c r="H352" s="2"/>
      <c r="I352" s="13"/>
      <c r="J352" s="13"/>
      <c r="K352" s="13"/>
      <c r="L352" s="14"/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2"/>
      <c r="B353" s="10"/>
      <c r="C353" s="11"/>
      <c r="D353" s="13"/>
      <c r="E353" s="13"/>
      <c r="F353" s="13"/>
      <c r="G353" s="2"/>
      <c r="H353" s="2"/>
      <c r="I353" s="13"/>
      <c r="J353" s="13"/>
      <c r="K353" s="13"/>
      <c r="L353" s="14"/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2"/>
      <c r="B354" s="10"/>
      <c r="C354" s="11"/>
      <c r="D354" s="13"/>
      <c r="E354" s="13"/>
      <c r="F354" s="13"/>
      <c r="G354" s="2"/>
      <c r="H354" s="2"/>
      <c r="I354" s="13"/>
      <c r="J354" s="13"/>
      <c r="K354" s="13"/>
      <c r="L354" s="14"/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2"/>
      <c r="B355" s="10"/>
      <c r="C355" s="11"/>
      <c r="D355" s="13"/>
      <c r="E355" s="13"/>
      <c r="F355" s="13"/>
      <c r="G355" s="2"/>
      <c r="H355" s="2"/>
      <c r="I355" s="13"/>
      <c r="J355" s="13"/>
      <c r="K355" s="13"/>
      <c r="L355" s="14"/>
      <c r="M355" s="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2"/>
      <c r="B356" s="10"/>
      <c r="C356" s="11"/>
      <c r="D356" s="13"/>
      <c r="E356" s="13"/>
      <c r="F356" s="13"/>
      <c r="G356" s="2"/>
      <c r="H356" s="2"/>
      <c r="I356" s="13"/>
      <c r="J356" s="13"/>
      <c r="K356" s="13"/>
      <c r="L356" s="14"/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2"/>
      <c r="B357" s="10"/>
      <c r="C357" s="11"/>
      <c r="D357" s="13"/>
      <c r="E357" s="13"/>
      <c r="F357" s="13"/>
      <c r="G357" s="2"/>
      <c r="H357" s="2"/>
      <c r="I357" s="13"/>
      <c r="J357" s="13"/>
      <c r="K357" s="13"/>
      <c r="L357" s="14"/>
      <c r="M357" s="4"/>
      <c r="N357" s="2"/>
      <c r="O357" s="4"/>
      <c r="P357" s="2"/>
      <c r="Q357" s="2"/>
      <c r="R357" s="4"/>
      <c r="S357" s="2"/>
      <c r="T357" s="2"/>
      <c r="U357" s="1"/>
      <c r="V357" s="2"/>
      <c r="W357" s="2"/>
      <c r="X357" s="2"/>
      <c r="Y357" s="2"/>
      <c r="Z357" s="2"/>
    </row>
    <row r="358" spans="1:26" ht="15.75" customHeight="1" x14ac:dyDescent="0.2">
      <c r="A358" s="12"/>
      <c r="B358" s="10"/>
      <c r="C358" s="11"/>
      <c r="D358" s="13"/>
      <c r="E358" s="13"/>
      <c r="F358" s="13"/>
      <c r="G358" s="2"/>
      <c r="H358" s="2"/>
      <c r="I358" s="13"/>
      <c r="J358" s="13"/>
      <c r="K358" s="13"/>
      <c r="L358" s="14"/>
      <c r="M358" s="4"/>
      <c r="N358" s="2"/>
      <c r="O358" s="4"/>
      <c r="P358" s="2"/>
      <c r="Q358" s="2"/>
      <c r="R358" s="4"/>
      <c r="S358" s="2"/>
      <c r="T358" s="2"/>
      <c r="U358" s="1"/>
      <c r="V358" s="2"/>
      <c r="W358" s="2"/>
      <c r="X358" s="2"/>
      <c r="Y358" s="2"/>
      <c r="Z358" s="2"/>
    </row>
    <row r="359" spans="1:26" ht="15.75" customHeight="1" x14ac:dyDescent="0.2">
      <c r="A359" s="12"/>
      <c r="B359" s="10"/>
      <c r="C359" s="11"/>
      <c r="D359" s="13"/>
      <c r="E359" s="13"/>
      <c r="F359" s="13"/>
      <c r="G359" s="2"/>
      <c r="H359" s="2"/>
      <c r="I359" s="13"/>
      <c r="J359" s="13"/>
      <c r="K359" s="13"/>
      <c r="L359" s="14"/>
      <c r="M359" s="4"/>
      <c r="N359" s="2"/>
      <c r="O359" s="4"/>
      <c r="P359" s="2"/>
      <c r="Q359" s="2"/>
      <c r="R359" s="4"/>
      <c r="S359" s="2"/>
      <c r="T359" s="2"/>
      <c r="U359" s="1"/>
      <c r="V359" s="2"/>
      <c r="W359" s="2"/>
      <c r="X359" s="2"/>
      <c r="Y359" s="2"/>
      <c r="Z359" s="2"/>
    </row>
    <row r="360" spans="1:26" ht="15.75" customHeight="1" x14ac:dyDescent="0.2">
      <c r="A360" s="12"/>
      <c r="B360" s="10"/>
      <c r="C360" s="11"/>
      <c r="D360" s="13"/>
      <c r="E360" s="13"/>
      <c r="F360" s="13"/>
      <c r="G360" s="2"/>
      <c r="H360" s="2"/>
      <c r="I360" s="13"/>
      <c r="J360" s="13"/>
      <c r="K360" s="13"/>
      <c r="L360" s="14"/>
      <c r="M360" s="4"/>
      <c r="N360" s="2"/>
      <c r="O360" s="4"/>
      <c r="P360" s="2"/>
      <c r="Q360" s="2"/>
      <c r="R360" s="4"/>
      <c r="S360" s="2"/>
      <c r="T360" s="2"/>
      <c r="U360" s="1"/>
      <c r="V360" s="2"/>
      <c r="W360" s="2"/>
      <c r="X360" s="2"/>
      <c r="Y360" s="2"/>
      <c r="Z360" s="2"/>
    </row>
    <row r="361" spans="1:26" ht="15.75" customHeight="1" x14ac:dyDescent="0.2">
      <c r="A361" s="12"/>
      <c r="B361" s="10"/>
      <c r="C361" s="11"/>
      <c r="D361" s="13"/>
      <c r="E361" s="13"/>
      <c r="F361" s="13"/>
      <c r="G361" s="2"/>
      <c r="H361" s="2"/>
      <c r="I361" s="13"/>
      <c r="J361" s="13"/>
      <c r="K361" s="13"/>
      <c r="L361" s="14"/>
      <c r="M361" s="4"/>
      <c r="N361" s="2"/>
      <c r="O361" s="4"/>
      <c r="P361" s="2"/>
      <c r="Q361" s="2"/>
      <c r="R361" s="4"/>
      <c r="S361" s="2"/>
      <c r="T361" s="2"/>
      <c r="U361" s="1"/>
      <c r="V361" s="2"/>
      <c r="W361" s="2"/>
      <c r="X361" s="2"/>
      <c r="Y361" s="2"/>
      <c r="Z361" s="2"/>
    </row>
    <row r="362" spans="1:26" ht="15.75" customHeight="1" x14ac:dyDescent="0.2">
      <c r="A362" s="12"/>
      <c r="B362" s="10"/>
      <c r="C362" s="11"/>
      <c r="D362" s="13"/>
      <c r="E362" s="13"/>
      <c r="F362" s="13"/>
      <c r="G362" s="2"/>
      <c r="H362" s="2"/>
      <c r="I362" s="13"/>
      <c r="J362" s="13"/>
      <c r="K362" s="13"/>
      <c r="L362" s="14"/>
      <c r="M362" s="4"/>
      <c r="N362" s="2"/>
      <c r="O362" s="4"/>
      <c r="P362" s="2"/>
      <c r="Q362" s="2"/>
      <c r="R362" s="4"/>
      <c r="S362" s="2"/>
      <c r="T362" s="2"/>
      <c r="U362" s="1"/>
      <c r="V362" s="2"/>
      <c r="W362" s="2"/>
      <c r="X362" s="2"/>
      <c r="Y362" s="2"/>
      <c r="Z362" s="2"/>
    </row>
    <row r="363" spans="1:26" ht="15.75" customHeight="1" x14ac:dyDescent="0.2">
      <c r="A363" s="12"/>
      <c r="B363" s="10"/>
      <c r="C363" s="11"/>
      <c r="D363" s="13"/>
      <c r="E363" s="13"/>
      <c r="F363" s="13"/>
      <c r="G363" s="2"/>
      <c r="H363" s="2"/>
      <c r="I363" s="13"/>
      <c r="J363" s="13"/>
      <c r="K363" s="13"/>
      <c r="L363" s="14"/>
      <c r="M363" s="4"/>
      <c r="N363" s="2"/>
      <c r="O363" s="4"/>
      <c r="P363" s="2"/>
      <c r="Q363" s="2"/>
      <c r="R363" s="4"/>
      <c r="S363" s="2"/>
      <c r="T363" s="2"/>
      <c r="U363" s="1"/>
      <c r="V363" s="2"/>
      <c r="W363" s="2"/>
      <c r="X363" s="2"/>
      <c r="Y363" s="2"/>
      <c r="Z363" s="2"/>
    </row>
    <row r="364" spans="1:26" ht="15.75" customHeight="1" x14ac:dyDescent="0.2">
      <c r="A364" s="12"/>
      <c r="B364" s="10"/>
      <c r="C364" s="11"/>
      <c r="D364" s="13"/>
      <c r="E364" s="13"/>
      <c r="F364" s="13"/>
      <c r="G364" s="2"/>
      <c r="H364" s="2"/>
      <c r="I364" s="13"/>
      <c r="J364" s="13"/>
      <c r="K364" s="13"/>
      <c r="L364" s="14"/>
      <c r="M364" s="4"/>
      <c r="N364" s="2"/>
      <c r="O364" s="4"/>
      <c r="P364" s="2"/>
      <c r="Q364" s="2"/>
      <c r="R364" s="4"/>
      <c r="S364" s="2"/>
      <c r="T364" s="2"/>
      <c r="U364" s="1"/>
      <c r="V364" s="2"/>
      <c r="W364" s="2"/>
      <c r="X364" s="2"/>
      <c r="Y364" s="2"/>
      <c r="Z364" s="2"/>
    </row>
    <row r="365" spans="1:26" ht="15.75" customHeight="1" x14ac:dyDescent="0.2">
      <c r="A365" s="12"/>
      <c r="B365" s="10"/>
      <c r="C365" s="11"/>
      <c r="D365" s="13"/>
      <c r="E365" s="13"/>
      <c r="F365" s="13"/>
      <c r="G365" s="2"/>
      <c r="H365" s="2"/>
      <c r="I365" s="13"/>
      <c r="J365" s="13"/>
      <c r="K365" s="13"/>
      <c r="L365" s="14"/>
      <c r="M365" s="4"/>
      <c r="N365" s="2"/>
      <c r="O365" s="4"/>
      <c r="P365" s="2"/>
      <c r="Q365" s="2"/>
      <c r="R365" s="4"/>
      <c r="S365" s="2"/>
      <c r="T365" s="2"/>
      <c r="U365" s="1"/>
      <c r="V365" s="2"/>
      <c r="W365" s="2"/>
      <c r="X365" s="2"/>
      <c r="Y365" s="2"/>
      <c r="Z365" s="2"/>
    </row>
    <row r="366" spans="1:26" ht="15.75" customHeight="1" x14ac:dyDescent="0.2">
      <c r="A366" s="12"/>
      <c r="B366" s="10"/>
      <c r="C366" s="11"/>
      <c r="D366" s="13"/>
      <c r="E366" s="13"/>
      <c r="F366" s="13"/>
      <c r="G366" s="2"/>
      <c r="H366" s="2"/>
      <c r="I366" s="13"/>
      <c r="J366" s="13"/>
      <c r="K366" s="13"/>
      <c r="L366" s="14"/>
      <c r="M366" s="4"/>
      <c r="N366" s="2"/>
      <c r="O366" s="4"/>
      <c r="P366" s="2"/>
      <c r="Q366" s="2"/>
      <c r="R366" s="4"/>
      <c r="S366" s="2"/>
      <c r="T366" s="2"/>
      <c r="U366" s="1"/>
      <c r="V366" s="2"/>
      <c r="W366" s="2"/>
      <c r="X366" s="2"/>
      <c r="Y366" s="2"/>
      <c r="Z366" s="2"/>
    </row>
    <row r="367" spans="1:26" ht="15.75" customHeight="1" x14ac:dyDescent="0.2">
      <c r="A367" s="12"/>
      <c r="B367" s="10"/>
      <c r="C367" s="11"/>
      <c r="D367" s="13"/>
      <c r="E367" s="13"/>
      <c r="F367" s="13"/>
      <c r="G367" s="2"/>
      <c r="H367" s="2"/>
      <c r="I367" s="13"/>
      <c r="J367" s="13"/>
      <c r="K367" s="13"/>
      <c r="L367" s="14"/>
      <c r="M367" s="4"/>
      <c r="N367" s="2"/>
      <c r="O367" s="4"/>
      <c r="P367" s="2"/>
      <c r="Q367" s="2"/>
      <c r="R367" s="4"/>
      <c r="S367" s="2"/>
      <c r="T367" s="2"/>
      <c r="U367" s="1"/>
      <c r="V367" s="2"/>
      <c r="W367" s="2"/>
      <c r="X367" s="2"/>
      <c r="Y367" s="2"/>
      <c r="Z367" s="2"/>
    </row>
    <row r="368" spans="1:26" ht="15.75" customHeight="1" x14ac:dyDescent="0.2">
      <c r="A368" s="12"/>
      <c r="B368" s="10"/>
      <c r="C368" s="11"/>
      <c r="D368" s="13"/>
      <c r="E368" s="13"/>
      <c r="F368" s="13"/>
      <c r="G368" s="2"/>
      <c r="H368" s="2"/>
      <c r="I368" s="13"/>
      <c r="J368" s="13"/>
      <c r="K368" s="13"/>
      <c r="L368" s="14"/>
      <c r="M368" s="4"/>
      <c r="N368" s="2"/>
      <c r="O368" s="4"/>
      <c r="P368" s="2"/>
      <c r="Q368" s="2"/>
      <c r="R368" s="4"/>
      <c r="S368" s="2"/>
      <c r="T368" s="2"/>
      <c r="U368" s="1"/>
      <c r="V368" s="2"/>
      <c r="W368" s="2"/>
      <c r="X368" s="2"/>
      <c r="Y368" s="2"/>
      <c r="Z368" s="2"/>
    </row>
    <row r="369" spans="1:26" ht="15.75" customHeight="1" x14ac:dyDescent="0.2">
      <c r="A369" s="12"/>
      <c r="B369" s="10"/>
      <c r="C369" s="11"/>
      <c r="D369" s="13"/>
      <c r="E369" s="13"/>
      <c r="F369" s="13"/>
      <c r="G369" s="2"/>
      <c r="H369" s="2"/>
      <c r="I369" s="13"/>
      <c r="J369" s="13"/>
      <c r="K369" s="13"/>
      <c r="L369" s="14"/>
      <c r="M369" s="4"/>
      <c r="N369" s="2"/>
      <c r="O369" s="4"/>
      <c r="P369" s="2"/>
      <c r="Q369" s="2"/>
      <c r="R369" s="4"/>
      <c r="S369" s="2"/>
      <c r="T369" s="2"/>
      <c r="U369" s="1"/>
      <c r="V369" s="2"/>
      <c r="W369" s="2"/>
      <c r="X369" s="2"/>
      <c r="Y369" s="2"/>
      <c r="Z369" s="2"/>
    </row>
    <row r="370" spans="1:26" ht="15.75" customHeight="1" x14ac:dyDescent="0.2">
      <c r="A370" s="12"/>
      <c r="B370" s="10"/>
      <c r="C370" s="11"/>
      <c r="D370" s="13"/>
      <c r="E370" s="13"/>
      <c r="F370" s="13"/>
      <c r="G370" s="2"/>
      <c r="H370" s="2"/>
      <c r="I370" s="13"/>
      <c r="J370" s="13"/>
      <c r="K370" s="13"/>
      <c r="L370" s="14"/>
      <c r="M370" s="4"/>
      <c r="N370" s="2"/>
      <c r="O370" s="4"/>
      <c r="P370" s="2"/>
      <c r="Q370" s="2"/>
      <c r="R370" s="4"/>
      <c r="S370" s="2"/>
      <c r="T370" s="2"/>
      <c r="U370" s="1"/>
      <c r="V370" s="2"/>
      <c r="W370" s="2"/>
      <c r="X370" s="2"/>
      <c r="Y370" s="2"/>
      <c r="Z370" s="2"/>
    </row>
    <row r="371" spans="1:26" ht="15.75" customHeight="1" x14ac:dyDescent="0.2">
      <c r="A371" s="12"/>
      <c r="B371" s="10"/>
      <c r="C371" s="11"/>
      <c r="D371" s="13"/>
      <c r="E371" s="13"/>
      <c r="F371" s="13"/>
      <c r="G371" s="2"/>
      <c r="H371" s="2"/>
      <c r="I371" s="13"/>
      <c r="J371" s="13"/>
      <c r="K371" s="13"/>
      <c r="L371" s="14"/>
      <c r="M371" s="4"/>
      <c r="N371" s="2"/>
      <c r="O371" s="4"/>
      <c r="P371" s="2"/>
      <c r="Q371" s="2"/>
      <c r="R371" s="4"/>
      <c r="S371" s="2"/>
      <c r="T371" s="2"/>
      <c r="U371" s="1"/>
      <c r="V371" s="2"/>
      <c r="W371" s="2"/>
      <c r="X371" s="2"/>
      <c r="Y371" s="2"/>
      <c r="Z371" s="2"/>
    </row>
    <row r="372" spans="1:26" ht="15.75" customHeight="1" x14ac:dyDescent="0.2">
      <c r="A372" s="12"/>
      <c r="B372" s="10"/>
      <c r="C372" s="11"/>
      <c r="D372" s="13"/>
      <c r="E372" s="13"/>
      <c r="F372" s="13"/>
      <c r="G372" s="2"/>
      <c r="H372" s="2"/>
      <c r="I372" s="13"/>
      <c r="J372" s="13"/>
      <c r="K372" s="13"/>
      <c r="L372" s="14"/>
      <c r="M372" s="4"/>
      <c r="N372" s="2"/>
      <c r="O372" s="4"/>
      <c r="P372" s="2"/>
      <c r="Q372" s="2"/>
      <c r="R372" s="4"/>
      <c r="S372" s="2"/>
      <c r="T372" s="2"/>
      <c r="U372" s="1"/>
      <c r="V372" s="2"/>
      <c r="W372" s="2"/>
      <c r="X372" s="2"/>
      <c r="Y372" s="2"/>
      <c r="Z372" s="2"/>
    </row>
    <row r="373" spans="1:26" ht="15.75" customHeight="1" x14ac:dyDescent="0.2">
      <c r="A373" s="12"/>
      <c r="B373" s="10"/>
      <c r="C373" s="11"/>
      <c r="D373" s="13"/>
      <c r="E373" s="13"/>
      <c r="F373" s="13"/>
      <c r="G373" s="2"/>
      <c r="H373" s="2"/>
      <c r="I373" s="13"/>
      <c r="J373" s="13"/>
      <c r="K373" s="13"/>
      <c r="L373" s="14"/>
      <c r="M373" s="4"/>
      <c r="N373" s="2"/>
      <c r="O373" s="4"/>
      <c r="P373" s="2"/>
      <c r="Q373" s="2"/>
      <c r="R373" s="4"/>
      <c r="S373" s="2"/>
      <c r="T373" s="2"/>
      <c r="U373" s="1"/>
      <c r="V373" s="2"/>
      <c r="W373" s="2"/>
      <c r="X373" s="2"/>
      <c r="Y373" s="2"/>
      <c r="Z373" s="2"/>
    </row>
    <row r="374" spans="1:26" ht="15.75" customHeight="1" x14ac:dyDescent="0.2">
      <c r="A374" s="12"/>
      <c r="B374" s="10"/>
      <c r="C374" s="11"/>
      <c r="D374" s="13"/>
      <c r="E374" s="13"/>
      <c r="F374" s="13"/>
      <c r="G374" s="2"/>
      <c r="H374" s="2"/>
      <c r="I374" s="13"/>
      <c r="J374" s="13"/>
      <c r="K374" s="13"/>
      <c r="L374" s="14"/>
      <c r="M374" s="4"/>
      <c r="N374" s="2"/>
      <c r="O374" s="4"/>
      <c r="P374" s="2"/>
      <c r="Q374" s="2"/>
      <c r="R374" s="4"/>
      <c r="S374" s="2"/>
      <c r="T374" s="2"/>
      <c r="U374" s="1"/>
      <c r="V374" s="2"/>
      <c r="W374" s="2"/>
      <c r="X374" s="2"/>
      <c r="Y374" s="2"/>
      <c r="Z374" s="2"/>
    </row>
    <row r="375" spans="1:26" ht="15.75" customHeight="1" x14ac:dyDescent="0.2">
      <c r="A375" s="12"/>
      <c r="B375" s="10"/>
      <c r="C375" s="11"/>
      <c r="D375" s="13"/>
      <c r="E375" s="13"/>
      <c r="F375" s="13"/>
      <c r="G375" s="2"/>
      <c r="H375" s="2"/>
      <c r="I375" s="13"/>
      <c r="J375" s="13"/>
      <c r="K375" s="13"/>
      <c r="L375" s="14"/>
      <c r="M375" s="4"/>
      <c r="N375" s="2"/>
      <c r="O375" s="4"/>
      <c r="P375" s="2"/>
      <c r="Q375" s="2"/>
      <c r="R375" s="4"/>
      <c r="S375" s="2"/>
      <c r="T375" s="2"/>
      <c r="U375" s="1"/>
      <c r="V375" s="2"/>
      <c r="W375" s="2"/>
      <c r="X375" s="2"/>
      <c r="Y375" s="2"/>
      <c r="Z375" s="2"/>
    </row>
    <row r="376" spans="1:26" ht="15.75" customHeight="1" x14ac:dyDescent="0.2">
      <c r="A376" s="12"/>
      <c r="B376" s="10"/>
      <c r="C376" s="11"/>
      <c r="D376" s="13"/>
      <c r="E376" s="13"/>
      <c r="F376" s="13"/>
      <c r="G376" s="2"/>
      <c r="H376" s="2"/>
      <c r="I376" s="13"/>
      <c r="J376" s="13"/>
      <c r="K376" s="13"/>
      <c r="L376" s="14"/>
      <c r="M376" s="4"/>
      <c r="N376" s="2"/>
      <c r="O376" s="4"/>
      <c r="P376" s="2"/>
      <c r="Q376" s="2"/>
      <c r="R376" s="4"/>
      <c r="S376" s="2"/>
      <c r="T376" s="2"/>
      <c r="U376" s="1"/>
      <c r="V376" s="2"/>
      <c r="W376" s="2"/>
      <c r="X376" s="2"/>
      <c r="Y376" s="2"/>
      <c r="Z376" s="2"/>
    </row>
    <row r="377" spans="1:26" ht="15.75" customHeight="1" x14ac:dyDescent="0.2">
      <c r="A377" s="12"/>
      <c r="B377" s="10"/>
      <c r="C377" s="11"/>
      <c r="D377" s="13"/>
      <c r="E377" s="13"/>
      <c r="F377" s="13"/>
      <c r="G377" s="2"/>
      <c r="H377" s="2"/>
      <c r="I377" s="13"/>
      <c r="J377" s="13"/>
      <c r="K377" s="13"/>
      <c r="L377" s="14"/>
      <c r="M377" s="4"/>
      <c r="N377" s="2"/>
      <c r="O377" s="4"/>
      <c r="P377" s="2"/>
      <c r="Q377" s="2"/>
      <c r="R377" s="4"/>
      <c r="S377" s="2"/>
      <c r="T377" s="2"/>
      <c r="U377" s="1"/>
      <c r="V377" s="2"/>
      <c r="W377" s="2"/>
      <c r="X377" s="2"/>
      <c r="Y377" s="2"/>
      <c r="Z377" s="2"/>
    </row>
    <row r="378" spans="1:26" ht="15.75" customHeight="1" x14ac:dyDescent="0.2">
      <c r="A378" s="12"/>
      <c r="B378" s="10"/>
      <c r="C378" s="11"/>
      <c r="D378" s="13"/>
      <c r="E378" s="13"/>
      <c r="F378" s="13"/>
      <c r="G378" s="2"/>
      <c r="H378" s="2"/>
      <c r="I378" s="13"/>
      <c r="J378" s="13"/>
      <c r="K378" s="13"/>
      <c r="L378" s="14"/>
      <c r="M378" s="4"/>
      <c r="N378" s="2"/>
      <c r="O378" s="4"/>
      <c r="P378" s="2"/>
      <c r="Q378" s="2"/>
      <c r="R378" s="4"/>
      <c r="S378" s="2"/>
      <c r="T378" s="2"/>
      <c r="U378" s="1"/>
      <c r="V378" s="2"/>
      <c r="W378" s="2"/>
      <c r="X378" s="2"/>
      <c r="Y378" s="2"/>
      <c r="Z378" s="2"/>
    </row>
    <row r="379" spans="1:26" ht="15.75" customHeight="1" x14ac:dyDescent="0.2">
      <c r="A379" s="12"/>
      <c r="B379" s="10"/>
      <c r="C379" s="11"/>
      <c r="D379" s="13"/>
      <c r="E379" s="13"/>
      <c r="F379" s="13"/>
      <c r="G379" s="2"/>
      <c r="H379" s="2"/>
      <c r="I379" s="13"/>
      <c r="J379" s="13"/>
      <c r="K379" s="13"/>
      <c r="L379" s="14"/>
      <c r="M379" s="4"/>
      <c r="N379" s="2"/>
      <c r="O379" s="4"/>
      <c r="P379" s="2"/>
      <c r="Q379" s="2"/>
      <c r="R379" s="4"/>
      <c r="S379" s="2"/>
      <c r="T379" s="2"/>
      <c r="U379" s="1"/>
      <c r="V379" s="2"/>
      <c r="W379" s="2"/>
      <c r="X379" s="2"/>
      <c r="Y379" s="2"/>
      <c r="Z379" s="2"/>
    </row>
    <row r="380" spans="1:26" ht="15.75" customHeight="1" x14ac:dyDescent="0.2">
      <c r="A380" s="12"/>
      <c r="B380" s="10"/>
      <c r="C380" s="11"/>
      <c r="D380" s="13"/>
      <c r="E380" s="13"/>
      <c r="F380" s="13"/>
      <c r="G380" s="2"/>
      <c r="H380" s="2"/>
      <c r="I380" s="13"/>
      <c r="J380" s="13"/>
      <c r="K380" s="13"/>
      <c r="L380" s="14"/>
      <c r="M380" s="4"/>
      <c r="N380" s="2"/>
      <c r="O380" s="4"/>
      <c r="P380" s="2"/>
      <c r="Q380" s="2"/>
      <c r="R380" s="4"/>
      <c r="S380" s="2"/>
      <c r="T380" s="2"/>
      <c r="U380" s="1"/>
      <c r="V380" s="2"/>
      <c r="W380" s="2"/>
      <c r="X380" s="2"/>
      <c r="Y380" s="2"/>
      <c r="Z380" s="2"/>
    </row>
    <row r="381" spans="1:26" ht="15.75" customHeight="1" x14ac:dyDescent="0.2">
      <c r="A381" s="12"/>
      <c r="B381" s="10"/>
      <c r="C381" s="11"/>
      <c r="D381" s="13"/>
      <c r="E381" s="13"/>
      <c r="F381" s="13"/>
      <c r="G381" s="2"/>
      <c r="H381" s="2"/>
      <c r="I381" s="13"/>
      <c r="J381" s="13"/>
      <c r="K381" s="13"/>
      <c r="L381" s="14"/>
      <c r="M381" s="4"/>
      <c r="N381" s="2"/>
      <c r="O381" s="4"/>
      <c r="P381" s="2"/>
      <c r="Q381" s="2"/>
      <c r="R381" s="4"/>
      <c r="S381" s="2"/>
      <c r="T381" s="2"/>
      <c r="U381" s="1"/>
      <c r="V381" s="2"/>
      <c r="W381" s="2"/>
      <c r="X381" s="2"/>
      <c r="Y381" s="2"/>
      <c r="Z381" s="2"/>
    </row>
    <row r="382" spans="1:26" ht="15.75" customHeight="1" x14ac:dyDescent="0.2">
      <c r="A382" s="12"/>
      <c r="B382" s="10"/>
      <c r="C382" s="11"/>
      <c r="D382" s="13"/>
      <c r="E382" s="13"/>
      <c r="F382" s="13"/>
      <c r="G382" s="2"/>
      <c r="H382" s="2"/>
      <c r="I382" s="13"/>
      <c r="J382" s="13"/>
      <c r="K382" s="13"/>
      <c r="L382" s="14"/>
      <c r="M382" s="4"/>
      <c r="N382" s="2"/>
      <c r="O382" s="4"/>
      <c r="P382" s="2"/>
      <c r="Q382" s="2"/>
      <c r="R382" s="4"/>
      <c r="S382" s="2"/>
      <c r="T382" s="2"/>
      <c r="U382" s="1"/>
      <c r="V382" s="2"/>
      <c r="W382" s="2"/>
      <c r="X382" s="2"/>
      <c r="Y382" s="2"/>
      <c r="Z382" s="2"/>
    </row>
    <row r="383" spans="1:26" ht="15.75" customHeight="1" x14ac:dyDescent="0.2">
      <c r="A383" s="12"/>
      <c r="B383" s="10"/>
      <c r="C383" s="11"/>
      <c r="D383" s="13"/>
      <c r="E383" s="13"/>
      <c r="F383" s="13"/>
      <c r="G383" s="2"/>
      <c r="H383" s="2"/>
      <c r="I383" s="13"/>
      <c r="J383" s="13"/>
      <c r="K383" s="13"/>
      <c r="L383" s="14"/>
      <c r="M383" s="4"/>
      <c r="N383" s="2"/>
      <c r="O383" s="4"/>
      <c r="P383" s="2"/>
      <c r="Q383" s="2"/>
      <c r="R383" s="4"/>
      <c r="S383" s="2"/>
      <c r="T383" s="2"/>
      <c r="U383" s="1"/>
      <c r="V383" s="2"/>
      <c r="W383" s="2"/>
      <c r="X383" s="2"/>
      <c r="Y383" s="2"/>
      <c r="Z383" s="2"/>
    </row>
    <row r="384" spans="1:26" ht="15.75" customHeight="1" x14ac:dyDescent="0.2">
      <c r="A384" s="12"/>
      <c r="B384" s="10"/>
      <c r="C384" s="11"/>
      <c r="D384" s="13"/>
      <c r="E384" s="13"/>
      <c r="F384" s="13"/>
      <c r="G384" s="2"/>
      <c r="H384" s="2"/>
      <c r="I384" s="13"/>
      <c r="J384" s="13"/>
      <c r="K384" s="13"/>
      <c r="L384" s="14"/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A385" s="12"/>
      <c r="B385" s="10"/>
      <c r="C385" s="11"/>
      <c r="D385" s="13"/>
      <c r="E385" s="13"/>
      <c r="F385" s="13"/>
      <c r="G385" s="2"/>
      <c r="H385" s="2"/>
      <c r="I385" s="13"/>
      <c r="J385" s="13"/>
      <c r="K385" s="13"/>
      <c r="L385" s="14"/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12"/>
      <c r="B386" s="10"/>
      <c r="C386" s="11"/>
      <c r="D386" s="13"/>
      <c r="E386" s="13"/>
      <c r="F386" s="13"/>
      <c r="G386" s="2"/>
      <c r="H386" s="2"/>
      <c r="I386" s="13"/>
      <c r="J386" s="13"/>
      <c r="K386" s="13"/>
      <c r="L386" s="14"/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A387" s="12"/>
      <c r="B387" s="10"/>
      <c r="C387" s="11"/>
      <c r="D387" s="13"/>
      <c r="E387" s="13"/>
      <c r="F387" s="13"/>
      <c r="G387" s="2"/>
      <c r="H387" s="2"/>
      <c r="I387" s="13"/>
      <c r="J387" s="13"/>
      <c r="K387" s="13"/>
      <c r="L387" s="14"/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A388" s="12"/>
      <c r="B388" s="10"/>
      <c r="C388" s="11"/>
      <c r="D388" s="13"/>
      <c r="E388" s="13"/>
      <c r="F388" s="13"/>
      <c r="G388" s="2"/>
      <c r="H388" s="2"/>
      <c r="I388" s="13"/>
      <c r="J388" s="13"/>
      <c r="K388" s="13"/>
      <c r="L388" s="14"/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A389" s="12"/>
      <c r="B389" s="10"/>
      <c r="C389" s="11"/>
      <c r="D389" s="13"/>
      <c r="E389" s="13"/>
      <c r="F389" s="13"/>
      <c r="G389" s="2"/>
      <c r="H389" s="2"/>
      <c r="I389" s="13"/>
      <c r="J389" s="13"/>
      <c r="K389" s="13"/>
      <c r="L389" s="14"/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A390" s="12"/>
      <c r="B390" s="10"/>
      <c r="C390" s="11"/>
      <c r="D390" s="13"/>
      <c r="E390" s="13"/>
      <c r="F390" s="13"/>
      <c r="G390" s="2"/>
      <c r="H390" s="2"/>
      <c r="I390" s="13"/>
      <c r="J390" s="13"/>
      <c r="K390" s="13"/>
      <c r="L390" s="14"/>
      <c r="M390" s="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2"/>
      <c r="B391" s="10"/>
      <c r="C391" s="11"/>
      <c r="D391" s="13"/>
      <c r="E391" s="13"/>
      <c r="F391" s="13"/>
      <c r="G391" s="2"/>
      <c r="H391" s="2"/>
      <c r="I391" s="13"/>
      <c r="J391" s="13"/>
      <c r="K391" s="13"/>
      <c r="L391" s="14"/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A392" s="12"/>
      <c r="B392" s="10"/>
      <c r="C392" s="11"/>
      <c r="D392" s="13"/>
      <c r="E392" s="13"/>
      <c r="F392" s="13"/>
      <c r="G392" s="2"/>
      <c r="H392" s="2"/>
      <c r="I392" s="13"/>
      <c r="J392" s="13"/>
      <c r="K392" s="13"/>
      <c r="L392" s="14"/>
      <c r="M392" s="4"/>
      <c r="N392" s="2"/>
      <c r="O392" s="4"/>
      <c r="P392" s="2"/>
      <c r="Q392" s="2"/>
      <c r="R392" s="4"/>
      <c r="S392" s="2"/>
      <c r="T392" s="2"/>
      <c r="U392" s="1"/>
      <c r="V392" s="2"/>
      <c r="W392" s="2"/>
      <c r="X392" s="2"/>
      <c r="Y392" s="2"/>
      <c r="Z392" s="2"/>
    </row>
    <row r="393" spans="1:26" ht="15.75" customHeight="1" x14ac:dyDescent="0.2">
      <c r="A393" s="12"/>
      <c r="B393" s="10"/>
      <c r="C393" s="11"/>
      <c r="D393" s="13"/>
      <c r="E393" s="13"/>
      <c r="F393" s="13"/>
      <c r="G393" s="2"/>
      <c r="H393" s="2"/>
      <c r="I393" s="13"/>
      <c r="J393" s="13"/>
      <c r="K393" s="13"/>
      <c r="L393" s="14"/>
      <c r="M393" s="4"/>
      <c r="N393" s="2"/>
      <c r="O393" s="4"/>
      <c r="P393" s="2"/>
      <c r="Q393" s="2"/>
      <c r="R393" s="4"/>
      <c r="S393" s="2"/>
      <c r="T393" s="2"/>
      <c r="U393" s="1"/>
      <c r="V393" s="2"/>
      <c r="W393" s="2"/>
      <c r="X393" s="2"/>
      <c r="Y393" s="2"/>
      <c r="Z393" s="2"/>
    </row>
    <row r="394" spans="1:26" ht="15.75" customHeight="1" x14ac:dyDescent="0.2">
      <c r="A394" s="12"/>
      <c r="B394" s="10"/>
      <c r="C394" s="11"/>
      <c r="D394" s="13"/>
      <c r="E394" s="13"/>
      <c r="F394" s="13"/>
      <c r="G394" s="2"/>
      <c r="H394" s="2"/>
      <c r="I394" s="13"/>
      <c r="J394" s="13"/>
      <c r="K394" s="13"/>
      <c r="L394" s="14"/>
      <c r="M394" s="4"/>
      <c r="N394" s="2"/>
      <c r="O394" s="4"/>
      <c r="P394" s="2"/>
      <c r="Q394" s="2"/>
      <c r="R394" s="4"/>
      <c r="S394" s="2"/>
      <c r="T394" s="2"/>
      <c r="U394" s="1"/>
      <c r="V394" s="2"/>
      <c r="W394" s="2"/>
      <c r="X394" s="2"/>
      <c r="Y394" s="2"/>
      <c r="Z394" s="2"/>
    </row>
    <row r="395" spans="1:26" ht="15.75" customHeight="1" x14ac:dyDescent="0.2">
      <c r="A395" s="12"/>
      <c r="B395" s="10"/>
      <c r="C395" s="11"/>
      <c r="D395" s="13"/>
      <c r="E395" s="13"/>
      <c r="F395" s="13"/>
      <c r="G395" s="2"/>
      <c r="H395" s="2"/>
      <c r="I395" s="13"/>
      <c r="J395" s="13"/>
      <c r="K395" s="13"/>
      <c r="L395" s="14"/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A396" s="12"/>
      <c r="B396" s="10"/>
      <c r="C396" s="11"/>
      <c r="D396" s="13"/>
      <c r="E396" s="13"/>
      <c r="F396" s="13"/>
      <c r="G396" s="2"/>
      <c r="H396" s="2"/>
      <c r="I396" s="13"/>
      <c r="J396" s="13"/>
      <c r="K396" s="13"/>
      <c r="L396" s="14"/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12"/>
      <c r="B397" s="10"/>
      <c r="C397" s="11"/>
      <c r="D397" s="13"/>
      <c r="E397" s="13"/>
      <c r="F397" s="13"/>
      <c r="G397" s="2"/>
      <c r="H397" s="2"/>
      <c r="I397" s="13"/>
      <c r="J397" s="13"/>
      <c r="K397" s="13"/>
      <c r="L397" s="14"/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2"/>
      <c r="B398" s="10"/>
      <c r="C398" s="11"/>
      <c r="D398" s="13"/>
      <c r="E398" s="13"/>
      <c r="F398" s="13"/>
      <c r="G398" s="2"/>
      <c r="H398" s="2"/>
      <c r="I398" s="13"/>
      <c r="J398" s="13"/>
      <c r="K398" s="13"/>
      <c r="L398" s="14"/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2"/>
      <c r="B399" s="10"/>
      <c r="C399" s="11"/>
      <c r="D399" s="13"/>
      <c r="E399" s="13"/>
      <c r="F399" s="13"/>
      <c r="G399" s="2"/>
      <c r="H399" s="2"/>
      <c r="I399" s="13"/>
      <c r="J399" s="13"/>
      <c r="K399" s="13"/>
      <c r="L399" s="14"/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2"/>
      <c r="B400" s="10"/>
      <c r="C400" s="11"/>
      <c r="D400" s="13"/>
      <c r="E400" s="13"/>
      <c r="F400" s="13"/>
      <c r="G400" s="2"/>
      <c r="H400" s="2"/>
      <c r="I400" s="13"/>
      <c r="J400" s="13"/>
      <c r="K400" s="13"/>
      <c r="L400" s="14"/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2"/>
      <c r="B401" s="10"/>
      <c r="C401" s="11"/>
      <c r="D401" s="13"/>
      <c r="E401" s="13"/>
      <c r="F401" s="13"/>
      <c r="G401" s="2"/>
      <c r="H401" s="2"/>
      <c r="I401" s="13"/>
      <c r="J401" s="13"/>
      <c r="K401" s="13"/>
      <c r="L401" s="14"/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A402" s="12"/>
      <c r="B402" s="10"/>
      <c r="C402" s="11"/>
      <c r="D402" s="13"/>
      <c r="E402" s="13"/>
      <c r="F402" s="13"/>
      <c r="G402" s="2"/>
      <c r="H402" s="2"/>
      <c r="I402" s="13"/>
      <c r="J402" s="13"/>
      <c r="K402" s="13"/>
      <c r="L402" s="14"/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A403" s="12"/>
      <c r="B403" s="10"/>
      <c r="C403" s="11"/>
      <c r="D403" s="13"/>
      <c r="E403" s="13"/>
      <c r="F403" s="13"/>
      <c r="G403" s="2"/>
      <c r="H403" s="2"/>
      <c r="I403" s="13"/>
      <c r="J403" s="13"/>
      <c r="K403" s="13"/>
      <c r="L403" s="14"/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A404" s="12"/>
      <c r="B404" s="10"/>
      <c r="C404" s="11"/>
      <c r="D404" s="13"/>
      <c r="E404" s="13"/>
      <c r="F404" s="13"/>
      <c r="G404" s="2"/>
      <c r="H404" s="2"/>
      <c r="I404" s="13"/>
      <c r="J404" s="13"/>
      <c r="K404" s="13"/>
      <c r="L404" s="14"/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A405" s="12"/>
      <c r="B405" s="10"/>
      <c r="C405" s="11"/>
      <c r="D405" s="13"/>
      <c r="E405" s="13"/>
      <c r="F405" s="13"/>
      <c r="G405" s="2"/>
      <c r="H405" s="2"/>
      <c r="I405" s="13"/>
      <c r="J405" s="13"/>
      <c r="K405" s="13"/>
      <c r="L405" s="14"/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2"/>
      <c r="B406" s="10"/>
      <c r="C406" s="11"/>
      <c r="D406" s="13"/>
      <c r="E406" s="13"/>
      <c r="F406" s="13"/>
      <c r="G406" s="2"/>
      <c r="H406" s="2"/>
      <c r="I406" s="13"/>
      <c r="J406" s="13"/>
      <c r="K406" s="13"/>
      <c r="L406" s="14"/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A407" s="12"/>
      <c r="B407" s="10"/>
      <c r="C407" s="11"/>
      <c r="D407" s="13"/>
      <c r="E407" s="13"/>
      <c r="F407" s="13"/>
      <c r="G407" s="2"/>
      <c r="H407" s="2"/>
      <c r="I407" s="13"/>
      <c r="J407" s="13"/>
      <c r="K407" s="13"/>
      <c r="L407" s="14"/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2"/>
      <c r="B408" s="10"/>
      <c r="C408" s="11"/>
      <c r="D408" s="13"/>
      <c r="E408" s="13"/>
      <c r="F408" s="13"/>
      <c r="G408" s="2"/>
      <c r="H408" s="2"/>
      <c r="I408" s="13"/>
      <c r="J408" s="13"/>
      <c r="K408" s="13"/>
      <c r="L408" s="14"/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2"/>
      <c r="B409" s="10"/>
      <c r="C409" s="11"/>
      <c r="D409" s="13"/>
      <c r="E409" s="13"/>
      <c r="F409" s="13"/>
      <c r="G409" s="2"/>
      <c r="H409" s="2"/>
      <c r="I409" s="13"/>
      <c r="J409" s="13"/>
      <c r="K409" s="13"/>
      <c r="L409" s="14"/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2"/>
      <c r="B410" s="10"/>
      <c r="C410" s="11"/>
      <c r="D410" s="13"/>
      <c r="E410" s="13"/>
      <c r="F410" s="13"/>
      <c r="G410" s="2"/>
      <c r="H410" s="2"/>
      <c r="I410" s="13"/>
      <c r="J410" s="13"/>
      <c r="K410" s="13"/>
      <c r="L410" s="14"/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/>
      <c r="B411" s="10"/>
      <c r="C411" s="11"/>
      <c r="D411" s="13"/>
      <c r="E411" s="13"/>
      <c r="F411" s="13"/>
      <c r="G411" s="2"/>
      <c r="H411" s="2"/>
      <c r="I411" s="13"/>
      <c r="J411" s="13"/>
      <c r="K411" s="13"/>
      <c r="L411" s="14"/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/>
      <c r="B412" s="10"/>
      <c r="C412" s="11"/>
      <c r="D412" s="13"/>
      <c r="E412" s="13"/>
      <c r="F412" s="13"/>
      <c r="G412" s="2"/>
      <c r="H412" s="2"/>
      <c r="I412" s="13"/>
      <c r="J412" s="13"/>
      <c r="K412" s="13"/>
      <c r="L412" s="14"/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/>
      <c r="B413" s="10"/>
      <c r="C413" s="11"/>
      <c r="D413" s="13"/>
      <c r="E413" s="13"/>
      <c r="F413" s="13"/>
      <c r="G413" s="2"/>
      <c r="H413" s="2"/>
      <c r="I413" s="13"/>
      <c r="J413" s="13"/>
      <c r="K413" s="13"/>
      <c r="L413" s="14"/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/>
      <c r="B414" s="10"/>
      <c r="C414" s="11"/>
      <c r="D414" s="13"/>
      <c r="E414" s="13"/>
      <c r="F414" s="13"/>
      <c r="G414" s="2"/>
      <c r="H414" s="2"/>
      <c r="I414" s="13"/>
      <c r="J414" s="13"/>
      <c r="K414" s="13"/>
      <c r="L414" s="14"/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A415" s="12"/>
      <c r="B415" s="10"/>
      <c r="C415" s="11"/>
      <c r="D415" s="13"/>
      <c r="E415" s="13"/>
      <c r="F415" s="13"/>
      <c r="G415" s="2"/>
      <c r="H415" s="2"/>
      <c r="I415" s="13"/>
      <c r="J415" s="13"/>
      <c r="K415" s="13"/>
      <c r="L415" s="14"/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A416" s="12"/>
      <c r="B416" s="10"/>
      <c r="C416" s="11"/>
      <c r="D416" s="13"/>
      <c r="E416" s="13"/>
      <c r="F416" s="13"/>
      <c r="G416" s="2"/>
      <c r="H416" s="2"/>
      <c r="I416" s="13"/>
      <c r="J416" s="13"/>
      <c r="K416" s="13"/>
      <c r="L416" s="14"/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A417" s="12"/>
      <c r="B417" s="10"/>
      <c r="C417" s="11"/>
      <c r="D417" s="13"/>
      <c r="E417" s="13"/>
      <c r="F417" s="13"/>
      <c r="G417" s="2"/>
      <c r="H417" s="2"/>
      <c r="I417" s="13"/>
      <c r="J417" s="13"/>
      <c r="K417" s="13"/>
      <c r="L417" s="14"/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A418" s="12"/>
      <c r="B418" s="10"/>
      <c r="C418" s="11"/>
      <c r="D418" s="13"/>
      <c r="E418" s="13"/>
      <c r="F418" s="13"/>
      <c r="G418" s="2"/>
      <c r="H418" s="2"/>
      <c r="I418" s="13"/>
      <c r="J418" s="13"/>
      <c r="K418" s="13"/>
      <c r="L418" s="14"/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2"/>
      <c r="B419" s="10"/>
      <c r="C419" s="11"/>
      <c r="D419" s="13"/>
      <c r="E419" s="13"/>
      <c r="F419" s="13"/>
      <c r="G419" s="2"/>
      <c r="H419" s="2"/>
      <c r="I419" s="13"/>
      <c r="J419" s="13"/>
      <c r="K419" s="13"/>
      <c r="L419" s="14"/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12"/>
      <c r="B420" s="10"/>
      <c r="C420" s="11"/>
      <c r="D420" s="13"/>
      <c r="E420" s="13"/>
      <c r="F420" s="13"/>
      <c r="G420" s="2"/>
      <c r="H420" s="2"/>
      <c r="I420" s="13"/>
      <c r="J420" s="13"/>
      <c r="K420" s="13"/>
      <c r="L420" s="14"/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/>
      <c r="B421" s="10"/>
      <c r="C421" s="11"/>
      <c r="D421" s="13"/>
      <c r="E421" s="13"/>
      <c r="F421" s="13"/>
      <c r="G421" s="2"/>
      <c r="H421" s="2"/>
      <c r="I421" s="13"/>
      <c r="J421" s="13"/>
      <c r="K421" s="13"/>
      <c r="L421" s="14"/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2"/>
      <c r="B422" s="10"/>
      <c r="C422" s="11"/>
      <c r="D422" s="13"/>
      <c r="E422" s="13"/>
      <c r="F422" s="13"/>
      <c r="G422" s="2"/>
      <c r="H422" s="2"/>
      <c r="I422" s="13"/>
      <c r="J422" s="13"/>
      <c r="K422" s="13"/>
      <c r="L422" s="14"/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2"/>
      <c r="B423" s="10"/>
      <c r="C423" s="11"/>
      <c r="D423" s="13"/>
      <c r="E423" s="13"/>
      <c r="F423" s="13"/>
      <c r="G423" s="2"/>
      <c r="H423" s="2"/>
      <c r="I423" s="13"/>
      <c r="J423" s="13"/>
      <c r="K423" s="13"/>
      <c r="L423" s="14"/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2"/>
      <c r="B424" s="10"/>
      <c r="C424" s="11"/>
      <c r="D424" s="13"/>
      <c r="E424" s="13"/>
      <c r="F424" s="13"/>
      <c r="G424" s="2"/>
      <c r="H424" s="2"/>
      <c r="I424" s="13"/>
      <c r="J424" s="13"/>
      <c r="K424" s="13"/>
      <c r="L424" s="14"/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2"/>
      <c r="B425" s="10"/>
      <c r="C425" s="11"/>
      <c r="D425" s="13"/>
      <c r="E425" s="13"/>
      <c r="F425" s="13"/>
      <c r="G425" s="2"/>
      <c r="H425" s="2"/>
      <c r="I425" s="13"/>
      <c r="J425" s="13"/>
      <c r="K425" s="13"/>
      <c r="L425" s="14"/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2"/>
      <c r="B426" s="10"/>
      <c r="C426" s="11"/>
      <c r="D426" s="13"/>
      <c r="E426" s="13"/>
      <c r="F426" s="13"/>
      <c r="G426" s="2"/>
      <c r="H426" s="2"/>
      <c r="I426" s="13"/>
      <c r="J426" s="13"/>
      <c r="K426" s="13"/>
      <c r="L426" s="14"/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2"/>
      <c r="B427" s="10"/>
      <c r="C427" s="11"/>
      <c r="D427" s="13"/>
      <c r="E427" s="13"/>
      <c r="F427" s="13"/>
      <c r="G427" s="2"/>
      <c r="H427" s="2"/>
      <c r="I427" s="13"/>
      <c r="J427" s="13"/>
      <c r="K427" s="13"/>
      <c r="L427" s="14"/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/>
      <c r="B428" s="10"/>
      <c r="C428" s="11"/>
      <c r="D428" s="13"/>
      <c r="E428" s="13"/>
      <c r="F428" s="13"/>
      <c r="G428" s="2"/>
      <c r="H428" s="2"/>
      <c r="I428" s="13"/>
      <c r="J428" s="13"/>
      <c r="K428" s="13"/>
      <c r="L428" s="14"/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/>
      <c r="B429" s="10"/>
      <c r="C429" s="11"/>
      <c r="D429" s="13"/>
      <c r="E429" s="13"/>
      <c r="F429" s="13"/>
      <c r="G429" s="2"/>
      <c r="H429" s="2"/>
      <c r="I429" s="13"/>
      <c r="J429" s="13"/>
      <c r="K429" s="13"/>
      <c r="L429" s="14"/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/>
      <c r="B430" s="10"/>
      <c r="C430" s="11"/>
      <c r="D430" s="13"/>
      <c r="E430" s="13"/>
      <c r="F430" s="13"/>
      <c r="G430" s="2"/>
      <c r="H430" s="2"/>
      <c r="I430" s="13"/>
      <c r="J430" s="13"/>
      <c r="K430" s="13"/>
      <c r="L430" s="14"/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/>
      <c r="B431" s="10"/>
      <c r="C431" s="11"/>
      <c r="D431" s="13"/>
      <c r="E431" s="13"/>
      <c r="F431" s="13"/>
      <c r="G431" s="2"/>
      <c r="H431" s="2"/>
      <c r="I431" s="13"/>
      <c r="J431" s="13"/>
      <c r="K431" s="13"/>
      <c r="L431" s="14"/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/>
      <c r="B432" s="10"/>
      <c r="C432" s="11"/>
      <c r="D432" s="13"/>
      <c r="E432" s="13"/>
      <c r="F432" s="13"/>
      <c r="G432" s="2"/>
      <c r="H432" s="2"/>
      <c r="I432" s="13"/>
      <c r="J432" s="13"/>
      <c r="K432" s="13"/>
      <c r="L432" s="14"/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/>
      <c r="B433" s="10"/>
      <c r="C433" s="11"/>
      <c r="D433" s="13"/>
      <c r="E433" s="13"/>
      <c r="F433" s="13"/>
      <c r="G433" s="2"/>
      <c r="H433" s="2"/>
      <c r="I433" s="13"/>
      <c r="J433" s="13"/>
      <c r="K433" s="13"/>
      <c r="L433" s="14"/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2"/>
      <c r="B434" s="10"/>
      <c r="C434" s="11"/>
      <c r="D434" s="13"/>
      <c r="E434" s="13"/>
      <c r="F434" s="13"/>
      <c r="G434" s="2"/>
      <c r="H434" s="2"/>
      <c r="I434" s="13"/>
      <c r="J434" s="13"/>
      <c r="K434" s="13"/>
      <c r="L434" s="14"/>
      <c r="M434" s="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2"/>
      <c r="B435" s="10"/>
      <c r="C435" s="11"/>
      <c r="D435" s="13"/>
      <c r="E435" s="13"/>
      <c r="F435" s="13"/>
      <c r="G435" s="2"/>
      <c r="H435" s="2"/>
      <c r="I435" s="13"/>
      <c r="J435" s="13"/>
      <c r="K435" s="13"/>
      <c r="L435" s="14"/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2"/>
      <c r="B436" s="10"/>
      <c r="C436" s="11"/>
      <c r="D436" s="13"/>
      <c r="E436" s="13"/>
      <c r="F436" s="13"/>
      <c r="G436" s="2"/>
      <c r="H436" s="2"/>
      <c r="I436" s="13"/>
      <c r="J436" s="13"/>
      <c r="K436" s="13"/>
      <c r="L436" s="14"/>
      <c r="M436" s="4"/>
      <c r="N436" s="2"/>
      <c r="O436" s="4"/>
      <c r="P436" s="2"/>
      <c r="Q436" s="2"/>
      <c r="R436" s="4"/>
      <c r="S436" s="2"/>
      <c r="T436" s="2"/>
      <c r="U436" s="1"/>
      <c r="V436" s="2"/>
      <c r="W436" s="2"/>
      <c r="X436" s="2"/>
      <c r="Y436" s="2"/>
      <c r="Z436" s="2"/>
    </row>
    <row r="437" spans="1:26" ht="15.75" customHeight="1" x14ac:dyDescent="0.2">
      <c r="A437" s="12"/>
      <c r="B437" s="10"/>
      <c r="C437" s="11"/>
      <c r="D437" s="13"/>
      <c r="E437" s="13"/>
      <c r="F437" s="13"/>
      <c r="G437" s="2"/>
      <c r="H437" s="2"/>
      <c r="I437" s="13"/>
      <c r="J437" s="13"/>
      <c r="K437" s="13"/>
      <c r="L437" s="14"/>
      <c r="M437" s="4"/>
      <c r="N437" s="2"/>
      <c r="O437" s="4"/>
      <c r="P437" s="2"/>
      <c r="Q437" s="2"/>
      <c r="R437" s="4"/>
      <c r="S437" s="2"/>
      <c r="T437" s="2"/>
      <c r="U437" s="1"/>
      <c r="V437" s="2"/>
      <c r="W437" s="2"/>
      <c r="X437" s="2"/>
      <c r="Y437" s="2"/>
      <c r="Z437" s="2"/>
    </row>
    <row r="438" spans="1:26" ht="15.75" customHeight="1" x14ac:dyDescent="0.2">
      <c r="A438" s="12"/>
      <c r="B438" s="10"/>
      <c r="C438" s="11"/>
      <c r="D438" s="13"/>
      <c r="E438" s="13"/>
      <c r="F438" s="13"/>
      <c r="G438" s="2"/>
      <c r="H438" s="2"/>
      <c r="I438" s="13"/>
      <c r="J438" s="13"/>
      <c r="K438" s="13"/>
      <c r="L438" s="14"/>
      <c r="M438" s="4"/>
      <c r="N438" s="2"/>
      <c r="O438" s="4"/>
      <c r="P438" s="2"/>
      <c r="Q438" s="2"/>
      <c r="R438" s="4"/>
      <c r="S438" s="2"/>
      <c r="T438" s="2"/>
      <c r="U438" s="1"/>
      <c r="V438" s="2"/>
      <c r="W438" s="2"/>
      <c r="X438" s="2"/>
      <c r="Y438" s="2"/>
      <c r="Z438" s="2"/>
    </row>
    <row r="439" spans="1:26" ht="15.75" customHeight="1" x14ac:dyDescent="0.2">
      <c r="A439" s="12"/>
      <c r="B439" s="10"/>
      <c r="C439" s="11"/>
      <c r="D439" s="13"/>
      <c r="E439" s="13"/>
      <c r="F439" s="13"/>
      <c r="G439" s="2"/>
      <c r="H439" s="2"/>
      <c r="I439" s="13"/>
      <c r="J439" s="13"/>
      <c r="K439" s="13"/>
      <c r="L439" s="14"/>
      <c r="M439" s="4"/>
      <c r="N439" s="2"/>
      <c r="O439" s="4"/>
      <c r="P439" s="2"/>
      <c r="Q439" s="2"/>
      <c r="R439" s="4"/>
      <c r="S439" s="2"/>
      <c r="T439" s="2"/>
      <c r="U439" s="1"/>
      <c r="V439" s="2"/>
      <c r="W439" s="2"/>
      <c r="X439" s="2"/>
      <c r="Y439" s="2"/>
      <c r="Z439" s="2"/>
    </row>
    <row r="440" spans="1:26" ht="15.75" customHeight="1" x14ac:dyDescent="0.2">
      <c r="A440" s="12"/>
      <c r="B440" s="10"/>
      <c r="C440" s="11"/>
      <c r="D440" s="13"/>
      <c r="E440" s="13"/>
      <c r="F440" s="13"/>
      <c r="G440" s="2"/>
      <c r="H440" s="2"/>
      <c r="I440" s="13"/>
      <c r="J440" s="13"/>
      <c r="K440" s="13"/>
      <c r="L440" s="14"/>
      <c r="M440" s="4"/>
      <c r="N440" s="2"/>
      <c r="O440" s="4"/>
      <c r="P440" s="2"/>
      <c r="Q440" s="2"/>
      <c r="R440" s="4"/>
      <c r="S440" s="2"/>
      <c r="T440" s="2"/>
      <c r="U440" s="1"/>
      <c r="V440" s="2"/>
      <c r="W440" s="2"/>
      <c r="X440" s="2"/>
      <c r="Y440" s="2"/>
      <c r="Z440" s="2"/>
    </row>
    <row r="441" spans="1:26" ht="15.75" customHeight="1" x14ac:dyDescent="0.2">
      <c r="A441" s="12"/>
      <c r="B441" s="10"/>
      <c r="C441" s="11"/>
      <c r="D441" s="13"/>
      <c r="E441" s="13"/>
      <c r="F441" s="13"/>
      <c r="G441" s="2"/>
      <c r="H441" s="2"/>
      <c r="I441" s="13"/>
      <c r="J441" s="13"/>
      <c r="K441" s="13"/>
      <c r="L441" s="14"/>
      <c r="M441" s="4"/>
      <c r="N441" s="2"/>
      <c r="O441" s="4"/>
      <c r="P441" s="2"/>
      <c r="Q441" s="2"/>
      <c r="R441" s="4"/>
      <c r="S441" s="2"/>
      <c r="T441" s="2"/>
      <c r="U441" s="1"/>
      <c r="V441" s="2"/>
      <c r="W441" s="2"/>
      <c r="X441" s="2"/>
      <c r="Y441" s="2"/>
      <c r="Z441" s="2"/>
    </row>
    <row r="442" spans="1:26" ht="15.75" customHeight="1" x14ac:dyDescent="0.2">
      <c r="A442" s="12"/>
      <c r="B442" s="10"/>
      <c r="C442" s="11"/>
      <c r="D442" s="13"/>
      <c r="E442" s="13"/>
      <c r="F442" s="13"/>
      <c r="G442" s="2"/>
      <c r="H442" s="2"/>
      <c r="I442" s="13"/>
      <c r="J442" s="13"/>
      <c r="K442" s="13"/>
      <c r="L442" s="14"/>
      <c r="M442" s="4"/>
      <c r="N442" s="2"/>
      <c r="O442" s="4"/>
      <c r="P442" s="2"/>
      <c r="Q442" s="2"/>
      <c r="R442" s="4"/>
      <c r="S442" s="2"/>
      <c r="T442" s="2"/>
      <c r="U442" s="1"/>
      <c r="V442" s="2"/>
      <c r="W442" s="2"/>
      <c r="X442" s="2"/>
      <c r="Y442" s="2"/>
      <c r="Z442" s="2"/>
    </row>
    <row r="443" spans="1:26" ht="15.75" customHeight="1" x14ac:dyDescent="0.2">
      <c r="A443" s="12"/>
      <c r="B443" s="10"/>
      <c r="C443" s="11"/>
      <c r="D443" s="13"/>
      <c r="E443" s="13"/>
      <c r="F443" s="13"/>
      <c r="G443" s="2"/>
      <c r="H443" s="2"/>
      <c r="I443" s="13"/>
      <c r="J443" s="13"/>
      <c r="K443" s="13"/>
      <c r="L443" s="14"/>
      <c r="M443" s="4"/>
      <c r="N443" s="2"/>
      <c r="O443" s="4"/>
      <c r="P443" s="2"/>
      <c r="Q443" s="2"/>
      <c r="R443" s="4"/>
      <c r="S443" s="2"/>
      <c r="T443" s="2"/>
      <c r="U443" s="1"/>
      <c r="V443" s="2"/>
      <c r="W443" s="2"/>
      <c r="X443" s="2"/>
      <c r="Y443" s="2"/>
      <c r="Z443" s="2"/>
    </row>
    <row r="444" spans="1:26" ht="15.75" customHeight="1" x14ac:dyDescent="0.2">
      <c r="A444" s="12"/>
      <c r="B444" s="10"/>
      <c r="C444" s="11"/>
      <c r="D444" s="13"/>
      <c r="E444" s="13"/>
      <c r="F444" s="13"/>
      <c r="G444" s="2"/>
      <c r="H444" s="2"/>
      <c r="I444" s="13"/>
      <c r="J444" s="13"/>
      <c r="K444" s="13"/>
      <c r="L444" s="14"/>
      <c r="M444" s="4"/>
      <c r="N444" s="2"/>
      <c r="O444" s="4"/>
      <c r="P444" s="2"/>
      <c r="Q444" s="2"/>
      <c r="R444" s="4"/>
      <c r="S444" s="2"/>
      <c r="T444" s="2"/>
      <c r="U444" s="1"/>
      <c r="V444" s="2"/>
      <c r="W444" s="2"/>
      <c r="X444" s="2"/>
      <c r="Y444" s="2"/>
      <c r="Z444" s="2"/>
    </row>
    <row r="445" spans="1:26" ht="15.75" customHeight="1" x14ac:dyDescent="0.2">
      <c r="A445" s="12"/>
      <c r="B445" s="10"/>
      <c r="C445" s="11"/>
      <c r="D445" s="13"/>
      <c r="E445" s="13"/>
      <c r="F445" s="13"/>
      <c r="G445" s="2"/>
      <c r="H445" s="2"/>
      <c r="I445" s="13"/>
      <c r="J445" s="13"/>
      <c r="K445" s="13"/>
      <c r="L445" s="14"/>
      <c r="M445" s="4"/>
      <c r="N445" s="2"/>
      <c r="O445" s="4"/>
      <c r="P445" s="2"/>
      <c r="Q445" s="2"/>
      <c r="R445" s="4"/>
      <c r="S445" s="2"/>
      <c r="T445" s="2"/>
      <c r="U445" s="1"/>
      <c r="V445" s="2"/>
      <c r="W445" s="2"/>
      <c r="X445" s="2"/>
      <c r="Y445" s="2"/>
      <c r="Z445" s="2"/>
    </row>
    <row r="446" spans="1:26" ht="15.75" customHeight="1" x14ac:dyDescent="0.2">
      <c r="A446" s="12"/>
      <c r="B446" s="10"/>
      <c r="C446" s="11"/>
      <c r="D446" s="13"/>
      <c r="E446" s="13"/>
      <c r="F446" s="13"/>
      <c r="G446" s="2"/>
      <c r="H446" s="2"/>
      <c r="I446" s="13"/>
      <c r="J446" s="13"/>
      <c r="K446" s="13"/>
      <c r="L446" s="14"/>
      <c r="M446" s="4"/>
      <c r="N446" s="2"/>
      <c r="O446" s="4"/>
      <c r="P446" s="2"/>
      <c r="Q446" s="2"/>
      <c r="R446" s="4"/>
      <c r="S446" s="2"/>
      <c r="T446" s="2"/>
      <c r="U446" s="1"/>
      <c r="V446" s="2"/>
      <c r="W446" s="2"/>
      <c r="X446" s="2"/>
      <c r="Y446" s="2"/>
      <c r="Z446" s="2"/>
    </row>
    <row r="447" spans="1:26" ht="15.75" customHeight="1" x14ac:dyDescent="0.2">
      <c r="A447" s="12"/>
      <c r="B447" s="10"/>
      <c r="C447" s="11"/>
      <c r="D447" s="13"/>
      <c r="E447" s="13"/>
      <c r="F447" s="13"/>
      <c r="G447" s="2"/>
      <c r="H447" s="2"/>
      <c r="I447" s="13"/>
      <c r="J447" s="13"/>
      <c r="K447" s="13"/>
      <c r="L447" s="14"/>
      <c r="M447" s="4"/>
      <c r="N447" s="2"/>
      <c r="O447" s="4"/>
      <c r="P447" s="2"/>
      <c r="Q447" s="2"/>
      <c r="R447" s="4"/>
      <c r="S447" s="2"/>
      <c r="T447" s="2"/>
      <c r="U447" s="1"/>
      <c r="V447" s="2"/>
      <c r="W447" s="2"/>
      <c r="X447" s="2"/>
      <c r="Y447" s="2"/>
      <c r="Z447" s="2"/>
    </row>
    <row r="448" spans="1:26" ht="15.75" customHeight="1" x14ac:dyDescent="0.2">
      <c r="A448" s="12"/>
      <c r="B448" s="10"/>
      <c r="C448" s="11"/>
      <c r="D448" s="13"/>
      <c r="E448" s="13"/>
      <c r="F448" s="13"/>
      <c r="G448" s="2"/>
      <c r="H448" s="2"/>
      <c r="I448" s="13"/>
      <c r="J448" s="13"/>
      <c r="K448" s="13"/>
      <c r="L448" s="14"/>
      <c r="M448" s="4"/>
      <c r="N448" s="2"/>
      <c r="O448" s="4"/>
      <c r="P448" s="2"/>
      <c r="Q448" s="2"/>
      <c r="R448" s="4"/>
      <c r="S448" s="2"/>
      <c r="T448" s="2"/>
      <c r="U448" s="1"/>
      <c r="V448" s="2"/>
      <c r="W448" s="2"/>
      <c r="X448" s="2"/>
      <c r="Y448" s="2"/>
      <c r="Z448" s="2"/>
    </row>
    <row r="449" spans="1:26" ht="15.75" customHeight="1" x14ac:dyDescent="0.2">
      <c r="A449" s="12"/>
      <c r="B449" s="10"/>
      <c r="C449" s="11"/>
      <c r="D449" s="13"/>
      <c r="E449" s="13"/>
      <c r="F449" s="13"/>
      <c r="G449" s="2"/>
      <c r="H449" s="2"/>
      <c r="I449" s="13"/>
      <c r="J449" s="13"/>
      <c r="K449" s="13"/>
      <c r="L449" s="14"/>
      <c r="M449" s="4"/>
      <c r="N449" s="2"/>
      <c r="O449" s="4"/>
      <c r="P449" s="2"/>
      <c r="Q449" s="2"/>
      <c r="R449" s="4"/>
      <c r="S449" s="2"/>
      <c r="T449" s="2"/>
      <c r="U449" s="1"/>
      <c r="V449" s="2"/>
      <c r="W449" s="2"/>
      <c r="X449" s="2"/>
      <c r="Y449" s="2"/>
      <c r="Z449" s="2"/>
    </row>
    <row r="450" spans="1:26" ht="15.75" customHeight="1" x14ac:dyDescent="0.2">
      <c r="A450" s="12"/>
      <c r="B450" s="10"/>
      <c r="C450" s="11"/>
      <c r="D450" s="13"/>
      <c r="E450" s="13"/>
      <c r="F450" s="13"/>
      <c r="G450" s="2"/>
      <c r="H450" s="2"/>
      <c r="I450" s="13"/>
      <c r="J450" s="13"/>
      <c r="K450" s="13"/>
      <c r="L450" s="14"/>
      <c r="M450" s="4"/>
      <c r="N450" s="2"/>
      <c r="O450" s="4"/>
      <c r="P450" s="2"/>
      <c r="Q450" s="2"/>
      <c r="R450" s="4"/>
      <c r="S450" s="2"/>
      <c r="T450" s="2"/>
      <c r="U450" s="1"/>
      <c r="V450" s="2"/>
      <c r="W450" s="2"/>
      <c r="X450" s="2"/>
      <c r="Y450" s="2"/>
      <c r="Z450" s="2"/>
    </row>
    <row r="451" spans="1:26" ht="15.75" customHeight="1" x14ac:dyDescent="0.2">
      <c r="A451" s="12"/>
      <c r="B451" s="10"/>
      <c r="C451" s="11"/>
      <c r="D451" s="13"/>
      <c r="E451" s="13"/>
      <c r="F451" s="13"/>
      <c r="G451" s="2"/>
      <c r="H451" s="2"/>
      <c r="I451" s="13"/>
      <c r="J451" s="13"/>
      <c r="K451" s="13"/>
      <c r="L451" s="1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A452" s="12"/>
      <c r="B452" s="10"/>
      <c r="C452" s="11"/>
      <c r="D452" s="13"/>
      <c r="E452" s="13"/>
      <c r="F452" s="13"/>
      <c r="G452" s="2"/>
      <c r="H452" s="2"/>
      <c r="I452" s="13"/>
      <c r="J452" s="13"/>
      <c r="K452" s="13"/>
      <c r="L452" s="14"/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12"/>
      <c r="B453" s="10"/>
      <c r="C453" s="11"/>
      <c r="D453" s="13"/>
      <c r="E453" s="13"/>
      <c r="F453" s="13"/>
      <c r="G453" s="2"/>
      <c r="H453" s="2"/>
      <c r="I453" s="13"/>
      <c r="J453" s="13"/>
      <c r="K453" s="13"/>
      <c r="L453" s="14"/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2"/>
      <c r="B454" s="10"/>
      <c r="C454" s="11"/>
      <c r="D454" s="13"/>
      <c r="E454" s="13"/>
      <c r="F454" s="13"/>
      <c r="G454" s="2"/>
      <c r="H454" s="2"/>
      <c r="I454" s="13"/>
      <c r="J454" s="13"/>
      <c r="K454" s="13"/>
      <c r="L454" s="14"/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2"/>
      <c r="B455" s="10"/>
      <c r="C455" s="11"/>
      <c r="D455" s="13"/>
      <c r="E455" s="13"/>
      <c r="F455" s="13"/>
      <c r="G455" s="2"/>
      <c r="H455" s="2"/>
      <c r="I455" s="13"/>
      <c r="J455" s="13"/>
      <c r="K455" s="13"/>
      <c r="L455" s="14"/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2"/>
      <c r="B456" s="10"/>
      <c r="C456" s="11"/>
      <c r="D456" s="13"/>
      <c r="E456" s="13"/>
      <c r="F456" s="13"/>
      <c r="G456" s="2"/>
      <c r="H456" s="2"/>
      <c r="I456" s="13"/>
      <c r="J456" s="13"/>
      <c r="K456" s="13"/>
      <c r="L456" s="14"/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2"/>
      <c r="B457" s="10"/>
      <c r="C457" s="11"/>
      <c r="D457" s="13"/>
      <c r="E457" s="13"/>
      <c r="F457" s="13"/>
      <c r="G457" s="2"/>
      <c r="H457" s="2"/>
      <c r="I457" s="13"/>
      <c r="J457" s="13"/>
      <c r="K457" s="13"/>
      <c r="L457" s="14"/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2"/>
      <c r="B458" s="10"/>
      <c r="C458" s="11"/>
      <c r="D458" s="13"/>
      <c r="E458" s="13"/>
      <c r="F458" s="13"/>
      <c r="G458" s="2"/>
      <c r="H458" s="2"/>
      <c r="I458" s="13"/>
      <c r="J458" s="13"/>
      <c r="K458" s="13"/>
      <c r="L458" s="14"/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2"/>
      <c r="B459" s="10"/>
      <c r="C459" s="11"/>
      <c r="D459" s="13"/>
      <c r="E459" s="13"/>
      <c r="F459" s="13"/>
      <c r="G459" s="2"/>
      <c r="H459" s="2"/>
      <c r="I459" s="13"/>
      <c r="J459" s="13"/>
      <c r="K459" s="13"/>
      <c r="L459" s="14"/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A460" s="12"/>
      <c r="B460" s="10"/>
      <c r="C460" s="11"/>
      <c r="D460" s="13"/>
      <c r="E460" s="13"/>
      <c r="F460" s="13"/>
      <c r="G460" s="2"/>
      <c r="H460" s="2"/>
      <c r="I460" s="13"/>
      <c r="J460" s="13"/>
      <c r="K460" s="13"/>
      <c r="L460" s="14"/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A461" s="12"/>
      <c r="B461" s="10"/>
      <c r="C461" s="11"/>
      <c r="D461" s="13"/>
      <c r="E461" s="13"/>
      <c r="F461" s="13"/>
      <c r="G461" s="2"/>
      <c r="H461" s="2"/>
      <c r="I461" s="13"/>
      <c r="J461" s="13"/>
      <c r="K461" s="13"/>
      <c r="L461" s="14"/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A462" s="12"/>
      <c r="B462" s="10"/>
      <c r="C462" s="11"/>
      <c r="D462" s="13"/>
      <c r="E462" s="13"/>
      <c r="F462" s="13"/>
      <c r="G462" s="2"/>
      <c r="H462" s="2"/>
      <c r="I462" s="13"/>
      <c r="J462" s="13"/>
      <c r="K462" s="13"/>
      <c r="L462" s="14"/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A463" s="12"/>
      <c r="B463" s="10"/>
      <c r="C463" s="11"/>
      <c r="D463" s="13"/>
      <c r="E463" s="13"/>
      <c r="F463" s="13"/>
      <c r="G463" s="2"/>
      <c r="H463" s="2"/>
      <c r="I463" s="13"/>
      <c r="J463" s="13"/>
      <c r="K463" s="13"/>
      <c r="L463" s="14"/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A464" s="12"/>
      <c r="B464" s="10"/>
      <c r="C464" s="11"/>
      <c r="D464" s="13"/>
      <c r="E464" s="13"/>
      <c r="F464" s="13"/>
      <c r="G464" s="2"/>
      <c r="H464" s="2"/>
      <c r="I464" s="13"/>
      <c r="J464" s="13"/>
      <c r="K464" s="13"/>
      <c r="L464" s="14"/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2"/>
      <c r="B465" s="10"/>
      <c r="C465" s="11"/>
      <c r="D465" s="13"/>
      <c r="E465" s="13"/>
      <c r="F465" s="13"/>
      <c r="G465" s="2"/>
      <c r="H465" s="2"/>
      <c r="I465" s="13"/>
      <c r="J465" s="13"/>
      <c r="K465" s="13"/>
      <c r="L465" s="14"/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5.75" customHeight="1" x14ac:dyDescent="0.2">
      <c r="A466" s="12"/>
      <c r="B466" s="10"/>
      <c r="C466" s="11"/>
      <c r="D466" s="13"/>
      <c r="E466" s="13"/>
      <c r="F466" s="13"/>
      <c r="G466" s="2"/>
      <c r="H466" s="2"/>
      <c r="I466" s="13"/>
      <c r="J466" s="13"/>
      <c r="K466" s="13"/>
      <c r="L466" s="14"/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2"/>
      <c r="B467" s="10"/>
      <c r="C467" s="11"/>
      <c r="D467" s="13"/>
      <c r="E467" s="13"/>
      <c r="F467" s="13"/>
      <c r="G467" s="2"/>
      <c r="H467" s="2"/>
      <c r="I467" s="13"/>
      <c r="J467" s="13"/>
      <c r="K467" s="13"/>
      <c r="L467" s="14"/>
      <c r="M467" s="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2"/>
      <c r="B468" s="10"/>
      <c r="C468" s="11"/>
      <c r="D468" s="13"/>
      <c r="E468" s="13"/>
      <c r="F468" s="13"/>
      <c r="G468" s="2"/>
      <c r="H468" s="2"/>
      <c r="I468" s="13"/>
      <c r="J468" s="13"/>
      <c r="K468" s="13"/>
      <c r="L468" s="14"/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2"/>
      <c r="B469" s="10"/>
      <c r="C469" s="11"/>
      <c r="D469" s="13"/>
      <c r="E469" s="13"/>
      <c r="F469" s="13"/>
      <c r="G469" s="2"/>
      <c r="H469" s="2"/>
      <c r="I469" s="13"/>
      <c r="J469" s="13"/>
      <c r="K469" s="13"/>
      <c r="L469" s="14"/>
      <c r="M469" s="4"/>
      <c r="N469" s="2"/>
      <c r="O469" s="4"/>
      <c r="P469" s="2"/>
      <c r="Q469" s="2"/>
      <c r="R469" s="4"/>
      <c r="S469" s="2"/>
      <c r="T469" s="2"/>
      <c r="U469" s="1"/>
      <c r="V469" s="2"/>
      <c r="W469" s="2"/>
      <c r="X469" s="2"/>
      <c r="Y469" s="2"/>
      <c r="Z469" s="2"/>
    </row>
    <row r="470" spans="1:26" ht="15.75" customHeight="1" x14ac:dyDescent="0.2">
      <c r="A470" s="12"/>
      <c r="B470" s="10"/>
      <c r="C470" s="11"/>
      <c r="D470" s="13"/>
      <c r="E470" s="13"/>
      <c r="F470" s="13"/>
      <c r="G470" s="2"/>
      <c r="H470" s="2"/>
      <c r="I470" s="13"/>
      <c r="J470" s="13"/>
      <c r="K470" s="13"/>
      <c r="L470" s="14"/>
      <c r="M470" s="4"/>
      <c r="N470" s="2"/>
      <c r="O470" s="4"/>
      <c r="P470" s="2"/>
      <c r="Q470" s="2"/>
      <c r="R470" s="4"/>
      <c r="S470" s="2"/>
      <c r="T470" s="2"/>
      <c r="U470" s="1"/>
      <c r="V470" s="2"/>
      <c r="W470" s="2"/>
      <c r="X470" s="2"/>
      <c r="Y470" s="2"/>
      <c r="Z470" s="2"/>
    </row>
    <row r="471" spans="1:26" ht="15.75" customHeight="1" x14ac:dyDescent="0.2">
      <c r="A471" s="12"/>
      <c r="B471" s="10"/>
      <c r="C471" s="11"/>
      <c r="D471" s="13"/>
      <c r="E471" s="13"/>
      <c r="F471" s="13"/>
      <c r="G471" s="2"/>
      <c r="H471" s="2"/>
      <c r="I471" s="13"/>
      <c r="J471" s="13"/>
      <c r="K471" s="13"/>
      <c r="L471" s="14"/>
      <c r="M471" s="4"/>
      <c r="N471" s="2"/>
      <c r="O471" s="4"/>
      <c r="P471" s="2"/>
      <c r="Q471" s="2"/>
      <c r="R471" s="4"/>
      <c r="S471" s="2"/>
      <c r="T471" s="2"/>
      <c r="U471" s="1"/>
      <c r="V471" s="2"/>
      <c r="W471" s="2"/>
      <c r="X471" s="2"/>
      <c r="Y471" s="2"/>
      <c r="Z471" s="2"/>
    </row>
    <row r="472" spans="1:26" ht="15.75" customHeight="1" x14ac:dyDescent="0.2">
      <c r="A472" s="12"/>
      <c r="B472" s="10"/>
      <c r="C472" s="11"/>
      <c r="D472" s="13"/>
      <c r="E472" s="13"/>
      <c r="F472" s="13"/>
      <c r="G472" s="2"/>
      <c r="H472" s="2"/>
      <c r="I472" s="13"/>
      <c r="J472" s="13"/>
      <c r="K472" s="13"/>
      <c r="L472" s="14"/>
      <c r="M472" s="4"/>
      <c r="N472" s="2"/>
      <c r="O472" s="4"/>
      <c r="P472" s="2"/>
      <c r="Q472" s="2"/>
      <c r="R472" s="4"/>
      <c r="S472" s="2"/>
      <c r="T472" s="2"/>
      <c r="U472" s="1"/>
      <c r="V472" s="2"/>
      <c r="W472" s="2"/>
      <c r="X472" s="2"/>
      <c r="Y472" s="2"/>
      <c r="Z472" s="2"/>
    </row>
    <row r="473" spans="1:26" ht="15.75" customHeight="1" x14ac:dyDescent="0.2">
      <c r="A473" s="12"/>
      <c r="B473" s="10"/>
      <c r="C473" s="11"/>
      <c r="D473" s="13"/>
      <c r="E473" s="13"/>
      <c r="F473" s="13"/>
      <c r="G473" s="2"/>
      <c r="H473" s="2"/>
      <c r="I473" s="13"/>
      <c r="J473" s="13"/>
      <c r="K473" s="13"/>
      <c r="L473" s="14"/>
      <c r="M473" s="4"/>
      <c r="N473" s="2"/>
      <c r="O473" s="4"/>
      <c r="P473" s="2"/>
      <c r="Q473" s="2"/>
      <c r="R473" s="4"/>
      <c r="S473" s="2"/>
      <c r="T473" s="2"/>
      <c r="U473" s="1"/>
      <c r="V473" s="2"/>
      <c r="W473" s="2"/>
      <c r="X473" s="2"/>
      <c r="Y473" s="2"/>
      <c r="Z473" s="2"/>
    </row>
    <row r="474" spans="1:26" ht="15.75" customHeight="1" x14ac:dyDescent="0.2">
      <c r="A474" s="12"/>
      <c r="B474" s="10"/>
      <c r="C474" s="11"/>
      <c r="D474" s="13"/>
      <c r="E474" s="13"/>
      <c r="F474" s="13"/>
      <c r="G474" s="2"/>
      <c r="H474" s="2"/>
      <c r="I474" s="13"/>
      <c r="J474" s="13"/>
      <c r="K474" s="13"/>
      <c r="L474" s="14"/>
      <c r="M474" s="4"/>
      <c r="N474" s="2"/>
      <c r="O474" s="4"/>
      <c r="P474" s="2"/>
      <c r="Q474" s="2"/>
      <c r="R474" s="4"/>
      <c r="S474" s="2"/>
      <c r="T474" s="2"/>
      <c r="U474" s="1"/>
      <c r="V474" s="2"/>
      <c r="W474" s="2"/>
      <c r="X474" s="2"/>
      <c r="Y474" s="2"/>
      <c r="Z474" s="2"/>
    </row>
    <row r="475" spans="1:26" ht="15.75" customHeight="1" x14ac:dyDescent="0.2">
      <c r="A475" s="12"/>
      <c r="B475" s="10"/>
      <c r="C475" s="11"/>
      <c r="D475" s="13"/>
      <c r="E475" s="13"/>
      <c r="F475" s="13"/>
      <c r="G475" s="2"/>
      <c r="H475" s="2"/>
      <c r="I475" s="13"/>
      <c r="J475" s="13"/>
      <c r="K475" s="13"/>
      <c r="L475" s="14"/>
      <c r="M475" s="4"/>
      <c r="N475" s="2"/>
      <c r="O475" s="4"/>
      <c r="P475" s="2"/>
      <c r="Q475" s="2"/>
      <c r="R475" s="4"/>
      <c r="S475" s="2"/>
      <c r="T475" s="2"/>
      <c r="U475" s="1"/>
      <c r="V475" s="2"/>
      <c r="W475" s="2"/>
      <c r="X475" s="2"/>
      <c r="Y475" s="2"/>
      <c r="Z475" s="2"/>
    </row>
    <row r="476" spans="1:26" ht="15.75" customHeight="1" x14ac:dyDescent="0.2">
      <c r="A476" s="12"/>
      <c r="B476" s="10"/>
      <c r="C476" s="11"/>
      <c r="D476" s="13"/>
      <c r="E476" s="13"/>
      <c r="F476" s="13"/>
      <c r="G476" s="2"/>
      <c r="H476" s="2"/>
      <c r="I476" s="13"/>
      <c r="J476" s="13"/>
      <c r="K476" s="13"/>
      <c r="L476" s="14"/>
      <c r="M476" s="4"/>
      <c r="N476" s="2"/>
      <c r="O476" s="4"/>
      <c r="P476" s="2"/>
      <c r="Q476" s="2"/>
      <c r="R476" s="4"/>
      <c r="S476" s="2"/>
      <c r="T476" s="2"/>
      <c r="U476" s="1"/>
      <c r="V476" s="2"/>
      <c r="W476" s="2"/>
      <c r="X476" s="2"/>
      <c r="Y476" s="2"/>
      <c r="Z476" s="2"/>
    </row>
    <row r="477" spans="1:26" ht="15.75" customHeight="1" x14ac:dyDescent="0.2">
      <c r="A477" s="12"/>
      <c r="B477" s="10"/>
      <c r="C477" s="11"/>
      <c r="D477" s="13"/>
      <c r="E477" s="13"/>
      <c r="F477" s="13"/>
      <c r="G477" s="2"/>
      <c r="H477" s="2"/>
      <c r="I477" s="13"/>
      <c r="J477" s="13"/>
      <c r="K477" s="13"/>
      <c r="L477" s="14"/>
      <c r="M477" s="4"/>
      <c r="N477" s="2"/>
      <c r="O477" s="4"/>
      <c r="P477" s="2"/>
      <c r="Q477" s="2"/>
      <c r="R477" s="4"/>
      <c r="S477" s="2"/>
      <c r="T477" s="2"/>
      <c r="U477" s="1"/>
      <c r="V477" s="2"/>
      <c r="W477" s="2"/>
      <c r="X477" s="2"/>
      <c r="Y477" s="2"/>
      <c r="Z477" s="2"/>
    </row>
    <row r="478" spans="1:26" ht="15.75" customHeight="1" x14ac:dyDescent="0.2">
      <c r="A478" s="12"/>
      <c r="B478" s="10"/>
      <c r="C478" s="11"/>
      <c r="D478" s="13"/>
      <c r="E478" s="13"/>
      <c r="F478" s="13"/>
      <c r="G478" s="2"/>
      <c r="H478" s="2"/>
      <c r="I478" s="13"/>
      <c r="J478" s="13"/>
      <c r="K478" s="13"/>
      <c r="L478" s="14"/>
      <c r="M478" s="4"/>
      <c r="N478" s="2"/>
      <c r="O478" s="4"/>
      <c r="P478" s="2"/>
      <c r="Q478" s="2"/>
      <c r="R478" s="4"/>
      <c r="S478" s="2"/>
      <c r="T478" s="2"/>
      <c r="U478" s="1"/>
      <c r="V478" s="2"/>
      <c r="W478" s="2"/>
      <c r="X478" s="2"/>
      <c r="Y478" s="2"/>
      <c r="Z478" s="2"/>
    </row>
    <row r="479" spans="1:26" ht="15.75" customHeight="1" x14ac:dyDescent="0.2">
      <c r="A479" s="12"/>
      <c r="B479" s="10"/>
      <c r="C479" s="11"/>
      <c r="D479" s="13"/>
      <c r="E479" s="13"/>
      <c r="F479" s="13"/>
      <c r="G479" s="2"/>
      <c r="H479" s="2"/>
      <c r="I479" s="13"/>
      <c r="J479" s="13"/>
      <c r="K479" s="13"/>
      <c r="L479" s="14"/>
      <c r="M479" s="4"/>
      <c r="N479" s="2"/>
      <c r="O479" s="4"/>
      <c r="P479" s="2"/>
      <c r="Q479" s="2"/>
      <c r="R479" s="4"/>
      <c r="S479" s="2"/>
      <c r="T479" s="2"/>
      <c r="U479" s="1"/>
      <c r="V479" s="2"/>
      <c r="W479" s="2"/>
      <c r="X479" s="2"/>
      <c r="Y479" s="2"/>
      <c r="Z479" s="2"/>
    </row>
    <row r="480" spans="1:26" ht="15.75" customHeight="1" x14ac:dyDescent="0.2">
      <c r="A480" s="12"/>
      <c r="B480" s="10"/>
      <c r="C480" s="11"/>
      <c r="D480" s="13"/>
      <c r="E480" s="13"/>
      <c r="F480" s="13"/>
      <c r="G480" s="2"/>
      <c r="H480" s="2"/>
      <c r="I480" s="13"/>
      <c r="J480" s="13"/>
      <c r="K480" s="13"/>
      <c r="L480" s="14"/>
      <c r="M480" s="4"/>
      <c r="N480" s="2"/>
      <c r="O480" s="4"/>
      <c r="P480" s="2"/>
      <c r="Q480" s="2"/>
      <c r="R480" s="4"/>
      <c r="S480" s="2"/>
      <c r="T480" s="2"/>
      <c r="U480" s="1"/>
      <c r="V480" s="2"/>
      <c r="W480" s="2"/>
      <c r="X480" s="2"/>
      <c r="Y480" s="2"/>
      <c r="Z480" s="2"/>
    </row>
    <row r="481" spans="1:26" ht="15.75" customHeight="1" x14ac:dyDescent="0.2">
      <c r="A481" s="12"/>
      <c r="B481" s="10"/>
      <c r="C481" s="11"/>
      <c r="D481" s="13"/>
      <c r="E481" s="13"/>
      <c r="F481" s="13"/>
      <c r="G481" s="2"/>
      <c r="H481" s="2"/>
      <c r="I481" s="13"/>
      <c r="J481" s="13"/>
      <c r="K481" s="13"/>
      <c r="L481" s="14"/>
      <c r="M481" s="4"/>
      <c r="N481" s="2"/>
      <c r="O481" s="4"/>
      <c r="P481" s="2"/>
      <c r="Q481" s="2"/>
      <c r="R481" s="4"/>
      <c r="S481" s="2"/>
      <c r="T481" s="2"/>
      <c r="U481" s="1"/>
      <c r="V481" s="2"/>
      <c r="W481" s="2"/>
      <c r="X481" s="2"/>
      <c r="Y481" s="2"/>
      <c r="Z481" s="2"/>
    </row>
    <row r="482" spans="1:26" ht="15.75" customHeight="1" x14ac:dyDescent="0.2">
      <c r="A482" s="12"/>
      <c r="B482" s="10"/>
      <c r="C482" s="11"/>
      <c r="D482" s="13"/>
      <c r="E482" s="13"/>
      <c r="F482" s="13"/>
      <c r="G482" s="2"/>
      <c r="H482" s="2"/>
      <c r="I482" s="13"/>
      <c r="J482" s="13"/>
      <c r="K482" s="13"/>
      <c r="L482" s="14"/>
      <c r="M482" s="4"/>
      <c r="N482" s="2"/>
      <c r="O482" s="4"/>
      <c r="P482" s="2"/>
      <c r="Q482" s="2"/>
      <c r="R482" s="4"/>
      <c r="S482" s="2"/>
      <c r="T482" s="2"/>
      <c r="U482" s="1"/>
      <c r="V482" s="2"/>
      <c r="W482" s="2"/>
      <c r="X482" s="2"/>
      <c r="Y482" s="2"/>
      <c r="Z482" s="2"/>
    </row>
    <row r="483" spans="1:26" ht="15.75" customHeight="1" x14ac:dyDescent="0.2">
      <c r="A483" s="12"/>
      <c r="B483" s="10"/>
      <c r="C483" s="11"/>
      <c r="D483" s="13"/>
      <c r="E483" s="13"/>
      <c r="F483" s="13"/>
      <c r="G483" s="2"/>
      <c r="H483" s="2"/>
      <c r="I483" s="13"/>
      <c r="J483" s="13"/>
      <c r="K483" s="13"/>
      <c r="L483" s="14"/>
      <c r="M483" s="4"/>
      <c r="N483" s="2"/>
      <c r="O483" s="4"/>
      <c r="P483" s="2"/>
      <c r="Q483" s="2"/>
      <c r="R483" s="4"/>
      <c r="S483" s="2"/>
      <c r="T483" s="2"/>
      <c r="U483" s="1"/>
      <c r="V483" s="2"/>
      <c r="W483" s="2"/>
      <c r="X483" s="2"/>
      <c r="Y483" s="2"/>
      <c r="Z483" s="2"/>
    </row>
    <row r="484" spans="1:26" ht="15.75" customHeight="1" x14ac:dyDescent="0.2">
      <c r="A484" s="12"/>
      <c r="B484" s="10"/>
      <c r="C484" s="11"/>
      <c r="D484" s="13"/>
      <c r="E484" s="13"/>
      <c r="F484" s="13"/>
      <c r="G484" s="2"/>
      <c r="H484" s="2"/>
      <c r="I484" s="13"/>
      <c r="J484" s="13"/>
      <c r="K484" s="13"/>
      <c r="L484" s="14"/>
      <c r="M484" s="4"/>
      <c r="N484" s="2"/>
      <c r="O484" s="4"/>
      <c r="P484" s="2"/>
      <c r="Q484" s="2"/>
      <c r="R484" s="4"/>
      <c r="S484" s="2"/>
      <c r="T484" s="2"/>
      <c r="U484" s="1"/>
      <c r="V484" s="2"/>
      <c r="W484" s="2"/>
      <c r="X484" s="2"/>
      <c r="Y484" s="2"/>
      <c r="Z484" s="2"/>
    </row>
    <row r="485" spans="1:26" ht="15.75" customHeight="1" x14ac:dyDescent="0.2">
      <c r="A485" s="12"/>
      <c r="B485" s="10"/>
      <c r="C485" s="11"/>
      <c r="D485" s="13"/>
      <c r="E485" s="13"/>
      <c r="F485" s="13"/>
      <c r="G485" s="2"/>
      <c r="H485" s="2"/>
      <c r="I485" s="13"/>
      <c r="J485" s="13"/>
      <c r="K485" s="13"/>
      <c r="L485" s="14"/>
      <c r="M485" s="4"/>
      <c r="N485" s="2"/>
      <c r="O485" s="4"/>
      <c r="P485" s="2"/>
      <c r="Q485" s="2"/>
      <c r="R485" s="4"/>
      <c r="S485" s="2"/>
      <c r="T485" s="2"/>
      <c r="U485" s="1"/>
      <c r="V485" s="2"/>
      <c r="W485" s="2"/>
      <c r="X485" s="2"/>
      <c r="Y485" s="2"/>
      <c r="Z485" s="2"/>
    </row>
    <row r="486" spans="1:26" ht="15.75" customHeight="1" x14ac:dyDescent="0.2">
      <c r="A486" s="12"/>
      <c r="B486" s="10"/>
      <c r="C486" s="11"/>
      <c r="D486" s="13"/>
      <c r="E486" s="13"/>
      <c r="F486" s="13"/>
      <c r="G486" s="2"/>
      <c r="H486" s="2"/>
      <c r="I486" s="13"/>
      <c r="J486" s="13"/>
      <c r="K486" s="13"/>
      <c r="L486" s="14"/>
      <c r="M486" s="4"/>
      <c r="N486" s="2"/>
      <c r="O486" s="4"/>
      <c r="P486" s="2"/>
      <c r="Q486" s="2"/>
      <c r="R486" s="4"/>
      <c r="S486" s="2"/>
      <c r="T486" s="2"/>
      <c r="U486" s="1"/>
      <c r="V486" s="2"/>
      <c r="W486" s="2"/>
      <c r="X486" s="2"/>
      <c r="Y486" s="2"/>
      <c r="Z486" s="2"/>
    </row>
    <row r="487" spans="1:26" ht="15.75" customHeight="1" x14ac:dyDescent="0.2">
      <c r="A487" s="12"/>
      <c r="B487" s="10"/>
      <c r="C487" s="11"/>
      <c r="D487" s="13"/>
      <c r="E487" s="13"/>
      <c r="F487" s="13"/>
      <c r="G487" s="2"/>
      <c r="H487" s="2"/>
      <c r="I487" s="13"/>
      <c r="J487" s="13"/>
      <c r="K487" s="13"/>
      <c r="L487" s="14"/>
      <c r="M487" s="4"/>
      <c r="N487" s="2"/>
      <c r="O487" s="4"/>
      <c r="P487" s="2"/>
      <c r="Q487" s="2"/>
      <c r="R487" s="4"/>
      <c r="S487" s="2"/>
      <c r="T487" s="2"/>
      <c r="U487" s="1"/>
      <c r="V487" s="2"/>
      <c r="W487" s="2"/>
      <c r="X487" s="2"/>
      <c r="Y487" s="2"/>
      <c r="Z487" s="2"/>
    </row>
    <row r="488" spans="1:26" ht="15.75" customHeight="1" x14ac:dyDescent="0.2">
      <c r="A488" s="12"/>
      <c r="B488" s="10"/>
      <c r="C488" s="11"/>
      <c r="D488" s="13"/>
      <c r="E488" s="13"/>
      <c r="F488" s="13"/>
      <c r="G488" s="2"/>
      <c r="H488" s="2"/>
      <c r="I488" s="13"/>
      <c r="J488" s="13"/>
      <c r="K488" s="13"/>
      <c r="L488" s="14"/>
      <c r="M488" s="4"/>
      <c r="N488" s="2"/>
      <c r="O488" s="4"/>
      <c r="P488" s="2"/>
      <c r="Q488" s="2"/>
      <c r="R488" s="4"/>
      <c r="S488" s="2"/>
      <c r="T488" s="2"/>
      <c r="U488" s="1"/>
      <c r="V488" s="2"/>
      <c r="W488" s="2"/>
      <c r="X488" s="2"/>
      <c r="Y488" s="2"/>
      <c r="Z488" s="2"/>
    </row>
    <row r="489" spans="1:26" ht="15.75" customHeight="1" x14ac:dyDescent="0.2">
      <c r="A489" s="12"/>
      <c r="B489" s="10"/>
      <c r="C489" s="11"/>
      <c r="D489" s="13"/>
      <c r="E489" s="13"/>
      <c r="F489" s="13"/>
      <c r="G489" s="2"/>
      <c r="H489" s="2"/>
      <c r="I489" s="13"/>
      <c r="J489" s="13"/>
      <c r="K489" s="13"/>
      <c r="L489" s="14"/>
      <c r="M489" s="4"/>
      <c r="N489" s="2"/>
      <c r="O489" s="4"/>
      <c r="P489" s="2"/>
      <c r="Q489" s="2"/>
      <c r="R489" s="4"/>
      <c r="S489" s="2"/>
      <c r="T489" s="2"/>
      <c r="U489" s="1"/>
      <c r="V489" s="2"/>
      <c r="W489" s="2"/>
      <c r="X489" s="2"/>
      <c r="Y489" s="2"/>
      <c r="Z489" s="2"/>
    </row>
    <row r="490" spans="1:26" ht="15.75" customHeight="1" x14ac:dyDescent="0.2">
      <c r="A490" s="12"/>
      <c r="B490" s="10"/>
      <c r="C490" s="11"/>
      <c r="D490" s="13"/>
      <c r="E490" s="13"/>
      <c r="F490" s="13"/>
      <c r="G490" s="2"/>
      <c r="H490" s="2"/>
      <c r="I490" s="13"/>
      <c r="J490" s="13"/>
      <c r="K490" s="13"/>
      <c r="L490" s="14"/>
      <c r="M490" s="4"/>
      <c r="N490" s="2"/>
      <c r="O490" s="4"/>
      <c r="P490" s="2"/>
      <c r="Q490" s="2"/>
      <c r="R490" s="4"/>
      <c r="S490" s="2"/>
      <c r="T490" s="2"/>
      <c r="U490" s="1"/>
      <c r="V490" s="2"/>
      <c r="W490" s="2"/>
      <c r="X490" s="2"/>
      <c r="Y490" s="2"/>
      <c r="Z490" s="2"/>
    </row>
    <row r="491" spans="1:26" ht="15.75" customHeight="1" x14ac:dyDescent="0.2">
      <c r="A491" s="12"/>
      <c r="B491" s="10"/>
      <c r="C491" s="11"/>
      <c r="D491" s="13"/>
      <c r="E491" s="13"/>
      <c r="F491" s="13"/>
      <c r="G491" s="2"/>
      <c r="H491" s="2"/>
      <c r="I491" s="13"/>
      <c r="J491" s="13"/>
      <c r="K491" s="13"/>
      <c r="L491" s="14"/>
      <c r="M491" s="4"/>
      <c r="N491" s="2"/>
      <c r="O491" s="4"/>
      <c r="P491" s="2"/>
      <c r="Q491" s="2"/>
      <c r="R491" s="4"/>
      <c r="S491" s="2"/>
      <c r="T491" s="2"/>
      <c r="U491" s="1"/>
      <c r="V491" s="2"/>
      <c r="W491" s="2"/>
      <c r="X491" s="2"/>
      <c r="Y491" s="2"/>
      <c r="Z491" s="2"/>
    </row>
    <row r="492" spans="1:26" ht="15.75" customHeight="1" x14ac:dyDescent="0.2">
      <c r="A492" s="12"/>
      <c r="B492" s="10"/>
      <c r="C492" s="11"/>
      <c r="D492" s="13"/>
      <c r="E492" s="13"/>
      <c r="F492" s="13"/>
      <c r="G492" s="2"/>
      <c r="H492" s="2"/>
      <c r="I492" s="13"/>
      <c r="J492" s="13"/>
      <c r="K492" s="13"/>
      <c r="L492" s="14"/>
      <c r="M492" s="4"/>
      <c r="N492" s="2"/>
      <c r="O492" s="4"/>
      <c r="P492" s="2"/>
      <c r="Q492" s="2"/>
      <c r="R492" s="4"/>
      <c r="S492" s="2"/>
      <c r="T492" s="2"/>
      <c r="U492" s="1"/>
      <c r="V492" s="2"/>
      <c r="W492" s="2"/>
      <c r="X492" s="2"/>
      <c r="Y492" s="2"/>
      <c r="Z492" s="2"/>
    </row>
    <row r="493" spans="1:26" ht="15.75" customHeight="1" x14ac:dyDescent="0.2">
      <c r="A493" s="12"/>
      <c r="B493" s="10"/>
      <c r="C493" s="11"/>
      <c r="D493" s="13"/>
      <c r="E493" s="13"/>
      <c r="F493" s="13"/>
      <c r="G493" s="2"/>
      <c r="H493" s="2"/>
      <c r="I493" s="13"/>
      <c r="J493" s="13"/>
      <c r="K493" s="13"/>
      <c r="L493" s="14"/>
      <c r="M493" s="4"/>
      <c r="N493" s="2"/>
      <c r="O493" s="4"/>
      <c r="P493" s="2"/>
      <c r="Q493" s="2"/>
      <c r="R493" s="4"/>
      <c r="S493" s="2"/>
      <c r="T493" s="2"/>
      <c r="U493" s="1"/>
      <c r="V493" s="2"/>
      <c r="W493" s="2"/>
      <c r="X493" s="2"/>
      <c r="Y493" s="2"/>
      <c r="Z493" s="2"/>
    </row>
    <row r="494" spans="1:26" ht="15.75" customHeight="1" x14ac:dyDescent="0.2">
      <c r="A494" s="12"/>
      <c r="B494" s="10"/>
      <c r="C494" s="11"/>
      <c r="D494" s="13"/>
      <c r="E494" s="13"/>
      <c r="F494" s="13"/>
      <c r="G494" s="2"/>
      <c r="H494" s="2"/>
      <c r="I494" s="13"/>
      <c r="J494" s="13"/>
      <c r="K494" s="13"/>
      <c r="L494" s="14"/>
      <c r="M494" s="4"/>
      <c r="N494" s="2"/>
      <c r="O494" s="4"/>
      <c r="P494" s="2"/>
      <c r="Q494" s="2"/>
      <c r="R494" s="4"/>
      <c r="S494" s="2"/>
      <c r="T494" s="2"/>
      <c r="U494" s="1"/>
      <c r="V494" s="2"/>
      <c r="W494" s="2"/>
      <c r="X494" s="2"/>
      <c r="Y494" s="2"/>
      <c r="Z494" s="2"/>
    </row>
    <row r="495" spans="1:26" ht="15.75" customHeight="1" x14ac:dyDescent="0.2">
      <c r="A495" s="12"/>
      <c r="B495" s="10"/>
      <c r="C495" s="11"/>
      <c r="D495" s="13"/>
      <c r="E495" s="13"/>
      <c r="F495" s="13"/>
      <c r="G495" s="2"/>
      <c r="H495" s="2"/>
      <c r="I495" s="13"/>
      <c r="J495" s="13"/>
      <c r="K495" s="13"/>
      <c r="L495" s="14"/>
      <c r="M495" s="4"/>
      <c r="N495" s="2"/>
      <c r="O495" s="4"/>
      <c r="P495" s="2"/>
      <c r="Q495" s="2"/>
      <c r="R495" s="4"/>
      <c r="S495" s="2"/>
      <c r="T495" s="2"/>
      <c r="U495" s="1"/>
      <c r="V495" s="2"/>
      <c r="W495" s="2"/>
      <c r="X495" s="2"/>
      <c r="Y495" s="2"/>
      <c r="Z495" s="2"/>
    </row>
    <row r="496" spans="1:26" ht="15.75" customHeight="1" x14ac:dyDescent="0.2">
      <c r="A496" s="12"/>
      <c r="B496" s="10"/>
      <c r="C496" s="11"/>
      <c r="D496" s="13"/>
      <c r="E496" s="13"/>
      <c r="F496" s="13"/>
      <c r="G496" s="2"/>
      <c r="H496" s="2"/>
      <c r="I496" s="13"/>
      <c r="J496" s="13"/>
      <c r="K496" s="13"/>
      <c r="L496" s="14"/>
      <c r="M496" s="4"/>
      <c r="N496" s="2"/>
      <c r="O496" s="4"/>
      <c r="P496" s="2"/>
      <c r="Q496" s="2"/>
      <c r="R496" s="4"/>
      <c r="S496" s="2"/>
      <c r="T496" s="2"/>
      <c r="U496" s="1"/>
      <c r="V496" s="2"/>
      <c r="W496" s="2"/>
      <c r="X496" s="2"/>
      <c r="Y496" s="2"/>
      <c r="Z496" s="2"/>
    </row>
    <row r="497" spans="1:26" ht="15.75" customHeight="1" x14ac:dyDescent="0.2">
      <c r="A497" s="12"/>
      <c r="B497" s="10"/>
      <c r="C497" s="11"/>
      <c r="D497" s="13"/>
      <c r="E497" s="13"/>
      <c r="F497" s="13"/>
      <c r="G497" s="2"/>
      <c r="H497" s="2"/>
      <c r="I497" s="13"/>
      <c r="J497" s="13"/>
      <c r="K497" s="13"/>
      <c r="L497" s="14"/>
      <c r="M497" s="4"/>
      <c r="N497" s="2"/>
      <c r="O497" s="4"/>
      <c r="P497" s="2"/>
      <c r="Q497" s="2"/>
      <c r="R497" s="4"/>
      <c r="S497" s="2"/>
      <c r="T497" s="2"/>
      <c r="U497" s="1"/>
      <c r="V497" s="2"/>
      <c r="W497" s="2"/>
      <c r="X497" s="2"/>
      <c r="Y497" s="2"/>
      <c r="Z497" s="2"/>
    </row>
    <row r="498" spans="1:26" ht="15.75" customHeight="1" x14ac:dyDescent="0.2">
      <c r="A498" s="12"/>
      <c r="B498" s="10"/>
      <c r="C498" s="11"/>
      <c r="D498" s="13"/>
      <c r="E498" s="13"/>
      <c r="F498" s="13"/>
      <c r="G498" s="2"/>
      <c r="H498" s="2"/>
      <c r="I498" s="13"/>
      <c r="J498" s="13"/>
      <c r="K498" s="13"/>
      <c r="L498" s="14"/>
      <c r="M498" s="4"/>
      <c r="N498" s="2"/>
      <c r="O498" s="4"/>
      <c r="P498" s="2"/>
      <c r="Q498" s="2"/>
      <c r="R498" s="4"/>
      <c r="S498" s="2"/>
      <c r="T498" s="2"/>
      <c r="U498" s="1"/>
      <c r="V498" s="2"/>
      <c r="W498" s="2"/>
      <c r="X498" s="2"/>
      <c r="Y498" s="2"/>
      <c r="Z498" s="2"/>
    </row>
    <row r="499" spans="1:26" ht="15.75" customHeight="1" x14ac:dyDescent="0.2">
      <c r="A499" s="12"/>
      <c r="B499" s="10"/>
      <c r="C499" s="11"/>
      <c r="D499" s="13"/>
      <c r="E499" s="13"/>
      <c r="F499" s="13"/>
      <c r="G499" s="2"/>
      <c r="H499" s="2"/>
      <c r="I499" s="13"/>
      <c r="J499" s="13"/>
      <c r="K499" s="13"/>
      <c r="L499" s="14"/>
      <c r="M499" s="4"/>
      <c r="N499" s="2"/>
      <c r="O499" s="4"/>
      <c r="P499" s="2"/>
      <c r="Q499" s="2"/>
      <c r="R499" s="4"/>
      <c r="S499" s="2"/>
      <c r="T499" s="2"/>
      <c r="U499" s="1"/>
      <c r="V499" s="2"/>
      <c r="W499" s="2"/>
      <c r="X499" s="2"/>
      <c r="Y499" s="2"/>
      <c r="Z499" s="2"/>
    </row>
    <row r="500" spans="1:26" ht="15.75" customHeight="1" x14ac:dyDescent="0.2">
      <c r="A500" s="12"/>
      <c r="B500" s="10"/>
      <c r="C500" s="11"/>
      <c r="D500" s="13"/>
      <c r="E500" s="13"/>
      <c r="F500" s="13"/>
      <c r="G500" s="2"/>
      <c r="H500" s="2"/>
      <c r="I500" s="13"/>
      <c r="J500" s="13"/>
      <c r="K500" s="13"/>
      <c r="L500" s="14"/>
      <c r="M500" s="4"/>
      <c r="N500" s="2"/>
      <c r="O500" s="4"/>
      <c r="P500" s="2"/>
      <c r="Q500" s="2"/>
      <c r="R500" s="4"/>
      <c r="S500" s="2"/>
      <c r="T500" s="2"/>
      <c r="U500" s="1"/>
      <c r="V500" s="2"/>
      <c r="W500" s="2"/>
      <c r="X500" s="2"/>
      <c r="Y500" s="2"/>
      <c r="Z500" s="2"/>
    </row>
    <row r="501" spans="1:26" ht="15.75" customHeight="1" x14ac:dyDescent="0.2">
      <c r="A501" s="12"/>
      <c r="B501" s="10"/>
      <c r="C501" s="11"/>
      <c r="D501" s="13"/>
      <c r="E501" s="13"/>
      <c r="F501" s="13"/>
      <c r="G501" s="2"/>
      <c r="H501" s="2"/>
      <c r="I501" s="13"/>
      <c r="J501" s="13"/>
      <c r="K501" s="13"/>
      <c r="L501" s="14"/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ht="15.75" customHeight="1" x14ac:dyDescent="0.2">
      <c r="A502" s="12"/>
      <c r="B502" s="10"/>
      <c r="C502" s="11"/>
      <c r="D502" s="13"/>
      <c r="E502" s="13"/>
      <c r="F502" s="13"/>
      <c r="G502" s="2"/>
      <c r="H502" s="2"/>
      <c r="I502" s="13"/>
      <c r="J502" s="13"/>
      <c r="K502" s="13"/>
      <c r="L502" s="14"/>
      <c r="M502" s="4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ht="15.75" customHeight="1" x14ac:dyDescent="0.2">
      <c r="A503" s="12"/>
      <c r="B503" s="10"/>
      <c r="C503" s="11"/>
      <c r="D503" s="13"/>
      <c r="E503" s="13"/>
      <c r="F503" s="13"/>
      <c r="G503" s="2"/>
      <c r="H503" s="2"/>
      <c r="I503" s="13"/>
      <c r="J503" s="13"/>
      <c r="K503" s="13"/>
      <c r="L503" s="14"/>
      <c r="M503" s="4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ht="15.75" customHeight="1" x14ac:dyDescent="0.2">
      <c r="A504" s="12"/>
      <c r="B504" s="10"/>
      <c r="C504" s="11"/>
      <c r="D504" s="13"/>
      <c r="E504" s="13"/>
      <c r="F504" s="13"/>
      <c r="G504" s="2"/>
      <c r="H504" s="2"/>
      <c r="I504" s="13"/>
      <c r="J504" s="13"/>
      <c r="K504" s="13"/>
      <c r="L504" s="14"/>
      <c r="M504" s="4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ht="15.75" customHeight="1" x14ac:dyDescent="0.2">
      <c r="A505" s="12"/>
      <c r="B505" s="10"/>
      <c r="C505" s="11"/>
      <c r="D505" s="13"/>
      <c r="E505" s="13"/>
      <c r="F505" s="13"/>
      <c r="G505" s="2"/>
      <c r="H505" s="2"/>
      <c r="I505" s="13"/>
      <c r="J505" s="13"/>
      <c r="K505" s="13"/>
      <c r="L505" s="14"/>
      <c r="M505" s="4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ht="15.75" customHeight="1" x14ac:dyDescent="0.2">
      <c r="A506" s="12"/>
      <c r="B506" s="10"/>
      <c r="C506" s="11"/>
      <c r="D506" s="13"/>
      <c r="E506" s="13"/>
      <c r="F506" s="13"/>
      <c r="G506" s="2"/>
      <c r="H506" s="2"/>
      <c r="I506" s="13"/>
      <c r="J506" s="13"/>
      <c r="K506" s="13"/>
      <c r="L506" s="14"/>
      <c r="M506" s="4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ht="15.75" customHeight="1" x14ac:dyDescent="0.2">
      <c r="A507" s="12"/>
      <c r="B507" s="10"/>
      <c r="C507" s="11"/>
      <c r="D507" s="13"/>
      <c r="E507" s="13"/>
      <c r="F507" s="13"/>
      <c r="G507" s="2"/>
      <c r="H507" s="2"/>
      <c r="I507" s="13"/>
      <c r="J507" s="13"/>
      <c r="K507" s="13"/>
      <c r="L507" s="14"/>
      <c r="M507" s="4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ht="15.75" customHeight="1" x14ac:dyDescent="0.2">
      <c r="A508" s="12"/>
      <c r="B508" s="10"/>
      <c r="C508" s="11"/>
      <c r="D508" s="13"/>
      <c r="E508" s="13"/>
      <c r="F508" s="13"/>
      <c r="G508" s="2"/>
      <c r="H508" s="2"/>
      <c r="I508" s="13"/>
      <c r="J508" s="13"/>
      <c r="K508" s="13"/>
      <c r="L508" s="14"/>
      <c r="M508" s="4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ht="15.75" customHeight="1" x14ac:dyDescent="0.2">
      <c r="A509" s="12"/>
      <c r="B509" s="10"/>
      <c r="C509" s="11"/>
      <c r="D509" s="13"/>
      <c r="E509" s="13"/>
      <c r="F509" s="13"/>
      <c r="G509" s="2"/>
      <c r="H509" s="2"/>
      <c r="I509" s="13"/>
      <c r="J509" s="13"/>
      <c r="K509" s="13"/>
      <c r="L509" s="14"/>
      <c r="M509" s="4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ht="15.75" customHeight="1" x14ac:dyDescent="0.2">
      <c r="A510" s="12"/>
      <c r="B510" s="10"/>
      <c r="C510" s="11"/>
      <c r="D510" s="13"/>
      <c r="E510" s="13"/>
      <c r="F510" s="13"/>
      <c r="G510" s="2"/>
      <c r="H510" s="2"/>
      <c r="I510" s="13"/>
      <c r="J510" s="13"/>
      <c r="K510" s="13"/>
      <c r="L510" s="14"/>
      <c r="M510" s="4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ht="15.75" customHeight="1" x14ac:dyDescent="0.2">
      <c r="A511" s="12"/>
      <c r="B511" s="10"/>
      <c r="C511" s="11"/>
      <c r="D511" s="13"/>
      <c r="E511" s="13"/>
      <c r="F511" s="13"/>
      <c r="G511" s="2"/>
      <c r="H511" s="2"/>
      <c r="I511" s="13"/>
      <c r="J511" s="13"/>
      <c r="K511" s="13"/>
      <c r="L511" s="14"/>
      <c r="M511" s="4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ht="15.75" customHeight="1" x14ac:dyDescent="0.2">
      <c r="A512" s="12"/>
      <c r="B512" s="10"/>
      <c r="C512" s="11"/>
      <c r="D512" s="13"/>
      <c r="E512" s="13"/>
      <c r="F512" s="13"/>
      <c r="G512" s="2"/>
      <c r="H512" s="2"/>
      <c r="I512" s="13"/>
      <c r="J512" s="13"/>
      <c r="K512" s="13"/>
      <c r="L512" s="14"/>
      <c r="M512" s="4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ht="15.75" customHeight="1" x14ac:dyDescent="0.2">
      <c r="A513" s="12"/>
      <c r="B513" s="10"/>
      <c r="C513" s="11"/>
      <c r="D513" s="13"/>
      <c r="E513" s="13"/>
      <c r="F513" s="13"/>
      <c r="G513" s="2"/>
      <c r="H513" s="2"/>
      <c r="I513" s="13"/>
      <c r="J513" s="13"/>
      <c r="K513" s="13"/>
      <c r="L513" s="14"/>
      <c r="M513" s="4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ht="15.75" customHeight="1" x14ac:dyDescent="0.2">
      <c r="A514" s="12"/>
      <c r="B514" s="10"/>
      <c r="C514" s="11"/>
      <c r="D514" s="13"/>
      <c r="E514" s="13"/>
      <c r="F514" s="13"/>
      <c r="G514" s="2"/>
      <c r="H514" s="2"/>
      <c r="I514" s="13"/>
      <c r="J514" s="13"/>
      <c r="K514" s="13"/>
      <c r="L514" s="14"/>
      <c r="M514" s="4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ht="15.75" customHeight="1" x14ac:dyDescent="0.2">
      <c r="A515" s="12"/>
      <c r="B515" s="10"/>
      <c r="C515" s="11"/>
      <c r="D515" s="13"/>
      <c r="E515" s="13"/>
      <c r="F515" s="13"/>
      <c r="G515" s="2"/>
      <c r="H515" s="2"/>
      <c r="I515" s="13"/>
      <c r="J515" s="13"/>
      <c r="K515" s="13"/>
      <c r="L515" s="14"/>
      <c r="M515" s="4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ht="15.75" customHeight="1" x14ac:dyDescent="0.2">
      <c r="A516" s="12"/>
      <c r="B516" s="10"/>
      <c r="C516" s="11"/>
      <c r="D516" s="13"/>
      <c r="E516" s="13"/>
      <c r="F516" s="13"/>
      <c r="G516" s="2"/>
      <c r="H516" s="2"/>
      <c r="I516" s="13"/>
      <c r="J516" s="13"/>
      <c r="K516" s="13"/>
      <c r="L516" s="14"/>
      <c r="M516" s="4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ht="15.75" customHeight="1" x14ac:dyDescent="0.2">
      <c r="A517" s="12"/>
      <c r="B517" s="10"/>
      <c r="C517" s="11"/>
      <c r="D517" s="13"/>
      <c r="E517" s="13"/>
      <c r="F517" s="13"/>
      <c r="G517" s="2"/>
      <c r="H517" s="2"/>
      <c r="I517" s="13"/>
      <c r="J517" s="13"/>
      <c r="K517" s="13"/>
      <c r="L517" s="14"/>
      <c r="M517" s="4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ht="15.75" customHeight="1" x14ac:dyDescent="0.2">
      <c r="A518" s="12"/>
      <c r="B518" s="10"/>
      <c r="C518" s="11"/>
      <c r="D518" s="13"/>
      <c r="E518" s="13"/>
      <c r="F518" s="13"/>
      <c r="G518" s="2"/>
      <c r="H518" s="2"/>
      <c r="I518" s="13"/>
      <c r="J518" s="13"/>
      <c r="K518" s="13"/>
      <c r="L518" s="14"/>
      <c r="M518" s="4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ht="15.75" customHeight="1" x14ac:dyDescent="0.2">
      <c r="A519" s="12"/>
      <c r="B519" s="10"/>
      <c r="C519" s="11"/>
      <c r="D519" s="13"/>
      <c r="E519" s="13"/>
      <c r="F519" s="13"/>
      <c r="G519" s="2"/>
      <c r="H519" s="2"/>
      <c r="I519" s="13"/>
      <c r="J519" s="13"/>
      <c r="K519" s="13"/>
      <c r="L519" s="14"/>
      <c r="M519" s="4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ht="15.75" customHeight="1" x14ac:dyDescent="0.2">
      <c r="A520" s="12"/>
      <c r="B520" s="10"/>
      <c r="C520" s="11"/>
      <c r="D520" s="13"/>
      <c r="E520" s="13"/>
      <c r="F520" s="13"/>
      <c r="G520" s="2"/>
      <c r="H520" s="2"/>
      <c r="I520" s="13"/>
      <c r="J520" s="13"/>
      <c r="K520" s="13"/>
      <c r="L520" s="14"/>
      <c r="M520" s="4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ht="15.75" customHeight="1" x14ac:dyDescent="0.2">
      <c r="A521" s="12"/>
      <c r="B521" s="10"/>
      <c r="C521" s="11"/>
      <c r="D521" s="13"/>
      <c r="E521" s="13"/>
      <c r="F521" s="13"/>
      <c r="G521" s="2"/>
      <c r="H521" s="2"/>
      <c r="I521" s="13"/>
      <c r="J521" s="13"/>
      <c r="K521" s="13"/>
      <c r="L521" s="14"/>
      <c r="M521" s="4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ht="15.75" customHeight="1" x14ac:dyDescent="0.2">
      <c r="A522" s="12"/>
      <c r="B522" s="10"/>
      <c r="C522" s="11"/>
      <c r="D522" s="13"/>
      <c r="E522" s="13"/>
      <c r="F522" s="13"/>
      <c r="G522" s="2"/>
      <c r="H522" s="2"/>
      <c r="I522" s="13"/>
      <c r="J522" s="13"/>
      <c r="K522" s="13"/>
      <c r="L522" s="14"/>
      <c r="M522" s="4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ht="15.75" customHeight="1" x14ac:dyDescent="0.2">
      <c r="A523" s="12"/>
      <c r="B523" s="10"/>
      <c r="C523" s="11"/>
      <c r="D523" s="13"/>
      <c r="E523" s="13"/>
      <c r="F523" s="13"/>
      <c r="G523" s="2"/>
      <c r="H523" s="2"/>
      <c r="I523" s="13"/>
      <c r="J523" s="13"/>
      <c r="K523" s="13"/>
      <c r="L523" s="14"/>
      <c r="M523" s="4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ht="15.75" customHeight="1" x14ac:dyDescent="0.2">
      <c r="A524" s="12"/>
      <c r="B524" s="10"/>
      <c r="C524" s="11"/>
      <c r="D524" s="13"/>
      <c r="E524" s="13"/>
      <c r="F524" s="13"/>
      <c r="G524" s="2"/>
      <c r="H524" s="2"/>
      <c r="I524" s="13"/>
      <c r="J524" s="13"/>
      <c r="K524" s="13"/>
      <c r="L524" s="14"/>
      <c r="M524" s="4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ht="15.75" customHeight="1" x14ac:dyDescent="0.2">
      <c r="A525" s="12"/>
      <c r="B525" s="10"/>
      <c r="C525" s="11"/>
      <c r="D525" s="13"/>
      <c r="E525" s="13"/>
      <c r="F525" s="13"/>
      <c r="G525" s="2"/>
      <c r="H525" s="2"/>
      <c r="I525" s="13"/>
      <c r="J525" s="13"/>
      <c r="K525" s="13"/>
      <c r="L525" s="14"/>
      <c r="M525" s="4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ht="15.75" customHeight="1" x14ac:dyDescent="0.2">
      <c r="A526" s="12"/>
      <c r="B526" s="10"/>
      <c r="C526" s="11"/>
      <c r="D526" s="13"/>
      <c r="E526" s="13"/>
      <c r="F526" s="13"/>
      <c r="G526" s="2"/>
      <c r="H526" s="2"/>
      <c r="I526" s="13"/>
      <c r="J526" s="13"/>
      <c r="K526" s="13"/>
      <c r="L526" s="14"/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ht="15.75" customHeight="1" x14ac:dyDescent="0.2">
      <c r="A527" s="12"/>
      <c r="B527" s="10"/>
      <c r="C527" s="11"/>
      <c r="D527" s="13"/>
      <c r="E527" s="13"/>
      <c r="F527" s="13"/>
      <c r="G527" s="2"/>
      <c r="H527" s="2"/>
      <c r="I527" s="13"/>
      <c r="J527" s="13"/>
      <c r="K527" s="13"/>
      <c r="L527" s="14"/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A528" s="12"/>
      <c r="B528" s="10"/>
      <c r="C528" s="11"/>
      <c r="D528" s="13"/>
      <c r="E528" s="13"/>
      <c r="F528" s="13"/>
      <c r="G528" s="2"/>
      <c r="H528" s="2"/>
      <c r="I528" s="13"/>
      <c r="J528" s="13"/>
      <c r="K528" s="13"/>
      <c r="L528" s="14"/>
      <c r="M528" s="4"/>
      <c r="N528" s="2"/>
      <c r="O528" s="4"/>
      <c r="P528" s="2"/>
      <c r="Q528" s="2"/>
      <c r="R528" s="4"/>
      <c r="S528" s="2"/>
      <c r="T528" s="2"/>
      <c r="U528" s="1"/>
      <c r="V528" s="2"/>
      <c r="W528" s="2"/>
      <c r="X528" s="2"/>
      <c r="Y528" s="2"/>
      <c r="Z528" s="2"/>
    </row>
    <row r="529" spans="1:26" ht="15.75" customHeight="1" x14ac:dyDescent="0.2">
      <c r="A529" s="12"/>
      <c r="B529" s="10"/>
      <c r="C529" s="11"/>
      <c r="D529" s="13"/>
      <c r="E529" s="13"/>
      <c r="F529" s="13"/>
      <c r="G529" s="2"/>
      <c r="H529" s="2"/>
      <c r="I529" s="13"/>
      <c r="J529" s="13"/>
      <c r="K529" s="13"/>
      <c r="L529" s="14"/>
      <c r="M529" s="4"/>
      <c r="N529" s="2"/>
      <c r="O529" s="4"/>
      <c r="P529" s="2"/>
      <c r="Q529" s="2"/>
      <c r="R529" s="4"/>
      <c r="S529" s="2"/>
      <c r="T529" s="2"/>
      <c r="U529" s="1"/>
      <c r="V529" s="2"/>
      <c r="W529" s="2"/>
      <c r="X529" s="2"/>
      <c r="Y529" s="2"/>
      <c r="Z529" s="2"/>
    </row>
    <row r="530" spans="1:26" ht="15.75" customHeight="1" x14ac:dyDescent="0.2">
      <c r="A530" s="12"/>
      <c r="B530" s="10"/>
      <c r="C530" s="11"/>
      <c r="D530" s="13"/>
      <c r="E530" s="13"/>
      <c r="F530" s="13"/>
      <c r="G530" s="2"/>
      <c r="H530" s="2"/>
      <c r="I530" s="13"/>
      <c r="J530" s="13"/>
      <c r="K530" s="13"/>
      <c r="L530" s="14"/>
      <c r="M530" s="4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ht="15.75" customHeight="1" x14ac:dyDescent="0.2">
      <c r="A531" s="12"/>
      <c r="B531" s="10"/>
      <c r="C531" s="11"/>
      <c r="D531" s="13"/>
      <c r="E531" s="13"/>
      <c r="F531" s="13"/>
      <c r="G531" s="2"/>
      <c r="H531" s="2"/>
      <c r="I531" s="13"/>
      <c r="J531" s="13"/>
      <c r="K531" s="13"/>
      <c r="L531" s="14"/>
      <c r="M531" s="4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ht="15.75" customHeight="1" x14ac:dyDescent="0.2">
      <c r="A532" s="12"/>
      <c r="B532" s="10"/>
      <c r="C532" s="11"/>
      <c r="D532" s="13"/>
      <c r="E532" s="13"/>
      <c r="F532" s="13"/>
      <c r="G532" s="2"/>
      <c r="H532" s="2"/>
      <c r="I532" s="13"/>
      <c r="J532" s="13"/>
      <c r="K532" s="13"/>
      <c r="L532" s="14"/>
      <c r="M532" s="4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ht="15.75" customHeight="1" x14ac:dyDescent="0.2">
      <c r="A533" s="12"/>
      <c r="B533" s="10"/>
      <c r="C533" s="11"/>
      <c r="D533" s="13"/>
      <c r="E533" s="13"/>
      <c r="F533" s="13"/>
      <c r="G533" s="2"/>
      <c r="H533" s="2"/>
      <c r="I533" s="13"/>
      <c r="J533" s="13"/>
      <c r="K533" s="13"/>
      <c r="L533" s="14"/>
      <c r="M533" s="4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ht="15.75" customHeight="1" x14ac:dyDescent="0.2">
      <c r="A534" s="12"/>
      <c r="B534" s="10"/>
      <c r="C534" s="11"/>
      <c r="D534" s="13"/>
      <c r="E534" s="13"/>
      <c r="F534" s="13"/>
      <c r="G534" s="2"/>
      <c r="H534" s="2"/>
      <c r="I534" s="13"/>
      <c r="J534" s="13"/>
      <c r="K534" s="13"/>
      <c r="L534" s="14"/>
      <c r="M534" s="4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ht="15.75" customHeight="1" x14ac:dyDescent="0.2">
      <c r="A535" s="12"/>
      <c r="B535" s="10"/>
      <c r="C535" s="11"/>
      <c r="D535" s="13"/>
      <c r="E535" s="13"/>
      <c r="F535" s="13"/>
      <c r="G535" s="2"/>
      <c r="H535" s="2"/>
      <c r="I535" s="13"/>
      <c r="J535" s="13"/>
      <c r="K535" s="13"/>
      <c r="L535" s="14"/>
      <c r="M535" s="4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ht="15.75" customHeight="1" x14ac:dyDescent="0.2">
      <c r="A536" s="12"/>
      <c r="B536" s="10"/>
      <c r="C536" s="11"/>
      <c r="D536" s="13"/>
      <c r="E536" s="13"/>
      <c r="F536" s="13"/>
      <c r="G536" s="2"/>
      <c r="H536" s="2"/>
      <c r="I536" s="13"/>
      <c r="J536" s="13"/>
      <c r="K536" s="13"/>
      <c r="L536" s="14"/>
      <c r="M536" s="4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ht="15.75" customHeight="1" x14ac:dyDescent="0.2">
      <c r="A537" s="12"/>
      <c r="B537" s="10"/>
      <c r="C537" s="11"/>
      <c r="D537" s="13"/>
      <c r="E537" s="13"/>
      <c r="F537" s="13"/>
      <c r="G537" s="2"/>
      <c r="H537" s="2"/>
      <c r="I537" s="13"/>
      <c r="J537" s="13"/>
      <c r="K537" s="13"/>
      <c r="L537" s="14"/>
      <c r="M537" s="4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ht="15.75" customHeight="1" x14ac:dyDescent="0.2">
      <c r="A538" s="12"/>
      <c r="B538" s="10"/>
      <c r="C538" s="11"/>
      <c r="D538" s="13"/>
      <c r="E538" s="13"/>
      <c r="F538" s="13"/>
      <c r="G538" s="2"/>
      <c r="H538" s="2"/>
      <c r="I538" s="13"/>
      <c r="J538" s="13"/>
      <c r="K538" s="13"/>
      <c r="L538" s="14"/>
      <c r="M538" s="4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ht="15.75" customHeight="1" x14ac:dyDescent="0.2">
      <c r="A539" s="12"/>
      <c r="B539" s="10"/>
      <c r="C539" s="11"/>
      <c r="D539" s="13"/>
      <c r="E539" s="13"/>
      <c r="F539" s="13"/>
      <c r="G539" s="2"/>
      <c r="H539" s="2"/>
      <c r="I539" s="13"/>
      <c r="J539" s="13"/>
      <c r="K539" s="13"/>
      <c r="L539" s="14"/>
      <c r="M539" s="4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ht="15.75" customHeight="1" x14ac:dyDescent="0.2">
      <c r="A540" s="12"/>
      <c r="B540" s="10"/>
      <c r="C540" s="11"/>
      <c r="D540" s="13"/>
      <c r="E540" s="13"/>
      <c r="F540" s="13"/>
      <c r="G540" s="2"/>
      <c r="H540" s="2"/>
      <c r="I540" s="13"/>
      <c r="J540" s="13"/>
      <c r="K540" s="13"/>
      <c r="L540" s="14"/>
      <c r="M540" s="4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ht="15.75" customHeight="1" x14ac:dyDescent="0.2">
      <c r="A541" s="12"/>
      <c r="B541" s="10"/>
      <c r="C541" s="11"/>
      <c r="D541" s="13"/>
      <c r="E541" s="13"/>
      <c r="F541" s="13"/>
      <c r="G541" s="2"/>
      <c r="H541" s="2"/>
      <c r="I541" s="13"/>
      <c r="J541" s="13"/>
      <c r="K541" s="13"/>
      <c r="L541" s="14"/>
      <c r="M541" s="4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ht="15.75" customHeight="1" x14ac:dyDescent="0.2">
      <c r="A542" s="12"/>
      <c r="B542" s="10"/>
      <c r="C542" s="11"/>
      <c r="D542" s="13"/>
      <c r="E542" s="13"/>
      <c r="F542" s="13"/>
      <c r="G542" s="2"/>
      <c r="H542" s="2"/>
      <c r="I542" s="13"/>
      <c r="J542" s="13"/>
      <c r="K542" s="13"/>
      <c r="L542" s="14"/>
      <c r="M542" s="4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ht="15.75" customHeight="1" x14ac:dyDescent="0.2">
      <c r="A543" s="12"/>
      <c r="B543" s="10"/>
      <c r="C543" s="11"/>
      <c r="D543" s="13"/>
      <c r="E543" s="13"/>
      <c r="F543" s="13"/>
      <c r="G543" s="2"/>
      <c r="H543" s="2"/>
      <c r="I543" s="13"/>
      <c r="J543" s="13"/>
      <c r="K543" s="13"/>
      <c r="L543" s="14"/>
      <c r="M543" s="4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ht="15.75" customHeight="1" x14ac:dyDescent="0.2">
      <c r="A544" s="12"/>
      <c r="B544" s="10"/>
      <c r="C544" s="11"/>
      <c r="D544" s="13"/>
      <c r="E544" s="13"/>
      <c r="F544" s="13"/>
      <c r="G544" s="2"/>
      <c r="H544" s="2"/>
      <c r="I544" s="13"/>
      <c r="J544" s="13"/>
      <c r="K544" s="13"/>
      <c r="L544" s="14"/>
      <c r="M544" s="4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ht="15.75" customHeight="1" x14ac:dyDescent="0.2">
      <c r="A545" s="12"/>
      <c r="B545" s="10"/>
      <c r="C545" s="11"/>
      <c r="D545" s="13"/>
      <c r="E545" s="13"/>
      <c r="F545" s="13"/>
      <c r="G545" s="2"/>
      <c r="H545" s="2"/>
      <c r="I545" s="13"/>
      <c r="J545" s="13"/>
      <c r="K545" s="13"/>
      <c r="L545" s="14"/>
      <c r="M545" s="4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ht="15.75" customHeight="1" x14ac:dyDescent="0.2">
      <c r="A546" s="12"/>
      <c r="B546" s="10"/>
      <c r="C546" s="11"/>
      <c r="D546" s="13"/>
      <c r="E546" s="13"/>
      <c r="F546" s="13"/>
      <c r="G546" s="2"/>
      <c r="H546" s="2"/>
      <c r="I546" s="13"/>
      <c r="J546" s="13"/>
      <c r="K546" s="13"/>
      <c r="L546" s="14"/>
      <c r="M546" s="4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ht="15.75" customHeight="1" x14ac:dyDescent="0.2">
      <c r="A547" s="12"/>
      <c r="B547" s="10"/>
      <c r="C547" s="11"/>
      <c r="D547" s="13"/>
      <c r="E547" s="13"/>
      <c r="F547" s="13"/>
      <c r="G547" s="2"/>
      <c r="H547" s="2"/>
      <c r="I547" s="13"/>
      <c r="J547" s="13"/>
      <c r="K547" s="13"/>
      <c r="L547" s="14"/>
      <c r="M547" s="4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ht="15.75" customHeight="1" x14ac:dyDescent="0.2">
      <c r="A548" s="12"/>
      <c r="B548" s="10"/>
      <c r="C548" s="11"/>
      <c r="D548" s="13"/>
      <c r="E548" s="13"/>
      <c r="F548" s="13"/>
      <c r="G548" s="2"/>
      <c r="H548" s="2"/>
      <c r="I548" s="13"/>
      <c r="J548" s="13"/>
      <c r="K548" s="13"/>
      <c r="L548" s="14"/>
      <c r="M548" s="4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ht="15.75" customHeight="1" x14ac:dyDescent="0.2">
      <c r="A549" s="12"/>
      <c r="B549" s="10"/>
      <c r="C549" s="11"/>
      <c r="D549" s="13"/>
      <c r="E549" s="13"/>
      <c r="F549" s="13"/>
      <c r="G549" s="2"/>
      <c r="H549" s="2"/>
      <c r="I549" s="13"/>
      <c r="J549" s="13"/>
      <c r="K549" s="13"/>
      <c r="L549" s="14"/>
      <c r="M549" s="4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ht="15.75" customHeight="1" x14ac:dyDescent="0.2">
      <c r="A550" s="12"/>
      <c r="B550" s="10"/>
      <c r="C550" s="11"/>
      <c r="D550" s="13"/>
      <c r="E550" s="13"/>
      <c r="F550" s="13"/>
      <c r="G550" s="2"/>
      <c r="H550" s="2"/>
      <c r="I550" s="13"/>
      <c r="J550" s="13"/>
      <c r="K550" s="13"/>
      <c r="L550" s="14"/>
      <c r="M550" s="4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ht="15.75" customHeight="1" x14ac:dyDescent="0.2">
      <c r="A551" s="12"/>
      <c r="B551" s="10"/>
      <c r="C551" s="11"/>
      <c r="D551" s="13"/>
      <c r="E551" s="13"/>
      <c r="F551" s="13"/>
      <c r="G551" s="2"/>
      <c r="H551" s="2"/>
      <c r="I551" s="13"/>
      <c r="J551" s="13"/>
      <c r="K551" s="13"/>
      <c r="L551" s="14"/>
      <c r="M551" s="4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ht="15.75" customHeight="1" x14ac:dyDescent="0.2">
      <c r="A552" s="12"/>
      <c r="B552" s="10"/>
      <c r="C552" s="11"/>
      <c r="D552" s="13"/>
      <c r="E552" s="13"/>
      <c r="F552" s="13"/>
      <c r="G552" s="2"/>
      <c r="H552" s="2"/>
      <c r="I552" s="13"/>
      <c r="J552" s="13"/>
      <c r="K552" s="13"/>
      <c r="L552" s="14"/>
      <c r="M552" s="4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ht="15.75" customHeight="1" x14ac:dyDescent="0.2">
      <c r="A553" s="12"/>
      <c r="B553" s="10"/>
      <c r="C553" s="11"/>
      <c r="D553" s="13"/>
      <c r="E553" s="13"/>
      <c r="F553" s="13"/>
      <c r="G553" s="2"/>
      <c r="H553" s="2"/>
      <c r="I553" s="13"/>
      <c r="J553" s="13"/>
      <c r="K553" s="13"/>
      <c r="L553" s="14"/>
      <c r="M553" s="4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ht="15.75" customHeight="1" x14ac:dyDescent="0.2">
      <c r="A554" s="12"/>
      <c r="B554" s="10"/>
      <c r="C554" s="11"/>
      <c r="D554" s="13"/>
      <c r="E554" s="13"/>
      <c r="F554" s="13"/>
      <c r="G554" s="2"/>
      <c r="H554" s="2"/>
      <c r="I554" s="13"/>
      <c r="J554" s="13"/>
      <c r="K554" s="13"/>
      <c r="L554" s="14"/>
      <c r="M554" s="4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ht="15.75" customHeight="1" x14ac:dyDescent="0.2">
      <c r="A555" s="12"/>
      <c r="B555" s="10"/>
      <c r="C555" s="11"/>
      <c r="D555" s="13"/>
      <c r="E555" s="13"/>
      <c r="F555" s="13"/>
      <c r="G555" s="2"/>
      <c r="H555" s="2"/>
      <c r="I555" s="13"/>
      <c r="J555" s="13"/>
      <c r="K555" s="13"/>
      <c r="L555" s="14"/>
      <c r="M555" s="4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ht="15.75" customHeight="1" x14ac:dyDescent="0.2">
      <c r="A556" s="12"/>
      <c r="B556" s="10"/>
      <c r="C556" s="11"/>
      <c r="D556" s="13"/>
      <c r="E556" s="13"/>
      <c r="F556" s="13"/>
      <c r="G556" s="2"/>
      <c r="H556" s="2"/>
      <c r="I556" s="13"/>
      <c r="J556" s="13"/>
      <c r="K556" s="13"/>
      <c r="L556" s="14"/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ht="15.75" customHeight="1" x14ac:dyDescent="0.2">
      <c r="A557" s="12"/>
      <c r="B557" s="10"/>
      <c r="C557" s="11"/>
      <c r="D557" s="13"/>
      <c r="E557" s="13"/>
      <c r="F557" s="13"/>
      <c r="G557" s="2"/>
      <c r="H557" s="2"/>
      <c r="I557" s="13"/>
      <c r="J557" s="13"/>
      <c r="K557" s="13"/>
      <c r="L557" s="14"/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2"/>
      <c r="B558" s="10"/>
      <c r="C558" s="11"/>
      <c r="D558" s="13"/>
      <c r="E558" s="13"/>
      <c r="F558" s="13"/>
      <c r="G558" s="2"/>
      <c r="H558" s="2"/>
      <c r="I558" s="13"/>
      <c r="J558" s="13"/>
      <c r="K558" s="13"/>
      <c r="L558" s="14"/>
      <c r="M558" s="4"/>
      <c r="N558" s="2"/>
      <c r="O558" s="4"/>
      <c r="P558" s="2"/>
      <c r="Q558" s="2"/>
      <c r="R558" s="4"/>
      <c r="S558" s="2"/>
      <c r="T558" s="2"/>
      <c r="U558" s="1"/>
      <c r="V558" s="2"/>
      <c r="W558" s="2"/>
      <c r="X558" s="2"/>
      <c r="Y558" s="2"/>
      <c r="Z558" s="2"/>
    </row>
    <row r="559" spans="1:26" ht="15.75" customHeight="1" x14ac:dyDescent="0.2">
      <c r="A559" s="12"/>
      <c r="B559" s="10"/>
      <c r="C559" s="11"/>
      <c r="D559" s="13"/>
      <c r="E559" s="13"/>
      <c r="F559" s="13"/>
      <c r="G559" s="2"/>
      <c r="H559" s="2"/>
      <c r="I559" s="13"/>
      <c r="J559" s="13"/>
      <c r="K559" s="13"/>
      <c r="L559" s="14"/>
      <c r="M559" s="4"/>
      <c r="N559" s="2"/>
      <c r="O559" s="4"/>
      <c r="P559" s="2"/>
      <c r="Q559" s="2"/>
      <c r="R559" s="4"/>
      <c r="S559" s="2"/>
      <c r="T559" s="2"/>
      <c r="U559" s="1"/>
      <c r="V559" s="2"/>
      <c r="W559" s="2"/>
      <c r="X559" s="2"/>
      <c r="Y559" s="2"/>
      <c r="Z559" s="2"/>
    </row>
    <row r="560" spans="1:26" ht="15.75" customHeight="1" x14ac:dyDescent="0.2">
      <c r="A560" s="12"/>
      <c r="B560" s="10"/>
      <c r="C560" s="11"/>
      <c r="D560" s="13"/>
      <c r="E560" s="13"/>
      <c r="F560" s="13"/>
      <c r="G560" s="2"/>
      <c r="H560" s="2"/>
      <c r="I560" s="13"/>
      <c r="J560" s="13"/>
      <c r="K560" s="13"/>
      <c r="L560" s="14"/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A561" s="12"/>
      <c r="B561" s="10"/>
      <c r="C561" s="11"/>
      <c r="D561" s="13"/>
      <c r="E561" s="13"/>
      <c r="F561" s="13"/>
      <c r="G561" s="2"/>
      <c r="H561" s="2"/>
      <c r="I561" s="13"/>
      <c r="J561" s="13"/>
      <c r="K561" s="13"/>
      <c r="L561" s="14"/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12"/>
      <c r="B562" s="10"/>
      <c r="C562" s="11"/>
      <c r="D562" s="13"/>
      <c r="E562" s="13"/>
      <c r="F562" s="13"/>
      <c r="G562" s="2"/>
      <c r="H562" s="2"/>
      <c r="I562" s="13"/>
      <c r="J562" s="13"/>
      <c r="K562" s="13"/>
      <c r="L562" s="14"/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2"/>
      <c r="B563" s="10"/>
      <c r="C563" s="11"/>
      <c r="D563" s="13"/>
      <c r="E563" s="13"/>
      <c r="F563" s="13"/>
      <c r="G563" s="2"/>
      <c r="H563" s="2"/>
      <c r="I563" s="13"/>
      <c r="J563" s="13"/>
      <c r="K563" s="13"/>
      <c r="L563" s="14"/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2"/>
      <c r="B564" s="10"/>
      <c r="C564" s="11"/>
      <c r="D564" s="13"/>
      <c r="E564" s="13"/>
      <c r="F564" s="13"/>
      <c r="G564" s="2"/>
      <c r="H564" s="2"/>
      <c r="I564" s="13"/>
      <c r="J564" s="13"/>
      <c r="K564" s="13"/>
      <c r="L564" s="14"/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2"/>
      <c r="B565" s="10"/>
      <c r="C565" s="11"/>
      <c r="D565" s="13"/>
      <c r="E565" s="13"/>
      <c r="F565" s="13"/>
      <c r="G565" s="2"/>
      <c r="H565" s="2"/>
      <c r="I565" s="13"/>
      <c r="J565" s="13"/>
      <c r="K565" s="13"/>
      <c r="L565" s="14"/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2"/>
      <c r="B566" s="10"/>
      <c r="C566" s="11"/>
      <c r="D566" s="13"/>
      <c r="E566" s="13"/>
      <c r="F566" s="13"/>
      <c r="G566" s="2"/>
      <c r="H566" s="2"/>
      <c r="I566" s="13"/>
      <c r="J566" s="13"/>
      <c r="K566" s="13"/>
      <c r="L566" s="14"/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2"/>
      <c r="B567" s="10"/>
      <c r="C567" s="11"/>
      <c r="D567" s="13"/>
      <c r="E567" s="13"/>
      <c r="F567" s="13"/>
      <c r="G567" s="2"/>
      <c r="H567" s="2"/>
      <c r="I567" s="13"/>
      <c r="J567" s="13"/>
      <c r="K567" s="13"/>
      <c r="L567" s="14"/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2"/>
      <c r="B568" s="10"/>
      <c r="C568" s="11"/>
      <c r="D568" s="13"/>
      <c r="E568" s="13"/>
      <c r="F568" s="13"/>
      <c r="G568" s="2"/>
      <c r="H568" s="2"/>
      <c r="I568" s="13"/>
      <c r="J568" s="13"/>
      <c r="K568" s="13"/>
      <c r="L568" s="14"/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2"/>
      <c r="B569" s="10"/>
      <c r="C569" s="11"/>
      <c r="D569" s="13"/>
      <c r="E569" s="13"/>
      <c r="F569" s="13"/>
      <c r="G569" s="2"/>
      <c r="H569" s="2"/>
      <c r="I569" s="13"/>
      <c r="J569" s="13"/>
      <c r="K569" s="13"/>
      <c r="L569" s="14"/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2"/>
      <c r="B570" s="10"/>
      <c r="C570" s="11"/>
      <c r="D570" s="13"/>
      <c r="E570" s="13"/>
      <c r="F570" s="13"/>
      <c r="G570" s="2"/>
      <c r="H570" s="2"/>
      <c r="I570" s="13"/>
      <c r="J570" s="13"/>
      <c r="K570" s="13"/>
      <c r="L570" s="14"/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5.75" customHeight="1" x14ac:dyDescent="0.2">
      <c r="A571" s="12"/>
      <c r="B571" s="10"/>
      <c r="C571" s="11"/>
      <c r="D571" s="13"/>
      <c r="E571" s="13"/>
      <c r="F571" s="13"/>
      <c r="G571" s="2"/>
      <c r="H571" s="2"/>
      <c r="I571" s="13"/>
      <c r="J571" s="13"/>
      <c r="K571" s="13"/>
      <c r="L571" s="14"/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5.75" customHeight="1" x14ac:dyDescent="0.2">
      <c r="A572" s="12"/>
      <c r="B572" s="10"/>
      <c r="C572" s="11"/>
      <c r="D572" s="13"/>
      <c r="E572" s="13"/>
      <c r="F572" s="13"/>
      <c r="G572" s="2"/>
      <c r="H572" s="2"/>
      <c r="I572" s="13"/>
      <c r="J572" s="13"/>
      <c r="K572" s="13"/>
      <c r="L572" s="14"/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A573" s="12"/>
      <c r="B573" s="10"/>
      <c r="C573" s="11"/>
      <c r="D573" s="13"/>
      <c r="E573" s="13"/>
      <c r="F573" s="13"/>
      <c r="G573" s="2"/>
      <c r="H573" s="2"/>
      <c r="I573" s="13"/>
      <c r="J573" s="13"/>
      <c r="K573" s="13"/>
      <c r="L573" s="14"/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A574" s="12"/>
      <c r="B574" s="10"/>
      <c r="C574" s="11"/>
      <c r="D574" s="13"/>
      <c r="E574" s="13"/>
      <c r="F574" s="13"/>
      <c r="G574" s="2"/>
      <c r="H574" s="2"/>
      <c r="I574" s="13"/>
      <c r="J574" s="13"/>
      <c r="K574" s="13"/>
      <c r="L574" s="14"/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2"/>
      <c r="B575" s="10"/>
      <c r="C575" s="11"/>
      <c r="D575" s="13"/>
      <c r="E575" s="13"/>
      <c r="F575" s="13"/>
      <c r="G575" s="2"/>
      <c r="H575" s="2"/>
      <c r="I575" s="13"/>
      <c r="J575" s="13"/>
      <c r="K575" s="13"/>
      <c r="L575" s="14"/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A576" s="12"/>
      <c r="B576" s="10"/>
      <c r="C576" s="11"/>
      <c r="D576" s="13"/>
      <c r="E576" s="13"/>
      <c r="F576" s="13"/>
      <c r="G576" s="2"/>
      <c r="H576" s="2"/>
      <c r="I576" s="13"/>
      <c r="J576" s="13"/>
      <c r="K576" s="13"/>
      <c r="L576" s="14"/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2"/>
      <c r="B577" s="10"/>
      <c r="C577" s="11"/>
      <c r="D577" s="13"/>
      <c r="E577" s="13"/>
      <c r="F577" s="13"/>
      <c r="G577" s="2"/>
      <c r="H577" s="2"/>
      <c r="I577" s="13"/>
      <c r="J577" s="13"/>
      <c r="K577" s="13"/>
      <c r="L577" s="14"/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2"/>
      <c r="B578" s="10"/>
      <c r="C578" s="11"/>
      <c r="D578" s="13"/>
      <c r="E578" s="13"/>
      <c r="F578" s="13"/>
      <c r="G578" s="2"/>
      <c r="H578" s="2"/>
      <c r="I578" s="13"/>
      <c r="J578" s="13"/>
      <c r="K578" s="13"/>
      <c r="L578" s="14"/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2"/>
      <c r="B579" s="10"/>
      <c r="C579" s="11"/>
      <c r="D579" s="13"/>
      <c r="E579" s="13"/>
      <c r="F579" s="13"/>
      <c r="G579" s="2"/>
      <c r="H579" s="2"/>
      <c r="I579" s="13"/>
      <c r="J579" s="13"/>
      <c r="K579" s="13"/>
      <c r="L579" s="14"/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2"/>
      <c r="B580" s="10"/>
      <c r="C580" s="11"/>
      <c r="D580" s="13"/>
      <c r="E580" s="13"/>
      <c r="F580" s="13"/>
      <c r="G580" s="2"/>
      <c r="H580" s="2"/>
      <c r="I580" s="13"/>
      <c r="J580" s="13"/>
      <c r="K580" s="13"/>
      <c r="L580" s="14"/>
      <c r="M580" s="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2"/>
      <c r="B581" s="10"/>
      <c r="C581" s="11"/>
      <c r="D581" s="13"/>
      <c r="E581" s="13"/>
      <c r="F581" s="13"/>
      <c r="G581" s="2"/>
      <c r="H581" s="2"/>
      <c r="I581" s="13"/>
      <c r="J581" s="13"/>
      <c r="K581" s="13"/>
      <c r="L581" s="14"/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2"/>
      <c r="B582" s="10"/>
      <c r="C582" s="11"/>
      <c r="D582" s="13"/>
      <c r="E582" s="13"/>
      <c r="F582" s="13"/>
      <c r="G582" s="2"/>
      <c r="H582" s="2"/>
      <c r="I582" s="13"/>
      <c r="J582" s="13"/>
      <c r="K582" s="13"/>
      <c r="L582" s="14"/>
      <c r="M582" s="4"/>
      <c r="N582" s="2"/>
      <c r="O582" s="4"/>
      <c r="P582" s="2"/>
      <c r="Q582" s="2"/>
      <c r="R582" s="4"/>
      <c r="S582" s="2"/>
      <c r="T582" s="2"/>
      <c r="U582" s="1"/>
      <c r="V582" s="2"/>
      <c r="W582" s="2"/>
      <c r="X582" s="2"/>
      <c r="Y582" s="2"/>
      <c r="Z582" s="2"/>
    </row>
    <row r="583" spans="1:26" ht="15.75" customHeight="1" x14ac:dyDescent="0.2">
      <c r="A583" s="12"/>
      <c r="B583" s="10"/>
      <c r="C583" s="11"/>
      <c r="D583" s="13"/>
      <c r="E583" s="13"/>
      <c r="F583" s="13"/>
      <c r="G583" s="2"/>
      <c r="H583" s="2"/>
      <c r="I583" s="13"/>
      <c r="J583" s="13"/>
      <c r="K583" s="13"/>
      <c r="L583" s="14"/>
      <c r="M583" s="4"/>
      <c r="N583" s="2"/>
      <c r="O583" s="4"/>
      <c r="P583" s="2"/>
      <c r="Q583" s="2"/>
      <c r="R583" s="4"/>
      <c r="S583" s="2"/>
      <c r="T583" s="2"/>
      <c r="U583" s="1"/>
      <c r="V583" s="2"/>
      <c r="W583" s="2"/>
      <c r="X583" s="2"/>
      <c r="Y583" s="2"/>
      <c r="Z583" s="2"/>
    </row>
    <row r="584" spans="1:26" ht="15.75" customHeight="1" x14ac:dyDescent="0.2">
      <c r="A584" s="12"/>
      <c r="B584" s="10"/>
      <c r="C584" s="11"/>
      <c r="D584" s="13"/>
      <c r="E584" s="13"/>
      <c r="F584" s="13"/>
      <c r="G584" s="2"/>
      <c r="H584" s="2"/>
      <c r="I584" s="13"/>
      <c r="J584" s="13"/>
      <c r="K584" s="13"/>
      <c r="L584" s="14"/>
      <c r="M584" s="4"/>
      <c r="N584" s="2"/>
      <c r="O584" s="4"/>
      <c r="P584" s="2"/>
      <c r="Q584" s="2"/>
      <c r="R584" s="4"/>
      <c r="S584" s="2"/>
      <c r="T584" s="2"/>
      <c r="U584" s="1"/>
      <c r="V584" s="2"/>
      <c r="W584" s="2"/>
      <c r="X584" s="2"/>
      <c r="Y584" s="2"/>
      <c r="Z584" s="2"/>
    </row>
    <row r="585" spans="1:26" ht="15.75" customHeight="1" x14ac:dyDescent="0.2">
      <c r="A585" s="12"/>
      <c r="B585" s="10"/>
      <c r="C585" s="11"/>
      <c r="D585" s="13"/>
      <c r="E585" s="13"/>
      <c r="F585" s="13"/>
      <c r="G585" s="2"/>
      <c r="H585" s="2"/>
      <c r="I585" s="13"/>
      <c r="J585" s="13"/>
      <c r="K585" s="13"/>
      <c r="L585" s="14"/>
      <c r="M585" s="4"/>
      <c r="N585" s="2"/>
      <c r="O585" s="4"/>
      <c r="P585" s="2"/>
      <c r="Q585" s="2"/>
      <c r="R585" s="4"/>
      <c r="S585" s="2"/>
      <c r="T585" s="2"/>
      <c r="U585" s="1"/>
      <c r="V585" s="2"/>
      <c r="W585" s="2"/>
      <c r="X585" s="2"/>
      <c r="Y585" s="2"/>
      <c r="Z585" s="2"/>
    </row>
    <row r="586" spans="1:26" ht="15.75" customHeight="1" x14ac:dyDescent="0.2">
      <c r="A586" s="12"/>
      <c r="B586" s="10"/>
      <c r="C586" s="11"/>
      <c r="D586" s="13"/>
      <c r="E586" s="13"/>
      <c r="F586" s="13"/>
      <c r="G586" s="2"/>
      <c r="H586" s="2"/>
      <c r="I586" s="13"/>
      <c r="J586" s="13"/>
      <c r="K586" s="13"/>
      <c r="L586" s="14"/>
      <c r="M586" s="4"/>
      <c r="N586" s="2"/>
      <c r="O586" s="4"/>
      <c r="P586" s="2"/>
      <c r="Q586" s="2"/>
      <c r="R586" s="4"/>
      <c r="S586" s="2"/>
      <c r="T586" s="2"/>
      <c r="U586" s="1"/>
      <c r="V586" s="2"/>
      <c r="W586" s="2"/>
      <c r="X586" s="2"/>
      <c r="Y586" s="2"/>
      <c r="Z586" s="2"/>
    </row>
    <row r="587" spans="1:26" ht="15.75" customHeight="1" x14ac:dyDescent="0.2">
      <c r="A587" s="12"/>
      <c r="B587" s="10"/>
      <c r="C587" s="11"/>
      <c r="D587" s="13"/>
      <c r="E587" s="13"/>
      <c r="F587" s="13"/>
      <c r="G587" s="2"/>
      <c r="H587" s="2"/>
      <c r="I587" s="13"/>
      <c r="J587" s="13"/>
      <c r="K587" s="13"/>
      <c r="L587" s="14"/>
      <c r="M587" s="4"/>
      <c r="N587" s="2"/>
      <c r="O587" s="4"/>
      <c r="P587" s="2"/>
      <c r="Q587" s="2"/>
      <c r="R587" s="4"/>
      <c r="S587" s="2"/>
      <c r="T587" s="2"/>
      <c r="U587" s="1"/>
      <c r="V587" s="2"/>
      <c r="W587" s="2"/>
      <c r="X587" s="2"/>
      <c r="Y587" s="2"/>
      <c r="Z587" s="2"/>
    </row>
    <row r="588" spans="1:26" ht="15.75" customHeight="1" x14ac:dyDescent="0.2">
      <c r="A588" s="12"/>
      <c r="B588" s="10"/>
      <c r="C588" s="11"/>
      <c r="D588" s="13"/>
      <c r="E588" s="13"/>
      <c r="F588" s="13"/>
      <c r="G588" s="2"/>
      <c r="H588" s="2"/>
      <c r="I588" s="13"/>
      <c r="J588" s="13"/>
      <c r="K588" s="13"/>
      <c r="L588" s="14"/>
      <c r="M588" s="4"/>
      <c r="N588" s="2"/>
      <c r="O588" s="4"/>
      <c r="P588" s="2"/>
      <c r="Q588" s="2"/>
      <c r="R588" s="4"/>
      <c r="S588" s="2"/>
      <c r="T588" s="2"/>
      <c r="U588" s="1"/>
      <c r="V588" s="2"/>
      <c r="W588" s="2"/>
      <c r="X588" s="2"/>
      <c r="Y588" s="2"/>
      <c r="Z588" s="2"/>
    </row>
    <row r="589" spans="1:26" ht="15.75" customHeight="1" x14ac:dyDescent="0.2">
      <c r="A589" s="12"/>
      <c r="B589" s="10"/>
      <c r="C589" s="11"/>
      <c r="D589" s="13"/>
      <c r="E589" s="13"/>
      <c r="F589" s="13"/>
      <c r="G589" s="2"/>
      <c r="H589" s="2"/>
      <c r="I589" s="13"/>
      <c r="J589" s="13"/>
      <c r="K589" s="13"/>
      <c r="L589" s="14"/>
      <c r="M589" s="4"/>
      <c r="N589" s="2"/>
      <c r="O589" s="4"/>
      <c r="P589" s="2"/>
      <c r="Q589" s="2"/>
      <c r="R589" s="4"/>
      <c r="S589" s="2"/>
      <c r="T589" s="2"/>
      <c r="U589" s="1"/>
      <c r="V589" s="2"/>
      <c r="W589" s="2"/>
      <c r="X589" s="2"/>
      <c r="Y589" s="2"/>
      <c r="Z589" s="2"/>
    </row>
    <row r="590" spans="1:26" ht="15.75" customHeight="1" x14ac:dyDescent="0.2">
      <c r="A590" s="12"/>
      <c r="B590" s="10"/>
      <c r="C590" s="11"/>
      <c r="D590" s="13"/>
      <c r="E590" s="13"/>
      <c r="F590" s="13"/>
      <c r="G590" s="2"/>
      <c r="H590" s="2"/>
      <c r="I590" s="13"/>
      <c r="J590" s="13"/>
      <c r="K590" s="13"/>
      <c r="L590" s="14"/>
      <c r="M590" s="4"/>
      <c r="N590" s="2"/>
      <c r="O590" s="4"/>
      <c r="P590" s="2"/>
      <c r="Q590" s="2"/>
      <c r="R590" s="4"/>
      <c r="S590" s="2"/>
      <c r="T590" s="2"/>
      <c r="U590" s="1"/>
      <c r="V590" s="2"/>
      <c r="W590" s="2"/>
      <c r="X590" s="2"/>
      <c r="Y590" s="2"/>
      <c r="Z590" s="2"/>
    </row>
    <row r="591" spans="1:26" ht="15.75" customHeight="1" x14ac:dyDescent="0.2">
      <c r="A591" s="12"/>
      <c r="B591" s="10"/>
      <c r="C591" s="11"/>
      <c r="D591" s="13"/>
      <c r="E591" s="13"/>
      <c r="F591" s="13"/>
      <c r="G591" s="2"/>
      <c r="H591" s="2"/>
      <c r="I591" s="13"/>
      <c r="J591" s="13"/>
      <c r="K591" s="13"/>
      <c r="L591" s="14"/>
      <c r="M591" s="4"/>
      <c r="N591" s="2"/>
      <c r="O591" s="4"/>
      <c r="P591" s="2"/>
      <c r="Q591" s="2"/>
      <c r="R591" s="4"/>
      <c r="S591" s="2"/>
      <c r="T591" s="2"/>
      <c r="U591" s="1"/>
      <c r="V591" s="2"/>
      <c r="W591" s="2"/>
      <c r="X591" s="2"/>
      <c r="Y591" s="2"/>
      <c r="Z591" s="2"/>
    </row>
    <row r="592" spans="1:26" ht="15.75" customHeight="1" x14ac:dyDescent="0.2">
      <c r="A592" s="12"/>
      <c r="B592" s="10"/>
      <c r="C592" s="11"/>
      <c r="D592" s="13"/>
      <c r="E592" s="13"/>
      <c r="F592" s="13"/>
      <c r="G592" s="2"/>
      <c r="H592" s="2"/>
      <c r="I592" s="13"/>
      <c r="J592" s="13"/>
      <c r="K592" s="13"/>
      <c r="L592" s="14"/>
      <c r="M592" s="4"/>
      <c r="N592" s="2"/>
      <c r="O592" s="4"/>
      <c r="P592" s="2"/>
      <c r="Q592" s="2"/>
      <c r="R592" s="4"/>
      <c r="S592" s="2"/>
      <c r="T592" s="2"/>
      <c r="U592" s="1"/>
      <c r="V592" s="2"/>
      <c r="W592" s="2"/>
      <c r="X592" s="2"/>
      <c r="Y592" s="2"/>
      <c r="Z592" s="2"/>
    </row>
    <row r="593" spans="1:26" ht="15.75" customHeight="1" x14ac:dyDescent="0.2">
      <c r="A593" s="12"/>
      <c r="B593" s="10"/>
      <c r="C593" s="11"/>
      <c r="D593" s="13"/>
      <c r="E593" s="13"/>
      <c r="F593" s="13"/>
      <c r="G593" s="2"/>
      <c r="H593" s="2"/>
      <c r="I593" s="13"/>
      <c r="J593" s="13"/>
      <c r="K593" s="13"/>
      <c r="L593" s="14"/>
      <c r="M593" s="4"/>
      <c r="N593" s="2"/>
      <c r="O593" s="4"/>
      <c r="P593" s="2"/>
      <c r="Q593" s="2"/>
      <c r="R593" s="4"/>
      <c r="S593" s="2"/>
      <c r="T593" s="2"/>
      <c r="U593" s="1"/>
      <c r="V593" s="2"/>
      <c r="W593" s="2"/>
      <c r="X593" s="2"/>
      <c r="Y593" s="2"/>
      <c r="Z593" s="2"/>
    </row>
    <row r="594" spans="1:26" ht="15.75" customHeight="1" x14ac:dyDescent="0.2">
      <c r="A594" s="12"/>
      <c r="B594" s="10"/>
      <c r="C594" s="11"/>
      <c r="D594" s="13"/>
      <c r="E594" s="13"/>
      <c r="F594" s="13"/>
      <c r="G594" s="2"/>
      <c r="H594" s="2"/>
      <c r="I594" s="13"/>
      <c r="J594" s="13"/>
      <c r="K594" s="13"/>
      <c r="L594" s="14"/>
      <c r="M594" s="4"/>
      <c r="N594" s="2"/>
      <c r="O594" s="4"/>
      <c r="P594" s="2"/>
      <c r="Q594" s="2"/>
      <c r="R594" s="4"/>
      <c r="S594" s="2"/>
      <c r="T594" s="2"/>
      <c r="U594" s="1"/>
      <c r="V594" s="2"/>
      <c r="W594" s="2"/>
      <c r="X594" s="2"/>
      <c r="Y594" s="2"/>
      <c r="Z594" s="2"/>
    </row>
    <row r="595" spans="1:26" ht="15.75" customHeight="1" x14ac:dyDescent="0.2">
      <c r="A595" s="12"/>
      <c r="B595" s="10"/>
      <c r="C595" s="11"/>
      <c r="D595" s="13"/>
      <c r="E595" s="13"/>
      <c r="F595" s="13"/>
      <c r="G595" s="2"/>
      <c r="H595" s="2"/>
      <c r="I595" s="13"/>
      <c r="J595" s="13"/>
      <c r="K595" s="13"/>
      <c r="L595" s="14"/>
      <c r="M595" s="4"/>
      <c r="N595" s="2"/>
      <c r="O595" s="4"/>
      <c r="P595" s="2"/>
      <c r="Q595" s="2"/>
      <c r="R595" s="4"/>
      <c r="S595" s="2"/>
      <c r="T595" s="2"/>
      <c r="U595" s="1"/>
      <c r="V595" s="2"/>
      <c r="W595" s="2"/>
      <c r="X595" s="2"/>
      <c r="Y595" s="2"/>
      <c r="Z595" s="2"/>
    </row>
    <row r="596" spans="1:26" ht="15.75" customHeight="1" x14ac:dyDescent="0.2">
      <c r="A596" s="12"/>
      <c r="B596" s="10"/>
      <c r="C596" s="11"/>
      <c r="D596" s="13"/>
      <c r="E596" s="13"/>
      <c r="F596" s="13"/>
      <c r="G596" s="2"/>
      <c r="H596" s="2"/>
      <c r="I596" s="13"/>
      <c r="J596" s="13"/>
      <c r="K596" s="13"/>
      <c r="L596" s="14"/>
      <c r="M596" s="4"/>
      <c r="N596" s="2"/>
      <c r="O596" s="4"/>
      <c r="P596" s="2"/>
      <c r="Q596" s="2"/>
      <c r="R596" s="4"/>
      <c r="S596" s="2"/>
      <c r="T596" s="2"/>
      <c r="U596" s="1"/>
      <c r="V596" s="2"/>
      <c r="W596" s="2"/>
      <c r="X596" s="2"/>
      <c r="Y596" s="2"/>
      <c r="Z596" s="2"/>
    </row>
    <row r="597" spans="1:26" ht="15.75" customHeight="1" x14ac:dyDescent="0.2">
      <c r="A597" s="12"/>
      <c r="B597" s="10"/>
      <c r="C597" s="11"/>
      <c r="D597" s="13"/>
      <c r="E597" s="13"/>
      <c r="F597" s="13"/>
      <c r="G597" s="2"/>
      <c r="H597" s="2"/>
      <c r="I597" s="13"/>
      <c r="J597" s="13"/>
      <c r="K597" s="13"/>
      <c r="L597" s="14"/>
      <c r="M597" s="4"/>
      <c r="N597" s="2"/>
      <c r="O597" s="4"/>
      <c r="P597" s="2"/>
      <c r="Q597" s="2"/>
      <c r="R597" s="4"/>
      <c r="S597" s="2"/>
      <c r="T597" s="2"/>
      <c r="U597" s="1"/>
      <c r="V597" s="2"/>
      <c r="W597" s="2"/>
      <c r="X597" s="2"/>
      <c r="Y597" s="2"/>
      <c r="Z597" s="2"/>
    </row>
    <row r="598" spans="1:26" ht="15.75" customHeight="1" x14ac:dyDescent="0.2">
      <c r="A598" s="12"/>
      <c r="B598" s="10"/>
      <c r="C598" s="11"/>
      <c r="D598" s="13"/>
      <c r="E598" s="13"/>
      <c r="F598" s="13"/>
      <c r="G598" s="2"/>
      <c r="H598" s="2"/>
      <c r="I598" s="13"/>
      <c r="J598" s="13"/>
      <c r="K598" s="13"/>
      <c r="L598" s="14"/>
      <c r="M598" s="4"/>
      <c r="N598" s="2"/>
      <c r="O598" s="4"/>
      <c r="P598" s="2"/>
      <c r="Q598" s="2"/>
      <c r="R598" s="4"/>
      <c r="S598" s="2"/>
      <c r="T598" s="2"/>
      <c r="U598" s="1"/>
      <c r="V598" s="2"/>
      <c r="W598" s="2"/>
      <c r="X598" s="2"/>
      <c r="Y598" s="2"/>
      <c r="Z598" s="2"/>
    </row>
    <row r="599" spans="1:26" ht="15.75" customHeight="1" x14ac:dyDescent="0.2">
      <c r="A599" s="12"/>
      <c r="B599" s="10"/>
      <c r="C599" s="11"/>
      <c r="D599" s="13"/>
      <c r="E599" s="13"/>
      <c r="F599" s="13"/>
      <c r="G599" s="2"/>
      <c r="H599" s="2"/>
      <c r="I599" s="13"/>
      <c r="J599" s="13"/>
      <c r="K599" s="13"/>
      <c r="L599" s="14"/>
      <c r="M599" s="4"/>
      <c r="N599" s="2"/>
      <c r="O599" s="4"/>
      <c r="P599" s="2"/>
      <c r="Q599" s="2"/>
      <c r="R599" s="4"/>
      <c r="S599" s="2"/>
      <c r="T599" s="2"/>
      <c r="U599" s="1"/>
      <c r="V599" s="2"/>
      <c r="W599" s="2"/>
      <c r="X599" s="2"/>
      <c r="Y599" s="2"/>
      <c r="Z599" s="2"/>
    </row>
    <row r="600" spans="1:26" ht="15.75" customHeight="1" x14ac:dyDescent="0.2">
      <c r="A600" s="12"/>
      <c r="B600" s="10"/>
      <c r="C600" s="11"/>
      <c r="D600" s="13"/>
      <c r="E600" s="13"/>
      <c r="F600" s="13"/>
      <c r="G600" s="2"/>
      <c r="H600" s="2"/>
      <c r="I600" s="13"/>
      <c r="J600" s="13"/>
      <c r="K600" s="13"/>
      <c r="L600" s="14"/>
      <c r="M600" s="4"/>
      <c r="N600" s="2"/>
      <c r="O600" s="4"/>
      <c r="P600" s="2"/>
      <c r="Q600" s="2"/>
      <c r="R600" s="4"/>
      <c r="S600" s="2"/>
      <c r="T600" s="2"/>
      <c r="U600" s="1"/>
      <c r="V600" s="2"/>
      <c r="W600" s="2"/>
      <c r="X600" s="2"/>
      <c r="Y600" s="2"/>
      <c r="Z600" s="2"/>
    </row>
    <row r="601" spans="1:26" ht="15.75" customHeight="1" x14ac:dyDescent="0.2">
      <c r="A601" s="12"/>
      <c r="B601" s="10"/>
      <c r="C601" s="11"/>
      <c r="D601" s="13"/>
      <c r="E601" s="13"/>
      <c r="F601" s="13"/>
      <c r="G601" s="2"/>
      <c r="H601" s="2"/>
      <c r="I601" s="13"/>
      <c r="J601" s="13"/>
      <c r="K601" s="13"/>
      <c r="L601" s="14"/>
      <c r="M601" s="4"/>
      <c r="N601" s="2"/>
      <c r="O601" s="4"/>
      <c r="P601" s="2"/>
      <c r="Q601" s="2"/>
      <c r="R601" s="4"/>
      <c r="S601" s="2"/>
      <c r="T601" s="2"/>
      <c r="U601" s="1"/>
      <c r="V601" s="2"/>
      <c r="W601" s="2"/>
      <c r="X601" s="2"/>
      <c r="Y601" s="2"/>
      <c r="Z601" s="2"/>
    </row>
    <row r="602" spans="1:26" ht="15.75" customHeight="1" x14ac:dyDescent="0.2">
      <c r="A602" s="12"/>
      <c r="B602" s="10"/>
      <c r="C602" s="11"/>
      <c r="D602" s="13"/>
      <c r="E602" s="13"/>
      <c r="F602" s="13"/>
      <c r="G602" s="2"/>
      <c r="H602" s="2"/>
      <c r="I602" s="13"/>
      <c r="J602" s="13"/>
      <c r="K602" s="13"/>
      <c r="L602" s="14"/>
      <c r="M602" s="4"/>
      <c r="N602" s="2"/>
      <c r="O602" s="4"/>
      <c r="P602" s="2"/>
      <c r="Q602" s="2"/>
      <c r="R602" s="4"/>
      <c r="S602" s="2"/>
      <c r="T602" s="2"/>
      <c r="U602" s="1"/>
      <c r="V602" s="2"/>
      <c r="W602" s="2"/>
      <c r="X602" s="2"/>
      <c r="Y602" s="2"/>
      <c r="Z602" s="2"/>
    </row>
    <row r="603" spans="1:26" ht="15.75" customHeight="1" x14ac:dyDescent="0.2">
      <c r="A603" s="12"/>
      <c r="B603" s="10"/>
      <c r="C603" s="11"/>
      <c r="D603" s="13"/>
      <c r="E603" s="13"/>
      <c r="F603" s="13"/>
      <c r="G603" s="2"/>
      <c r="H603" s="2"/>
      <c r="I603" s="13"/>
      <c r="J603" s="13"/>
      <c r="K603" s="13"/>
      <c r="L603" s="14"/>
      <c r="M603" s="4"/>
      <c r="N603" s="2"/>
      <c r="O603" s="4"/>
      <c r="P603" s="2"/>
      <c r="Q603" s="2"/>
      <c r="R603" s="4"/>
      <c r="S603" s="2"/>
      <c r="T603" s="2"/>
      <c r="U603" s="1"/>
      <c r="V603" s="2"/>
      <c r="W603" s="2"/>
      <c r="X603" s="2"/>
      <c r="Y603" s="2"/>
      <c r="Z603" s="2"/>
    </row>
    <row r="604" spans="1:26" ht="15.75" customHeight="1" x14ac:dyDescent="0.2">
      <c r="A604" s="12"/>
      <c r="B604" s="10"/>
      <c r="C604" s="11"/>
      <c r="D604" s="13"/>
      <c r="E604" s="13"/>
      <c r="F604" s="13"/>
      <c r="G604" s="2"/>
      <c r="H604" s="2"/>
      <c r="I604" s="13"/>
      <c r="J604" s="13"/>
      <c r="K604" s="13"/>
      <c r="L604" s="14"/>
      <c r="M604" s="4"/>
      <c r="N604" s="2"/>
      <c r="O604" s="4"/>
      <c r="P604" s="2"/>
      <c r="Q604" s="2"/>
      <c r="R604" s="4"/>
      <c r="S604" s="2"/>
      <c r="T604" s="2"/>
      <c r="U604" s="1"/>
      <c r="V604" s="2"/>
      <c r="W604" s="2"/>
      <c r="X604" s="2"/>
      <c r="Y604" s="2"/>
      <c r="Z604" s="2"/>
    </row>
    <row r="605" spans="1:26" ht="15.75" customHeight="1" x14ac:dyDescent="0.2">
      <c r="A605" s="12"/>
      <c r="B605" s="10"/>
      <c r="C605" s="11"/>
      <c r="D605" s="13"/>
      <c r="E605" s="13"/>
      <c r="F605" s="13"/>
      <c r="G605" s="2"/>
      <c r="H605" s="2"/>
      <c r="I605" s="13"/>
      <c r="J605" s="13"/>
      <c r="K605" s="13"/>
      <c r="L605" s="14"/>
      <c r="M605" s="4"/>
      <c r="N605" s="2"/>
      <c r="O605" s="4"/>
      <c r="P605" s="2"/>
      <c r="Q605" s="2"/>
      <c r="R605" s="4"/>
      <c r="S605" s="2"/>
      <c r="T605" s="2"/>
      <c r="U605" s="1"/>
      <c r="V605" s="2"/>
      <c r="W605" s="2"/>
      <c r="X605" s="2"/>
      <c r="Y605" s="2"/>
      <c r="Z605" s="2"/>
    </row>
    <row r="606" spans="1:26" ht="15.75" customHeight="1" x14ac:dyDescent="0.2">
      <c r="A606" s="12"/>
      <c r="B606" s="10"/>
      <c r="C606" s="11"/>
      <c r="D606" s="13"/>
      <c r="E606" s="13"/>
      <c r="F606" s="13"/>
      <c r="G606" s="2"/>
      <c r="H606" s="2"/>
      <c r="I606" s="13"/>
      <c r="J606" s="13"/>
      <c r="K606" s="13"/>
      <c r="L606" s="14"/>
      <c r="M606" s="4"/>
      <c r="N606" s="2"/>
      <c r="O606" s="4"/>
      <c r="P606" s="2"/>
      <c r="Q606" s="2"/>
      <c r="R606" s="4"/>
      <c r="S606" s="2"/>
      <c r="T606" s="2"/>
      <c r="U606" s="1"/>
      <c r="V606" s="2"/>
      <c r="W606" s="2"/>
      <c r="X606" s="2"/>
      <c r="Y606" s="2"/>
      <c r="Z606" s="2"/>
    </row>
    <row r="607" spans="1:26" ht="15.75" customHeight="1" x14ac:dyDescent="0.2">
      <c r="A607" s="12"/>
      <c r="B607" s="10"/>
      <c r="C607" s="11"/>
      <c r="D607" s="13"/>
      <c r="E607" s="13"/>
      <c r="F607" s="13"/>
      <c r="G607" s="2"/>
      <c r="H607" s="2"/>
      <c r="I607" s="13"/>
      <c r="J607" s="13"/>
      <c r="K607" s="13"/>
      <c r="L607" s="14"/>
      <c r="M607" s="4"/>
      <c r="N607" s="2"/>
      <c r="O607" s="4"/>
      <c r="P607" s="2"/>
      <c r="Q607" s="2"/>
      <c r="R607" s="4"/>
      <c r="S607" s="2"/>
      <c r="T607" s="2"/>
      <c r="U607" s="1"/>
      <c r="V607" s="2"/>
      <c r="W607" s="2"/>
      <c r="X607" s="2"/>
      <c r="Y607" s="2"/>
      <c r="Z607" s="2"/>
    </row>
    <row r="608" spans="1:26" ht="15.75" customHeight="1" x14ac:dyDescent="0.2">
      <c r="A608" s="12"/>
      <c r="B608" s="10"/>
      <c r="C608" s="11"/>
      <c r="D608" s="13"/>
      <c r="E608" s="13"/>
      <c r="F608" s="13"/>
      <c r="G608" s="2"/>
      <c r="H608" s="2"/>
      <c r="I608" s="13"/>
      <c r="J608" s="13"/>
      <c r="K608" s="13"/>
      <c r="L608" s="14"/>
      <c r="M608" s="4"/>
      <c r="N608" s="2"/>
      <c r="O608" s="4"/>
      <c r="P608" s="2"/>
      <c r="Q608" s="2"/>
      <c r="R608" s="4"/>
      <c r="S608" s="2"/>
      <c r="T608" s="2"/>
      <c r="U608" s="1"/>
      <c r="V608" s="2"/>
      <c r="W608" s="2"/>
      <c r="X608" s="2"/>
      <c r="Y608" s="2"/>
      <c r="Z608" s="2"/>
    </row>
    <row r="609" spans="1:26" ht="15.75" customHeight="1" x14ac:dyDescent="0.2">
      <c r="A609" s="12"/>
      <c r="B609" s="10"/>
      <c r="C609" s="11"/>
      <c r="D609" s="13"/>
      <c r="E609" s="13"/>
      <c r="F609" s="13"/>
      <c r="G609" s="2"/>
      <c r="H609" s="2"/>
      <c r="I609" s="13"/>
      <c r="J609" s="13"/>
      <c r="K609" s="13"/>
      <c r="L609" s="14"/>
      <c r="M609" s="4"/>
      <c r="N609" s="2"/>
      <c r="O609" s="4"/>
      <c r="P609" s="2"/>
      <c r="Q609" s="2"/>
      <c r="R609" s="4"/>
      <c r="S609" s="2"/>
      <c r="T609" s="2"/>
      <c r="U609" s="1"/>
      <c r="V609" s="2"/>
      <c r="W609" s="2"/>
      <c r="X609" s="2"/>
      <c r="Y609" s="2"/>
      <c r="Z609" s="2"/>
    </row>
    <row r="610" spans="1:26" ht="15.75" customHeight="1" x14ac:dyDescent="0.2">
      <c r="A610" s="12"/>
      <c r="B610" s="10"/>
      <c r="C610" s="11"/>
      <c r="D610" s="13"/>
      <c r="E610" s="13"/>
      <c r="F610" s="13"/>
      <c r="G610" s="2"/>
      <c r="H610" s="2"/>
      <c r="I610" s="13"/>
      <c r="J610" s="13"/>
      <c r="K610" s="13"/>
      <c r="L610" s="14"/>
      <c r="M610" s="4"/>
      <c r="N610" s="2"/>
      <c r="O610" s="4"/>
      <c r="P610" s="2"/>
      <c r="Q610" s="2"/>
      <c r="R610" s="4"/>
      <c r="S610" s="2"/>
      <c r="T610" s="2"/>
      <c r="U610" s="1"/>
      <c r="V610" s="2"/>
      <c r="W610" s="2"/>
      <c r="X610" s="2"/>
      <c r="Y610" s="2"/>
      <c r="Z610" s="2"/>
    </row>
    <row r="611" spans="1:26" ht="15.75" customHeight="1" x14ac:dyDescent="0.2">
      <c r="A611" s="12"/>
      <c r="B611" s="10"/>
      <c r="C611" s="11"/>
      <c r="D611" s="13"/>
      <c r="E611" s="13"/>
      <c r="F611" s="13"/>
      <c r="G611" s="2"/>
      <c r="H611" s="2"/>
      <c r="I611" s="13"/>
      <c r="J611" s="13"/>
      <c r="K611" s="13"/>
      <c r="L611" s="14"/>
      <c r="M611" s="4"/>
      <c r="N611" s="2"/>
      <c r="O611" s="4"/>
      <c r="P611" s="2"/>
      <c r="Q611" s="2"/>
      <c r="R611" s="4"/>
      <c r="S611" s="2"/>
      <c r="T611" s="2"/>
      <c r="U611" s="1"/>
      <c r="V611" s="2"/>
      <c r="W611" s="2"/>
      <c r="X611" s="2"/>
      <c r="Y611" s="2"/>
      <c r="Z611" s="2"/>
    </row>
    <row r="612" spans="1:26" ht="15.75" customHeight="1" x14ac:dyDescent="0.2">
      <c r="A612" s="12"/>
      <c r="B612" s="10"/>
      <c r="C612" s="11"/>
      <c r="D612" s="13"/>
      <c r="E612" s="13"/>
      <c r="F612" s="13"/>
      <c r="G612" s="2"/>
      <c r="H612" s="2"/>
      <c r="I612" s="13"/>
      <c r="J612" s="13"/>
      <c r="K612" s="13"/>
      <c r="L612" s="14"/>
      <c r="M612" s="4"/>
      <c r="N612" s="2"/>
      <c r="O612" s="4"/>
      <c r="P612" s="2"/>
      <c r="Q612" s="2"/>
      <c r="R612" s="4"/>
      <c r="S612" s="2"/>
      <c r="T612" s="2"/>
      <c r="U612" s="1"/>
      <c r="V612" s="2"/>
      <c r="W612" s="2"/>
      <c r="X612" s="2"/>
      <c r="Y612" s="2"/>
      <c r="Z612" s="2"/>
    </row>
    <row r="613" spans="1:26" ht="15.75" customHeight="1" x14ac:dyDescent="0.2">
      <c r="A613" s="12"/>
      <c r="B613" s="10"/>
      <c r="C613" s="11"/>
      <c r="D613" s="13"/>
      <c r="E613" s="13"/>
      <c r="F613" s="13"/>
      <c r="G613" s="2"/>
      <c r="H613" s="2"/>
      <c r="I613" s="13"/>
      <c r="J613" s="13"/>
      <c r="K613" s="13"/>
      <c r="L613" s="14"/>
      <c r="M613" s="4"/>
      <c r="N613" s="2"/>
      <c r="O613" s="4"/>
      <c r="P613" s="2"/>
      <c r="Q613" s="2"/>
      <c r="R613" s="4"/>
      <c r="S613" s="2"/>
      <c r="T613" s="2"/>
      <c r="U613" s="1"/>
      <c r="V613" s="2"/>
      <c r="W613" s="2"/>
      <c r="X613" s="2"/>
      <c r="Y613" s="2"/>
      <c r="Z613" s="2"/>
    </row>
    <row r="614" spans="1:26" ht="15.75" customHeight="1" x14ac:dyDescent="0.2">
      <c r="A614" s="12"/>
      <c r="B614" s="10"/>
      <c r="C614" s="11"/>
      <c r="D614" s="13"/>
      <c r="E614" s="13"/>
      <c r="F614" s="13"/>
      <c r="G614" s="2"/>
      <c r="H614" s="2"/>
      <c r="I614" s="13"/>
      <c r="J614" s="13"/>
      <c r="K614" s="13"/>
      <c r="L614" s="14"/>
      <c r="M614" s="4"/>
      <c r="N614" s="2"/>
      <c r="O614" s="4"/>
      <c r="P614" s="2"/>
      <c r="Q614" s="2"/>
      <c r="R614" s="4"/>
      <c r="S614" s="2"/>
      <c r="T614" s="2"/>
      <c r="U614" s="1"/>
      <c r="V614" s="2"/>
      <c r="W614" s="2"/>
      <c r="X614" s="2"/>
      <c r="Y614" s="2"/>
      <c r="Z614" s="2"/>
    </row>
    <row r="615" spans="1:26" ht="15.75" customHeight="1" x14ac:dyDescent="0.2">
      <c r="A615" s="12"/>
      <c r="B615" s="10"/>
      <c r="C615" s="11"/>
      <c r="D615" s="13"/>
      <c r="E615" s="13"/>
      <c r="F615" s="13"/>
      <c r="G615" s="2"/>
      <c r="H615" s="2"/>
      <c r="I615" s="13"/>
      <c r="J615" s="13"/>
      <c r="K615" s="13"/>
      <c r="L615" s="14"/>
      <c r="M615" s="4"/>
      <c r="N615" s="2"/>
      <c r="O615" s="4"/>
      <c r="P615" s="2"/>
      <c r="Q615" s="2"/>
      <c r="R615" s="4"/>
      <c r="S615" s="2"/>
      <c r="T615" s="2"/>
      <c r="U615" s="1"/>
      <c r="V615" s="2"/>
      <c r="W615" s="2"/>
      <c r="X615" s="2"/>
      <c r="Y615" s="2"/>
      <c r="Z615" s="2"/>
    </row>
    <row r="616" spans="1:26" ht="15.75" customHeight="1" x14ac:dyDescent="0.2">
      <c r="A616" s="12"/>
      <c r="B616" s="10"/>
      <c r="C616" s="11"/>
      <c r="D616" s="13"/>
      <c r="E616" s="13"/>
      <c r="F616" s="13"/>
      <c r="G616" s="2"/>
      <c r="H616" s="2"/>
      <c r="I616" s="13"/>
      <c r="J616" s="13"/>
      <c r="K616" s="13"/>
      <c r="L616" s="14"/>
      <c r="M616" s="4"/>
      <c r="N616" s="2"/>
      <c r="O616" s="4"/>
      <c r="P616" s="2"/>
      <c r="Q616" s="2"/>
      <c r="R616" s="4"/>
      <c r="S616" s="2"/>
      <c r="T616" s="2"/>
      <c r="U616" s="1"/>
      <c r="V616" s="2"/>
      <c r="W616" s="2"/>
      <c r="X616" s="2"/>
      <c r="Y616" s="2"/>
      <c r="Z616" s="2"/>
    </row>
    <row r="617" spans="1:26" ht="15.75" customHeight="1" x14ac:dyDescent="0.2">
      <c r="A617" s="12"/>
      <c r="B617" s="10"/>
      <c r="C617" s="11"/>
      <c r="D617" s="13"/>
      <c r="E617" s="13"/>
      <c r="F617" s="13"/>
      <c r="G617" s="2"/>
      <c r="H617" s="2"/>
      <c r="I617" s="13"/>
      <c r="J617" s="13"/>
      <c r="K617" s="13"/>
      <c r="L617" s="14"/>
      <c r="M617" s="4"/>
      <c r="N617" s="2"/>
      <c r="O617" s="4"/>
      <c r="P617" s="2"/>
      <c r="Q617" s="2"/>
      <c r="R617" s="4"/>
      <c r="S617" s="2"/>
      <c r="T617" s="2"/>
      <c r="U617" s="1"/>
      <c r="V617" s="2"/>
      <c r="W617" s="2"/>
      <c r="X617" s="2"/>
      <c r="Y617" s="2"/>
      <c r="Z617" s="2"/>
    </row>
    <row r="618" spans="1:26" ht="15.75" customHeight="1" x14ac:dyDescent="0.2">
      <c r="A618" s="12"/>
      <c r="B618" s="10"/>
      <c r="C618" s="11"/>
      <c r="D618" s="13"/>
      <c r="E618" s="13"/>
      <c r="F618" s="13"/>
      <c r="G618" s="2"/>
      <c r="H618" s="2"/>
      <c r="I618" s="13"/>
      <c r="J618" s="13"/>
      <c r="K618" s="13"/>
      <c r="L618" s="14"/>
      <c r="M618" s="4"/>
      <c r="N618" s="2"/>
      <c r="O618" s="4"/>
      <c r="P618" s="2"/>
      <c r="Q618" s="2"/>
      <c r="R618" s="4"/>
      <c r="S618" s="2"/>
      <c r="T618" s="2"/>
      <c r="U618" s="1"/>
      <c r="V618" s="2"/>
      <c r="W618" s="2"/>
      <c r="X618" s="2"/>
      <c r="Y618" s="2"/>
      <c r="Z618" s="2"/>
    </row>
    <row r="619" spans="1:26" ht="15.75" customHeight="1" x14ac:dyDescent="0.2">
      <c r="A619" s="12"/>
      <c r="B619" s="10"/>
      <c r="C619" s="11"/>
      <c r="D619" s="13"/>
      <c r="E619" s="13"/>
      <c r="F619" s="13"/>
      <c r="G619" s="2"/>
      <c r="H619" s="2"/>
      <c r="I619" s="13"/>
      <c r="J619" s="13"/>
      <c r="K619" s="13"/>
      <c r="L619" s="14"/>
      <c r="M619" s="4"/>
      <c r="N619" s="2"/>
      <c r="O619" s="4"/>
      <c r="P619" s="2"/>
      <c r="Q619" s="2"/>
      <c r="R619" s="4"/>
      <c r="S619" s="2"/>
      <c r="T619" s="2"/>
      <c r="U619" s="1"/>
      <c r="V619" s="2"/>
      <c r="W619" s="2"/>
      <c r="X619" s="2"/>
      <c r="Y619" s="2"/>
      <c r="Z619" s="2"/>
    </row>
    <row r="620" spans="1:26" ht="15.75" customHeight="1" x14ac:dyDescent="0.2">
      <c r="A620" s="12"/>
      <c r="B620" s="10"/>
      <c r="C620" s="11"/>
      <c r="D620" s="13"/>
      <c r="E620" s="13"/>
      <c r="F620" s="13"/>
      <c r="G620" s="2"/>
      <c r="H620" s="2"/>
      <c r="I620" s="13"/>
      <c r="J620" s="13"/>
      <c r="K620" s="13"/>
      <c r="L620" s="14"/>
      <c r="M620" s="4"/>
      <c r="N620" s="2"/>
      <c r="O620" s="4"/>
      <c r="P620" s="2"/>
      <c r="Q620" s="2"/>
      <c r="R620" s="4"/>
      <c r="S620" s="2"/>
      <c r="T620" s="2"/>
      <c r="U620" s="1"/>
      <c r="V620" s="2"/>
      <c r="W620" s="2"/>
      <c r="X620" s="2"/>
      <c r="Y620" s="2"/>
      <c r="Z620" s="2"/>
    </row>
    <row r="621" spans="1:26" ht="15.75" customHeight="1" x14ac:dyDescent="0.2">
      <c r="A621" s="12"/>
      <c r="B621" s="10"/>
      <c r="C621" s="11"/>
      <c r="D621" s="13"/>
      <c r="E621" s="13"/>
      <c r="F621" s="13"/>
      <c r="G621" s="2"/>
      <c r="H621" s="2"/>
      <c r="I621" s="13"/>
      <c r="J621" s="13"/>
      <c r="K621" s="13"/>
      <c r="L621" s="14"/>
      <c r="M621" s="4"/>
      <c r="N621" s="2"/>
      <c r="O621" s="4"/>
      <c r="P621" s="2"/>
      <c r="Q621" s="2"/>
      <c r="R621" s="4"/>
      <c r="S621" s="2"/>
      <c r="T621" s="2"/>
      <c r="U621" s="1"/>
      <c r="V621" s="2"/>
      <c r="W621" s="2"/>
      <c r="X621" s="2"/>
      <c r="Y621" s="2"/>
      <c r="Z621" s="2"/>
    </row>
    <row r="622" spans="1:26" ht="15.75" customHeight="1" x14ac:dyDescent="0.2">
      <c r="A622" s="12"/>
      <c r="B622" s="10"/>
      <c r="C622" s="11"/>
      <c r="D622" s="13"/>
      <c r="E622" s="13"/>
      <c r="F622" s="13"/>
      <c r="G622" s="2"/>
      <c r="H622" s="2"/>
      <c r="I622" s="13"/>
      <c r="J622" s="13"/>
      <c r="K622" s="13"/>
      <c r="L622" s="14"/>
      <c r="M622" s="4"/>
      <c r="N622" s="2"/>
      <c r="O622" s="4"/>
      <c r="P622" s="2"/>
      <c r="Q622" s="2"/>
      <c r="R622" s="4"/>
      <c r="S622" s="2"/>
      <c r="T622" s="2"/>
      <c r="U622" s="1"/>
      <c r="V622" s="2"/>
      <c r="W622" s="2"/>
      <c r="X622" s="2"/>
      <c r="Y622" s="2"/>
      <c r="Z622" s="2"/>
    </row>
    <row r="623" spans="1:26" ht="15.75" customHeight="1" x14ac:dyDescent="0.2">
      <c r="A623" s="12"/>
      <c r="B623" s="10"/>
      <c r="C623" s="11"/>
      <c r="D623" s="13"/>
      <c r="E623" s="13"/>
      <c r="F623" s="13"/>
      <c r="G623" s="2"/>
      <c r="H623" s="2"/>
      <c r="I623" s="13"/>
      <c r="J623" s="13"/>
      <c r="K623" s="13"/>
      <c r="L623" s="14"/>
      <c r="M623" s="4"/>
      <c r="N623" s="2"/>
      <c r="O623" s="4"/>
      <c r="P623" s="2"/>
      <c r="Q623" s="2"/>
      <c r="R623" s="4"/>
      <c r="S623" s="2"/>
      <c r="T623" s="2"/>
      <c r="U623" s="1"/>
      <c r="V623" s="2"/>
      <c r="W623" s="2"/>
      <c r="X623" s="2"/>
      <c r="Y623" s="2"/>
      <c r="Z623" s="2"/>
    </row>
    <row r="624" spans="1:26" ht="15.75" customHeight="1" x14ac:dyDescent="0.2">
      <c r="A624" s="12"/>
      <c r="B624" s="10"/>
      <c r="C624" s="11"/>
      <c r="D624" s="13"/>
      <c r="E624" s="13"/>
      <c r="F624" s="13"/>
      <c r="G624" s="2"/>
      <c r="H624" s="2"/>
      <c r="I624" s="13"/>
      <c r="J624" s="13"/>
      <c r="K624" s="13"/>
      <c r="L624" s="14"/>
      <c r="M624" s="4"/>
      <c r="N624" s="2"/>
      <c r="O624" s="4"/>
      <c r="P624" s="2"/>
      <c r="Q624" s="2"/>
      <c r="R624" s="4"/>
      <c r="S624" s="2"/>
      <c r="T624" s="2"/>
      <c r="U624" s="1"/>
      <c r="V624" s="2"/>
      <c r="W624" s="2"/>
      <c r="X624" s="2"/>
      <c r="Y624" s="2"/>
      <c r="Z624" s="2"/>
    </row>
    <row r="625" spans="1:26" ht="15.75" customHeight="1" x14ac:dyDescent="0.2">
      <c r="A625" s="12"/>
      <c r="B625" s="10"/>
      <c r="C625" s="11"/>
      <c r="D625" s="13"/>
      <c r="E625" s="13"/>
      <c r="F625" s="13"/>
      <c r="G625" s="2"/>
      <c r="H625" s="2"/>
      <c r="I625" s="13"/>
      <c r="J625" s="13"/>
      <c r="K625" s="13"/>
      <c r="L625" s="14"/>
      <c r="M625" s="4"/>
      <c r="N625" s="2"/>
      <c r="O625" s="4"/>
      <c r="P625" s="2"/>
      <c r="Q625" s="2"/>
      <c r="R625" s="4"/>
      <c r="S625" s="2"/>
      <c r="T625" s="2"/>
      <c r="U625" s="1"/>
      <c r="V625" s="2"/>
      <c r="W625" s="2"/>
      <c r="X625" s="2"/>
      <c r="Y625" s="2"/>
      <c r="Z625" s="2"/>
    </row>
    <row r="626" spans="1:26" ht="15.75" customHeight="1" x14ac:dyDescent="0.2">
      <c r="A626" s="12"/>
      <c r="B626" s="10"/>
      <c r="C626" s="11"/>
      <c r="D626" s="13"/>
      <c r="E626" s="13"/>
      <c r="F626" s="13"/>
      <c r="G626" s="2"/>
      <c r="H626" s="2"/>
      <c r="I626" s="13"/>
      <c r="J626" s="13"/>
      <c r="K626" s="13"/>
      <c r="L626" s="14"/>
      <c r="M626" s="4"/>
      <c r="N626" s="2"/>
      <c r="O626" s="4"/>
      <c r="P626" s="2"/>
      <c r="Q626" s="2"/>
      <c r="R626" s="4"/>
      <c r="S626" s="2"/>
      <c r="T626" s="2"/>
      <c r="U626" s="1"/>
      <c r="V626" s="2"/>
      <c r="W626" s="2"/>
      <c r="X626" s="2"/>
      <c r="Y626" s="2"/>
      <c r="Z626" s="2"/>
    </row>
    <row r="627" spans="1:26" ht="15.75" customHeight="1" x14ac:dyDescent="0.2">
      <c r="A627" s="12"/>
      <c r="B627" s="10"/>
      <c r="C627" s="11"/>
      <c r="D627" s="13"/>
      <c r="E627" s="13"/>
      <c r="F627" s="13"/>
      <c r="G627" s="2"/>
      <c r="H627" s="2"/>
      <c r="I627" s="13"/>
      <c r="J627" s="13"/>
      <c r="K627" s="13"/>
      <c r="L627" s="14"/>
      <c r="M627" s="4"/>
      <c r="N627" s="2"/>
      <c r="O627" s="4"/>
      <c r="P627" s="2"/>
      <c r="Q627" s="2"/>
      <c r="R627" s="4"/>
      <c r="S627" s="2"/>
      <c r="T627" s="2"/>
      <c r="U627" s="1"/>
      <c r="V627" s="2"/>
      <c r="W627" s="2"/>
      <c r="X627" s="2"/>
      <c r="Y627" s="2"/>
      <c r="Z627" s="2"/>
    </row>
    <row r="628" spans="1:26" ht="15.75" customHeight="1" x14ac:dyDescent="0.2">
      <c r="A628" s="12"/>
      <c r="B628" s="10"/>
      <c r="C628" s="11"/>
      <c r="D628" s="13"/>
      <c r="E628" s="13"/>
      <c r="F628" s="13"/>
      <c r="G628" s="2"/>
      <c r="H628" s="2"/>
      <c r="I628" s="13"/>
      <c r="J628" s="13"/>
      <c r="K628" s="13"/>
      <c r="L628" s="14"/>
      <c r="M628" s="4"/>
      <c r="N628" s="2"/>
      <c r="O628" s="4"/>
      <c r="P628" s="2"/>
      <c r="Q628" s="2"/>
      <c r="R628" s="4"/>
      <c r="S628" s="2"/>
      <c r="T628" s="2"/>
      <c r="U628" s="1"/>
      <c r="V628" s="2"/>
      <c r="W628" s="2"/>
      <c r="X628" s="2"/>
      <c r="Y628" s="2"/>
      <c r="Z628" s="2"/>
    </row>
    <row r="629" spans="1:26" ht="15.75" customHeight="1" x14ac:dyDescent="0.2">
      <c r="A629" s="12"/>
      <c r="B629" s="10"/>
      <c r="C629" s="11"/>
      <c r="D629" s="13"/>
      <c r="E629" s="13"/>
      <c r="F629" s="13"/>
      <c r="G629" s="2"/>
      <c r="H629" s="2"/>
      <c r="I629" s="13"/>
      <c r="J629" s="13"/>
      <c r="K629" s="13"/>
      <c r="L629" s="14"/>
      <c r="M629" s="4"/>
      <c r="N629" s="2"/>
      <c r="O629" s="4"/>
      <c r="P629" s="2"/>
      <c r="Q629" s="2"/>
      <c r="R629" s="4"/>
      <c r="S629" s="2"/>
      <c r="T629" s="2"/>
      <c r="U629" s="1"/>
      <c r="V629" s="2"/>
      <c r="W629" s="2"/>
      <c r="X629" s="2"/>
      <c r="Y629" s="2"/>
      <c r="Z629" s="2"/>
    </row>
    <row r="630" spans="1:26" ht="15.75" customHeight="1" x14ac:dyDescent="0.2">
      <c r="A630" s="12"/>
      <c r="B630" s="10"/>
      <c r="C630" s="11"/>
      <c r="D630" s="13"/>
      <c r="E630" s="13"/>
      <c r="F630" s="13"/>
      <c r="G630" s="2"/>
      <c r="H630" s="2"/>
      <c r="I630" s="13"/>
      <c r="J630" s="13"/>
      <c r="K630" s="13"/>
      <c r="L630" s="14"/>
      <c r="M630" s="4"/>
      <c r="N630" s="2"/>
      <c r="O630" s="4"/>
      <c r="P630" s="2"/>
      <c r="Q630" s="2"/>
      <c r="R630" s="4"/>
      <c r="S630" s="2"/>
      <c r="T630" s="2"/>
      <c r="U630" s="1"/>
      <c r="V630" s="2"/>
      <c r="W630" s="2"/>
      <c r="X630" s="2"/>
      <c r="Y630" s="2"/>
      <c r="Z630" s="2"/>
    </row>
    <row r="631" spans="1:26" ht="15.75" customHeight="1" x14ac:dyDescent="0.2">
      <c r="A631" s="12"/>
      <c r="B631" s="10"/>
      <c r="C631" s="11"/>
      <c r="D631" s="13"/>
      <c r="E631" s="13"/>
      <c r="F631" s="13"/>
      <c r="G631" s="2"/>
      <c r="H631" s="2"/>
      <c r="I631" s="13"/>
      <c r="J631" s="13"/>
      <c r="K631" s="13"/>
      <c r="L631" s="14"/>
      <c r="M631" s="4"/>
      <c r="N631" s="2"/>
      <c r="O631" s="4"/>
      <c r="P631" s="2"/>
      <c r="Q631" s="2"/>
      <c r="R631" s="4"/>
      <c r="S631" s="2"/>
      <c r="T631" s="2"/>
      <c r="U631" s="1"/>
      <c r="V631" s="2"/>
      <c r="W631" s="2"/>
      <c r="X631" s="2"/>
      <c r="Y631" s="2"/>
      <c r="Z631" s="2"/>
    </row>
    <row r="632" spans="1:26" ht="15.75" customHeight="1" x14ac:dyDescent="0.2">
      <c r="A632" s="12"/>
      <c r="B632" s="10"/>
      <c r="C632" s="11"/>
      <c r="D632" s="13"/>
      <c r="E632" s="13"/>
      <c r="F632" s="13"/>
      <c r="G632" s="2"/>
      <c r="H632" s="2"/>
      <c r="I632" s="13"/>
      <c r="J632" s="13"/>
      <c r="K632" s="13"/>
      <c r="L632" s="14"/>
      <c r="M632" s="4"/>
      <c r="N632" s="2"/>
      <c r="O632" s="4"/>
      <c r="P632" s="2"/>
      <c r="Q632" s="2"/>
      <c r="R632" s="4"/>
      <c r="S632" s="2"/>
      <c r="T632" s="2"/>
      <c r="U632" s="1"/>
      <c r="V632" s="2"/>
      <c r="W632" s="2"/>
      <c r="X632" s="2"/>
      <c r="Y632" s="2"/>
      <c r="Z632" s="2"/>
    </row>
    <row r="633" spans="1:26" ht="15.75" customHeight="1" x14ac:dyDescent="0.2">
      <c r="A633" s="12"/>
      <c r="B633" s="10"/>
      <c r="C633" s="11"/>
      <c r="D633" s="13"/>
      <c r="E633" s="13"/>
      <c r="F633" s="13"/>
      <c r="G633" s="2"/>
      <c r="H633" s="2"/>
      <c r="I633" s="13"/>
      <c r="J633" s="13"/>
      <c r="K633" s="13"/>
      <c r="L633" s="14"/>
      <c r="M633" s="4"/>
      <c r="N633" s="2"/>
      <c r="O633" s="4"/>
      <c r="P633" s="2"/>
      <c r="Q633" s="2"/>
      <c r="R633" s="4"/>
      <c r="S633" s="2"/>
      <c r="T633" s="2"/>
      <c r="U633" s="1"/>
      <c r="V633" s="2"/>
      <c r="W633" s="2"/>
      <c r="X633" s="2"/>
      <c r="Y633" s="2"/>
      <c r="Z633" s="2"/>
    </row>
    <row r="634" spans="1:26" ht="15.75" customHeight="1" x14ac:dyDescent="0.2">
      <c r="A634" s="12"/>
      <c r="B634" s="10"/>
      <c r="C634" s="11"/>
      <c r="D634" s="13"/>
      <c r="E634" s="13"/>
      <c r="F634" s="13"/>
      <c r="G634" s="2"/>
      <c r="H634" s="2"/>
      <c r="I634" s="13"/>
      <c r="J634" s="13"/>
      <c r="K634" s="13"/>
      <c r="L634" s="14"/>
      <c r="M634" s="4"/>
      <c r="N634" s="2"/>
      <c r="O634" s="4"/>
      <c r="P634" s="2"/>
      <c r="Q634" s="2"/>
      <c r="R634" s="4"/>
      <c r="S634" s="2"/>
      <c r="T634" s="2"/>
      <c r="U634" s="1"/>
      <c r="V634" s="2"/>
      <c r="W634" s="2"/>
      <c r="X634" s="2"/>
      <c r="Y634" s="2"/>
      <c r="Z634" s="2"/>
    </row>
    <row r="635" spans="1:26" ht="15.75" customHeight="1" x14ac:dyDescent="0.2">
      <c r="A635" s="12"/>
      <c r="B635" s="10"/>
      <c r="C635" s="11"/>
      <c r="D635" s="13"/>
      <c r="E635" s="13"/>
      <c r="F635" s="13"/>
      <c r="G635" s="2"/>
      <c r="H635" s="2"/>
      <c r="I635" s="13"/>
      <c r="J635" s="13"/>
      <c r="K635" s="13"/>
      <c r="L635" s="14"/>
      <c r="M635" s="4"/>
      <c r="N635" s="2"/>
      <c r="O635" s="4"/>
      <c r="P635" s="2"/>
      <c r="Q635" s="2"/>
      <c r="R635" s="4"/>
      <c r="S635" s="2"/>
      <c r="T635" s="2"/>
      <c r="U635" s="1"/>
      <c r="V635" s="2"/>
      <c r="W635" s="2"/>
      <c r="X635" s="2"/>
      <c r="Y635" s="2"/>
      <c r="Z635" s="2"/>
    </row>
    <row r="636" spans="1:26" ht="15.75" customHeight="1" x14ac:dyDescent="0.2">
      <c r="A636" s="12"/>
      <c r="B636" s="10"/>
      <c r="C636" s="11"/>
      <c r="D636" s="13"/>
      <c r="E636" s="13"/>
      <c r="F636" s="13"/>
      <c r="G636" s="2"/>
      <c r="H636" s="2"/>
      <c r="I636" s="13"/>
      <c r="J636" s="13"/>
      <c r="K636" s="13"/>
      <c r="L636" s="14"/>
      <c r="M636" s="4"/>
      <c r="N636" s="2"/>
      <c r="O636" s="4"/>
      <c r="P636" s="2"/>
      <c r="Q636" s="2"/>
      <c r="R636" s="4"/>
      <c r="S636" s="2"/>
      <c r="T636" s="2"/>
      <c r="U636" s="1"/>
      <c r="V636" s="2"/>
      <c r="W636" s="2"/>
      <c r="X636" s="2"/>
      <c r="Y636" s="2"/>
      <c r="Z636" s="2"/>
    </row>
    <row r="637" spans="1:26" ht="15.75" customHeight="1" x14ac:dyDescent="0.2">
      <c r="A637" s="12"/>
      <c r="B637" s="10"/>
      <c r="C637" s="11"/>
      <c r="D637" s="13"/>
      <c r="E637" s="13"/>
      <c r="F637" s="13"/>
      <c r="G637" s="2"/>
      <c r="H637" s="2"/>
      <c r="I637" s="13"/>
      <c r="J637" s="13"/>
      <c r="K637" s="13"/>
      <c r="L637" s="14"/>
      <c r="M637" s="4"/>
      <c r="N637" s="2"/>
      <c r="O637" s="4"/>
      <c r="P637" s="2"/>
      <c r="Q637" s="2"/>
      <c r="R637" s="4"/>
      <c r="S637" s="2"/>
      <c r="T637" s="2"/>
      <c r="U637" s="1"/>
      <c r="V637" s="2"/>
      <c r="W637" s="2"/>
      <c r="X637" s="2"/>
      <c r="Y637" s="2"/>
      <c r="Z637" s="2"/>
    </row>
    <row r="638" spans="1:26" ht="15.75" customHeight="1" x14ac:dyDescent="0.2">
      <c r="A638" s="12"/>
      <c r="B638" s="10"/>
      <c r="C638" s="11"/>
      <c r="D638" s="13"/>
      <c r="E638" s="13"/>
      <c r="F638" s="13"/>
      <c r="G638" s="2"/>
      <c r="H638" s="2"/>
      <c r="I638" s="13"/>
      <c r="J638" s="13"/>
      <c r="K638" s="13"/>
      <c r="L638" s="14"/>
      <c r="M638" s="4"/>
      <c r="N638" s="2"/>
      <c r="O638" s="4"/>
      <c r="P638" s="2"/>
      <c r="Q638" s="2"/>
      <c r="R638" s="4"/>
      <c r="S638" s="2"/>
      <c r="T638" s="2"/>
      <c r="U638" s="1"/>
      <c r="V638" s="2"/>
      <c r="W638" s="2"/>
      <c r="X638" s="2"/>
      <c r="Y638" s="2"/>
      <c r="Z638" s="2"/>
    </row>
    <row r="639" spans="1:26" ht="15.75" customHeight="1" x14ac:dyDescent="0.2">
      <c r="A639" s="12"/>
      <c r="B639" s="10"/>
      <c r="C639" s="11"/>
      <c r="D639" s="13"/>
      <c r="E639" s="13"/>
      <c r="F639" s="13"/>
      <c r="G639" s="2"/>
      <c r="H639" s="2"/>
      <c r="I639" s="13"/>
      <c r="J639" s="13"/>
      <c r="K639" s="13"/>
      <c r="L639" s="14"/>
      <c r="M639" s="4"/>
      <c r="N639" s="2"/>
      <c r="O639" s="4"/>
      <c r="P639" s="2"/>
      <c r="Q639" s="2"/>
      <c r="R639" s="4"/>
      <c r="S639" s="2"/>
      <c r="T639" s="2"/>
      <c r="U639" s="1"/>
      <c r="V639" s="2"/>
      <c r="W639" s="2"/>
      <c r="X639" s="2"/>
      <c r="Y639" s="2"/>
      <c r="Z639" s="2"/>
    </row>
    <row r="640" spans="1:26" ht="15.75" customHeight="1" x14ac:dyDescent="0.2">
      <c r="A640" s="12"/>
      <c r="B640" s="10"/>
      <c r="C640" s="11"/>
      <c r="D640" s="13"/>
      <c r="E640" s="13"/>
      <c r="F640" s="13"/>
      <c r="G640" s="2"/>
      <c r="H640" s="2"/>
      <c r="I640" s="13"/>
      <c r="J640" s="13"/>
      <c r="K640" s="13"/>
      <c r="L640" s="14"/>
      <c r="M640" s="4"/>
      <c r="N640" s="2"/>
      <c r="O640" s="4"/>
      <c r="P640" s="2"/>
      <c r="Q640" s="2"/>
      <c r="R640" s="4"/>
      <c r="S640" s="2"/>
      <c r="T640" s="2"/>
      <c r="U640" s="1"/>
      <c r="V640" s="2"/>
      <c r="W640" s="2"/>
      <c r="X640" s="2"/>
      <c r="Y640" s="2"/>
      <c r="Z640" s="2"/>
    </row>
    <row r="641" spans="1:26" ht="15.75" customHeight="1" x14ac:dyDescent="0.2">
      <c r="A641" s="12"/>
      <c r="B641" s="10"/>
      <c r="C641" s="11"/>
      <c r="D641" s="13"/>
      <c r="E641" s="13"/>
      <c r="F641" s="13"/>
      <c r="G641" s="2"/>
      <c r="H641" s="2"/>
      <c r="I641" s="13"/>
      <c r="J641" s="13"/>
      <c r="K641" s="13"/>
      <c r="L641" s="14"/>
      <c r="M641" s="4"/>
      <c r="N641" s="2"/>
      <c r="O641" s="4"/>
      <c r="P641" s="2"/>
      <c r="Q641" s="2"/>
      <c r="R641" s="4"/>
      <c r="S641" s="2"/>
      <c r="T641" s="2"/>
      <c r="U641" s="1"/>
      <c r="V641" s="2"/>
      <c r="W641" s="2"/>
      <c r="X641" s="2"/>
      <c r="Y641" s="2"/>
      <c r="Z641" s="2"/>
    </row>
    <row r="642" spans="1:26" ht="15.75" customHeight="1" x14ac:dyDescent="0.2">
      <c r="A642" s="12"/>
      <c r="B642" s="10"/>
      <c r="C642" s="11"/>
      <c r="D642" s="13"/>
      <c r="E642" s="13"/>
      <c r="F642" s="13"/>
      <c r="G642" s="2"/>
      <c r="H642" s="2"/>
      <c r="I642" s="13"/>
      <c r="J642" s="13"/>
      <c r="K642" s="13"/>
      <c r="L642" s="14"/>
      <c r="M642" s="4"/>
      <c r="N642" s="2"/>
      <c r="O642" s="4"/>
      <c r="P642" s="2"/>
      <c r="Q642" s="2"/>
      <c r="R642" s="4"/>
      <c r="S642" s="2"/>
      <c r="T642" s="2"/>
      <c r="U642" s="1"/>
      <c r="V642" s="2"/>
      <c r="W642" s="2"/>
      <c r="X642" s="2"/>
      <c r="Y642" s="2"/>
      <c r="Z642" s="2"/>
    </row>
    <row r="643" spans="1:26" ht="15.75" customHeight="1" x14ac:dyDescent="0.2">
      <c r="A643" s="12"/>
      <c r="B643" s="10"/>
      <c r="C643" s="11"/>
      <c r="D643" s="13"/>
      <c r="E643" s="13"/>
      <c r="F643" s="13"/>
      <c r="G643" s="2"/>
      <c r="H643" s="2"/>
      <c r="I643" s="13"/>
      <c r="J643" s="13"/>
      <c r="K643" s="13"/>
      <c r="L643" s="14"/>
      <c r="M643" s="4"/>
      <c r="N643" s="2"/>
      <c r="O643" s="4"/>
      <c r="P643" s="2"/>
      <c r="Q643" s="2"/>
      <c r="R643" s="4"/>
      <c r="S643" s="2"/>
      <c r="T643" s="2"/>
      <c r="U643" s="1"/>
      <c r="V643" s="2"/>
      <c r="W643" s="2"/>
      <c r="X643" s="2"/>
      <c r="Y643" s="2"/>
      <c r="Z643" s="2"/>
    </row>
    <row r="644" spans="1:26" ht="15.75" customHeight="1" x14ac:dyDescent="0.2">
      <c r="A644" s="12"/>
      <c r="B644" s="10"/>
      <c r="C644" s="11"/>
      <c r="D644" s="13"/>
      <c r="E644" s="13"/>
      <c r="F644" s="13"/>
      <c r="G644" s="2"/>
      <c r="H644" s="2"/>
      <c r="I644" s="13"/>
      <c r="J644" s="13"/>
      <c r="K644" s="13"/>
      <c r="L644" s="14"/>
      <c r="M644" s="4"/>
      <c r="N644" s="2"/>
      <c r="O644" s="4"/>
      <c r="P644" s="2"/>
      <c r="Q644" s="2"/>
      <c r="R644" s="4"/>
      <c r="S644" s="2"/>
      <c r="T644" s="2"/>
      <c r="U644" s="1"/>
      <c r="V644" s="2"/>
      <c r="W644" s="2"/>
      <c r="X644" s="2"/>
      <c r="Y644" s="2"/>
      <c r="Z644" s="2"/>
    </row>
    <row r="645" spans="1:26" ht="15.75" customHeight="1" x14ac:dyDescent="0.2">
      <c r="A645" s="12"/>
      <c r="B645" s="10"/>
      <c r="C645" s="11"/>
      <c r="D645" s="13"/>
      <c r="E645" s="13"/>
      <c r="F645" s="13"/>
      <c r="G645" s="2"/>
      <c r="H645" s="2"/>
      <c r="I645" s="13"/>
      <c r="J645" s="13"/>
      <c r="K645" s="13"/>
      <c r="L645" s="14"/>
      <c r="M645" s="4"/>
      <c r="N645" s="2"/>
      <c r="O645" s="4"/>
      <c r="P645" s="2"/>
      <c r="Q645" s="2"/>
      <c r="R645" s="4"/>
      <c r="S645" s="2"/>
      <c r="T645" s="2"/>
      <c r="U645" s="1"/>
      <c r="V645" s="2"/>
      <c r="W645" s="2"/>
      <c r="X645" s="2"/>
      <c r="Y645" s="2"/>
      <c r="Z645" s="2"/>
    </row>
    <row r="646" spans="1:26" ht="15.75" customHeight="1" x14ac:dyDescent="0.2">
      <c r="A646" s="12"/>
      <c r="B646" s="10"/>
      <c r="C646" s="11"/>
      <c r="D646" s="13"/>
      <c r="E646" s="13"/>
      <c r="F646" s="13"/>
      <c r="G646" s="2"/>
      <c r="H646" s="2"/>
      <c r="I646" s="13"/>
      <c r="J646" s="13"/>
      <c r="K646" s="13"/>
      <c r="L646" s="14"/>
      <c r="M646" s="4"/>
      <c r="N646" s="2"/>
      <c r="O646" s="4"/>
      <c r="P646" s="2"/>
      <c r="Q646" s="2"/>
      <c r="R646" s="4"/>
      <c r="S646" s="2"/>
      <c r="T646" s="2"/>
      <c r="U646" s="1"/>
      <c r="V646" s="2"/>
      <c r="W646" s="2"/>
      <c r="X646" s="2"/>
      <c r="Y646" s="2"/>
      <c r="Z646" s="2"/>
    </row>
    <row r="647" spans="1:26" ht="15.75" customHeight="1" x14ac:dyDescent="0.2">
      <c r="A647" s="12"/>
      <c r="B647" s="10"/>
      <c r="C647" s="11"/>
      <c r="D647" s="13"/>
      <c r="E647" s="13"/>
      <c r="F647" s="13"/>
      <c r="G647" s="2"/>
      <c r="H647" s="2"/>
      <c r="I647" s="13"/>
      <c r="J647" s="13"/>
      <c r="K647" s="13"/>
      <c r="L647" s="14"/>
      <c r="M647" s="4"/>
      <c r="N647" s="2"/>
      <c r="O647" s="4"/>
      <c r="P647" s="2"/>
      <c r="Q647" s="2"/>
      <c r="R647" s="4"/>
      <c r="S647" s="2"/>
      <c r="T647" s="2"/>
      <c r="U647" s="1"/>
      <c r="V647" s="2"/>
      <c r="W647" s="2"/>
      <c r="X647" s="2"/>
      <c r="Y647" s="2"/>
      <c r="Z647" s="2"/>
    </row>
    <row r="648" spans="1:26" ht="15.75" customHeight="1" x14ac:dyDescent="0.2">
      <c r="A648" s="12"/>
      <c r="B648" s="10"/>
      <c r="C648" s="11"/>
      <c r="D648" s="13"/>
      <c r="E648" s="13"/>
      <c r="F648" s="13"/>
      <c r="G648" s="2"/>
      <c r="H648" s="2"/>
      <c r="I648" s="13"/>
      <c r="J648" s="13"/>
      <c r="K648" s="13"/>
      <c r="L648" s="14"/>
      <c r="M648" s="4"/>
      <c r="N648" s="2"/>
      <c r="O648" s="4"/>
      <c r="P648" s="2"/>
      <c r="Q648" s="2"/>
      <c r="R648" s="4"/>
      <c r="S648" s="2"/>
      <c r="T648" s="2"/>
      <c r="U648" s="1"/>
      <c r="V648" s="2"/>
      <c r="W648" s="2"/>
      <c r="X648" s="2"/>
      <c r="Y648" s="2"/>
      <c r="Z648" s="2"/>
    </row>
    <row r="649" spans="1:26" ht="15.75" customHeight="1" x14ac:dyDescent="0.2">
      <c r="A649" s="12"/>
      <c r="B649" s="10"/>
      <c r="C649" s="11"/>
      <c r="D649" s="13"/>
      <c r="E649" s="13"/>
      <c r="F649" s="13"/>
      <c r="G649" s="2"/>
      <c r="H649" s="2"/>
      <c r="I649" s="13"/>
      <c r="J649" s="13"/>
      <c r="K649" s="13"/>
      <c r="L649" s="14"/>
      <c r="M649" s="4"/>
      <c r="N649" s="2"/>
      <c r="O649" s="4"/>
      <c r="P649" s="2"/>
      <c r="Q649" s="2"/>
      <c r="R649" s="4"/>
      <c r="S649" s="2"/>
      <c r="T649" s="2"/>
      <c r="U649" s="1"/>
      <c r="V649" s="2"/>
      <c r="W649" s="2"/>
      <c r="X649" s="2"/>
      <c r="Y649" s="2"/>
      <c r="Z649" s="2"/>
    </row>
    <row r="650" spans="1:26" ht="15.75" customHeight="1" x14ac:dyDescent="0.2">
      <c r="A650" s="12"/>
      <c r="B650" s="10"/>
      <c r="C650" s="11"/>
      <c r="D650" s="13"/>
      <c r="E650" s="13"/>
      <c r="F650" s="13"/>
      <c r="G650" s="2"/>
      <c r="H650" s="2"/>
      <c r="I650" s="13"/>
      <c r="J650" s="13"/>
      <c r="K650" s="13"/>
      <c r="L650" s="14"/>
      <c r="M650" s="4"/>
      <c r="N650" s="2"/>
      <c r="O650" s="4"/>
      <c r="P650" s="2"/>
      <c r="Q650" s="2"/>
      <c r="R650" s="4"/>
      <c r="S650" s="2"/>
      <c r="T650" s="2"/>
      <c r="U650" s="1"/>
      <c r="V650" s="2"/>
      <c r="W650" s="2"/>
      <c r="X650" s="2"/>
      <c r="Y650" s="2"/>
      <c r="Z650" s="2"/>
    </row>
    <row r="651" spans="1:26" ht="15.75" customHeight="1" x14ac:dyDescent="0.2">
      <c r="A651" s="12"/>
      <c r="B651" s="10"/>
      <c r="C651" s="11"/>
      <c r="D651" s="13"/>
      <c r="E651" s="13"/>
      <c r="F651" s="13"/>
      <c r="G651" s="2"/>
      <c r="H651" s="2"/>
      <c r="I651" s="13"/>
      <c r="J651" s="13"/>
      <c r="K651" s="13"/>
      <c r="L651" s="14"/>
      <c r="M651" s="4"/>
      <c r="N651" s="2"/>
      <c r="O651" s="4"/>
      <c r="P651" s="2"/>
      <c r="Q651" s="2"/>
      <c r="R651" s="4"/>
      <c r="S651" s="2"/>
      <c r="T651" s="2"/>
      <c r="U651" s="1"/>
      <c r="V651" s="2"/>
      <c r="W651" s="2"/>
      <c r="X651" s="2"/>
      <c r="Y651" s="2"/>
      <c r="Z651" s="2"/>
    </row>
    <row r="652" spans="1:26" ht="15.75" customHeight="1" x14ac:dyDescent="0.2">
      <c r="A652" s="12"/>
      <c r="B652" s="10"/>
      <c r="C652" s="11"/>
      <c r="D652" s="13"/>
      <c r="E652" s="13"/>
      <c r="F652" s="13"/>
      <c r="G652" s="2"/>
      <c r="H652" s="2"/>
      <c r="I652" s="13"/>
      <c r="J652" s="13"/>
      <c r="K652" s="13"/>
      <c r="L652" s="14"/>
      <c r="M652" s="4"/>
      <c r="N652" s="2"/>
      <c r="O652" s="4"/>
      <c r="P652" s="2"/>
      <c r="Q652" s="2"/>
      <c r="R652" s="4"/>
      <c r="S652" s="2"/>
      <c r="T652" s="2"/>
      <c r="U652" s="1"/>
      <c r="V652" s="2"/>
      <c r="W652" s="2"/>
      <c r="X652" s="2"/>
      <c r="Y652" s="2"/>
      <c r="Z652" s="2"/>
    </row>
    <row r="653" spans="1:26" ht="15.75" customHeight="1" x14ac:dyDescent="0.2">
      <c r="A653" s="12"/>
      <c r="B653" s="10"/>
      <c r="C653" s="11"/>
      <c r="D653" s="13"/>
      <c r="E653" s="13"/>
      <c r="F653" s="13"/>
      <c r="G653" s="2"/>
      <c r="H653" s="2"/>
      <c r="I653" s="13"/>
      <c r="J653" s="13"/>
      <c r="K653" s="13"/>
      <c r="L653" s="14"/>
      <c r="M653" s="4"/>
      <c r="N653" s="2"/>
      <c r="O653" s="4"/>
      <c r="P653" s="2"/>
      <c r="Q653" s="2"/>
      <c r="R653" s="4"/>
      <c r="S653" s="2"/>
      <c r="T653" s="2"/>
      <c r="U653" s="1"/>
      <c r="V653" s="2"/>
      <c r="W653" s="2"/>
      <c r="X653" s="2"/>
      <c r="Y653" s="2"/>
      <c r="Z653" s="2"/>
    </row>
    <row r="654" spans="1:26" ht="15.75" customHeight="1" x14ac:dyDescent="0.2">
      <c r="A654" s="12"/>
      <c r="B654" s="10"/>
      <c r="C654" s="11"/>
      <c r="D654" s="13"/>
      <c r="E654" s="13"/>
      <c r="F654" s="13"/>
      <c r="G654" s="2"/>
      <c r="H654" s="2"/>
      <c r="I654" s="13"/>
      <c r="J654" s="13"/>
      <c r="K654" s="13"/>
      <c r="L654" s="14"/>
      <c r="M654" s="4"/>
      <c r="N654" s="2"/>
      <c r="O654" s="4"/>
      <c r="P654" s="2"/>
      <c r="Q654" s="2"/>
      <c r="R654" s="4"/>
      <c r="S654" s="2"/>
      <c r="T654" s="2"/>
      <c r="U654" s="1"/>
      <c r="V654" s="2"/>
      <c r="W654" s="2"/>
      <c r="X654" s="2"/>
      <c r="Y654" s="2"/>
      <c r="Z654" s="2"/>
    </row>
    <row r="655" spans="1:26" ht="15.75" customHeight="1" x14ac:dyDescent="0.2">
      <c r="A655" s="12"/>
      <c r="B655" s="10"/>
      <c r="C655" s="11"/>
      <c r="D655" s="13"/>
      <c r="E655" s="13"/>
      <c r="F655" s="13"/>
      <c r="G655" s="2"/>
      <c r="H655" s="2"/>
      <c r="I655" s="13"/>
      <c r="J655" s="13"/>
      <c r="K655" s="13"/>
      <c r="L655" s="14"/>
      <c r="M655" s="4"/>
      <c r="N655" s="2"/>
      <c r="O655" s="4"/>
      <c r="P655" s="2"/>
      <c r="Q655" s="2"/>
      <c r="R655" s="4"/>
      <c r="S655" s="2"/>
      <c r="T655" s="2"/>
      <c r="U655" s="1"/>
      <c r="V655" s="2"/>
      <c r="W655" s="2"/>
      <c r="X655" s="2"/>
      <c r="Y655" s="2"/>
      <c r="Z655" s="2"/>
    </row>
    <row r="656" spans="1:26" ht="15.75" customHeight="1" x14ac:dyDescent="0.2">
      <c r="A656" s="12"/>
      <c r="B656" s="10"/>
      <c r="C656" s="11"/>
      <c r="D656" s="13"/>
      <c r="E656" s="13"/>
      <c r="F656" s="13"/>
      <c r="G656" s="2"/>
      <c r="H656" s="2"/>
      <c r="I656" s="13"/>
      <c r="J656" s="13"/>
      <c r="K656" s="13"/>
      <c r="L656" s="14"/>
      <c r="M656" s="4"/>
      <c r="N656" s="2"/>
      <c r="O656" s="4"/>
      <c r="P656" s="2"/>
      <c r="Q656" s="2"/>
      <c r="R656" s="4"/>
      <c r="S656" s="2"/>
      <c r="T656" s="2"/>
      <c r="U656" s="1"/>
      <c r="V656" s="2"/>
      <c r="W656" s="2"/>
      <c r="X656" s="2"/>
      <c r="Y656" s="2"/>
      <c r="Z656" s="2"/>
    </row>
    <row r="657" spans="1:26" ht="15.75" customHeight="1" x14ac:dyDescent="0.2">
      <c r="A657" s="12"/>
      <c r="B657" s="10"/>
      <c r="C657" s="11"/>
      <c r="D657" s="13"/>
      <c r="E657" s="13"/>
      <c r="F657" s="13"/>
      <c r="G657" s="2"/>
      <c r="H657" s="2"/>
      <c r="I657" s="13"/>
      <c r="J657" s="13"/>
      <c r="K657" s="13"/>
      <c r="L657" s="14"/>
      <c r="M657" s="4"/>
      <c r="N657" s="2"/>
      <c r="O657" s="4"/>
      <c r="P657" s="2"/>
      <c r="Q657" s="2"/>
      <c r="R657" s="4"/>
      <c r="S657" s="2"/>
      <c r="T657" s="2"/>
      <c r="U657" s="1"/>
      <c r="V657" s="2"/>
      <c r="W657" s="2"/>
      <c r="X657" s="2"/>
      <c r="Y657" s="2"/>
      <c r="Z657" s="2"/>
    </row>
    <row r="658" spans="1:26" ht="15.75" customHeight="1" x14ac:dyDescent="0.2">
      <c r="A658" s="12"/>
      <c r="B658" s="10"/>
      <c r="C658" s="11"/>
      <c r="D658" s="13"/>
      <c r="E658" s="13"/>
      <c r="F658" s="13"/>
      <c r="G658" s="2"/>
      <c r="H658" s="2"/>
      <c r="I658" s="13"/>
      <c r="J658" s="13"/>
      <c r="K658" s="13"/>
      <c r="L658" s="14"/>
      <c r="M658" s="4"/>
      <c r="N658" s="2"/>
      <c r="O658" s="4"/>
      <c r="P658" s="2"/>
      <c r="Q658" s="2"/>
      <c r="R658" s="4"/>
      <c r="S658" s="2"/>
      <c r="T658" s="2"/>
      <c r="U658" s="1"/>
      <c r="V658" s="2"/>
      <c r="W658" s="2"/>
      <c r="X658" s="2"/>
      <c r="Y658" s="2"/>
      <c r="Z658" s="2"/>
    </row>
    <row r="659" spans="1:26" ht="15.75" customHeight="1" x14ac:dyDescent="0.2">
      <c r="A659" s="12"/>
      <c r="B659" s="10"/>
      <c r="C659" s="11"/>
      <c r="D659" s="13"/>
      <c r="E659" s="13"/>
      <c r="F659" s="13"/>
      <c r="G659" s="2"/>
      <c r="H659" s="2"/>
      <c r="I659" s="13"/>
      <c r="J659" s="13"/>
      <c r="K659" s="13"/>
      <c r="L659" s="14"/>
      <c r="M659" s="4"/>
      <c r="N659" s="2"/>
      <c r="O659" s="4"/>
      <c r="P659" s="2"/>
      <c r="Q659" s="2"/>
      <c r="R659" s="4"/>
      <c r="S659" s="2"/>
      <c r="T659" s="2"/>
      <c r="U659" s="1"/>
      <c r="V659" s="2"/>
      <c r="W659" s="2"/>
      <c r="X659" s="2"/>
      <c r="Y659" s="2"/>
      <c r="Z659" s="2"/>
    </row>
    <row r="660" spans="1:26" ht="15.75" customHeight="1" x14ac:dyDescent="0.2">
      <c r="A660" s="12"/>
      <c r="B660" s="10"/>
      <c r="C660" s="11"/>
      <c r="D660" s="13"/>
      <c r="E660" s="13"/>
      <c r="F660" s="13"/>
      <c r="G660" s="2"/>
      <c r="H660" s="2"/>
      <c r="I660" s="13"/>
      <c r="J660" s="13"/>
      <c r="K660" s="13"/>
      <c r="L660" s="14"/>
      <c r="M660" s="4"/>
      <c r="N660" s="2"/>
      <c r="O660" s="4"/>
      <c r="P660" s="2"/>
      <c r="Q660" s="2"/>
      <c r="R660" s="4"/>
      <c r="S660" s="2"/>
      <c r="T660" s="2"/>
      <c r="U660" s="1"/>
      <c r="V660" s="2"/>
      <c r="W660" s="2"/>
      <c r="X660" s="2"/>
      <c r="Y660" s="2"/>
      <c r="Z660" s="2"/>
    </row>
    <row r="661" spans="1:26" ht="15.75" customHeight="1" x14ac:dyDescent="0.2">
      <c r="A661" s="12"/>
      <c r="B661" s="10"/>
      <c r="C661" s="11"/>
      <c r="D661" s="13"/>
      <c r="E661" s="13"/>
      <c r="F661" s="13"/>
      <c r="G661" s="2"/>
      <c r="H661" s="2"/>
      <c r="I661" s="13"/>
      <c r="J661" s="13"/>
      <c r="K661" s="13"/>
      <c r="L661" s="14"/>
      <c r="M661" s="4"/>
      <c r="N661" s="2"/>
      <c r="O661" s="4"/>
      <c r="P661" s="2"/>
      <c r="Q661" s="2"/>
      <c r="R661" s="4"/>
      <c r="S661" s="2"/>
      <c r="T661" s="2"/>
      <c r="U661" s="1"/>
      <c r="V661" s="2"/>
      <c r="W661" s="2"/>
      <c r="X661" s="2"/>
      <c r="Y661" s="2"/>
      <c r="Z661" s="2"/>
    </row>
    <row r="662" spans="1:26" ht="15.75" customHeight="1" x14ac:dyDescent="0.2">
      <c r="A662" s="12"/>
      <c r="B662" s="10"/>
      <c r="C662" s="11"/>
      <c r="D662" s="13"/>
      <c r="E662" s="13"/>
      <c r="F662" s="13"/>
      <c r="G662" s="2"/>
      <c r="H662" s="2"/>
      <c r="I662" s="13"/>
      <c r="J662" s="13"/>
      <c r="K662" s="13"/>
      <c r="L662" s="14"/>
      <c r="M662" s="4"/>
      <c r="N662" s="2"/>
      <c r="O662" s="4"/>
      <c r="P662" s="2"/>
      <c r="Q662" s="2"/>
      <c r="R662" s="4"/>
      <c r="S662" s="2"/>
      <c r="T662" s="2"/>
      <c r="U662" s="1"/>
      <c r="V662" s="2"/>
      <c r="W662" s="2"/>
      <c r="X662" s="2"/>
      <c r="Y662" s="2"/>
      <c r="Z662" s="2"/>
    </row>
    <row r="663" spans="1:26" ht="15.75" customHeight="1" x14ac:dyDescent="0.2">
      <c r="A663" s="12"/>
      <c r="B663" s="10"/>
      <c r="C663" s="11"/>
      <c r="D663" s="13"/>
      <c r="E663" s="13"/>
      <c r="F663" s="13"/>
      <c r="G663" s="2"/>
      <c r="H663" s="2"/>
      <c r="I663" s="13"/>
      <c r="J663" s="13"/>
      <c r="K663" s="13"/>
      <c r="L663" s="14"/>
      <c r="M663" s="4"/>
      <c r="N663" s="2"/>
      <c r="O663" s="4"/>
      <c r="P663" s="2"/>
      <c r="Q663" s="2"/>
      <c r="R663" s="4"/>
      <c r="S663" s="2"/>
      <c r="T663" s="2"/>
      <c r="U663" s="1"/>
      <c r="V663" s="2"/>
      <c r="W663" s="2"/>
      <c r="X663" s="2"/>
      <c r="Y663" s="2"/>
      <c r="Z663" s="2"/>
    </row>
    <row r="664" spans="1:26" ht="15.75" customHeight="1" x14ac:dyDescent="0.2">
      <c r="A664" s="12"/>
      <c r="B664" s="10"/>
      <c r="C664" s="11"/>
      <c r="D664" s="13"/>
      <c r="E664" s="13"/>
      <c r="F664" s="13"/>
      <c r="G664" s="2"/>
      <c r="H664" s="2"/>
      <c r="I664" s="13"/>
      <c r="J664" s="13"/>
      <c r="K664" s="13"/>
      <c r="L664" s="14"/>
      <c r="M664" s="4"/>
      <c r="N664" s="2"/>
      <c r="O664" s="4"/>
      <c r="P664" s="2"/>
      <c r="Q664" s="2"/>
      <c r="R664" s="4"/>
      <c r="S664" s="2"/>
      <c r="T664" s="2"/>
      <c r="U664" s="1"/>
      <c r="V664" s="2"/>
      <c r="W664" s="2"/>
      <c r="X664" s="2"/>
      <c r="Y664" s="2"/>
      <c r="Z664" s="2"/>
    </row>
    <row r="665" spans="1:26" ht="15.75" customHeight="1" x14ac:dyDescent="0.2">
      <c r="A665" s="12"/>
      <c r="B665" s="10"/>
      <c r="C665" s="11"/>
      <c r="D665" s="13"/>
      <c r="E665" s="13"/>
      <c r="F665" s="13"/>
      <c r="G665" s="2"/>
      <c r="H665" s="2"/>
      <c r="I665" s="13"/>
      <c r="J665" s="13"/>
      <c r="K665" s="13"/>
      <c r="L665" s="14"/>
      <c r="M665" s="4"/>
      <c r="N665" s="2"/>
      <c r="O665" s="4"/>
      <c r="P665" s="2"/>
      <c r="Q665" s="2"/>
      <c r="R665" s="4"/>
      <c r="S665" s="2"/>
      <c r="T665" s="2"/>
      <c r="U665" s="1"/>
      <c r="V665" s="2"/>
      <c r="W665" s="2"/>
      <c r="X665" s="2"/>
      <c r="Y665" s="2"/>
      <c r="Z665" s="2"/>
    </row>
    <row r="666" spans="1:26" ht="15.75" customHeight="1" x14ac:dyDescent="0.2">
      <c r="A666" s="12"/>
      <c r="B666" s="10"/>
      <c r="C666" s="11"/>
      <c r="D666" s="13"/>
      <c r="E666" s="13"/>
      <c r="F666" s="13"/>
      <c r="G666" s="2"/>
      <c r="H666" s="2"/>
      <c r="I666" s="13"/>
      <c r="J666" s="13"/>
      <c r="K666" s="13"/>
      <c r="L666" s="14"/>
      <c r="M666" s="4"/>
      <c r="N666" s="2"/>
      <c r="O666" s="4"/>
      <c r="P666" s="2"/>
      <c r="Q666" s="2"/>
      <c r="R666" s="4"/>
      <c r="S666" s="2"/>
      <c r="T666" s="2"/>
      <c r="U666" s="1"/>
      <c r="V666" s="2"/>
      <c r="W666" s="2"/>
      <c r="X666" s="2"/>
      <c r="Y666" s="2"/>
      <c r="Z666" s="2"/>
    </row>
    <row r="667" spans="1:26" ht="15.75" customHeight="1" x14ac:dyDescent="0.2">
      <c r="A667" s="12"/>
      <c r="B667" s="10"/>
      <c r="C667" s="11"/>
      <c r="D667" s="13"/>
      <c r="E667" s="13"/>
      <c r="F667" s="13"/>
      <c r="G667" s="2"/>
      <c r="H667" s="2"/>
      <c r="I667" s="13"/>
      <c r="J667" s="13"/>
      <c r="K667" s="13"/>
      <c r="L667" s="14"/>
      <c r="M667" s="4"/>
      <c r="N667" s="2"/>
      <c r="O667" s="4"/>
      <c r="P667" s="2"/>
      <c r="Q667" s="2"/>
      <c r="R667" s="4"/>
      <c r="S667" s="2"/>
      <c r="T667" s="2"/>
      <c r="U667" s="1"/>
      <c r="V667" s="2"/>
      <c r="W667" s="2"/>
      <c r="X667" s="2"/>
      <c r="Y667" s="2"/>
      <c r="Z667" s="2"/>
    </row>
    <row r="668" spans="1:26" ht="15.75" customHeight="1" x14ac:dyDescent="0.2">
      <c r="A668" s="12"/>
      <c r="B668" s="10"/>
      <c r="C668" s="11"/>
      <c r="D668" s="13"/>
      <c r="E668" s="13"/>
      <c r="F668" s="13"/>
      <c r="G668" s="2"/>
      <c r="H668" s="2"/>
      <c r="I668" s="13"/>
      <c r="J668" s="13"/>
      <c r="K668" s="13"/>
      <c r="L668" s="14"/>
      <c r="M668" s="4"/>
      <c r="N668" s="2"/>
      <c r="O668" s="4"/>
      <c r="P668" s="2"/>
      <c r="Q668" s="2"/>
      <c r="R668" s="4"/>
      <c r="S668" s="2"/>
      <c r="T668" s="2"/>
      <c r="U668" s="1"/>
      <c r="V668" s="2"/>
      <c r="W668" s="2"/>
      <c r="X668" s="2"/>
      <c r="Y668" s="2"/>
      <c r="Z668" s="2"/>
    </row>
    <row r="669" spans="1:26" ht="15.75" customHeight="1" x14ac:dyDescent="0.2">
      <c r="A669" s="12"/>
      <c r="B669" s="10"/>
      <c r="C669" s="11"/>
      <c r="D669" s="13"/>
      <c r="E669" s="13"/>
      <c r="F669" s="13"/>
      <c r="G669" s="2"/>
      <c r="H669" s="2"/>
      <c r="I669" s="13"/>
      <c r="J669" s="13"/>
      <c r="K669" s="13"/>
      <c r="L669" s="14"/>
      <c r="M669" s="4"/>
      <c r="N669" s="2"/>
      <c r="O669" s="4"/>
      <c r="P669" s="2"/>
      <c r="Q669" s="2"/>
      <c r="R669" s="4"/>
      <c r="S669" s="2"/>
      <c r="T669" s="2"/>
      <c r="U669" s="1"/>
      <c r="V669" s="2"/>
      <c r="W669" s="2"/>
      <c r="X669" s="2"/>
      <c r="Y669" s="2"/>
      <c r="Z669" s="2"/>
    </row>
    <row r="670" spans="1:26" ht="15.75" customHeight="1" x14ac:dyDescent="0.2">
      <c r="A670" s="12"/>
      <c r="B670" s="10"/>
      <c r="C670" s="11"/>
      <c r="D670" s="13"/>
      <c r="E670" s="13"/>
      <c r="F670" s="13"/>
      <c r="G670" s="2"/>
      <c r="H670" s="2"/>
      <c r="I670" s="13"/>
      <c r="J670" s="13"/>
      <c r="K670" s="13"/>
      <c r="L670" s="14"/>
      <c r="M670" s="4"/>
      <c r="N670" s="2"/>
      <c r="O670" s="4"/>
      <c r="P670" s="2"/>
      <c r="Q670" s="2"/>
      <c r="R670" s="4"/>
      <c r="S670" s="2"/>
      <c r="T670" s="2"/>
      <c r="U670" s="1"/>
      <c r="V670" s="2"/>
      <c r="W670" s="2"/>
      <c r="X670" s="2"/>
      <c r="Y670" s="2"/>
      <c r="Z670" s="2"/>
    </row>
    <row r="671" spans="1:26" ht="15.75" customHeight="1" x14ac:dyDescent="0.2">
      <c r="A671" s="12"/>
      <c r="B671" s="10"/>
      <c r="C671" s="11"/>
      <c r="D671" s="13"/>
      <c r="E671" s="13"/>
      <c r="F671" s="13"/>
      <c r="G671" s="2"/>
      <c r="H671" s="2"/>
      <c r="I671" s="13"/>
      <c r="J671" s="13"/>
      <c r="K671" s="13"/>
      <c r="L671" s="14"/>
      <c r="M671" s="4"/>
      <c r="N671" s="2"/>
      <c r="O671" s="4"/>
      <c r="P671" s="2"/>
      <c r="Q671" s="2"/>
      <c r="R671" s="4"/>
      <c r="S671" s="2"/>
      <c r="T671" s="2"/>
      <c r="U671" s="1"/>
      <c r="V671" s="2"/>
      <c r="W671" s="2"/>
      <c r="X671" s="2"/>
      <c r="Y671" s="2"/>
      <c r="Z671" s="2"/>
    </row>
    <row r="672" spans="1:26" ht="15.75" customHeight="1" x14ac:dyDescent="0.2">
      <c r="A672" s="12"/>
      <c r="B672" s="10"/>
      <c r="C672" s="11"/>
      <c r="D672" s="13"/>
      <c r="E672" s="13"/>
      <c r="F672" s="13"/>
      <c r="G672" s="2"/>
      <c r="H672" s="2"/>
      <c r="I672" s="13"/>
      <c r="J672" s="13"/>
      <c r="K672" s="13"/>
      <c r="L672" s="14"/>
      <c r="M672" s="4"/>
      <c r="N672" s="2"/>
      <c r="O672" s="4"/>
      <c r="P672" s="2"/>
      <c r="Q672" s="2"/>
      <c r="R672" s="4"/>
      <c r="S672" s="2"/>
      <c r="T672" s="2"/>
      <c r="U672" s="1"/>
      <c r="V672" s="2"/>
      <c r="W672" s="2"/>
      <c r="X672" s="2"/>
      <c r="Y672" s="2"/>
      <c r="Z672" s="2"/>
    </row>
    <row r="673" spans="1:26" ht="15.75" customHeight="1" x14ac:dyDescent="0.2">
      <c r="A673" s="12"/>
      <c r="B673" s="10"/>
      <c r="C673" s="11"/>
      <c r="D673" s="13"/>
      <c r="E673" s="13"/>
      <c r="F673" s="13"/>
      <c r="G673" s="2"/>
      <c r="H673" s="2"/>
      <c r="I673" s="13"/>
      <c r="J673" s="13"/>
      <c r="K673" s="13"/>
      <c r="L673" s="14"/>
      <c r="M673" s="4"/>
      <c r="N673" s="2"/>
      <c r="O673" s="4"/>
      <c r="P673" s="2"/>
      <c r="Q673" s="2"/>
      <c r="R673" s="4"/>
      <c r="S673" s="2"/>
      <c r="T673" s="2"/>
      <c r="U673" s="1"/>
      <c r="V673" s="2"/>
      <c r="W673" s="2"/>
      <c r="X673" s="2"/>
      <c r="Y673" s="2"/>
      <c r="Z673" s="2"/>
    </row>
    <row r="674" spans="1:26" ht="15.75" customHeight="1" x14ac:dyDescent="0.2">
      <c r="A674" s="12"/>
      <c r="B674" s="10"/>
      <c r="C674" s="11"/>
      <c r="D674" s="13"/>
      <c r="E674" s="13"/>
      <c r="F674" s="13"/>
      <c r="G674" s="2"/>
      <c r="H674" s="2"/>
      <c r="I674" s="13"/>
      <c r="J674" s="13"/>
      <c r="K674" s="13"/>
      <c r="L674" s="14"/>
      <c r="M674" s="4"/>
      <c r="N674" s="2"/>
      <c r="O674" s="4"/>
      <c r="P674" s="2"/>
      <c r="Q674" s="2"/>
      <c r="R674" s="4"/>
      <c r="S674" s="2"/>
      <c r="T674" s="2"/>
      <c r="U674" s="1"/>
      <c r="V674" s="2"/>
      <c r="W674" s="2"/>
      <c r="X674" s="2"/>
      <c r="Y674" s="2"/>
      <c r="Z674" s="2"/>
    </row>
    <row r="675" spans="1:26" ht="15.75" customHeight="1" x14ac:dyDescent="0.2">
      <c r="A675" s="12"/>
      <c r="B675" s="10"/>
      <c r="C675" s="11"/>
      <c r="D675" s="13"/>
      <c r="E675" s="13"/>
      <c r="F675" s="13"/>
      <c r="G675" s="2"/>
      <c r="H675" s="2"/>
      <c r="I675" s="13"/>
      <c r="J675" s="13"/>
      <c r="K675" s="13"/>
      <c r="L675" s="14"/>
      <c r="M675" s="4"/>
      <c r="N675" s="2"/>
      <c r="O675" s="4"/>
      <c r="P675" s="2"/>
      <c r="Q675" s="2"/>
      <c r="R675" s="4"/>
      <c r="S675" s="2"/>
      <c r="T675" s="2"/>
      <c r="U675" s="1"/>
      <c r="V675" s="2"/>
      <c r="W675" s="2"/>
      <c r="X675" s="2"/>
      <c r="Y675" s="2"/>
      <c r="Z675" s="2"/>
    </row>
    <row r="676" spans="1:26" ht="15.75" customHeight="1" x14ac:dyDescent="0.2">
      <c r="A676" s="12"/>
      <c r="B676" s="10"/>
      <c r="C676" s="11"/>
      <c r="D676" s="13"/>
      <c r="E676" s="13"/>
      <c r="F676" s="13"/>
      <c r="G676" s="2"/>
      <c r="H676" s="2"/>
      <c r="I676" s="13"/>
      <c r="J676" s="13"/>
      <c r="K676" s="13"/>
      <c r="L676" s="14"/>
      <c r="M676" s="4"/>
      <c r="N676" s="2"/>
      <c r="O676" s="4"/>
      <c r="P676" s="2"/>
      <c r="Q676" s="2"/>
      <c r="R676" s="4"/>
      <c r="S676" s="2"/>
      <c r="T676" s="2"/>
      <c r="U676" s="1"/>
      <c r="V676" s="2"/>
      <c r="W676" s="2"/>
      <c r="X676" s="2"/>
      <c r="Y676" s="2"/>
      <c r="Z676" s="2"/>
    </row>
    <row r="677" spans="1:26" ht="15.75" customHeight="1" x14ac:dyDescent="0.2">
      <c r="A677" s="12"/>
      <c r="B677" s="10"/>
      <c r="C677" s="11"/>
      <c r="D677" s="13"/>
      <c r="E677" s="13"/>
      <c r="F677" s="13"/>
      <c r="G677" s="2"/>
      <c r="H677" s="2"/>
      <c r="I677" s="13"/>
      <c r="J677" s="13"/>
      <c r="K677" s="13"/>
      <c r="L677" s="14"/>
      <c r="M677" s="4"/>
      <c r="N677" s="2"/>
      <c r="O677" s="4"/>
      <c r="P677" s="2"/>
      <c r="Q677" s="2"/>
      <c r="R677" s="4"/>
      <c r="S677" s="2"/>
      <c r="T677" s="2"/>
      <c r="U677" s="1"/>
      <c r="V677" s="2"/>
      <c r="W677" s="2"/>
      <c r="X677" s="2"/>
      <c r="Y677" s="2"/>
      <c r="Z677" s="2"/>
    </row>
    <row r="678" spans="1:26" ht="15.75" customHeight="1" x14ac:dyDescent="0.2">
      <c r="A678" s="12"/>
      <c r="B678" s="10"/>
      <c r="C678" s="11"/>
      <c r="D678" s="13"/>
      <c r="E678" s="13"/>
      <c r="F678" s="13"/>
      <c r="G678" s="2"/>
      <c r="H678" s="2"/>
      <c r="I678" s="13"/>
      <c r="J678" s="13"/>
      <c r="K678" s="13"/>
      <c r="L678" s="14"/>
      <c r="M678" s="4"/>
      <c r="N678" s="2"/>
      <c r="O678" s="4"/>
      <c r="P678" s="2"/>
      <c r="Q678" s="2"/>
      <c r="R678" s="4"/>
      <c r="S678" s="2"/>
      <c r="T678" s="2"/>
      <c r="U678" s="1"/>
      <c r="V678" s="2"/>
      <c r="W678" s="2"/>
      <c r="X678" s="2"/>
      <c r="Y678" s="2"/>
      <c r="Z678" s="2"/>
    </row>
    <row r="679" spans="1:26" ht="15.75" customHeight="1" x14ac:dyDescent="0.2">
      <c r="A679" s="12"/>
      <c r="B679" s="10"/>
      <c r="C679" s="11"/>
      <c r="D679" s="13"/>
      <c r="E679" s="13"/>
      <c r="F679" s="13"/>
      <c r="G679" s="2"/>
      <c r="H679" s="2"/>
      <c r="I679" s="13"/>
      <c r="J679" s="13"/>
      <c r="K679" s="13"/>
      <c r="L679" s="14"/>
      <c r="M679" s="4"/>
      <c r="N679" s="2"/>
      <c r="O679" s="4"/>
      <c r="P679" s="2"/>
      <c r="Q679" s="2"/>
      <c r="R679" s="4"/>
      <c r="S679" s="2"/>
      <c r="T679" s="2"/>
      <c r="U679" s="1"/>
      <c r="V679" s="2"/>
      <c r="W679" s="2"/>
      <c r="X679" s="2"/>
      <c r="Y679" s="2"/>
      <c r="Z679" s="2"/>
    </row>
    <row r="680" spans="1:26" ht="15.75" customHeight="1" x14ac:dyDescent="0.2">
      <c r="A680" s="12"/>
      <c r="B680" s="10"/>
      <c r="C680" s="11"/>
      <c r="D680" s="13"/>
      <c r="E680" s="13"/>
      <c r="F680" s="13"/>
      <c r="G680" s="2"/>
      <c r="H680" s="2"/>
      <c r="I680" s="13"/>
      <c r="J680" s="13"/>
      <c r="K680" s="13"/>
      <c r="L680" s="14"/>
      <c r="M680" s="4"/>
      <c r="N680" s="2"/>
      <c r="O680" s="4"/>
      <c r="P680" s="2"/>
      <c r="Q680" s="2"/>
      <c r="R680" s="4"/>
      <c r="S680" s="2"/>
      <c r="T680" s="2"/>
      <c r="U680" s="1"/>
      <c r="V680" s="2"/>
      <c r="W680" s="2"/>
      <c r="X680" s="2"/>
      <c r="Y680" s="2"/>
      <c r="Z680" s="2"/>
    </row>
    <row r="681" spans="1:26" ht="15.75" customHeight="1" x14ac:dyDescent="0.2">
      <c r="A681" s="12"/>
      <c r="B681" s="10"/>
      <c r="C681" s="11"/>
      <c r="D681" s="13"/>
      <c r="E681" s="13"/>
      <c r="F681" s="13"/>
      <c r="G681" s="2"/>
      <c r="H681" s="2"/>
      <c r="I681" s="13"/>
      <c r="J681" s="13"/>
      <c r="K681" s="13"/>
      <c r="L681" s="14"/>
      <c r="M681" s="4"/>
      <c r="N681" s="2"/>
      <c r="O681" s="4"/>
      <c r="P681" s="2"/>
      <c r="Q681" s="2"/>
      <c r="R681" s="4"/>
      <c r="S681" s="2"/>
      <c r="T681" s="2"/>
      <c r="U681" s="1"/>
      <c r="V681" s="2"/>
      <c r="W681" s="2"/>
      <c r="X681" s="2"/>
      <c r="Y681" s="2"/>
      <c r="Z681" s="2"/>
    </row>
    <row r="682" spans="1:26" ht="15.75" customHeight="1" x14ac:dyDescent="0.2">
      <c r="A682" s="12"/>
      <c r="B682" s="10"/>
      <c r="C682" s="11"/>
      <c r="D682" s="13"/>
      <c r="E682" s="13"/>
      <c r="F682" s="13"/>
      <c r="G682" s="2"/>
      <c r="H682" s="2"/>
      <c r="I682" s="13"/>
      <c r="J682" s="13"/>
      <c r="K682" s="13"/>
      <c r="L682" s="14"/>
      <c r="M682" s="4"/>
      <c r="N682" s="2"/>
      <c r="O682" s="4"/>
      <c r="P682" s="2"/>
      <c r="Q682" s="2"/>
      <c r="R682" s="4"/>
      <c r="S682" s="2"/>
      <c r="T682" s="2"/>
      <c r="U682" s="1"/>
      <c r="V682" s="2"/>
      <c r="W682" s="2"/>
      <c r="X682" s="2"/>
      <c r="Y682" s="2"/>
      <c r="Z682" s="2"/>
    </row>
    <row r="683" spans="1:26" ht="15.75" customHeight="1" x14ac:dyDescent="0.2">
      <c r="A683" s="12"/>
      <c r="B683" s="10"/>
      <c r="C683" s="11"/>
      <c r="D683" s="13"/>
      <c r="E683" s="13"/>
      <c r="F683" s="13"/>
      <c r="G683" s="2"/>
      <c r="H683" s="2"/>
      <c r="I683" s="13"/>
      <c r="J683" s="13"/>
      <c r="K683" s="13"/>
      <c r="L683" s="14"/>
      <c r="M683" s="4"/>
      <c r="N683" s="2"/>
      <c r="O683" s="4"/>
      <c r="P683" s="2"/>
      <c r="Q683" s="2"/>
      <c r="R683" s="4"/>
      <c r="S683" s="2"/>
      <c r="T683" s="2"/>
      <c r="U683" s="1"/>
      <c r="V683" s="2"/>
      <c r="W683" s="2"/>
      <c r="X683" s="2"/>
      <c r="Y683" s="2"/>
      <c r="Z683" s="2"/>
    </row>
    <row r="684" spans="1:26" ht="15.75" customHeight="1" x14ac:dyDescent="0.2">
      <c r="A684" s="12"/>
      <c r="B684" s="10"/>
      <c r="C684" s="11"/>
      <c r="D684" s="13"/>
      <c r="E684" s="13"/>
      <c r="F684" s="13"/>
      <c r="G684" s="2"/>
      <c r="H684" s="2"/>
      <c r="I684" s="13"/>
      <c r="J684" s="13"/>
      <c r="K684" s="13"/>
      <c r="L684" s="14"/>
      <c r="M684" s="4"/>
      <c r="N684" s="2"/>
      <c r="O684" s="4"/>
      <c r="P684" s="2"/>
      <c r="Q684" s="2"/>
      <c r="R684" s="4"/>
      <c r="S684" s="2"/>
      <c r="T684" s="2"/>
      <c r="U684" s="1"/>
      <c r="V684" s="2"/>
      <c r="W684" s="2"/>
      <c r="X684" s="2"/>
      <c r="Y684" s="2"/>
      <c r="Z684" s="2"/>
    </row>
    <row r="685" spans="1:26" ht="15.75" customHeight="1" x14ac:dyDescent="0.2">
      <c r="A685" s="12"/>
      <c r="B685" s="10"/>
      <c r="C685" s="11"/>
      <c r="D685" s="13"/>
      <c r="E685" s="13"/>
      <c r="F685" s="13"/>
      <c r="G685" s="2"/>
      <c r="H685" s="2"/>
      <c r="I685" s="13"/>
      <c r="J685" s="13"/>
      <c r="K685" s="13"/>
      <c r="L685" s="14"/>
      <c r="M685" s="4"/>
      <c r="N685" s="2"/>
      <c r="O685" s="4"/>
      <c r="P685" s="2"/>
      <c r="Q685" s="2"/>
      <c r="R685" s="4"/>
      <c r="S685" s="2"/>
      <c r="T685" s="2"/>
      <c r="U685" s="1"/>
      <c r="V685" s="2"/>
      <c r="W685" s="2"/>
      <c r="X685" s="2"/>
      <c r="Y685" s="2"/>
      <c r="Z685" s="2"/>
    </row>
    <row r="686" spans="1:26" ht="15.75" customHeight="1" x14ac:dyDescent="0.2">
      <c r="A686" s="12"/>
      <c r="B686" s="10"/>
      <c r="C686" s="11"/>
      <c r="D686" s="13"/>
      <c r="E686" s="13"/>
      <c r="F686" s="13"/>
      <c r="G686" s="2"/>
      <c r="H686" s="2"/>
      <c r="I686" s="13"/>
      <c r="J686" s="13"/>
      <c r="K686" s="13"/>
      <c r="L686" s="14"/>
      <c r="M686" s="4"/>
      <c r="N686" s="2"/>
      <c r="O686" s="4"/>
      <c r="P686" s="2"/>
      <c r="Q686" s="2"/>
      <c r="R686" s="4"/>
      <c r="S686" s="2"/>
      <c r="T686" s="2"/>
      <c r="U686" s="1"/>
      <c r="V686" s="2"/>
      <c r="W686" s="2"/>
      <c r="X686" s="2"/>
      <c r="Y686" s="2"/>
      <c r="Z686" s="2"/>
    </row>
    <row r="687" spans="1:26" ht="15.75" customHeight="1" x14ac:dyDescent="0.2">
      <c r="A687" s="12"/>
      <c r="B687" s="10"/>
      <c r="C687" s="11"/>
      <c r="D687" s="13"/>
      <c r="E687" s="13"/>
      <c r="F687" s="13"/>
      <c r="G687" s="2"/>
      <c r="H687" s="2"/>
      <c r="I687" s="13"/>
      <c r="J687" s="13"/>
      <c r="K687" s="13"/>
      <c r="L687" s="14"/>
      <c r="M687" s="4"/>
      <c r="N687" s="2"/>
      <c r="O687" s="4"/>
      <c r="P687" s="2"/>
      <c r="Q687" s="2"/>
      <c r="R687" s="4"/>
      <c r="S687" s="2"/>
      <c r="T687" s="2"/>
      <c r="U687" s="1"/>
      <c r="V687" s="2"/>
      <c r="W687" s="2"/>
      <c r="X687" s="2"/>
      <c r="Y687" s="2"/>
      <c r="Z687" s="2"/>
    </row>
    <row r="688" spans="1:26" ht="15.75" customHeight="1" x14ac:dyDescent="0.2">
      <c r="A688" s="12"/>
      <c r="B688" s="10"/>
      <c r="C688" s="11"/>
      <c r="D688" s="13"/>
      <c r="E688" s="13"/>
      <c r="F688" s="13"/>
      <c r="G688" s="2"/>
      <c r="H688" s="2"/>
      <c r="I688" s="13"/>
      <c r="J688" s="13"/>
      <c r="K688" s="13"/>
      <c r="L688" s="14"/>
      <c r="M688" s="4"/>
      <c r="N688" s="2"/>
      <c r="O688" s="4"/>
      <c r="P688" s="2"/>
      <c r="Q688" s="2"/>
      <c r="R688" s="4"/>
      <c r="S688" s="2"/>
      <c r="T688" s="2"/>
      <c r="U688" s="1"/>
      <c r="V688" s="2"/>
      <c r="W688" s="2"/>
      <c r="X688" s="2"/>
      <c r="Y688" s="2"/>
      <c r="Z688" s="2"/>
    </row>
    <row r="689" spans="1:26" ht="15.75" customHeight="1" x14ac:dyDescent="0.2">
      <c r="A689" s="12"/>
      <c r="B689" s="10"/>
      <c r="C689" s="11"/>
      <c r="D689" s="13"/>
      <c r="E689" s="13"/>
      <c r="F689" s="13"/>
      <c r="G689" s="2"/>
      <c r="H689" s="2"/>
      <c r="I689" s="13"/>
      <c r="J689" s="13"/>
      <c r="K689" s="13"/>
      <c r="L689" s="14"/>
      <c r="M689" s="4"/>
      <c r="N689" s="2"/>
      <c r="O689" s="4"/>
      <c r="P689" s="2"/>
      <c r="Q689" s="2"/>
      <c r="R689" s="4"/>
      <c r="S689" s="2"/>
      <c r="T689" s="2"/>
      <c r="U689" s="1"/>
      <c r="V689" s="2"/>
      <c r="W689" s="2"/>
      <c r="X689" s="2"/>
      <c r="Y689" s="2"/>
      <c r="Z689" s="2"/>
    </row>
    <row r="690" spans="1:26" ht="15.75" customHeight="1" x14ac:dyDescent="0.2">
      <c r="A690" s="12"/>
      <c r="B690" s="10"/>
      <c r="C690" s="11"/>
      <c r="D690" s="13"/>
      <c r="E690" s="13"/>
      <c r="F690" s="13"/>
      <c r="G690" s="2"/>
      <c r="H690" s="2"/>
      <c r="I690" s="13"/>
      <c r="J690" s="13"/>
      <c r="K690" s="13"/>
      <c r="L690" s="14"/>
      <c r="M690" s="4"/>
      <c r="N690" s="2"/>
      <c r="O690" s="4"/>
      <c r="P690" s="2"/>
      <c r="Q690" s="2"/>
      <c r="R690" s="4"/>
      <c r="S690" s="2"/>
      <c r="T690" s="2"/>
      <c r="U690" s="1"/>
      <c r="V690" s="2"/>
      <c r="W690" s="2"/>
      <c r="X690" s="2"/>
      <c r="Y690" s="2"/>
      <c r="Z690" s="2"/>
    </row>
    <row r="691" spans="1:26" ht="15.75" customHeight="1" x14ac:dyDescent="0.2">
      <c r="A691" s="12"/>
      <c r="B691" s="10"/>
      <c r="C691" s="11"/>
      <c r="D691" s="13"/>
      <c r="E691" s="13"/>
      <c r="F691" s="13"/>
      <c r="G691" s="2"/>
      <c r="H691" s="2"/>
      <c r="I691" s="13"/>
      <c r="J691" s="13"/>
      <c r="K691" s="13"/>
      <c r="L691" s="14"/>
      <c r="M691" s="4"/>
      <c r="N691" s="2"/>
      <c r="O691" s="4"/>
      <c r="P691" s="2"/>
      <c r="Q691" s="2"/>
      <c r="R691" s="4"/>
      <c r="S691" s="2"/>
      <c r="T691" s="2"/>
      <c r="U691" s="1"/>
      <c r="V691" s="2"/>
      <c r="W691" s="2"/>
      <c r="X691" s="2"/>
      <c r="Y691" s="2"/>
      <c r="Z691" s="2"/>
    </row>
    <row r="692" spans="1:26" ht="15.75" customHeight="1" x14ac:dyDescent="0.2">
      <c r="A692" s="12"/>
      <c r="B692" s="10"/>
      <c r="C692" s="11"/>
      <c r="D692" s="13"/>
      <c r="E692" s="13"/>
      <c r="F692" s="13"/>
      <c r="G692" s="2"/>
      <c r="H692" s="2"/>
      <c r="I692" s="13"/>
      <c r="J692" s="13"/>
      <c r="K692" s="13"/>
      <c r="L692" s="14"/>
      <c r="M692" s="4"/>
      <c r="N692" s="2"/>
      <c r="O692" s="4"/>
      <c r="P692" s="2"/>
      <c r="Q692" s="2"/>
      <c r="R692" s="4"/>
      <c r="S692" s="2"/>
      <c r="T692" s="2"/>
      <c r="U692" s="1"/>
      <c r="V692" s="2"/>
      <c r="W692" s="2"/>
      <c r="X692" s="2"/>
      <c r="Y692" s="2"/>
      <c r="Z692" s="2"/>
    </row>
    <row r="693" spans="1:26" ht="15.75" customHeight="1" x14ac:dyDescent="0.2">
      <c r="A693" s="12"/>
      <c r="B693" s="10"/>
      <c r="C693" s="11"/>
      <c r="D693" s="13"/>
      <c r="E693" s="13"/>
      <c r="F693" s="13"/>
      <c r="G693" s="2"/>
      <c r="H693" s="2"/>
      <c r="I693" s="13"/>
      <c r="J693" s="13"/>
      <c r="K693" s="13"/>
      <c r="L693" s="14"/>
      <c r="M693" s="4"/>
      <c r="N693" s="2"/>
      <c r="O693" s="4"/>
      <c r="P693" s="2"/>
      <c r="Q693" s="2"/>
      <c r="R693" s="4"/>
      <c r="S693" s="2"/>
      <c r="T693" s="2"/>
      <c r="U693" s="1"/>
      <c r="V693" s="2"/>
      <c r="W693" s="2"/>
      <c r="X693" s="2"/>
      <c r="Y693" s="2"/>
      <c r="Z693" s="2"/>
    </row>
    <row r="694" spans="1:26" ht="15.75" customHeight="1" x14ac:dyDescent="0.2">
      <c r="A694" s="12"/>
      <c r="B694" s="10"/>
      <c r="C694" s="11"/>
      <c r="D694" s="13"/>
      <c r="E694" s="13"/>
      <c r="F694" s="13"/>
      <c r="G694" s="2"/>
      <c r="H694" s="2"/>
      <c r="I694" s="13"/>
      <c r="J694" s="13"/>
      <c r="K694" s="13"/>
      <c r="L694" s="14"/>
      <c r="M694" s="4"/>
      <c r="N694" s="2"/>
      <c r="O694" s="4"/>
      <c r="P694" s="2"/>
      <c r="Q694" s="2"/>
      <c r="R694" s="4"/>
      <c r="S694" s="2"/>
      <c r="T694" s="2"/>
      <c r="U694" s="1"/>
      <c r="V694" s="2"/>
      <c r="W694" s="2"/>
      <c r="X694" s="2"/>
      <c r="Y694" s="2"/>
      <c r="Z694" s="2"/>
    </row>
    <row r="695" spans="1:26" ht="15.75" customHeight="1" x14ac:dyDescent="0.2">
      <c r="A695" s="12"/>
      <c r="B695" s="10"/>
      <c r="C695" s="11"/>
      <c r="D695" s="13"/>
      <c r="E695" s="13"/>
      <c r="F695" s="13"/>
      <c r="G695" s="2"/>
      <c r="H695" s="2"/>
      <c r="I695" s="13"/>
      <c r="J695" s="13"/>
      <c r="K695" s="13"/>
      <c r="L695" s="14"/>
      <c r="M695" s="4"/>
      <c r="N695" s="2"/>
      <c r="O695" s="4"/>
      <c r="P695" s="2"/>
      <c r="Q695" s="2"/>
      <c r="R695" s="4"/>
      <c r="S695" s="2"/>
      <c r="T695" s="2"/>
      <c r="U695" s="1"/>
      <c r="V695" s="2"/>
      <c r="W695" s="2"/>
      <c r="X695" s="2"/>
      <c r="Y695" s="2"/>
      <c r="Z695" s="2"/>
    </row>
    <row r="696" spans="1:26" ht="15.75" customHeight="1" x14ac:dyDescent="0.2">
      <c r="A696" s="12"/>
      <c r="B696" s="10"/>
      <c r="C696" s="11"/>
      <c r="D696" s="13"/>
      <c r="E696" s="13"/>
      <c r="F696" s="13"/>
      <c r="G696" s="2"/>
      <c r="H696" s="2"/>
      <c r="I696" s="13"/>
      <c r="J696" s="13"/>
      <c r="K696" s="13"/>
      <c r="L696" s="14"/>
      <c r="M696" s="4"/>
      <c r="N696" s="2"/>
      <c r="O696" s="4"/>
      <c r="P696" s="2"/>
      <c r="Q696" s="2"/>
      <c r="R696" s="4"/>
      <c r="S696" s="2"/>
      <c r="T696" s="2"/>
      <c r="U696" s="1"/>
      <c r="V696" s="2"/>
      <c r="W696" s="2"/>
      <c r="X696" s="2"/>
      <c r="Y696" s="2"/>
      <c r="Z696" s="2"/>
    </row>
    <row r="697" spans="1:26" ht="15.75" customHeight="1" x14ac:dyDescent="0.2">
      <c r="A697" s="12"/>
      <c r="B697" s="10"/>
      <c r="C697" s="11"/>
      <c r="D697" s="13"/>
      <c r="E697" s="13"/>
      <c r="F697" s="13"/>
      <c r="G697" s="2"/>
      <c r="H697" s="2"/>
      <c r="I697" s="13"/>
      <c r="J697" s="13"/>
      <c r="K697" s="13"/>
      <c r="L697" s="14"/>
      <c r="M697" s="4"/>
      <c r="N697" s="2"/>
      <c r="O697" s="4"/>
      <c r="P697" s="2"/>
      <c r="Q697" s="2"/>
      <c r="R697" s="4"/>
      <c r="S697" s="2"/>
      <c r="T697" s="2"/>
      <c r="U697" s="1"/>
      <c r="V697" s="2"/>
      <c r="W697" s="2"/>
      <c r="X697" s="2"/>
      <c r="Y697" s="2"/>
      <c r="Z697" s="2"/>
    </row>
    <row r="698" spans="1:26" ht="15.75" customHeight="1" x14ac:dyDescent="0.2">
      <c r="A698" s="12"/>
      <c r="B698" s="10"/>
      <c r="C698" s="11"/>
      <c r="D698" s="13"/>
      <c r="E698" s="13"/>
      <c r="F698" s="13"/>
      <c r="G698" s="2"/>
      <c r="H698" s="2"/>
      <c r="I698" s="13"/>
      <c r="J698" s="13"/>
      <c r="K698" s="13"/>
      <c r="L698" s="14"/>
      <c r="M698" s="4"/>
      <c r="N698" s="2"/>
      <c r="O698" s="4"/>
      <c r="P698" s="2"/>
      <c r="Q698" s="2"/>
      <c r="R698" s="4"/>
      <c r="S698" s="2"/>
      <c r="T698" s="2"/>
      <c r="U698" s="1"/>
      <c r="V698" s="2"/>
      <c r="W698" s="2"/>
      <c r="X698" s="2"/>
      <c r="Y698" s="2"/>
      <c r="Z698" s="2"/>
    </row>
    <row r="699" spans="1:26" ht="15.75" customHeight="1" x14ac:dyDescent="0.2">
      <c r="A699" s="12"/>
      <c r="B699" s="10"/>
      <c r="C699" s="11"/>
      <c r="D699" s="13"/>
      <c r="E699" s="13"/>
      <c r="F699" s="13"/>
      <c r="G699" s="2"/>
      <c r="H699" s="2"/>
      <c r="I699" s="13"/>
      <c r="J699" s="13"/>
      <c r="K699" s="13"/>
      <c r="L699" s="14"/>
      <c r="M699" s="4"/>
      <c r="N699" s="2"/>
      <c r="O699" s="4"/>
      <c r="P699" s="2"/>
      <c r="Q699" s="2"/>
      <c r="R699" s="4"/>
      <c r="S699" s="2"/>
      <c r="T699" s="2"/>
      <c r="U699" s="1"/>
      <c r="V699" s="2"/>
      <c r="W699" s="2"/>
      <c r="X699" s="2"/>
      <c r="Y699" s="2"/>
      <c r="Z699" s="2"/>
    </row>
    <row r="700" spans="1:26" ht="15.75" customHeight="1" x14ac:dyDescent="0.2">
      <c r="A700" s="12"/>
      <c r="B700" s="10"/>
      <c r="C700" s="11"/>
      <c r="D700" s="13"/>
      <c r="E700" s="13"/>
      <c r="F700" s="13"/>
      <c r="G700" s="2"/>
      <c r="H700" s="2"/>
      <c r="I700" s="13"/>
      <c r="J700" s="13"/>
      <c r="K700" s="13"/>
      <c r="L700" s="14"/>
      <c r="M700" s="4"/>
      <c r="N700" s="2"/>
      <c r="O700" s="4"/>
      <c r="P700" s="2"/>
      <c r="Q700" s="2"/>
      <c r="R700" s="4"/>
      <c r="S700" s="2"/>
      <c r="T700" s="2"/>
      <c r="U700" s="1"/>
      <c r="V700" s="2"/>
      <c r="W700" s="2"/>
      <c r="X700" s="2"/>
      <c r="Y700" s="2"/>
      <c r="Z700" s="2"/>
    </row>
    <row r="701" spans="1:26" ht="15.75" customHeight="1" x14ac:dyDescent="0.2">
      <c r="A701" s="12"/>
      <c r="B701" s="10"/>
      <c r="C701" s="11"/>
      <c r="D701" s="13"/>
      <c r="E701" s="13"/>
      <c r="F701" s="13"/>
      <c r="G701" s="2"/>
      <c r="H701" s="2"/>
      <c r="I701" s="13"/>
      <c r="J701" s="13"/>
      <c r="K701" s="13"/>
      <c r="L701" s="14"/>
      <c r="M701" s="4"/>
      <c r="N701" s="2"/>
      <c r="O701" s="4"/>
      <c r="P701" s="2"/>
      <c r="Q701" s="2"/>
      <c r="R701" s="4"/>
      <c r="S701" s="2"/>
      <c r="T701" s="2"/>
      <c r="U701" s="1"/>
      <c r="V701" s="2"/>
      <c r="W701" s="2"/>
      <c r="X701" s="2"/>
      <c r="Y701" s="2"/>
      <c r="Z701" s="2"/>
    </row>
    <row r="702" spans="1:26" ht="15.75" customHeight="1" x14ac:dyDescent="0.2">
      <c r="A702" s="12"/>
      <c r="B702" s="10"/>
      <c r="C702" s="11"/>
      <c r="D702" s="13"/>
      <c r="E702" s="13"/>
      <c r="F702" s="13"/>
      <c r="G702" s="2"/>
      <c r="H702" s="2"/>
      <c r="I702" s="13"/>
      <c r="J702" s="13"/>
      <c r="K702" s="13"/>
      <c r="L702" s="14"/>
      <c r="M702" s="4"/>
      <c r="N702" s="2"/>
      <c r="O702" s="4"/>
      <c r="P702" s="2"/>
      <c r="Q702" s="2"/>
      <c r="R702" s="4"/>
      <c r="S702" s="2"/>
      <c r="T702" s="2"/>
      <c r="U702" s="1"/>
      <c r="V702" s="2"/>
      <c r="W702" s="2"/>
      <c r="X702" s="2"/>
      <c r="Y702" s="2"/>
      <c r="Z702" s="2"/>
    </row>
    <row r="703" spans="1:26" ht="15.75" customHeight="1" x14ac:dyDescent="0.2">
      <c r="A703" s="12"/>
      <c r="B703" s="10"/>
      <c r="C703" s="11"/>
      <c r="D703" s="13"/>
      <c r="E703" s="13"/>
      <c r="F703" s="13"/>
      <c r="G703" s="2"/>
      <c r="H703" s="2"/>
      <c r="I703" s="13"/>
      <c r="J703" s="13"/>
      <c r="K703" s="13"/>
      <c r="L703" s="14"/>
      <c r="M703" s="4"/>
      <c r="N703" s="2"/>
      <c r="O703" s="4"/>
      <c r="P703" s="2"/>
      <c r="Q703" s="2"/>
      <c r="R703" s="4"/>
      <c r="S703" s="2"/>
      <c r="T703" s="2"/>
      <c r="U703" s="1"/>
      <c r="V703" s="2"/>
      <c r="W703" s="2"/>
      <c r="X703" s="2"/>
      <c r="Y703" s="2"/>
      <c r="Z703" s="2"/>
    </row>
    <row r="704" spans="1:26" ht="15.75" customHeight="1" x14ac:dyDescent="0.2">
      <c r="A704" s="12"/>
      <c r="B704" s="10"/>
      <c r="C704" s="11"/>
      <c r="D704" s="13"/>
      <c r="E704" s="13"/>
      <c r="F704" s="13"/>
      <c r="G704" s="2"/>
      <c r="H704" s="2"/>
      <c r="I704" s="13"/>
      <c r="J704" s="13"/>
      <c r="K704" s="13"/>
      <c r="L704" s="14"/>
      <c r="M704" s="4"/>
      <c r="N704" s="2"/>
      <c r="O704" s="4"/>
      <c r="P704" s="2"/>
      <c r="Q704" s="2"/>
      <c r="R704" s="4"/>
      <c r="S704" s="2"/>
      <c r="T704" s="2"/>
      <c r="U704" s="1"/>
      <c r="V704" s="2"/>
      <c r="W704" s="2"/>
      <c r="X704" s="2"/>
      <c r="Y704" s="2"/>
      <c r="Z704" s="2"/>
    </row>
    <row r="705" spans="1:26" ht="15.75" customHeight="1" x14ac:dyDescent="0.2">
      <c r="A705" s="12"/>
      <c r="B705" s="10"/>
      <c r="C705" s="11"/>
      <c r="D705" s="13"/>
      <c r="E705" s="13"/>
      <c r="F705" s="13"/>
      <c r="G705" s="2"/>
      <c r="H705" s="2"/>
      <c r="I705" s="13"/>
      <c r="J705" s="13"/>
      <c r="K705" s="13"/>
      <c r="L705" s="14"/>
      <c r="M705" s="4"/>
      <c r="N705" s="2"/>
      <c r="O705" s="4"/>
      <c r="P705" s="2"/>
      <c r="Q705" s="2"/>
      <c r="R705" s="4"/>
      <c r="S705" s="2"/>
      <c r="T705" s="2"/>
      <c r="U705" s="1"/>
      <c r="V705" s="2"/>
      <c r="W705" s="2"/>
      <c r="X705" s="2"/>
      <c r="Y705" s="2"/>
      <c r="Z705" s="2"/>
    </row>
    <row r="706" spans="1:26" ht="15.75" customHeight="1" x14ac:dyDescent="0.2">
      <c r="A706" s="12"/>
      <c r="B706" s="10"/>
      <c r="C706" s="11"/>
      <c r="D706" s="13"/>
      <c r="E706" s="13"/>
      <c r="F706" s="13"/>
      <c r="G706" s="2"/>
      <c r="H706" s="2"/>
      <c r="I706" s="13"/>
      <c r="J706" s="13"/>
      <c r="K706" s="13"/>
      <c r="L706" s="14"/>
      <c r="M706" s="4"/>
      <c r="N706" s="2"/>
      <c r="O706" s="4"/>
      <c r="P706" s="2"/>
      <c r="Q706" s="2"/>
      <c r="R706" s="4"/>
      <c r="S706" s="2"/>
      <c r="T706" s="2"/>
      <c r="U706" s="1"/>
      <c r="V706" s="2"/>
      <c r="W706" s="2"/>
      <c r="X706" s="2"/>
      <c r="Y706" s="2"/>
      <c r="Z706" s="2"/>
    </row>
    <row r="707" spans="1:26" ht="15.75" customHeight="1" x14ac:dyDescent="0.2">
      <c r="A707" s="12"/>
      <c r="B707" s="10"/>
      <c r="C707" s="11"/>
      <c r="D707" s="13"/>
      <c r="E707" s="13"/>
      <c r="F707" s="13"/>
      <c r="G707" s="2"/>
      <c r="H707" s="2"/>
      <c r="I707" s="13"/>
      <c r="J707" s="13"/>
      <c r="K707" s="13"/>
      <c r="L707" s="14"/>
      <c r="M707" s="4"/>
      <c r="N707" s="2"/>
      <c r="O707" s="4"/>
      <c r="P707" s="2"/>
      <c r="Q707" s="2"/>
      <c r="R707" s="4"/>
      <c r="S707" s="2"/>
      <c r="T707" s="2"/>
      <c r="U707" s="1"/>
      <c r="V707" s="2"/>
      <c r="W707" s="2"/>
      <c r="X707" s="2"/>
      <c r="Y707" s="2"/>
      <c r="Z707" s="2"/>
    </row>
    <row r="708" spans="1:26" ht="15.75" customHeight="1" x14ac:dyDescent="0.2">
      <c r="A708" s="12"/>
      <c r="B708" s="10"/>
      <c r="C708" s="11"/>
      <c r="D708" s="13"/>
      <c r="E708" s="13"/>
      <c r="F708" s="13"/>
      <c r="G708" s="2"/>
      <c r="H708" s="2"/>
      <c r="I708" s="13"/>
      <c r="J708" s="13"/>
      <c r="K708" s="13"/>
      <c r="L708" s="14"/>
      <c r="M708" s="4"/>
      <c r="N708" s="2"/>
      <c r="O708" s="4"/>
      <c r="P708" s="2"/>
      <c r="Q708" s="2"/>
      <c r="R708" s="4"/>
      <c r="S708" s="2"/>
      <c r="T708" s="2"/>
      <c r="U708" s="1"/>
      <c r="V708" s="2"/>
      <c r="W708" s="2"/>
      <c r="X708" s="2"/>
      <c r="Y708" s="2"/>
      <c r="Z708" s="2"/>
    </row>
    <row r="709" spans="1:26" ht="15.75" customHeight="1" x14ac:dyDescent="0.2">
      <c r="A709" s="12"/>
      <c r="B709" s="10"/>
      <c r="C709" s="11"/>
      <c r="D709" s="13"/>
      <c r="E709" s="13"/>
      <c r="F709" s="13"/>
      <c r="G709" s="2"/>
      <c r="H709" s="2"/>
      <c r="I709" s="13"/>
      <c r="J709" s="13"/>
      <c r="K709" s="13"/>
      <c r="L709" s="14"/>
      <c r="M709" s="4"/>
      <c r="N709" s="2"/>
      <c r="O709" s="4"/>
      <c r="P709" s="2"/>
      <c r="Q709" s="2"/>
      <c r="R709" s="4"/>
      <c r="S709" s="2"/>
      <c r="T709" s="2"/>
      <c r="U709" s="1"/>
      <c r="V709" s="2"/>
      <c r="W709" s="2"/>
      <c r="X709" s="2"/>
      <c r="Y709" s="2"/>
      <c r="Z709" s="2"/>
    </row>
    <row r="710" spans="1:26" ht="15.75" customHeight="1" x14ac:dyDescent="0.2">
      <c r="A710" s="12"/>
      <c r="B710" s="10"/>
      <c r="C710" s="11"/>
      <c r="D710" s="13"/>
      <c r="E710" s="13"/>
      <c r="F710" s="13"/>
      <c r="G710" s="2"/>
      <c r="H710" s="2"/>
      <c r="I710" s="13"/>
      <c r="J710" s="13"/>
      <c r="K710" s="13"/>
      <c r="L710" s="14"/>
      <c r="M710" s="4"/>
      <c r="N710" s="2"/>
      <c r="O710" s="4"/>
      <c r="P710" s="2"/>
      <c r="Q710" s="2"/>
      <c r="R710" s="4"/>
      <c r="S710" s="2"/>
      <c r="T710" s="2"/>
      <c r="U710" s="1"/>
      <c r="V710" s="2"/>
      <c r="W710" s="2"/>
      <c r="X710" s="2"/>
      <c r="Y710" s="2"/>
      <c r="Z710" s="2"/>
    </row>
    <row r="711" spans="1:26" ht="15.75" customHeight="1" x14ac:dyDescent="0.2">
      <c r="A711" s="12"/>
      <c r="B711" s="10"/>
      <c r="C711" s="11"/>
      <c r="D711" s="13"/>
      <c r="E711" s="13"/>
      <c r="F711" s="13"/>
      <c r="G711" s="2"/>
      <c r="H711" s="2"/>
      <c r="I711" s="13"/>
      <c r="J711" s="13"/>
      <c r="K711" s="13"/>
      <c r="L711" s="14"/>
      <c r="M711" s="4"/>
      <c r="N711" s="2"/>
      <c r="O711" s="4"/>
      <c r="P711" s="2"/>
      <c r="Q711" s="2"/>
      <c r="R711" s="4"/>
      <c r="S711" s="2"/>
      <c r="T711" s="2"/>
      <c r="U711" s="1"/>
      <c r="V711" s="2"/>
      <c r="W711" s="2"/>
      <c r="X711" s="2"/>
      <c r="Y711" s="2"/>
      <c r="Z711" s="2"/>
    </row>
    <row r="712" spans="1:26" ht="15.75" customHeight="1" x14ac:dyDescent="0.2">
      <c r="A712" s="12"/>
      <c r="B712" s="10"/>
      <c r="C712" s="11"/>
      <c r="D712" s="13"/>
      <c r="E712" s="13"/>
      <c r="F712" s="13"/>
      <c r="G712" s="2"/>
      <c r="H712" s="2"/>
      <c r="I712" s="13"/>
      <c r="J712" s="13"/>
      <c r="K712" s="13"/>
      <c r="L712" s="14"/>
      <c r="M712" s="4"/>
      <c r="N712" s="2"/>
      <c r="O712" s="4"/>
      <c r="P712" s="2"/>
      <c r="Q712" s="2"/>
      <c r="R712" s="4"/>
      <c r="S712" s="2"/>
      <c r="T712" s="2"/>
      <c r="U712" s="1"/>
      <c r="V712" s="2"/>
      <c r="W712" s="2"/>
      <c r="X712" s="2"/>
      <c r="Y712" s="2"/>
      <c r="Z712" s="2"/>
    </row>
    <row r="713" spans="1:26" ht="15.75" customHeight="1" x14ac:dyDescent="0.2">
      <c r="A713" s="12"/>
      <c r="B713" s="10"/>
      <c r="C713" s="11"/>
      <c r="D713" s="13"/>
      <c r="E713" s="13"/>
      <c r="F713" s="13"/>
      <c r="G713" s="2"/>
      <c r="H713" s="2"/>
      <c r="I713" s="13"/>
      <c r="J713" s="13"/>
      <c r="K713" s="13"/>
      <c r="L713" s="14"/>
      <c r="M713" s="4"/>
      <c r="N713" s="2"/>
      <c r="O713" s="4"/>
      <c r="P713" s="2"/>
      <c r="Q713" s="2"/>
      <c r="R713" s="4"/>
      <c r="S713" s="2"/>
      <c r="T713" s="2"/>
      <c r="U713" s="1"/>
      <c r="V713" s="2"/>
      <c r="W713" s="2"/>
      <c r="X713" s="2"/>
      <c r="Y713" s="2"/>
      <c r="Z713" s="2"/>
    </row>
    <row r="714" spans="1:26" ht="15.75" customHeight="1" x14ac:dyDescent="0.2">
      <c r="A714" s="12"/>
      <c r="B714" s="10"/>
      <c r="C714" s="11"/>
      <c r="D714" s="13"/>
      <c r="E714" s="13"/>
      <c r="F714" s="13"/>
      <c r="G714" s="2"/>
      <c r="H714" s="2"/>
      <c r="I714" s="13"/>
      <c r="J714" s="13"/>
      <c r="K714" s="13"/>
      <c r="L714" s="14"/>
      <c r="M714" s="4"/>
      <c r="N714" s="2"/>
      <c r="O714" s="4"/>
      <c r="P714" s="2"/>
      <c r="Q714" s="2"/>
      <c r="R714" s="4"/>
      <c r="S714" s="2"/>
      <c r="T714" s="2"/>
      <c r="U714" s="1"/>
      <c r="V714" s="2"/>
      <c r="W714" s="2"/>
      <c r="X714" s="2"/>
      <c r="Y714" s="2"/>
      <c r="Z714" s="2"/>
    </row>
    <row r="715" spans="1:26" ht="15.75" customHeight="1" x14ac:dyDescent="0.2">
      <c r="A715" s="12"/>
      <c r="B715" s="10"/>
      <c r="C715" s="11"/>
      <c r="D715" s="13"/>
      <c r="E715" s="13"/>
      <c r="F715" s="13"/>
      <c r="G715" s="2"/>
      <c r="H715" s="2"/>
      <c r="I715" s="13"/>
      <c r="J715" s="13"/>
      <c r="K715" s="13"/>
      <c r="L715" s="14"/>
      <c r="M715" s="4"/>
      <c r="N715" s="2"/>
      <c r="O715" s="4"/>
      <c r="P715" s="2"/>
      <c r="Q715" s="2"/>
      <c r="R715" s="4"/>
      <c r="S715" s="2"/>
      <c r="T715" s="2"/>
      <c r="U715" s="1"/>
      <c r="V715" s="2"/>
      <c r="W715" s="2"/>
      <c r="X715" s="2"/>
      <c r="Y715" s="2"/>
      <c r="Z715" s="2"/>
    </row>
    <row r="716" spans="1:26" ht="15.75" customHeight="1" x14ac:dyDescent="0.2">
      <c r="A716" s="12"/>
      <c r="B716" s="10"/>
      <c r="C716" s="11"/>
      <c r="D716" s="13"/>
      <c r="E716" s="13"/>
      <c r="F716" s="13"/>
      <c r="G716" s="2"/>
      <c r="H716" s="2"/>
      <c r="I716" s="13"/>
      <c r="J716" s="13"/>
      <c r="K716" s="13"/>
      <c r="L716" s="14"/>
      <c r="M716" s="4"/>
      <c r="N716" s="2"/>
      <c r="O716" s="4"/>
      <c r="P716" s="2"/>
      <c r="Q716" s="2"/>
      <c r="R716" s="4"/>
      <c r="S716" s="2"/>
      <c r="T716" s="2"/>
      <c r="U716" s="1"/>
      <c r="V716" s="2"/>
      <c r="W716" s="2"/>
      <c r="X716" s="2"/>
      <c r="Y716" s="2"/>
      <c r="Z716" s="2"/>
    </row>
    <row r="717" spans="1:26" ht="15.75" customHeight="1" x14ac:dyDescent="0.2">
      <c r="A717" s="12"/>
      <c r="B717" s="10"/>
      <c r="C717" s="11"/>
      <c r="D717" s="13"/>
      <c r="E717" s="13"/>
      <c r="F717" s="13"/>
      <c r="G717" s="2"/>
      <c r="H717" s="2"/>
      <c r="I717" s="13"/>
      <c r="J717" s="13"/>
      <c r="K717" s="13"/>
      <c r="L717" s="14"/>
      <c r="M717" s="4"/>
      <c r="N717" s="2"/>
      <c r="O717" s="4"/>
      <c r="P717" s="2"/>
      <c r="Q717" s="2"/>
      <c r="R717" s="4"/>
      <c r="S717" s="2"/>
      <c r="T717" s="2"/>
      <c r="U717" s="1"/>
      <c r="V717" s="2"/>
      <c r="W717" s="2"/>
      <c r="X717" s="2"/>
      <c r="Y717" s="2"/>
      <c r="Z717" s="2"/>
    </row>
    <row r="718" spans="1:26" ht="15.75" customHeight="1" x14ac:dyDescent="0.2">
      <c r="A718" s="12"/>
      <c r="B718" s="10"/>
      <c r="C718" s="11"/>
      <c r="D718" s="13"/>
      <c r="E718" s="13"/>
      <c r="F718" s="13"/>
      <c r="G718" s="2"/>
      <c r="H718" s="2"/>
      <c r="I718" s="13"/>
      <c r="J718" s="13"/>
      <c r="K718" s="13"/>
      <c r="L718" s="14"/>
      <c r="M718" s="4"/>
      <c r="N718" s="2"/>
      <c r="O718" s="4"/>
      <c r="P718" s="2"/>
      <c r="Q718" s="2"/>
      <c r="R718" s="4"/>
      <c r="S718" s="2"/>
      <c r="T718" s="2"/>
      <c r="U718" s="1"/>
      <c r="V718" s="2"/>
      <c r="W718" s="2"/>
      <c r="X718" s="2"/>
      <c r="Y718" s="2"/>
      <c r="Z718" s="2"/>
    </row>
    <row r="719" spans="1:26" ht="15.75" customHeight="1" x14ac:dyDescent="0.2">
      <c r="A719" s="12"/>
      <c r="B719" s="10"/>
      <c r="C719" s="11"/>
      <c r="D719" s="13"/>
      <c r="E719" s="13"/>
      <c r="F719" s="13"/>
      <c r="G719" s="2"/>
      <c r="H719" s="2"/>
      <c r="I719" s="13"/>
      <c r="J719" s="13"/>
      <c r="K719" s="13"/>
      <c r="L719" s="14"/>
      <c r="M719" s="4"/>
      <c r="N719" s="2"/>
      <c r="O719" s="4"/>
      <c r="P719" s="2"/>
      <c r="Q719" s="2"/>
      <c r="R719" s="4"/>
      <c r="S719" s="2"/>
      <c r="T719" s="2"/>
      <c r="U719" s="1"/>
      <c r="V719" s="2"/>
      <c r="W719" s="2"/>
      <c r="X719" s="2"/>
      <c r="Y719" s="2"/>
      <c r="Z719" s="2"/>
    </row>
    <row r="720" spans="1:26" ht="15.75" customHeight="1" x14ac:dyDescent="0.2">
      <c r="A720" s="12"/>
      <c r="B720" s="10"/>
      <c r="C720" s="11"/>
      <c r="D720" s="13"/>
      <c r="E720" s="13"/>
      <c r="F720" s="13"/>
      <c r="G720" s="2"/>
      <c r="H720" s="2"/>
      <c r="I720" s="13"/>
      <c r="J720" s="13"/>
      <c r="K720" s="13"/>
      <c r="L720" s="14"/>
      <c r="M720" s="4"/>
      <c r="N720" s="2"/>
      <c r="O720" s="4"/>
      <c r="P720" s="2"/>
      <c r="Q720" s="2"/>
      <c r="R720" s="4"/>
      <c r="S720" s="2"/>
      <c r="T720" s="2"/>
      <c r="U720" s="1"/>
      <c r="V720" s="2"/>
      <c r="W720" s="2"/>
      <c r="X720" s="2"/>
      <c r="Y720" s="2"/>
      <c r="Z720" s="2"/>
    </row>
    <row r="721" spans="1:26" ht="15.75" customHeight="1" x14ac:dyDescent="0.2">
      <c r="A721" s="12"/>
      <c r="B721" s="10"/>
      <c r="C721" s="11"/>
      <c r="D721" s="13"/>
      <c r="E721" s="13"/>
      <c r="F721" s="13"/>
      <c r="G721" s="2"/>
      <c r="H721" s="2"/>
      <c r="I721" s="13"/>
      <c r="J721" s="13"/>
      <c r="K721" s="13"/>
      <c r="L721" s="14"/>
      <c r="M721" s="4"/>
      <c r="N721" s="2"/>
      <c r="O721" s="4"/>
      <c r="P721" s="2"/>
      <c r="Q721" s="2"/>
      <c r="R721" s="4"/>
      <c r="S721" s="2"/>
      <c r="T721" s="2"/>
      <c r="U721" s="1"/>
      <c r="V721" s="2"/>
      <c r="W721" s="2"/>
      <c r="X721" s="2"/>
      <c r="Y721" s="2"/>
      <c r="Z721" s="2"/>
    </row>
    <row r="722" spans="1:26" ht="15.75" customHeight="1" x14ac:dyDescent="0.2">
      <c r="A722" s="12"/>
      <c r="B722" s="10"/>
      <c r="C722" s="11"/>
      <c r="D722" s="13"/>
      <c r="E722" s="13"/>
      <c r="F722" s="13"/>
      <c r="G722" s="2"/>
      <c r="H722" s="2"/>
      <c r="I722" s="13"/>
      <c r="J722" s="13"/>
      <c r="K722" s="13"/>
      <c r="L722" s="14"/>
      <c r="M722" s="4"/>
      <c r="N722" s="2"/>
      <c r="O722" s="4"/>
      <c r="P722" s="2"/>
      <c r="Q722" s="2"/>
      <c r="R722" s="4"/>
      <c r="S722" s="2"/>
      <c r="T722" s="2"/>
      <c r="U722" s="1"/>
      <c r="V722" s="2"/>
      <c r="W722" s="2"/>
      <c r="X722" s="2"/>
      <c r="Y722" s="2"/>
      <c r="Z722" s="2"/>
    </row>
    <row r="723" spans="1:26" ht="15.75" customHeight="1" x14ac:dyDescent="0.2">
      <c r="A723" s="12"/>
      <c r="B723" s="10"/>
      <c r="C723" s="11"/>
      <c r="D723" s="13"/>
      <c r="E723" s="13"/>
      <c r="F723" s="13"/>
      <c r="G723" s="2"/>
      <c r="H723" s="2"/>
      <c r="I723" s="13"/>
      <c r="J723" s="13"/>
      <c r="K723" s="13"/>
      <c r="L723" s="14"/>
      <c r="M723" s="4"/>
      <c r="N723" s="2"/>
      <c r="O723" s="4"/>
      <c r="P723" s="2"/>
      <c r="Q723" s="2"/>
      <c r="R723" s="4"/>
      <c r="S723" s="2"/>
      <c r="T723" s="2"/>
      <c r="U723" s="1"/>
      <c r="V723" s="2"/>
      <c r="W723" s="2"/>
      <c r="X723" s="2"/>
      <c r="Y723" s="2"/>
      <c r="Z723" s="2"/>
    </row>
    <row r="724" spans="1:26" ht="15.75" customHeight="1" x14ac:dyDescent="0.2">
      <c r="A724" s="12"/>
      <c r="B724" s="10"/>
      <c r="C724" s="11"/>
      <c r="D724" s="13"/>
      <c r="E724" s="13"/>
      <c r="F724" s="13"/>
      <c r="G724" s="2"/>
      <c r="H724" s="2"/>
      <c r="I724" s="13"/>
      <c r="J724" s="13"/>
      <c r="K724" s="13"/>
      <c r="L724" s="14"/>
      <c r="M724" s="4"/>
      <c r="N724" s="2"/>
      <c r="O724" s="4"/>
      <c r="P724" s="2"/>
      <c r="Q724" s="2"/>
      <c r="R724" s="4"/>
      <c r="S724" s="2"/>
      <c r="T724" s="2"/>
      <c r="U724" s="1"/>
      <c r="V724" s="2"/>
      <c r="W724" s="2"/>
      <c r="X724" s="2"/>
      <c r="Y724" s="2"/>
      <c r="Z724" s="2"/>
    </row>
    <row r="725" spans="1:26" ht="15.75" customHeight="1" x14ac:dyDescent="0.2">
      <c r="A725" s="12"/>
      <c r="B725" s="10"/>
      <c r="C725" s="11"/>
      <c r="D725" s="13"/>
      <c r="E725" s="13"/>
      <c r="F725" s="13"/>
      <c r="G725" s="2"/>
      <c r="H725" s="2"/>
      <c r="I725" s="13"/>
      <c r="J725" s="13"/>
      <c r="K725" s="13"/>
      <c r="L725" s="14"/>
      <c r="M725" s="4"/>
      <c r="N725" s="2"/>
      <c r="O725" s="4"/>
      <c r="P725" s="2"/>
      <c r="Q725" s="2"/>
      <c r="R725" s="4"/>
      <c r="S725" s="2"/>
      <c r="T725" s="2"/>
      <c r="U725" s="1"/>
      <c r="V725" s="2"/>
      <c r="W725" s="2"/>
      <c r="X725" s="2"/>
      <c r="Y725" s="2"/>
      <c r="Z725" s="2"/>
    </row>
    <row r="726" spans="1:26" ht="15.75" customHeight="1" x14ac:dyDescent="0.2">
      <c r="A726" s="12"/>
      <c r="B726" s="10"/>
      <c r="C726" s="11"/>
      <c r="D726" s="13"/>
      <c r="E726" s="13"/>
      <c r="F726" s="13"/>
      <c r="G726" s="2"/>
      <c r="H726" s="2"/>
      <c r="I726" s="13"/>
      <c r="J726" s="13"/>
      <c r="K726" s="13"/>
      <c r="L726" s="14"/>
      <c r="M726" s="4"/>
      <c r="N726" s="2"/>
      <c r="O726" s="4"/>
      <c r="P726" s="2"/>
      <c r="Q726" s="2"/>
      <c r="R726" s="4"/>
      <c r="S726" s="2"/>
      <c r="T726" s="2"/>
      <c r="U726" s="1"/>
      <c r="V726" s="2"/>
      <c r="W726" s="2"/>
      <c r="X726" s="2"/>
      <c r="Y726" s="2"/>
      <c r="Z726" s="2"/>
    </row>
    <row r="727" spans="1:26" ht="15.75" customHeight="1" x14ac:dyDescent="0.2">
      <c r="A727" s="12"/>
      <c r="B727" s="10"/>
      <c r="C727" s="11"/>
      <c r="D727" s="13"/>
      <c r="E727" s="13"/>
      <c r="F727" s="13"/>
      <c r="G727" s="2"/>
      <c r="H727" s="2"/>
      <c r="I727" s="13"/>
      <c r="J727" s="13"/>
      <c r="K727" s="13"/>
      <c r="L727" s="14"/>
      <c r="M727" s="4"/>
      <c r="N727" s="2"/>
      <c r="O727" s="4"/>
      <c r="P727" s="2"/>
      <c r="Q727" s="2"/>
      <c r="R727" s="4"/>
      <c r="S727" s="2"/>
      <c r="T727" s="2"/>
      <c r="U727" s="1"/>
      <c r="V727" s="2"/>
      <c r="W727" s="2"/>
      <c r="X727" s="2"/>
      <c r="Y727" s="2"/>
      <c r="Z727" s="2"/>
    </row>
    <row r="728" spans="1:26" ht="15.75" customHeight="1" x14ac:dyDescent="0.2">
      <c r="A728" s="12"/>
      <c r="B728" s="10"/>
      <c r="C728" s="11"/>
      <c r="D728" s="13"/>
      <c r="E728" s="13"/>
      <c r="F728" s="13"/>
      <c r="G728" s="2"/>
      <c r="H728" s="2"/>
      <c r="I728" s="13"/>
      <c r="J728" s="13"/>
      <c r="K728" s="13"/>
      <c r="L728" s="14"/>
      <c r="M728" s="4"/>
      <c r="N728" s="2"/>
      <c r="O728" s="4"/>
      <c r="P728" s="2"/>
      <c r="Q728" s="2"/>
      <c r="R728" s="4"/>
      <c r="S728" s="2"/>
      <c r="T728" s="2"/>
      <c r="U728" s="1"/>
      <c r="V728" s="2"/>
      <c r="W728" s="2"/>
      <c r="X728" s="2"/>
      <c r="Y728" s="2"/>
      <c r="Z728" s="2"/>
    </row>
    <row r="729" spans="1:26" ht="15.75" customHeight="1" x14ac:dyDescent="0.2">
      <c r="A729" s="12"/>
      <c r="B729" s="10"/>
      <c r="C729" s="11"/>
      <c r="D729" s="13"/>
      <c r="E729" s="13"/>
      <c r="F729" s="13"/>
      <c r="G729" s="2"/>
      <c r="H729" s="2"/>
      <c r="I729" s="13"/>
      <c r="J729" s="13"/>
      <c r="K729" s="13"/>
      <c r="L729" s="14"/>
      <c r="M729" s="4"/>
      <c r="N729" s="2"/>
      <c r="O729" s="4"/>
      <c r="P729" s="2"/>
      <c r="Q729" s="2"/>
      <c r="R729" s="4"/>
      <c r="S729" s="2"/>
      <c r="T729" s="2"/>
      <c r="U729" s="1"/>
      <c r="V729" s="2"/>
      <c r="W729" s="2"/>
      <c r="X729" s="2"/>
      <c r="Y729" s="2"/>
      <c r="Z729" s="2"/>
    </row>
    <row r="730" spans="1:26" ht="15.75" customHeight="1" x14ac:dyDescent="0.2">
      <c r="A730" s="12"/>
      <c r="B730" s="10"/>
      <c r="C730" s="11"/>
      <c r="D730" s="13"/>
      <c r="E730" s="13"/>
      <c r="F730" s="13"/>
      <c r="G730" s="2"/>
      <c r="H730" s="2"/>
      <c r="I730" s="13"/>
      <c r="J730" s="13"/>
      <c r="K730" s="13"/>
      <c r="L730" s="14"/>
      <c r="M730" s="4"/>
      <c r="N730" s="2"/>
      <c r="O730" s="4"/>
      <c r="P730" s="2"/>
      <c r="Q730" s="2"/>
      <c r="R730" s="4"/>
      <c r="S730" s="2"/>
      <c r="T730" s="2"/>
      <c r="U730" s="1"/>
      <c r="V730" s="2"/>
      <c r="W730" s="2"/>
      <c r="X730" s="2"/>
      <c r="Y730" s="2"/>
      <c r="Z730" s="2"/>
    </row>
    <row r="731" spans="1:26" ht="15.75" customHeight="1" x14ac:dyDescent="0.2">
      <c r="A731" s="12"/>
      <c r="B731" s="10"/>
      <c r="C731" s="11"/>
      <c r="D731" s="13"/>
      <c r="E731" s="13"/>
      <c r="F731" s="13"/>
      <c r="G731" s="2"/>
      <c r="H731" s="2"/>
      <c r="I731" s="13"/>
      <c r="J731" s="13"/>
      <c r="K731" s="13"/>
      <c r="L731" s="14"/>
      <c r="M731" s="4"/>
      <c r="N731" s="2"/>
      <c r="O731" s="4"/>
      <c r="P731" s="2"/>
      <c r="Q731" s="2"/>
      <c r="R731" s="4"/>
      <c r="S731" s="2"/>
      <c r="T731" s="2"/>
      <c r="U731" s="1"/>
      <c r="V731" s="2"/>
      <c r="W731" s="2"/>
      <c r="X731" s="2"/>
      <c r="Y731" s="2"/>
      <c r="Z731" s="2"/>
    </row>
    <row r="732" spans="1:26" ht="15.75" customHeight="1" x14ac:dyDescent="0.2">
      <c r="A732" s="12"/>
      <c r="B732" s="10"/>
      <c r="C732" s="11"/>
      <c r="D732" s="13"/>
      <c r="E732" s="13"/>
      <c r="F732" s="13"/>
      <c r="G732" s="2"/>
      <c r="H732" s="2"/>
      <c r="I732" s="13"/>
      <c r="J732" s="13"/>
      <c r="K732" s="13"/>
      <c r="L732" s="14"/>
      <c r="M732" s="4"/>
      <c r="N732" s="2"/>
      <c r="O732" s="4"/>
      <c r="P732" s="2"/>
      <c r="Q732" s="2"/>
      <c r="R732" s="4"/>
      <c r="S732" s="2"/>
      <c r="T732" s="2"/>
      <c r="U732" s="1"/>
      <c r="V732" s="2"/>
      <c r="W732" s="2"/>
      <c r="X732" s="2"/>
      <c r="Y732" s="2"/>
      <c r="Z732" s="2"/>
    </row>
    <row r="733" spans="1:26" ht="15.75" customHeight="1" x14ac:dyDescent="0.2">
      <c r="A733" s="12"/>
      <c r="B733" s="10"/>
      <c r="C733" s="11"/>
      <c r="D733" s="13"/>
      <c r="E733" s="13"/>
      <c r="F733" s="13"/>
      <c r="G733" s="2"/>
      <c r="H733" s="2"/>
      <c r="I733" s="13"/>
      <c r="J733" s="13"/>
      <c r="K733" s="13"/>
      <c r="L733" s="14"/>
      <c r="M733" s="4"/>
      <c r="N733" s="2"/>
      <c r="O733" s="4"/>
      <c r="P733" s="2"/>
      <c r="Q733" s="2"/>
      <c r="R733" s="4"/>
      <c r="S733" s="2"/>
      <c r="T733" s="2"/>
      <c r="U733" s="1"/>
      <c r="V733" s="2"/>
      <c r="W733" s="2"/>
      <c r="X733" s="2"/>
      <c r="Y733" s="2"/>
      <c r="Z733" s="2"/>
    </row>
    <row r="734" spans="1:26" ht="15.75" customHeight="1" x14ac:dyDescent="0.2">
      <c r="A734" s="12"/>
      <c r="B734" s="10"/>
      <c r="C734" s="11"/>
      <c r="D734" s="13"/>
      <c r="E734" s="13"/>
      <c r="F734" s="13"/>
      <c r="G734" s="2"/>
      <c r="H734" s="2"/>
      <c r="I734" s="13"/>
      <c r="J734" s="13"/>
      <c r="K734" s="13"/>
      <c r="L734" s="14"/>
      <c r="M734" s="4"/>
      <c r="N734" s="2"/>
      <c r="O734" s="4"/>
      <c r="P734" s="2"/>
      <c r="Q734" s="2"/>
      <c r="R734" s="4"/>
      <c r="S734" s="2"/>
      <c r="T734" s="2"/>
      <c r="U734" s="1"/>
      <c r="V734" s="2"/>
      <c r="W734" s="2"/>
      <c r="X734" s="2"/>
      <c r="Y734" s="2"/>
      <c r="Z734" s="2"/>
    </row>
    <row r="735" spans="1:26" ht="15.75" customHeight="1" x14ac:dyDescent="0.2">
      <c r="A735" s="12"/>
      <c r="B735" s="10"/>
      <c r="C735" s="11"/>
      <c r="D735" s="13"/>
      <c r="E735" s="13"/>
      <c r="F735" s="13"/>
      <c r="G735" s="2"/>
      <c r="H735" s="2"/>
      <c r="I735" s="13"/>
      <c r="J735" s="13"/>
      <c r="K735" s="13"/>
      <c r="L735" s="14"/>
      <c r="M735" s="4"/>
      <c r="N735" s="2"/>
      <c r="O735" s="4"/>
      <c r="P735" s="2"/>
      <c r="Q735" s="2"/>
      <c r="R735" s="4"/>
      <c r="S735" s="2"/>
      <c r="T735" s="2"/>
      <c r="U735" s="1"/>
      <c r="V735" s="2"/>
      <c r="W735" s="2"/>
      <c r="X735" s="2"/>
      <c r="Y735" s="2"/>
      <c r="Z735" s="2"/>
    </row>
    <row r="736" spans="1:26" ht="15.75" customHeight="1" x14ac:dyDescent="0.2">
      <c r="A736" s="12"/>
      <c r="B736" s="10"/>
      <c r="C736" s="11"/>
      <c r="D736" s="13"/>
      <c r="E736" s="13"/>
      <c r="F736" s="13"/>
      <c r="G736" s="2"/>
      <c r="H736" s="2"/>
      <c r="I736" s="13"/>
      <c r="J736" s="13"/>
      <c r="K736" s="13"/>
      <c r="L736" s="14"/>
      <c r="M736" s="4"/>
      <c r="N736" s="2"/>
      <c r="O736" s="4"/>
      <c r="P736" s="2"/>
      <c r="Q736" s="2"/>
      <c r="R736" s="4"/>
      <c r="S736" s="2"/>
      <c r="T736" s="2"/>
      <c r="U736" s="1"/>
      <c r="V736" s="2"/>
      <c r="W736" s="2"/>
      <c r="X736" s="2"/>
      <c r="Y736" s="2"/>
      <c r="Z736" s="2"/>
    </row>
    <row r="737" spans="1:26" ht="15.75" customHeight="1" x14ac:dyDescent="0.2">
      <c r="A737" s="12"/>
      <c r="B737" s="10"/>
      <c r="C737" s="11"/>
      <c r="D737" s="13"/>
      <c r="E737" s="13"/>
      <c r="F737" s="13"/>
      <c r="G737" s="2"/>
      <c r="H737" s="2"/>
      <c r="I737" s="13"/>
      <c r="J737" s="13"/>
      <c r="K737" s="13"/>
      <c r="L737" s="14"/>
      <c r="M737" s="4"/>
      <c r="N737" s="2"/>
      <c r="O737" s="4"/>
      <c r="P737" s="2"/>
      <c r="Q737" s="2"/>
      <c r="R737" s="4"/>
      <c r="S737" s="2"/>
      <c r="T737" s="2"/>
      <c r="U737" s="1"/>
      <c r="V737" s="2"/>
      <c r="W737" s="2"/>
      <c r="X737" s="2"/>
      <c r="Y737" s="2"/>
      <c r="Z737" s="2"/>
    </row>
    <row r="738" spans="1:26" ht="15.75" customHeight="1" x14ac:dyDescent="0.2">
      <c r="A738" s="12"/>
      <c r="B738" s="10"/>
      <c r="C738" s="11"/>
      <c r="D738" s="13"/>
      <c r="E738" s="13"/>
      <c r="F738" s="13"/>
      <c r="G738" s="2"/>
      <c r="H738" s="2"/>
      <c r="I738" s="13"/>
      <c r="J738" s="13"/>
      <c r="K738" s="13"/>
      <c r="L738" s="14"/>
      <c r="M738" s="4"/>
      <c r="N738" s="2"/>
      <c r="O738" s="4"/>
      <c r="P738" s="2"/>
      <c r="Q738" s="2"/>
      <c r="R738" s="4"/>
      <c r="S738" s="2"/>
      <c r="T738" s="2"/>
      <c r="U738" s="1"/>
      <c r="V738" s="2"/>
      <c r="W738" s="2"/>
      <c r="X738" s="2"/>
      <c r="Y738" s="2"/>
      <c r="Z738" s="2"/>
    </row>
    <row r="739" spans="1:26" ht="15.75" customHeight="1" x14ac:dyDescent="0.2">
      <c r="A739" s="12"/>
      <c r="B739" s="10"/>
      <c r="C739" s="11"/>
      <c r="D739" s="13"/>
      <c r="E739" s="13"/>
      <c r="F739" s="13"/>
      <c r="G739" s="2"/>
      <c r="H739" s="2"/>
      <c r="I739" s="13"/>
      <c r="J739" s="13"/>
      <c r="K739" s="13"/>
      <c r="L739" s="14"/>
      <c r="M739" s="4"/>
      <c r="N739" s="2"/>
      <c r="O739" s="4"/>
      <c r="P739" s="2"/>
      <c r="Q739" s="2"/>
      <c r="R739" s="4"/>
      <c r="S739" s="2"/>
      <c r="T739" s="2"/>
      <c r="U739" s="1"/>
      <c r="V739" s="2"/>
      <c r="W739" s="2"/>
      <c r="X739" s="2"/>
      <c r="Y739" s="2"/>
      <c r="Z739" s="2"/>
    </row>
    <row r="740" spans="1:26" ht="15.75" customHeight="1" x14ac:dyDescent="0.2">
      <c r="A740" s="12"/>
      <c r="B740" s="10"/>
      <c r="C740" s="11"/>
      <c r="D740" s="13"/>
      <c r="E740" s="13"/>
      <c r="F740" s="13"/>
      <c r="G740" s="2"/>
      <c r="H740" s="2"/>
      <c r="I740" s="13"/>
      <c r="J740" s="13"/>
      <c r="K740" s="13"/>
      <c r="L740" s="14"/>
      <c r="M740" s="4"/>
      <c r="N740" s="2"/>
      <c r="O740" s="4"/>
      <c r="P740" s="2"/>
      <c r="Q740" s="2"/>
      <c r="R740" s="4"/>
      <c r="S740" s="2"/>
      <c r="T740" s="2"/>
      <c r="U740" s="1"/>
      <c r="V740" s="2"/>
      <c r="W740" s="2"/>
      <c r="X740" s="2"/>
      <c r="Y740" s="2"/>
      <c r="Z740" s="2"/>
    </row>
    <row r="741" spans="1:26" ht="15.75" customHeight="1" x14ac:dyDescent="0.2">
      <c r="A741" s="12"/>
      <c r="B741" s="10"/>
      <c r="C741" s="11"/>
      <c r="D741" s="13"/>
      <c r="E741" s="13"/>
      <c r="F741" s="13"/>
      <c r="G741" s="2"/>
      <c r="H741" s="2"/>
      <c r="I741" s="13"/>
      <c r="J741" s="13"/>
      <c r="K741" s="13"/>
      <c r="L741" s="14"/>
      <c r="M741" s="4"/>
      <c r="N741" s="2"/>
      <c r="O741" s="4"/>
      <c r="P741" s="2"/>
      <c r="Q741" s="2"/>
      <c r="R741" s="4"/>
      <c r="S741" s="2"/>
      <c r="T741" s="2"/>
      <c r="U741" s="1"/>
      <c r="V741" s="2"/>
      <c r="W741" s="2"/>
      <c r="X741" s="2"/>
      <c r="Y741" s="2"/>
      <c r="Z741" s="2"/>
    </row>
    <row r="742" spans="1:26" ht="15.75" customHeight="1" x14ac:dyDescent="0.2">
      <c r="A742" s="12"/>
      <c r="B742" s="10"/>
      <c r="C742" s="11"/>
      <c r="D742" s="13"/>
      <c r="E742" s="13"/>
      <c r="F742" s="13"/>
      <c r="G742" s="2"/>
      <c r="H742" s="2"/>
      <c r="I742" s="13"/>
      <c r="J742" s="13"/>
      <c r="K742" s="13"/>
      <c r="L742" s="14"/>
      <c r="M742" s="4"/>
      <c r="N742" s="2"/>
      <c r="O742" s="4"/>
      <c r="P742" s="2"/>
      <c r="Q742" s="2"/>
      <c r="R742" s="4"/>
      <c r="S742" s="2"/>
      <c r="T742" s="2"/>
      <c r="U742" s="1"/>
      <c r="V742" s="2"/>
      <c r="W742" s="2"/>
      <c r="X742" s="2"/>
      <c r="Y742" s="2"/>
      <c r="Z742" s="2"/>
    </row>
    <row r="743" spans="1:26" ht="15.75" customHeight="1" x14ac:dyDescent="0.2">
      <c r="A743" s="12"/>
      <c r="B743" s="10"/>
      <c r="C743" s="11"/>
      <c r="D743" s="13"/>
      <c r="E743" s="13"/>
      <c r="F743" s="13"/>
      <c r="G743" s="2"/>
      <c r="H743" s="2"/>
      <c r="I743" s="13"/>
      <c r="J743" s="13"/>
      <c r="K743" s="13"/>
      <c r="L743" s="14"/>
      <c r="M743" s="4"/>
      <c r="N743" s="2"/>
      <c r="O743" s="4"/>
      <c r="P743" s="2"/>
      <c r="Q743" s="2"/>
      <c r="R743" s="4"/>
      <c r="S743" s="2"/>
      <c r="T743" s="2"/>
      <c r="U743" s="1"/>
      <c r="V743" s="2"/>
      <c r="W743" s="2"/>
      <c r="X743" s="2"/>
      <c r="Y743" s="2"/>
      <c r="Z743" s="2"/>
    </row>
    <row r="744" spans="1:26" ht="15.75" customHeight="1" x14ac:dyDescent="0.2">
      <c r="A744" s="12"/>
      <c r="B744" s="10"/>
      <c r="C744" s="11"/>
      <c r="D744" s="13"/>
      <c r="E744" s="13"/>
      <c r="F744" s="13"/>
      <c r="G744" s="2"/>
      <c r="H744" s="2"/>
      <c r="I744" s="13"/>
      <c r="J744" s="13"/>
      <c r="K744" s="13"/>
      <c r="L744" s="14"/>
      <c r="M744" s="4"/>
      <c r="N744" s="2"/>
      <c r="O744" s="4"/>
      <c r="P744" s="2"/>
      <c r="Q744" s="2"/>
      <c r="R744" s="4"/>
      <c r="S744" s="2"/>
      <c r="T744" s="2"/>
      <c r="U744" s="1"/>
      <c r="V744" s="2"/>
      <c r="W744" s="2"/>
      <c r="X744" s="2"/>
      <c r="Y744" s="2"/>
      <c r="Z744" s="2"/>
    </row>
    <row r="745" spans="1:26" ht="15.75" customHeight="1" x14ac:dyDescent="0.2">
      <c r="A745" s="12"/>
      <c r="B745" s="10"/>
      <c r="C745" s="11"/>
      <c r="D745" s="13"/>
      <c r="E745" s="13"/>
      <c r="F745" s="13"/>
      <c r="G745" s="2"/>
      <c r="H745" s="2"/>
      <c r="I745" s="13"/>
      <c r="J745" s="13"/>
      <c r="K745" s="13"/>
      <c r="L745" s="14"/>
      <c r="M745" s="4"/>
      <c r="N745" s="2"/>
      <c r="O745" s="4"/>
      <c r="P745" s="2"/>
      <c r="Q745" s="2"/>
      <c r="R745" s="4"/>
      <c r="S745" s="2"/>
      <c r="T745" s="2"/>
      <c r="U745" s="1"/>
      <c r="V745" s="2"/>
      <c r="W745" s="2"/>
      <c r="X745" s="2"/>
      <c r="Y745" s="2"/>
      <c r="Z745" s="2"/>
    </row>
    <row r="746" spans="1:26" ht="15.75" customHeight="1" x14ac:dyDescent="0.2">
      <c r="A746" s="12"/>
      <c r="B746" s="10"/>
      <c r="C746" s="11"/>
      <c r="D746" s="13"/>
      <c r="E746" s="13"/>
      <c r="F746" s="13"/>
      <c r="G746" s="2"/>
      <c r="H746" s="2"/>
      <c r="I746" s="13"/>
      <c r="J746" s="13"/>
      <c r="K746" s="13"/>
      <c r="L746" s="14"/>
      <c r="M746" s="4"/>
      <c r="N746" s="2"/>
      <c r="O746" s="4"/>
      <c r="P746" s="2"/>
      <c r="Q746" s="2"/>
      <c r="R746" s="4"/>
      <c r="S746" s="2"/>
      <c r="T746" s="2"/>
      <c r="U746" s="1"/>
      <c r="V746" s="2"/>
      <c r="W746" s="2"/>
      <c r="X746" s="2"/>
      <c r="Y746" s="2"/>
      <c r="Z746" s="2"/>
    </row>
    <row r="747" spans="1:26" ht="15.75" customHeight="1" x14ac:dyDescent="0.2">
      <c r="A747" s="12"/>
      <c r="B747" s="10"/>
      <c r="C747" s="11"/>
      <c r="D747" s="13"/>
      <c r="E747" s="13"/>
      <c r="F747" s="13"/>
      <c r="G747" s="2"/>
      <c r="H747" s="2"/>
      <c r="I747" s="13"/>
      <c r="J747" s="13"/>
      <c r="K747" s="13"/>
      <c r="L747" s="14"/>
      <c r="M747" s="4"/>
      <c r="N747" s="2"/>
      <c r="O747" s="4"/>
      <c r="P747" s="2"/>
      <c r="Q747" s="2"/>
      <c r="R747" s="4"/>
      <c r="S747" s="2"/>
      <c r="T747" s="2"/>
      <c r="U747" s="1"/>
      <c r="V747" s="2"/>
      <c r="W747" s="2"/>
      <c r="X747" s="2"/>
      <c r="Y747" s="2"/>
      <c r="Z747" s="2"/>
    </row>
    <row r="748" spans="1:26" ht="15.75" customHeight="1" x14ac:dyDescent="0.2">
      <c r="A748" s="12"/>
      <c r="B748" s="10"/>
      <c r="C748" s="11"/>
      <c r="D748" s="13"/>
      <c r="E748" s="13"/>
      <c r="F748" s="13"/>
      <c r="G748" s="2"/>
      <c r="H748" s="2"/>
      <c r="I748" s="13"/>
      <c r="J748" s="13"/>
      <c r="K748" s="13"/>
      <c r="L748" s="14"/>
      <c r="M748" s="4"/>
      <c r="N748" s="2"/>
      <c r="O748" s="4"/>
      <c r="P748" s="2"/>
      <c r="Q748" s="2"/>
      <c r="R748" s="4"/>
      <c r="S748" s="2"/>
      <c r="T748" s="2"/>
      <c r="U748" s="1"/>
      <c r="V748" s="2"/>
      <c r="W748" s="2"/>
      <c r="X748" s="2"/>
      <c r="Y748" s="2"/>
      <c r="Z748" s="2"/>
    </row>
    <row r="749" spans="1:26" ht="15.75" customHeight="1" x14ac:dyDescent="0.2">
      <c r="A749" s="12"/>
      <c r="B749" s="10"/>
      <c r="C749" s="11"/>
      <c r="D749" s="13"/>
      <c r="E749" s="13"/>
      <c r="F749" s="13"/>
      <c r="G749" s="2"/>
      <c r="H749" s="2"/>
      <c r="I749" s="13"/>
      <c r="J749" s="13"/>
      <c r="K749" s="13"/>
      <c r="L749" s="14"/>
      <c r="M749" s="4"/>
      <c r="N749" s="2"/>
      <c r="O749" s="4"/>
      <c r="P749" s="2"/>
      <c r="Q749" s="2"/>
      <c r="R749" s="4"/>
      <c r="S749" s="2"/>
      <c r="T749" s="2"/>
      <c r="U749" s="1"/>
      <c r="V749" s="2"/>
      <c r="W749" s="2"/>
      <c r="X749" s="2"/>
      <c r="Y749" s="2"/>
      <c r="Z749" s="2"/>
    </row>
    <row r="750" spans="1:26" ht="15.75" customHeight="1" x14ac:dyDescent="0.2">
      <c r="A750" s="12"/>
      <c r="B750" s="10"/>
      <c r="C750" s="11"/>
      <c r="D750" s="13"/>
      <c r="E750" s="13"/>
      <c r="F750" s="13"/>
      <c r="G750" s="2"/>
      <c r="H750" s="2"/>
      <c r="I750" s="13"/>
      <c r="J750" s="13"/>
      <c r="K750" s="13"/>
      <c r="L750" s="14"/>
      <c r="M750" s="4"/>
      <c r="N750" s="2"/>
      <c r="O750" s="4"/>
      <c r="P750" s="2"/>
      <c r="Q750" s="2"/>
      <c r="R750" s="4"/>
      <c r="S750" s="2"/>
      <c r="T750" s="2"/>
      <c r="U750" s="1"/>
      <c r="V750" s="2"/>
      <c r="W750" s="2"/>
      <c r="X750" s="2"/>
      <c r="Y750" s="2"/>
      <c r="Z750" s="2"/>
    </row>
    <row r="751" spans="1:26" ht="15.75" customHeight="1" x14ac:dyDescent="0.2">
      <c r="A751" s="12"/>
      <c r="B751" s="10"/>
      <c r="C751" s="11"/>
      <c r="D751" s="13"/>
      <c r="E751" s="13"/>
      <c r="F751" s="13"/>
      <c r="G751" s="2"/>
      <c r="H751" s="2"/>
      <c r="I751" s="13"/>
      <c r="J751" s="13"/>
      <c r="K751" s="13"/>
      <c r="L751" s="14"/>
      <c r="M751" s="4"/>
      <c r="N751" s="2"/>
      <c r="O751" s="4"/>
      <c r="P751" s="2"/>
      <c r="Q751" s="2"/>
      <c r="R751" s="4"/>
      <c r="S751" s="2"/>
      <c r="T751" s="2"/>
      <c r="U751" s="1"/>
      <c r="V751" s="2"/>
      <c r="W751" s="2"/>
      <c r="X751" s="2"/>
      <c r="Y751" s="2"/>
      <c r="Z751" s="2"/>
    </row>
    <row r="752" spans="1:26" ht="15.75" customHeight="1" x14ac:dyDescent="0.2">
      <c r="A752" s="12"/>
      <c r="B752" s="10"/>
      <c r="C752" s="11"/>
      <c r="D752" s="13"/>
      <c r="E752" s="13"/>
      <c r="F752" s="13"/>
      <c r="G752" s="2"/>
      <c r="H752" s="2"/>
      <c r="I752" s="13"/>
      <c r="J752" s="13"/>
      <c r="K752" s="13"/>
      <c r="L752" s="14"/>
      <c r="M752" s="4"/>
      <c r="N752" s="2"/>
      <c r="O752" s="4"/>
      <c r="P752" s="2"/>
      <c r="Q752" s="2"/>
      <c r="R752" s="4"/>
      <c r="S752" s="2"/>
      <c r="T752" s="2"/>
      <c r="U752" s="1"/>
      <c r="V752" s="2"/>
      <c r="W752" s="2"/>
      <c r="X752" s="2"/>
      <c r="Y752" s="2"/>
      <c r="Z752" s="2"/>
    </row>
    <row r="753" spans="1:26" ht="15.75" customHeight="1" x14ac:dyDescent="0.2">
      <c r="A753" s="12"/>
      <c r="B753" s="10"/>
      <c r="C753" s="11"/>
      <c r="D753" s="13"/>
      <c r="E753" s="13"/>
      <c r="F753" s="13"/>
      <c r="G753" s="2"/>
      <c r="H753" s="2"/>
      <c r="I753" s="13"/>
      <c r="J753" s="13"/>
      <c r="K753" s="13"/>
      <c r="L753" s="14"/>
      <c r="M753" s="4"/>
      <c r="N753" s="2"/>
      <c r="O753" s="4"/>
      <c r="P753" s="2"/>
      <c r="Q753" s="2"/>
      <c r="R753" s="4"/>
      <c r="S753" s="2"/>
      <c r="T753" s="2"/>
      <c r="U753" s="1"/>
      <c r="V753" s="2"/>
      <c r="W753" s="2"/>
      <c r="X753" s="2"/>
      <c r="Y753" s="2"/>
      <c r="Z753" s="2"/>
    </row>
    <row r="754" spans="1:26" ht="15.75" customHeight="1" x14ac:dyDescent="0.2">
      <c r="A754" s="12"/>
      <c r="B754" s="10"/>
      <c r="C754" s="11"/>
      <c r="D754" s="13"/>
      <c r="E754" s="13"/>
      <c r="F754" s="13"/>
      <c r="G754" s="2"/>
      <c r="H754" s="2"/>
      <c r="I754" s="13"/>
      <c r="J754" s="13"/>
      <c r="K754" s="13"/>
      <c r="L754" s="14"/>
      <c r="M754" s="4"/>
      <c r="N754" s="2"/>
      <c r="O754" s="4"/>
      <c r="P754" s="2"/>
      <c r="Q754" s="2"/>
      <c r="R754" s="4"/>
      <c r="S754" s="2"/>
      <c r="T754" s="2"/>
      <c r="U754" s="1"/>
      <c r="V754" s="2"/>
      <c r="W754" s="2"/>
      <c r="X754" s="2"/>
      <c r="Y754" s="2"/>
      <c r="Z754" s="2"/>
    </row>
    <row r="755" spans="1:26" ht="15.75" customHeight="1" x14ac:dyDescent="0.2">
      <c r="A755" s="12"/>
      <c r="B755" s="10"/>
      <c r="C755" s="11"/>
      <c r="D755" s="13"/>
      <c r="E755" s="13"/>
      <c r="F755" s="13"/>
      <c r="G755" s="2"/>
      <c r="H755" s="2"/>
      <c r="I755" s="13"/>
      <c r="J755" s="13"/>
      <c r="K755" s="13"/>
      <c r="L755" s="14"/>
      <c r="M755" s="4"/>
      <c r="N755" s="2"/>
      <c r="O755" s="4"/>
      <c r="P755" s="2"/>
      <c r="Q755" s="2"/>
      <c r="R755" s="4"/>
      <c r="S755" s="2"/>
      <c r="T755" s="2"/>
      <c r="U755" s="1"/>
      <c r="V755" s="2"/>
      <c r="W755" s="2"/>
      <c r="X755" s="2"/>
      <c r="Y755" s="2"/>
      <c r="Z755" s="2"/>
    </row>
    <row r="756" spans="1:26" ht="15.75" customHeight="1" x14ac:dyDescent="0.2">
      <c r="A756" s="12"/>
      <c r="B756" s="10"/>
      <c r="C756" s="11"/>
      <c r="D756" s="13"/>
      <c r="E756" s="13"/>
      <c r="F756" s="13"/>
      <c r="G756" s="2"/>
      <c r="H756" s="2"/>
      <c r="I756" s="13"/>
      <c r="J756" s="13"/>
      <c r="K756" s="13"/>
      <c r="L756" s="14"/>
      <c r="M756" s="4"/>
      <c r="N756" s="2"/>
      <c r="O756" s="4"/>
      <c r="P756" s="2"/>
      <c r="Q756" s="2"/>
      <c r="R756" s="4"/>
      <c r="S756" s="2"/>
      <c r="T756" s="2"/>
      <c r="U756" s="1"/>
      <c r="V756" s="2"/>
      <c r="W756" s="2"/>
      <c r="X756" s="2"/>
      <c r="Y756" s="2"/>
      <c r="Z756" s="2"/>
    </row>
    <row r="757" spans="1:26" ht="15.75" customHeight="1" x14ac:dyDescent="0.2">
      <c r="A757" s="12"/>
      <c r="B757" s="10"/>
      <c r="C757" s="11"/>
      <c r="D757" s="13"/>
      <c r="E757" s="13"/>
      <c r="F757" s="13"/>
      <c r="G757" s="2"/>
      <c r="H757" s="2"/>
      <c r="I757" s="13"/>
      <c r="J757" s="13"/>
      <c r="K757" s="13"/>
      <c r="L757" s="14"/>
      <c r="M757" s="4"/>
      <c r="N757" s="2"/>
      <c r="O757" s="4"/>
      <c r="P757" s="2"/>
      <c r="Q757" s="2"/>
      <c r="R757" s="4"/>
      <c r="S757" s="2"/>
      <c r="T757" s="2"/>
      <c r="U757" s="1"/>
      <c r="V757" s="2"/>
      <c r="W757" s="2"/>
      <c r="X757" s="2"/>
      <c r="Y757" s="2"/>
      <c r="Z757" s="2"/>
    </row>
    <row r="758" spans="1:26" ht="15.75" customHeight="1" x14ac:dyDescent="0.2">
      <c r="A758" s="12"/>
      <c r="B758" s="10"/>
      <c r="C758" s="11"/>
      <c r="D758" s="13"/>
      <c r="E758" s="13"/>
      <c r="F758" s="13"/>
      <c r="G758" s="2"/>
      <c r="H758" s="2"/>
      <c r="I758" s="13"/>
      <c r="J758" s="13"/>
      <c r="K758" s="13"/>
      <c r="L758" s="14"/>
      <c r="M758" s="4"/>
      <c r="N758" s="2"/>
      <c r="O758" s="4"/>
      <c r="P758" s="2"/>
      <c r="Q758" s="2"/>
      <c r="R758" s="4"/>
      <c r="S758" s="2"/>
      <c r="T758" s="2"/>
      <c r="U758" s="1"/>
      <c r="V758" s="2"/>
      <c r="W758" s="2"/>
      <c r="X758" s="2"/>
      <c r="Y758" s="2"/>
      <c r="Z758" s="2"/>
    </row>
    <row r="759" spans="1:26" ht="15.75" customHeight="1" x14ac:dyDescent="0.2">
      <c r="A759" s="12"/>
      <c r="B759" s="10"/>
      <c r="C759" s="11"/>
      <c r="D759" s="13"/>
      <c r="E759" s="13"/>
      <c r="F759" s="13"/>
      <c r="G759" s="2"/>
      <c r="H759" s="2"/>
      <c r="I759" s="13"/>
      <c r="J759" s="13"/>
      <c r="K759" s="13"/>
      <c r="L759" s="14"/>
      <c r="M759" s="4"/>
      <c r="N759" s="2"/>
      <c r="O759" s="4"/>
      <c r="P759" s="2"/>
      <c r="Q759" s="2"/>
      <c r="R759" s="4"/>
      <c r="S759" s="2"/>
      <c r="T759" s="2"/>
      <c r="U759" s="1"/>
      <c r="V759" s="2"/>
      <c r="W759" s="2"/>
      <c r="X759" s="2"/>
      <c r="Y759" s="2"/>
      <c r="Z759" s="2"/>
    </row>
    <row r="760" spans="1:26" ht="15.75" customHeight="1" x14ac:dyDescent="0.2">
      <c r="A760" s="12"/>
      <c r="B760" s="10"/>
      <c r="C760" s="11"/>
      <c r="D760" s="13"/>
      <c r="E760" s="13"/>
      <c r="F760" s="13"/>
      <c r="G760" s="2"/>
      <c r="H760" s="2"/>
      <c r="I760" s="13"/>
      <c r="J760" s="13"/>
      <c r="K760" s="13"/>
      <c r="L760" s="14"/>
      <c r="M760" s="4"/>
      <c r="N760" s="2"/>
      <c r="O760" s="4"/>
      <c r="P760" s="2"/>
      <c r="Q760" s="2"/>
      <c r="R760" s="4"/>
      <c r="S760" s="2"/>
      <c r="T760" s="2"/>
      <c r="U760" s="1"/>
      <c r="V760" s="2"/>
      <c r="W760" s="2"/>
      <c r="X760" s="2"/>
      <c r="Y760" s="2"/>
      <c r="Z760" s="2"/>
    </row>
    <row r="761" spans="1:26" ht="15.75" customHeight="1" x14ac:dyDescent="0.2">
      <c r="A761" s="12"/>
      <c r="B761" s="10"/>
      <c r="C761" s="11"/>
      <c r="D761" s="13"/>
      <c r="E761" s="13"/>
      <c r="F761" s="13"/>
      <c r="G761" s="2"/>
      <c r="H761" s="2"/>
      <c r="I761" s="13"/>
      <c r="J761" s="13"/>
      <c r="K761" s="13"/>
      <c r="L761" s="14"/>
      <c r="M761" s="4"/>
      <c r="N761" s="2"/>
      <c r="O761" s="4"/>
      <c r="P761" s="2"/>
      <c r="Q761" s="2"/>
      <c r="R761" s="4"/>
      <c r="S761" s="2"/>
      <c r="T761" s="2"/>
      <c r="U761" s="1"/>
      <c r="V761" s="2"/>
      <c r="W761" s="2"/>
      <c r="X761" s="2"/>
      <c r="Y761" s="2"/>
      <c r="Z761" s="2"/>
    </row>
    <row r="762" spans="1:26" ht="15.75" customHeight="1" x14ac:dyDescent="0.2">
      <c r="A762" s="12"/>
      <c r="B762" s="10"/>
      <c r="C762" s="11"/>
      <c r="D762" s="13"/>
      <c r="E762" s="13"/>
      <c r="F762" s="13"/>
      <c r="G762" s="2"/>
      <c r="H762" s="2"/>
      <c r="I762" s="13"/>
      <c r="J762" s="13"/>
      <c r="K762" s="13"/>
      <c r="L762" s="14"/>
      <c r="M762" s="4"/>
      <c r="N762" s="2"/>
      <c r="O762" s="4"/>
      <c r="P762" s="2"/>
      <c r="Q762" s="2"/>
      <c r="R762" s="4"/>
      <c r="S762" s="2"/>
      <c r="T762" s="2"/>
      <c r="U762" s="1"/>
      <c r="V762" s="2"/>
      <c r="W762" s="2"/>
      <c r="X762" s="2"/>
      <c r="Y762" s="2"/>
      <c r="Z762" s="2"/>
    </row>
    <row r="763" spans="1:26" ht="15.75" customHeight="1" x14ac:dyDescent="0.2">
      <c r="A763" s="12"/>
      <c r="B763" s="10"/>
      <c r="C763" s="11"/>
      <c r="D763" s="13"/>
      <c r="E763" s="13"/>
      <c r="F763" s="13"/>
      <c r="G763" s="2"/>
      <c r="H763" s="2"/>
      <c r="I763" s="13"/>
      <c r="J763" s="13"/>
      <c r="K763" s="13"/>
      <c r="L763" s="14"/>
      <c r="M763" s="4"/>
      <c r="N763" s="2"/>
      <c r="O763" s="4"/>
      <c r="P763" s="2"/>
      <c r="Q763" s="2"/>
      <c r="R763" s="4"/>
      <c r="S763" s="2"/>
      <c r="T763" s="2"/>
      <c r="U763" s="1"/>
      <c r="V763" s="2"/>
      <c r="W763" s="2"/>
      <c r="X763" s="2"/>
      <c r="Y763" s="2"/>
      <c r="Z763" s="2"/>
    </row>
    <row r="764" spans="1:26" ht="15.75" customHeight="1" x14ac:dyDescent="0.2">
      <c r="A764" s="12"/>
      <c r="B764" s="10"/>
      <c r="C764" s="11"/>
      <c r="D764" s="13"/>
      <c r="E764" s="13"/>
      <c r="F764" s="13"/>
      <c r="G764" s="2"/>
      <c r="H764" s="2"/>
      <c r="I764" s="13"/>
      <c r="J764" s="13"/>
      <c r="K764" s="13"/>
      <c r="L764" s="14"/>
      <c r="M764" s="4"/>
      <c r="N764" s="2"/>
      <c r="O764" s="4"/>
      <c r="P764" s="2"/>
      <c r="Q764" s="2"/>
      <c r="R764" s="4"/>
      <c r="S764" s="2"/>
      <c r="T764" s="2"/>
      <c r="U764" s="1"/>
      <c r="V764" s="2"/>
      <c r="W764" s="2"/>
      <c r="X764" s="2"/>
      <c r="Y764" s="2"/>
      <c r="Z764" s="2"/>
    </row>
    <row r="765" spans="1:26" ht="15.75" customHeight="1" x14ac:dyDescent="0.2">
      <c r="A765" s="12"/>
      <c r="B765" s="10"/>
      <c r="C765" s="11"/>
      <c r="D765" s="13"/>
      <c r="E765" s="13"/>
      <c r="F765" s="13"/>
      <c r="G765" s="2"/>
      <c r="H765" s="2"/>
      <c r="I765" s="13"/>
      <c r="J765" s="13"/>
      <c r="K765" s="13"/>
      <c r="L765" s="14"/>
      <c r="M765" s="4"/>
      <c r="N765" s="2"/>
      <c r="O765" s="4"/>
      <c r="P765" s="2"/>
      <c r="Q765" s="2"/>
      <c r="R765" s="4"/>
      <c r="S765" s="2"/>
      <c r="T765" s="2"/>
      <c r="U765" s="1"/>
      <c r="V765" s="2"/>
      <c r="W765" s="2"/>
      <c r="X765" s="2"/>
      <c r="Y765" s="2"/>
      <c r="Z765" s="2"/>
    </row>
    <row r="766" spans="1:26" ht="15.75" customHeight="1" x14ac:dyDescent="0.2">
      <c r="A766" s="12"/>
      <c r="B766" s="10"/>
      <c r="C766" s="11"/>
      <c r="D766" s="13"/>
      <c r="E766" s="13"/>
      <c r="F766" s="13"/>
      <c r="G766" s="2"/>
      <c r="H766" s="2"/>
      <c r="I766" s="13"/>
      <c r="J766" s="13"/>
      <c r="K766" s="13"/>
      <c r="L766" s="14"/>
      <c r="M766" s="4"/>
      <c r="N766" s="2"/>
      <c r="O766" s="4"/>
      <c r="P766" s="2"/>
      <c r="Q766" s="2"/>
      <c r="R766" s="4"/>
      <c r="S766" s="2"/>
      <c r="T766" s="2"/>
      <c r="U766" s="1"/>
      <c r="V766" s="2"/>
      <c r="W766" s="2"/>
      <c r="X766" s="2"/>
      <c r="Y766" s="2"/>
      <c r="Z766" s="2"/>
    </row>
    <row r="767" spans="1:26" ht="15.75" customHeight="1" x14ac:dyDescent="0.2">
      <c r="A767" s="12"/>
      <c r="B767" s="10"/>
      <c r="C767" s="11"/>
      <c r="D767" s="13"/>
      <c r="E767" s="13"/>
      <c r="F767" s="13"/>
      <c r="G767" s="2"/>
      <c r="H767" s="2"/>
      <c r="I767" s="13"/>
      <c r="J767" s="13"/>
      <c r="K767" s="13"/>
      <c r="L767" s="14"/>
      <c r="M767" s="4"/>
      <c r="N767" s="2"/>
      <c r="O767" s="4"/>
      <c r="P767" s="2"/>
      <c r="Q767" s="2"/>
      <c r="R767" s="4"/>
      <c r="S767" s="2"/>
      <c r="T767" s="2"/>
      <c r="U767" s="1"/>
      <c r="V767" s="2"/>
      <c r="W767" s="2"/>
      <c r="X767" s="2"/>
      <c r="Y767" s="2"/>
      <c r="Z767" s="2"/>
    </row>
    <row r="768" spans="1:26" ht="15.75" customHeight="1" x14ac:dyDescent="0.2">
      <c r="A768" s="12"/>
      <c r="B768" s="10"/>
      <c r="C768" s="11"/>
      <c r="D768" s="13"/>
      <c r="E768" s="13"/>
      <c r="F768" s="13"/>
      <c r="G768" s="2"/>
      <c r="H768" s="2"/>
      <c r="I768" s="13"/>
      <c r="J768" s="13"/>
      <c r="K768" s="13"/>
      <c r="L768" s="14"/>
      <c r="M768" s="4"/>
      <c r="N768" s="2"/>
      <c r="O768" s="4"/>
      <c r="P768" s="2"/>
      <c r="Q768" s="2"/>
      <c r="R768" s="4"/>
      <c r="S768" s="2"/>
      <c r="T768" s="2"/>
      <c r="U768" s="1"/>
      <c r="V768" s="2"/>
      <c r="W768" s="2"/>
      <c r="X768" s="2"/>
      <c r="Y768" s="2"/>
      <c r="Z768" s="2"/>
    </row>
    <row r="769" spans="1:26" ht="15.75" customHeight="1" x14ac:dyDescent="0.2">
      <c r="A769" s="12"/>
      <c r="B769" s="10"/>
      <c r="C769" s="11"/>
      <c r="D769" s="13"/>
      <c r="E769" s="13"/>
      <c r="F769" s="13"/>
      <c r="G769" s="2"/>
      <c r="H769" s="2"/>
      <c r="I769" s="13"/>
      <c r="J769" s="13"/>
      <c r="K769" s="13"/>
      <c r="L769" s="14"/>
      <c r="M769" s="4"/>
      <c r="N769" s="2"/>
      <c r="O769" s="4"/>
      <c r="P769" s="2"/>
      <c r="Q769" s="2"/>
      <c r="R769" s="4"/>
      <c r="S769" s="2"/>
      <c r="T769" s="2"/>
      <c r="U769" s="1"/>
      <c r="V769" s="2"/>
      <c r="W769" s="2"/>
      <c r="X769" s="2"/>
      <c r="Y769" s="2"/>
      <c r="Z769" s="2"/>
    </row>
    <row r="770" spans="1:26" ht="15.75" customHeight="1" x14ac:dyDescent="0.2">
      <c r="A770" s="12"/>
      <c r="B770" s="10"/>
      <c r="C770" s="11"/>
      <c r="D770" s="13"/>
      <c r="E770" s="13"/>
      <c r="F770" s="13"/>
      <c r="G770" s="2"/>
      <c r="H770" s="2"/>
      <c r="I770" s="13"/>
      <c r="J770" s="13"/>
      <c r="K770" s="13"/>
      <c r="L770" s="14"/>
      <c r="M770" s="4"/>
      <c r="N770" s="2"/>
      <c r="O770" s="4"/>
      <c r="P770" s="2"/>
      <c r="Q770" s="2"/>
      <c r="R770" s="4"/>
      <c r="S770" s="2"/>
      <c r="T770" s="2"/>
      <c r="U770" s="1"/>
      <c r="V770" s="2"/>
      <c r="W770" s="2"/>
      <c r="X770" s="2"/>
      <c r="Y770" s="2"/>
      <c r="Z770" s="2"/>
    </row>
    <row r="771" spans="1:26" ht="15.75" customHeight="1" x14ac:dyDescent="0.2">
      <c r="A771" s="12"/>
      <c r="B771" s="10"/>
      <c r="C771" s="11"/>
      <c r="D771" s="13"/>
      <c r="E771" s="13"/>
      <c r="F771" s="13"/>
      <c r="G771" s="2"/>
      <c r="H771" s="2"/>
      <c r="I771" s="13"/>
      <c r="J771" s="13"/>
      <c r="K771" s="13"/>
      <c r="L771" s="14"/>
      <c r="M771" s="4"/>
      <c r="N771" s="2"/>
      <c r="O771" s="4"/>
      <c r="P771" s="2"/>
      <c r="Q771" s="2"/>
      <c r="R771" s="4"/>
      <c r="S771" s="2"/>
      <c r="T771" s="2"/>
      <c r="U771" s="1"/>
      <c r="V771" s="2"/>
      <c r="W771" s="2"/>
      <c r="X771" s="2"/>
      <c r="Y771" s="2"/>
      <c r="Z771" s="2"/>
    </row>
    <row r="772" spans="1:26" ht="15.75" customHeight="1" x14ac:dyDescent="0.2">
      <c r="A772" s="12"/>
      <c r="B772" s="10"/>
      <c r="C772" s="11"/>
      <c r="D772" s="13"/>
      <c r="E772" s="13"/>
      <c r="F772" s="13"/>
      <c r="G772" s="2"/>
      <c r="H772" s="2"/>
      <c r="I772" s="13"/>
      <c r="J772" s="13"/>
      <c r="K772" s="13"/>
      <c r="L772" s="14"/>
      <c r="M772" s="4"/>
      <c r="N772" s="2"/>
      <c r="O772" s="4"/>
      <c r="P772" s="2"/>
      <c r="Q772" s="2"/>
      <c r="R772" s="4"/>
      <c r="S772" s="2"/>
      <c r="T772" s="2"/>
      <c r="U772" s="1"/>
      <c r="V772" s="2"/>
      <c r="W772" s="2"/>
      <c r="X772" s="2"/>
      <c r="Y772" s="2"/>
      <c r="Z772" s="2"/>
    </row>
    <row r="773" spans="1:26" ht="15.75" customHeight="1" x14ac:dyDescent="0.2">
      <c r="A773" s="12"/>
      <c r="B773" s="10"/>
      <c r="C773" s="11"/>
      <c r="D773" s="13"/>
      <c r="E773" s="13"/>
      <c r="F773" s="13"/>
      <c r="G773" s="2"/>
      <c r="H773" s="2"/>
      <c r="I773" s="13"/>
      <c r="J773" s="13"/>
      <c r="K773" s="13"/>
      <c r="L773" s="14"/>
      <c r="M773" s="4"/>
      <c r="N773" s="2"/>
      <c r="O773" s="4"/>
      <c r="P773" s="2"/>
      <c r="Q773" s="2"/>
      <c r="R773" s="4"/>
      <c r="S773" s="2"/>
      <c r="T773" s="2"/>
      <c r="U773" s="1"/>
      <c r="V773" s="2"/>
      <c r="W773" s="2"/>
      <c r="X773" s="2"/>
      <c r="Y773" s="2"/>
      <c r="Z773" s="2"/>
    </row>
    <row r="774" spans="1:26" ht="15.75" customHeight="1" x14ac:dyDescent="0.2">
      <c r="A774" s="12"/>
      <c r="B774" s="10"/>
      <c r="C774" s="11"/>
      <c r="D774" s="13"/>
      <c r="E774" s="13"/>
      <c r="F774" s="13"/>
      <c r="G774" s="2"/>
      <c r="H774" s="2"/>
      <c r="I774" s="13"/>
      <c r="J774" s="13"/>
      <c r="K774" s="13"/>
      <c r="L774" s="14"/>
      <c r="M774" s="4"/>
      <c r="N774" s="2"/>
      <c r="O774" s="4"/>
      <c r="P774" s="2"/>
      <c r="Q774" s="2"/>
      <c r="R774" s="4"/>
      <c r="S774" s="2"/>
      <c r="T774" s="2"/>
      <c r="U774" s="1"/>
      <c r="V774" s="2"/>
      <c r="W774" s="2"/>
      <c r="X774" s="2"/>
      <c r="Y774" s="2"/>
      <c r="Z774" s="2"/>
    </row>
    <row r="775" spans="1:26" ht="15.75" customHeight="1" x14ac:dyDescent="0.2">
      <c r="A775" s="12"/>
      <c r="B775" s="10"/>
      <c r="C775" s="11"/>
      <c r="D775" s="13"/>
      <c r="E775" s="13"/>
      <c r="F775" s="13"/>
      <c r="G775" s="2"/>
      <c r="H775" s="2"/>
      <c r="I775" s="13"/>
      <c r="J775" s="13"/>
      <c r="K775" s="13"/>
      <c r="L775" s="14"/>
      <c r="M775" s="4"/>
      <c r="N775" s="2"/>
      <c r="O775" s="4"/>
      <c r="P775" s="2"/>
      <c r="Q775" s="2"/>
      <c r="R775" s="4"/>
      <c r="S775" s="2"/>
      <c r="T775" s="2"/>
      <c r="U775" s="1"/>
      <c r="V775" s="2"/>
      <c r="W775" s="2"/>
      <c r="X775" s="2"/>
      <c r="Y775" s="2"/>
      <c r="Z775" s="2"/>
    </row>
    <row r="776" spans="1:26" ht="15.75" customHeight="1" x14ac:dyDescent="0.2">
      <c r="A776" s="12"/>
      <c r="B776" s="10"/>
      <c r="C776" s="11"/>
      <c r="D776" s="13"/>
      <c r="E776" s="13"/>
      <c r="F776" s="13"/>
      <c r="G776" s="2"/>
      <c r="H776" s="2"/>
      <c r="I776" s="13"/>
      <c r="J776" s="13"/>
      <c r="K776" s="13"/>
      <c r="L776" s="14"/>
      <c r="M776" s="4"/>
      <c r="N776" s="2"/>
      <c r="O776" s="4"/>
      <c r="P776" s="2"/>
      <c r="Q776" s="2"/>
      <c r="R776" s="4"/>
      <c r="S776" s="2"/>
      <c r="T776" s="2"/>
      <c r="U776" s="1"/>
      <c r="V776" s="2"/>
      <c r="W776" s="2"/>
      <c r="X776" s="2"/>
      <c r="Y776" s="2"/>
      <c r="Z776" s="2"/>
    </row>
    <row r="777" spans="1:26" ht="15.75" customHeight="1" x14ac:dyDescent="0.2">
      <c r="A777" s="12"/>
      <c r="B777" s="10"/>
      <c r="C777" s="11"/>
      <c r="D777" s="13"/>
      <c r="E777" s="13"/>
      <c r="F777" s="13"/>
      <c r="G777" s="2"/>
      <c r="H777" s="2"/>
      <c r="I777" s="13"/>
      <c r="J777" s="13"/>
      <c r="K777" s="13"/>
      <c r="L777" s="14"/>
      <c r="M777" s="4"/>
      <c r="N777" s="2"/>
      <c r="O777" s="4"/>
      <c r="P777" s="2"/>
      <c r="Q777" s="2"/>
      <c r="R777" s="4"/>
      <c r="S777" s="2"/>
      <c r="T777" s="2"/>
      <c r="U777" s="1"/>
      <c r="V777" s="2"/>
      <c r="W777" s="2"/>
      <c r="X777" s="2"/>
      <c r="Y777" s="2"/>
      <c r="Z777" s="2"/>
    </row>
    <row r="778" spans="1:26" ht="15.75" customHeight="1" x14ac:dyDescent="0.2">
      <c r="A778" s="12"/>
      <c r="B778" s="10"/>
      <c r="C778" s="11"/>
      <c r="D778" s="13"/>
      <c r="E778" s="13"/>
      <c r="F778" s="13"/>
      <c r="G778" s="2"/>
      <c r="H778" s="2"/>
      <c r="I778" s="13"/>
      <c r="J778" s="13"/>
      <c r="K778" s="13"/>
      <c r="L778" s="14"/>
      <c r="M778" s="4"/>
      <c r="N778" s="2"/>
      <c r="O778" s="4"/>
      <c r="P778" s="2"/>
      <c r="Q778" s="2"/>
      <c r="R778" s="4"/>
      <c r="S778" s="2"/>
      <c r="T778" s="2"/>
      <c r="U778" s="1"/>
      <c r="V778" s="2"/>
      <c r="W778" s="2"/>
      <c r="X778" s="2"/>
      <c r="Y778" s="2"/>
      <c r="Z778" s="2"/>
    </row>
    <row r="779" spans="1:26" ht="15.75" customHeight="1" x14ac:dyDescent="0.2">
      <c r="A779" s="12"/>
      <c r="B779" s="10"/>
      <c r="C779" s="11"/>
      <c r="D779" s="13"/>
      <c r="E779" s="13"/>
      <c r="F779" s="13"/>
      <c r="G779" s="2"/>
      <c r="H779" s="2"/>
      <c r="I779" s="13"/>
      <c r="J779" s="13"/>
      <c r="K779" s="13"/>
      <c r="L779" s="14"/>
      <c r="M779" s="4"/>
      <c r="N779" s="2"/>
      <c r="O779" s="4"/>
      <c r="P779" s="2"/>
      <c r="Q779" s="2"/>
      <c r="R779" s="4"/>
      <c r="S779" s="2"/>
      <c r="T779" s="2"/>
      <c r="U779" s="1"/>
      <c r="V779" s="2"/>
      <c r="W779" s="2"/>
      <c r="X779" s="2"/>
      <c r="Y779" s="2"/>
      <c r="Z779" s="2"/>
    </row>
    <row r="780" spans="1:26" ht="15.75" customHeight="1" x14ac:dyDescent="0.2">
      <c r="A780" s="12"/>
      <c r="B780" s="10"/>
      <c r="C780" s="11"/>
      <c r="D780" s="13"/>
      <c r="E780" s="13"/>
      <c r="F780" s="13"/>
      <c r="G780" s="2"/>
      <c r="H780" s="2"/>
      <c r="I780" s="13"/>
      <c r="J780" s="13"/>
      <c r="K780" s="13"/>
      <c r="L780" s="14"/>
      <c r="M780" s="4"/>
      <c r="N780" s="2"/>
      <c r="O780" s="4"/>
      <c r="P780" s="2"/>
      <c r="Q780" s="2"/>
      <c r="R780" s="4"/>
      <c r="S780" s="2"/>
      <c r="T780" s="2"/>
      <c r="U780" s="1"/>
      <c r="V780" s="2"/>
      <c r="W780" s="2"/>
      <c r="X780" s="2"/>
      <c r="Y780" s="2"/>
      <c r="Z780" s="2"/>
    </row>
    <row r="781" spans="1:26" ht="15.75" customHeight="1" x14ac:dyDescent="0.2">
      <c r="A781" s="12"/>
      <c r="B781" s="10"/>
      <c r="C781" s="11"/>
      <c r="D781" s="13"/>
      <c r="E781" s="13"/>
      <c r="F781" s="13"/>
      <c r="G781" s="2"/>
      <c r="H781" s="2"/>
      <c r="I781" s="13"/>
      <c r="J781" s="13"/>
      <c r="K781" s="13"/>
      <c r="L781" s="14"/>
      <c r="M781" s="4"/>
      <c r="N781" s="2"/>
      <c r="O781" s="4"/>
      <c r="P781" s="2"/>
      <c r="Q781" s="2"/>
      <c r="R781" s="4"/>
      <c r="S781" s="2"/>
      <c r="T781" s="2"/>
      <c r="U781" s="1"/>
      <c r="V781" s="2"/>
      <c r="W781" s="2"/>
      <c r="X781" s="2"/>
      <c r="Y781" s="2"/>
      <c r="Z781" s="2"/>
    </row>
    <row r="782" spans="1:26" ht="15.75" customHeight="1" x14ac:dyDescent="0.2">
      <c r="A782" s="12"/>
      <c r="B782" s="10"/>
      <c r="C782" s="11"/>
      <c r="D782" s="13"/>
      <c r="E782" s="13"/>
      <c r="F782" s="13"/>
      <c r="G782" s="2"/>
      <c r="H782" s="2"/>
      <c r="I782" s="13"/>
      <c r="J782" s="13"/>
      <c r="K782" s="13"/>
      <c r="L782" s="14"/>
      <c r="M782" s="4"/>
      <c r="N782" s="2"/>
      <c r="O782" s="4"/>
      <c r="P782" s="2"/>
      <c r="Q782" s="2"/>
      <c r="R782" s="4"/>
      <c r="S782" s="2"/>
      <c r="T782" s="2"/>
      <c r="U782" s="1"/>
      <c r="V782" s="2"/>
      <c r="W782" s="2"/>
      <c r="X782" s="2"/>
      <c r="Y782" s="2"/>
      <c r="Z782" s="2"/>
    </row>
    <row r="783" spans="1:26" ht="15.75" customHeight="1" x14ac:dyDescent="0.2">
      <c r="A783" s="12"/>
      <c r="B783" s="10"/>
      <c r="C783" s="11"/>
      <c r="D783" s="13"/>
      <c r="E783" s="13"/>
      <c r="F783" s="13"/>
      <c r="G783" s="2"/>
      <c r="H783" s="2"/>
      <c r="I783" s="13"/>
      <c r="J783" s="13"/>
      <c r="K783" s="13"/>
      <c r="L783" s="14"/>
      <c r="M783" s="4"/>
      <c r="N783" s="2"/>
      <c r="O783" s="4"/>
      <c r="P783" s="2"/>
      <c r="Q783" s="2"/>
      <c r="R783" s="4"/>
      <c r="S783" s="2"/>
      <c r="T783" s="2"/>
      <c r="U783" s="1"/>
      <c r="V783" s="2"/>
      <c r="W783" s="2"/>
      <c r="X783" s="2"/>
      <c r="Y783" s="2"/>
      <c r="Z783" s="2"/>
    </row>
    <row r="784" spans="1:26" ht="15.75" customHeight="1" x14ac:dyDescent="0.2">
      <c r="A784" s="12"/>
      <c r="B784" s="10"/>
      <c r="C784" s="11"/>
      <c r="D784" s="13"/>
      <c r="E784" s="13"/>
      <c r="F784" s="13"/>
      <c r="G784" s="2"/>
      <c r="H784" s="2"/>
      <c r="I784" s="13"/>
      <c r="J784" s="13"/>
      <c r="K784" s="13"/>
      <c r="L784" s="14"/>
      <c r="M784" s="4"/>
      <c r="N784" s="2"/>
      <c r="O784" s="4"/>
      <c r="P784" s="2"/>
      <c r="Q784" s="2"/>
      <c r="R784" s="4"/>
      <c r="S784" s="2"/>
      <c r="T784" s="2"/>
      <c r="U784" s="1"/>
      <c r="V784" s="2"/>
      <c r="W784" s="2"/>
      <c r="X784" s="2"/>
      <c r="Y784" s="2"/>
      <c r="Z784" s="2"/>
    </row>
    <row r="785" spans="1:26" ht="15.75" customHeight="1" x14ac:dyDescent="0.2">
      <c r="A785" s="12"/>
      <c r="B785" s="10"/>
      <c r="C785" s="11"/>
      <c r="D785" s="13"/>
      <c r="E785" s="13"/>
      <c r="F785" s="13"/>
      <c r="G785" s="2"/>
      <c r="H785" s="2"/>
      <c r="I785" s="13"/>
      <c r="J785" s="13"/>
      <c r="K785" s="13"/>
      <c r="L785" s="14"/>
      <c r="M785" s="4"/>
      <c r="N785" s="2"/>
      <c r="O785" s="4"/>
      <c r="P785" s="2"/>
      <c r="Q785" s="2"/>
      <c r="R785" s="4"/>
      <c r="S785" s="2"/>
      <c r="T785" s="2"/>
      <c r="U785" s="1"/>
      <c r="V785" s="2"/>
      <c r="W785" s="2"/>
      <c r="X785" s="2"/>
      <c r="Y785" s="2"/>
      <c r="Z785" s="2"/>
    </row>
    <row r="786" spans="1:26" ht="15.75" customHeight="1" x14ac:dyDescent="0.2">
      <c r="A786" s="12"/>
      <c r="B786" s="10"/>
      <c r="C786" s="11"/>
      <c r="D786" s="13"/>
      <c r="E786" s="13"/>
      <c r="F786" s="13"/>
      <c r="G786" s="2"/>
      <c r="H786" s="2"/>
      <c r="I786" s="13"/>
      <c r="J786" s="13"/>
      <c r="K786" s="13"/>
      <c r="L786" s="14"/>
      <c r="M786" s="4"/>
      <c r="N786" s="2"/>
      <c r="O786" s="4"/>
      <c r="P786" s="2"/>
      <c r="Q786" s="2"/>
      <c r="R786" s="4"/>
      <c r="S786" s="2"/>
      <c r="T786" s="2"/>
      <c r="U786" s="1"/>
      <c r="V786" s="2"/>
      <c r="W786" s="2"/>
      <c r="X786" s="2"/>
      <c r="Y786" s="2"/>
      <c r="Z786" s="2"/>
    </row>
    <row r="787" spans="1:26" ht="15.75" customHeight="1" x14ac:dyDescent="0.2">
      <c r="A787" s="12"/>
      <c r="B787" s="10"/>
      <c r="C787" s="11"/>
      <c r="D787" s="13"/>
      <c r="E787" s="13"/>
      <c r="F787" s="13"/>
      <c r="G787" s="2"/>
      <c r="H787" s="2"/>
      <c r="I787" s="13"/>
      <c r="J787" s="13"/>
      <c r="K787" s="13"/>
      <c r="L787" s="14"/>
      <c r="M787" s="4"/>
      <c r="N787" s="2"/>
      <c r="O787" s="4"/>
      <c r="P787" s="2"/>
      <c r="Q787" s="2"/>
      <c r="R787" s="4"/>
      <c r="S787" s="2"/>
      <c r="T787" s="2"/>
      <c r="U787" s="1"/>
      <c r="V787" s="2"/>
      <c r="W787" s="2"/>
      <c r="X787" s="2"/>
      <c r="Y787" s="2"/>
      <c r="Z787" s="2"/>
    </row>
    <row r="788" spans="1:26" ht="15.75" customHeight="1" x14ac:dyDescent="0.2">
      <c r="A788" s="12"/>
      <c r="B788" s="10"/>
      <c r="C788" s="11"/>
      <c r="D788" s="13"/>
      <c r="E788" s="13"/>
      <c r="F788" s="13"/>
      <c r="G788" s="2"/>
      <c r="H788" s="2"/>
      <c r="I788" s="13"/>
      <c r="J788" s="13"/>
      <c r="K788" s="13"/>
      <c r="L788" s="14"/>
      <c r="M788" s="4"/>
      <c r="N788" s="2"/>
      <c r="O788" s="4"/>
      <c r="P788" s="2"/>
      <c r="Q788" s="2"/>
      <c r="R788" s="4"/>
      <c r="S788" s="2"/>
      <c r="T788" s="2"/>
      <c r="U788" s="1"/>
      <c r="V788" s="2"/>
      <c r="W788" s="2"/>
      <c r="X788" s="2"/>
      <c r="Y788" s="2"/>
      <c r="Z788" s="2"/>
    </row>
    <row r="789" spans="1:26" ht="15.75" customHeight="1" x14ac:dyDescent="0.2">
      <c r="A789" s="12"/>
      <c r="B789" s="10"/>
      <c r="C789" s="11"/>
      <c r="D789" s="13"/>
      <c r="E789" s="13"/>
      <c r="F789" s="13"/>
      <c r="G789" s="2"/>
      <c r="H789" s="2"/>
      <c r="I789" s="13"/>
      <c r="J789" s="13"/>
      <c r="K789" s="13"/>
      <c r="L789" s="14"/>
      <c r="M789" s="4"/>
      <c r="N789" s="2"/>
      <c r="O789" s="4"/>
      <c r="P789" s="2"/>
      <c r="Q789" s="2"/>
      <c r="R789" s="4"/>
      <c r="S789" s="2"/>
      <c r="T789" s="2"/>
      <c r="U789" s="1"/>
      <c r="V789" s="2"/>
      <c r="W789" s="2"/>
      <c r="X789" s="2"/>
      <c r="Y789" s="2"/>
      <c r="Z789" s="2"/>
    </row>
    <row r="790" spans="1:26" ht="15.75" customHeight="1" x14ac:dyDescent="0.2">
      <c r="A790" s="12"/>
      <c r="B790" s="10"/>
      <c r="C790" s="11"/>
      <c r="D790" s="13"/>
      <c r="E790" s="13"/>
      <c r="F790" s="13"/>
      <c r="G790" s="2"/>
      <c r="H790" s="2"/>
      <c r="I790" s="13"/>
      <c r="J790" s="13"/>
      <c r="K790" s="13"/>
      <c r="L790" s="14"/>
      <c r="M790" s="4"/>
      <c r="N790" s="2"/>
      <c r="O790" s="4"/>
      <c r="P790" s="2"/>
      <c r="Q790" s="2"/>
      <c r="R790" s="4"/>
      <c r="S790" s="2"/>
      <c r="T790" s="2"/>
      <c r="U790" s="1"/>
      <c r="V790" s="2"/>
      <c r="W790" s="2"/>
      <c r="X790" s="2"/>
      <c r="Y790" s="2"/>
      <c r="Z790" s="2"/>
    </row>
    <row r="791" spans="1:26" ht="15.75" customHeight="1" x14ac:dyDescent="0.2">
      <c r="A791" s="12"/>
      <c r="B791" s="10"/>
      <c r="C791" s="11"/>
      <c r="D791" s="13"/>
      <c r="E791" s="13"/>
      <c r="F791" s="13"/>
      <c r="G791" s="2"/>
      <c r="H791" s="2"/>
      <c r="I791" s="13"/>
      <c r="J791" s="13"/>
      <c r="K791" s="13"/>
      <c r="L791" s="14"/>
      <c r="M791" s="4"/>
      <c r="N791" s="2"/>
      <c r="O791" s="4"/>
      <c r="P791" s="2"/>
      <c r="Q791" s="2"/>
      <c r="R791" s="4"/>
      <c r="S791" s="2"/>
      <c r="T791" s="2"/>
      <c r="U791" s="1"/>
      <c r="V791" s="2"/>
      <c r="W791" s="2"/>
      <c r="X791" s="2"/>
      <c r="Y791" s="2"/>
      <c r="Z791" s="2"/>
    </row>
    <row r="792" spans="1:26" ht="15.75" customHeight="1" x14ac:dyDescent="0.2">
      <c r="A792" s="12"/>
      <c r="B792" s="10"/>
      <c r="C792" s="11"/>
      <c r="D792" s="13"/>
      <c r="E792" s="13"/>
      <c r="F792" s="13"/>
      <c r="G792" s="2"/>
      <c r="H792" s="2"/>
      <c r="I792" s="13"/>
      <c r="J792" s="13"/>
      <c r="K792" s="13"/>
      <c r="L792" s="14"/>
      <c r="M792" s="4"/>
      <c r="N792" s="2"/>
      <c r="O792" s="4"/>
      <c r="P792" s="2"/>
      <c r="Q792" s="2"/>
      <c r="R792" s="4"/>
      <c r="S792" s="2"/>
      <c r="T792" s="2"/>
      <c r="U792" s="1"/>
      <c r="V792" s="2"/>
      <c r="W792" s="2"/>
      <c r="X792" s="2"/>
      <c r="Y792" s="2"/>
      <c r="Z792" s="2"/>
    </row>
    <row r="793" spans="1:26" ht="15.75" customHeight="1" x14ac:dyDescent="0.2">
      <c r="A793" s="12"/>
      <c r="B793" s="10"/>
      <c r="C793" s="11"/>
      <c r="D793" s="13"/>
      <c r="E793" s="13"/>
      <c r="F793" s="13"/>
      <c r="G793" s="2"/>
      <c r="H793" s="2"/>
      <c r="I793" s="13"/>
      <c r="J793" s="13"/>
      <c r="K793" s="13"/>
      <c r="L793" s="14"/>
      <c r="M793" s="4"/>
      <c r="N793" s="2"/>
      <c r="O793" s="4"/>
      <c r="P793" s="2"/>
      <c r="Q793" s="2"/>
      <c r="R793" s="4"/>
      <c r="S793" s="2"/>
      <c r="T793" s="2"/>
      <c r="U793" s="1"/>
      <c r="V793" s="2"/>
      <c r="W793" s="2"/>
      <c r="X793" s="2"/>
      <c r="Y793" s="2"/>
      <c r="Z793" s="2"/>
    </row>
    <row r="794" spans="1:26" ht="15.75" customHeight="1" x14ac:dyDescent="0.2">
      <c r="A794" s="12"/>
      <c r="B794" s="10"/>
      <c r="C794" s="11"/>
      <c r="D794" s="13"/>
      <c r="E794" s="13"/>
      <c r="F794" s="13"/>
      <c r="G794" s="2"/>
      <c r="H794" s="2"/>
      <c r="I794" s="13"/>
      <c r="J794" s="13"/>
      <c r="K794" s="13"/>
      <c r="L794" s="14"/>
      <c r="M794" s="4"/>
      <c r="N794" s="2"/>
      <c r="O794" s="4"/>
      <c r="P794" s="2"/>
      <c r="Q794" s="2"/>
      <c r="R794" s="4"/>
      <c r="S794" s="2"/>
      <c r="T794" s="2"/>
      <c r="U794" s="1"/>
      <c r="V794" s="2"/>
      <c r="W794" s="2"/>
      <c r="X794" s="2"/>
      <c r="Y794" s="2"/>
      <c r="Z794" s="2"/>
    </row>
    <row r="795" spans="1:26" ht="15.75" customHeight="1" x14ac:dyDescent="0.2">
      <c r="A795" s="12"/>
      <c r="B795" s="10"/>
      <c r="C795" s="11"/>
      <c r="D795" s="13"/>
      <c r="E795" s="13"/>
      <c r="F795" s="13"/>
      <c r="G795" s="2"/>
      <c r="H795" s="2"/>
      <c r="I795" s="13"/>
      <c r="J795" s="13"/>
      <c r="K795" s="13"/>
      <c r="L795" s="14"/>
      <c r="M795" s="4"/>
      <c r="N795" s="2"/>
      <c r="O795" s="4"/>
      <c r="P795" s="2"/>
      <c r="Q795" s="2"/>
      <c r="R795" s="4"/>
      <c r="S795" s="2"/>
      <c r="T795" s="2"/>
      <c r="U795" s="1"/>
      <c r="V795" s="2"/>
      <c r="W795" s="2"/>
      <c r="X795" s="2"/>
      <c r="Y795" s="2"/>
      <c r="Z795" s="2"/>
    </row>
    <row r="796" spans="1:26" ht="15.75" customHeight="1" x14ac:dyDescent="0.2">
      <c r="A796" s="12"/>
      <c r="B796" s="10"/>
      <c r="C796" s="11"/>
      <c r="D796" s="13"/>
      <c r="E796" s="13"/>
      <c r="F796" s="13"/>
      <c r="G796" s="2"/>
      <c r="H796" s="2"/>
      <c r="I796" s="13"/>
      <c r="J796" s="13"/>
      <c r="K796" s="13"/>
      <c r="L796" s="14"/>
      <c r="M796" s="4"/>
      <c r="N796" s="2"/>
      <c r="O796" s="4"/>
      <c r="P796" s="2"/>
      <c r="Q796" s="2"/>
      <c r="R796" s="4"/>
      <c r="S796" s="2"/>
      <c r="T796" s="2"/>
      <c r="U796" s="1"/>
      <c r="V796" s="2"/>
      <c r="W796" s="2"/>
      <c r="X796" s="2"/>
      <c r="Y796" s="2"/>
      <c r="Z796" s="2"/>
    </row>
    <row r="797" spans="1:26" ht="15.75" customHeight="1" x14ac:dyDescent="0.2">
      <c r="A797" s="12"/>
      <c r="B797" s="10"/>
      <c r="C797" s="11"/>
      <c r="D797" s="13"/>
      <c r="E797" s="13"/>
      <c r="F797" s="13"/>
      <c r="G797" s="2"/>
      <c r="H797" s="2"/>
      <c r="I797" s="13"/>
      <c r="J797" s="13"/>
      <c r="K797" s="13"/>
      <c r="L797" s="14"/>
      <c r="M797" s="4"/>
      <c r="N797" s="2"/>
      <c r="O797" s="4"/>
      <c r="P797" s="2"/>
      <c r="Q797" s="2"/>
      <c r="R797" s="4"/>
      <c r="S797" s="2"/>
      <c r="T797" s="2"/>
      <c r="U797" s="1"/>
      <c r="V797" s="2"/>
      <c r="W797" s="2"/>
      <c r="X797" s="2"/>
      <c r="Y797" s="2"/>
      <c r="Z797" s="2"/>
    </row>
    <row r="798" spans="1:26" ht="15.75" customHeight="1" x14ac:dyDescent="0.2">
      <c r="A798" s="12"/>
      <c r="B798" s="10"/>
      <c r="C798" s="11"/>
      <c r="D798" s="13"/>
      <c r="E798" s="13"/>
      <c r="F798" s="13"/>
      <c r="G798" s="2"/>
      <c r="H798" s="2"/>
      <c r="I798" s="13"/>
      <c r="J798" s="13"/>
      <c r="K798" s="13"/>
      <c r="L798" s="14"/>
      <c r="M798" s="4"/>
      <c r="N798" s="2"/>
      <c r="O798" s="4"/>
      <c r="P798" s="2"/>
      <c r="Q798" s="2"/>
      <c r="R798" s="4"/>
      <c r="S798" s="2"/>
      <c r="T798" s="2"/>
      <c r="U798" s="1"/>
      <c r="V798" s="2"/>
      <c r="W798" s="2"/>
      <c r="X798" s="2"/>
      <c r="Y798" s="2"/>
      <c r="Z798" s="2"/>
    </row>
    <row r="799" spans="1:26" ht="15.75" customHeight="1" x14ac:dyDescent="0.2">
      <c r="A799" s="12"/>
      <c r="B799" s="10"/>
      <c r="C799" s="11"/>
      <c r="D799" s="13"/>
      <c r="E799" s="13"/>
      <c r="F799" s="13"/>
      <c r="G799" s="2"/>
      <c r="H799" s="2"/>
      <c r="I799" s="13"/>
      <c r="J799" s="13"/>
      <c r="K799" s="13"/>
      <c r="L799" s="14"/>
      <c r="M799" s="4"/>
      <c r="N799" s="2"/>
      <c r="O799" s="4"/>
      <c r="P799" s="2"/>
      <c r="Q799" s="2"/>
      <c r="R799" s="4"/>
      <c r="S799" s="2"/>
      <c r="T799" s="2"/>
      <c r="U799" s="1"/>
      <c r="V799" s="2"/>
      <c r="W799" s="2"/>
      <c r="X799" s="2"/>
      <c r="Y799" s="2"/>
      <c r="Z799" s="2"/>
    </row>
    <row r="800" spans="1:26" ht="15.75" customHeight="1" x14ac:dyDescent="0.2">
      <c r="A800" s="12"/>
      <c r="B800" s="10"/>
      <c r="C800" s="11"/>
      <c r="D800" s="13"/>
      <c r="E800" s="13"/>
      <c r="F800" s="13"/>
      <c r="G800" s="2"/>
      <c r="H800" s="2"/>
      <c r="I800" s="13"/>
      <c r="J800" s="13"/>
      <c r="K800" s="13"/>
      <c r="L800" s="14"/>
      <c r="M800" s="4"/>
      <c r="N800" s="2"/>
      <c r="O800" s="4"/>
      <c r="P800" s="2"/>
      <c r="Q800" s="2"/>
      <c r="R800" s="4"/>
      <c r="S800" s="2"/>
      <c r="T800" s="2"/>
      <c r="U800" s="1"/>
      <c r="V800" s="2"/>
      <c r="W800" s="2"/>
      <c r="X800" s="2"/>
      <c r="Y800" s="2"/>
      <c r="Z800" s="2"/>
    </row>
    <row r="801" spans="1:26" ht="15.75" customHeight="1" x14ac:dyDescent="0.2">
      <c r="A801" s="12"/>
      <c r="B801" s="10"/>
      <c r="C801" s="11"/>
      <c r="D801" s="13"/>
      <c r="E801" s="13"/>
      <c r="F801" s="13"/>
      <c r="G801" s="2"/>
      <c r="H801" s="2"/>
      <c r="I801" s="13"/>
      <c r="J801" s="13"/>
      <c r="K801" s="13"/>
      <c r="L801" s="14"/>
      <c r="M801" s="4"/>
      <c r="N801" s="2"/>
      <c r="O801" s="4"/>
      <c r="P801" s="2"/>
      <c r="Q801" s="2"/>
      <c r="R801" s="4"/>
      <c r="S801" s="2"/>
      <c r="T801" s="2"/>
      <c r="U801" s="1"/>
      <c r="V801" s="2"/>
      <c r="W801" s="2"/>
      <c r="X801" s="2"/>
      <c r="Y801" s="2"/>
      <c r="Z801" s="2"/>
    </row>
    <row r="802" spans="1:26" ht="15.75" customHeight="1" x14ac:dyDescent="0.2">
      <c r="A802" s="12"/>
      <c r="B802" s="10"/>
      <c r="C802" s="11"/>
      <c r="D802" s="13"/>
      <c r="E802" s="13"/>
      <c r="F802" s="13"/>
      <c r="G802" s="2"/>
      <c r="H802" s="2"/>
      <c r="I802" s="13"/>
      <c r="J802" s="13"/>
      <c r="K802" s="13"/>
      <c r="L802" s="14"/>
      <c r="M802" s="4"/>
      <c r="N802" s="2"/>
      <c r="O802" s="4"/>
      <c r="P802" s="2"/>
      <c r="Q802" s="2"/>
      <c r="R802" s="4"/>
      <c r="S802" s="2"/>
      <c r="T802" s="2"/>
      <c r="U802" s="1"/>
      <c r="V802" s="2"/>
      <c r="W802" s="2"/>
      <c r="X802" s="2"/>
      <c r="Y802" s="2"/>
      <c r="Z802" s="2"/>
    </row>
    <row r="803" spans="1:26" ht="15.75" customHeight="1" x14ac:dyDescent="0.2">
      <c r="A803" s="12"/>
      <c r="B803" s="10"/>
      <c r="C803" s="11"/>
      <c r="D803" s="13"/>
      <c r="E803" s="13"/>
      <c r="F803" s="13"/>
      <c r="G803" s="2"/>
      <c r="H803" s="2"/>
      <c r="I803" s="13"/>
      <c r="J803" s="13"/>
      <c r="K803" s="13"/>
      <c r="L803" s="14"/>
      <c r="M803" s="4"/>
      <c r="N803" s="2"/>
      <c r="O803" s="4"/>
      <c r="P803" s="2"/>
      <c r="Q803" s="2"/>
      <c r="R803" s="4"/>
      <c r="S803" s="2"/>
      <c r="T803" s="2"/>
      <c r="U803" s="1"/>
      <c r="V803" s="2"/>
      <c r="W803" s="2"/>
      <c r="X803" s="2"/>
      <c r="Y803" s="2"/>
      <c r="Z803" s="2"/>
    </row>
    <row r="804" spans="1:26" ht="15.75" customHeight="1" x14ac:dyDescent="0.2">
      <c r="A804" s="12"/>
      <c r="B804" s="10"/>
      <c r="C804" s="11"/>
      <c r="D804" s="13"/>
      <c r="E804" s="13"/>
      <c r="F804" s="13"/>
      <c r="G804" s="2"/>
      <c r="H804" s="2"/>
      <c r="I804" s="13"/>
      <c r="J804" s="13"/>
      <c r="K804" s="13"/>
      <c r="L804" s="14"/>
      <c r="M804" s="4"/>
      <c r="N804" s="2"/>
      <c r="O804" s="4"/>
      <c r="P804" s="2"/>
      <c r="Q804" s="2"/>
      <c r="R804" s="4"/>
      <c r="S804" s="2"/>
      <c r="T804" s="2"/>
      <c r="U804" s="1"/>
      <c r="V804" s="2"/>
      <c r="W804" s="2"/>
      <c r="X804" s="2"/>
      <c r="Y804" s="2"/>
      <c r="Z804" s="2"/>
    </row>
    <row r="805" spans="1:26" ht="15.75" customHeight="1" x14ac:dyDescent="0.2">
      <c r="A805" s="12"/>
      <c r="B805" s="10"/>
      <c r="C805" s="11"/>
      <c r="D805" s="13"/>
      <c r="E805" s="13"/>
      <c r="F805" s="13"/>
      <c r="G805" s="2"/>
      <c r="H805" s="2"/>
      <c r="I805" s="13"/>
      <c r="J805" s="13"/>
      <c r="K805" s="13"/>
      <c r="L805" s="14"/>
      <c r="M805" s="4"/>
      <c r="N805" s="2"/>
      <c r="O805" s="4"/>
      <c r="P805" s="2"/>
      <c r="Q805" s="2"/>
      <c r="R805" s="4"/>
      <c r="S805" s="2"/>
      <c r="T805" s="2"/>
      <c r="U805" s="1"/>
      <c r="V805" s="2"/>
      <c r="W805" s="2"/>
      <c r="X805" s="2"/>
      <c r="Y805" s="2"/>
      <c r="Z805" s="2"/>
    </row>
    <row r="806" spans="1:26" ht="15.75" customHeight="1" x14ac:dyDescent="0.2">
      <c r="A806" s="12"/>
      <c r="B806" s="10"/>
      <c r="C806" s="11"/>
      <c r="D806" s="13"/>
      <c r="E806" s="13"/>
      <c r="F806" s="13"/>
      <c r="G806" s="2"/>
      <c r="H806" s="2"/>
      <c r="I806" s="13"/>
      <c r="J806" s="13"/>
      <c r="K806" s="13"/>
      <c r="L806" s="14"/>
      <c r="M806" s="4"/>
      <c r="N806" s="2"/>
      <c r="O806" s="4"/>
      <c r="P806" s="2"/>
      <c r="Q806" s="2"/>
      <c r="R806" s="4"/>
      <c r="S806" s="2"/>
      <c r="T806" s="2"/>
      <c r="U806" s="1"/>
      <c r="V806" s="2"/>
      <c r="W806" s="2"/>
      <c r="X806" s="2"/>
      <c r="Y806" s="2"/>
      <c r="Z806" s="2"/>
    </row>
    <row r="807" spans="1:26" ht="15.75" customHeight="1" x14ac:dyDescent="0.2">
      <c r="A807" s="12"/>
      <c r="B807" s="10"/>
      <c r="C807" s="11"/>
      <c r="D807" s="13"/>
      <c r="E807" s="13"/>
      <c r="F807" s="13"/>
      <c r="G807" s="2"/>
      <c r="H807" s="2"/>
      <c r="I807" s="13"/>
      <c r="J807" s="13"/>
      <c r="K807" s="13"/>
      <c r="L807" s="14"/>
      <c r="M807" s="4"/>
      <c r="N807" s="2"/>
      <c r="O807" s="4"/>
      <c r="P807" s="2"/>
      <c r="Q807" s="2"/>
      <c r="R807" s="4"/>
      <c r="S807" s="2"/>
      <c r="T807" s="2"/>
      <c r="U807" s="1"/>
      <c r="V807" s="2"/>
      <c r="W807" s="2"/>
      <c r="X807" s="2"/>
      <c r="Y807" s="2"/>
      <c r="Z807" s="2"/>
    </row>
    <row r="808" spans="1:26" ht="15.75" customHeight="1" x14ac:dyDescent="0.2">
      <c r="A808" s="12"/>
      <c r="B808" s="10"/>
      <c r="C808" s="11"/>
      <c r="D808" s="13"/>
      <c r="E808" s="13"/>
      <c r="F808" s="13"/>
      <c r="G808" s="2"/>
      <c r="H808" s="2"/>
      <c r="I808" s="13"/>
      <c r="J808" s="13"/>
      <c r="K808" s="13"/>
      <c r="L808" s="14"/>
      <c r="M808" s="4"/>
      <c r="N808" s="2"/>
      <c r="O808" s="4"/>
      <c r="P808" s="2"/>
      <c r="Q808" s="2"/>
      <c r="R808" s="4"/>
      <c r="S808" s="2"/>
      <c r="T808" s="2"/>
      <c r="U808" s="1"/>
      <c r="V808" s="2"/>
      <c r="W808" s="2"/>
      <c r="X808" s="2"/>
      <c r="Y808" s="2"/>
      <c r="Z808" s="2"/>
    </row>
    <row r="809" spans="1:26" ht="15.75" customHeight="1" x14ac:dyDescent="0.2">
      <c r="A809" s="12"/>
      <c r="B809" s="10"/>
      <c r="C809" s="11"/>
      <c r="D809" s="13"/>
      <c r="E809" s="13"/>
      <c r="F809" s="13"/>
      <c r="G809" s="2"/>
      <c r="H809" s="2"/>
      <c r="I809" s="13"/>
      <c r="J809" s="13"/>
      <c r="K809" s="13"/>
      <c r="L809" s="14"/>
      <c r="M809" s="4"/>
      <c r="N809" s="2"/>
      <c r="O809" s="4"/>
      <c r="P809" s="2"/>
      <c r="Q809" s="2"/>
      <c r="R809" s="4"/>
      <c r="S809" s="2"/>
      <c r="T809" s="2"/>
      <c r="U809" s="1"/>
      <c r="V809" s="2"/>
      <c r="W809" s="2"/>
      <c r="X809" s="2"/>
      <c r="Y809" s="2"/>
      <c r="Z809" s="2"/>
    </row>
    <row r="810" spans="1:26" ht="15.75" customHeight="1" x14ac:dyDescent="0.2">
      <c r="A810" s="12"/>
      <c r="B810" s="10"/>
      <c r="C810" s="11"/>
      <c r="D810" s="13"/>
      <c r="E810" s="13"/>
      <c r="F810" s="13"/>
      <c r="G810" s="2"/>
      <c r="H810" s="2"/>
      <c r="I810" s="13"/>
      <c r="J810" s="13"/>
      <c r="K810" s="13"/>
      <c r="L810" s="14"/>
      <c r="M810" s="4"/>
      <c r="N810" s="2"/>
      <c r="O810" s="4"/>
      <c r="P810" s="2"/>
      <c r="Q810" s="2"/>
      <c r="R810" s="4"/>
      <c r="S810" s="2"/>
      <c r="T810" s="2"/>
      <c r="U810" s="1"/>
      <c r="V810" s="2"/>
      <c r="W810" s="2"/>
      <c r="X810" s="2"/>
      <c r="Y810" s="2"/>
      <c r="Z810" s="2"/>
    </row>
    <row r="811" spans="1:26" ht="15.75" customHeight="1" x14ac:dyDescent="0.2">
      <c r="A811" s="12"/>
      <c r="B811" s="10"/>
      <c r="C811" s="11"/>
      <c r="D811" s="13"/>
      <c r="E811" s="13"/>
      <c r="F811" s="13"/>
      <c r="G811" s="2"/>
      <c r="H811" s="2"/>
      <c r="I811" s="13"/>
      <c r="J811" s="13"/>
      <c r="K811" s="13"/>
      <c r="L811" s="14"/>
      <c r="M811" s="4"/>
      <c r="N811" s="2"/>
      <c r="O811" s="4"/>
      <c r="P811" s="2"/>
      <c r="Q811" s="2"/>
      <c r="R811" s="4"/>
      <c r="S811" s="2"/>
      <c r="T811" s="2"/>
      <c r="U811" s="1"/>
      <c r="V811" s="2"/>
      <c r="W811" s="2"/>
      <c r="X811" s="2"/>
      <c r="Y811" s="2"/>
      <c r="Z811" s="2"/>
    </row>
    <row r="812" spans="1:26" ht="15.75" customHeight="1" x14ac:dyDescent="0.2">
      <c r="A812" s="12"/>
      <c r="B812" s="10"/>
      <c r="C812" s="11"/>
      <c r="D812" s="13"/>
      <c r="E812" s="13"/>
      <c r="F812" s="13"/>
      <c r="G812" s="2"/>
      <c r="H812" s="2"/>
      <c r="I812" s="13"/>
      <c r="J812" s="13"/>
      <c r="K812" s="13"/>
      <c r="L812" s="14"/>
      <c r="M812" s="4"/>
      <c r="N812" s="2"/>
      <c r="O812" s="4"/>
      <c r="P812" s="2"/>
      <c r="Q812" s="2"/>
      <c r="R812" s="4"/>
      <c r="S812" s="2"/>
      <c r="T812" s="2"/>
      <c r="U812" s="1"/>
      <c r="V812" s="2"/>
      <c r="W812" s="2"/>
      <c r="X812" s="2"/>
      <c r="Y812" s="2"/>
      <c r="Z812" s="2"/>
    </row>
    <row r="813" spans="1:26" ht="15.75" customHeight="1" x14ac:dyDescent="0.2">
      <c r="A813" s="12"/>
      <c r="B813" s="10"/>
      <c r="C813" s="11"/>
      <c r="D813" s="13"/>
      <c r="E813" s="13"/>
      <c r="F813" s="13"/>
      <c r="G813" s="2"/>
      <c r="H813" s="2"/>
      <c r="I813" s="13"/>
      <c r="J813" s="13"/>
      <c r="K813" s="13"/>
      <c r="L813" s="14"/>
      <c r="M813" s="4"/>
      <c r="N813" s="2"/>
      <c r="O813" s="4"/>
      <c r="P813" s="2"/>
      <c r="Q813" s="2"/>
      <c r="R813" s="4"/>
      <c r="S813" s="2"/>
      <c r="T813" s="2"/>
      <c r="U813" s="1"/>
      <c r="V813" s="2"/>
      <c r="W813" s="2"/>
      <c r="X813" s="2"/>
      <c r="Y813" s="2"/>
      <c r="Z813" s="2"/>
    </row>
    <row r="814" spans="1:26" ht="15.75" customHeight="1" x14ac:dyDescent="0.2">
      <c r="A814" s="12"/>
      <c r="B814" s="10"/>
      <c r="C814" s="11"/>
      <c r="D814" s="13"/>
      <c r="E814" s="13"/>
      <c r="F814" s="13"/>
      <c r="G814" s="2"/>
      <c r="H814" s="2"/>
      <c r="I814" s="13"/>
      <c r="J814" s="13"/>
      <c r="K814" s="13"/>
      <c r="L814" s="14"/>
      <c r="M814" s="4"/>
      <c r="N814" s="2"/>
      <c r="O814" s="4"/>
      <c r="P814" s="2"/>
      <c r="Q814" s="2"/>
      <c r="R814" s="4"/>
      <c r="S814" s="2"/>
      <c r="T814" s="2"/>
      <c r="U814" s="1"/>
      <c r="V814" s="2"/>
      <c r="W814" s="2"/>
      <c r="X814" s="2"/>
      <c r="Y814" s="2"/>
      <c r="Z814" s="2"/>
    </row>
    <row r="815" spans="1:26" ht="15.75" customHeight="1" x14ac:dyDescent="0.2">
      <c r="A815" s="12"/>
      <c r="B815" s="10"/>
      <c r="C815" s="11"/>
      <c r="D815" s="13"/>
      <c r="E815" s="13"/>
      <c r="F815" s="13"/>
      <c r="G815" s="2"/>
      <c r="H815" s="2"/>
      <c r="I815" s="13"/>
      <c r="J815" s="13"/>
      <c r="K815" s="13"/>
      <c r="L815" s="14"/>
      <c r="M815" s="4"/>
      <c r="N815" s="2"/>
      <c r="O815" s="4"/>
      <c r="P815" s="2"/>
      <c r="Q815" s="2"/>
      <c r="R815" s="4"/>
      <c r="S815" s="2"/>
      <c r="T815" s="2"/>
      <c r="U815" s="1"/>
      <c r="V815" s="2"/>
      <c r="W815" s="2"/>
      <c r="X815" s="2"/>
      <c r="Y815" s="2"/>
      <c r="Z815" s="2"/>
    </row>
    <row r="816" spans="1:26" ht="15.75" customHeight="1" x14ac:dyDescent="0.2">
      <c r="A816" s="12"/>
      <c r="B816" s="10"/>
      <c r="C816" s="11"/>
      <c r="D816" s="13"/>
      <c r="E816" s="13"/>
      <c r="F816" s="13"/>
      <c r="G816" s="2"/>
      <c r="H816" s="2"/>
      <c r="I816" s="13"/>
      <c r="J816" s="13"/>
      <c r="K816" s="13"/>
      <c r="L816" s="14"/>
      <c r="M816" s="4"/>
      <c r="N816" s="2"/>
      <c r="O816" s="4"/>
      <c r="P816" s="2"/>
      <c r="Q816" s="2"/>
      <c r="R816" s="4"/>
      <c r="S816" s="2"/>
      <c r="T816" s="2"/>
      <c r="U816" s="1"/>
      <c r="V816" s="2"/>
      <c r="W816" s="2"/>
      <c r="X816" s="2"/>
      <c r="Y816" s="2"/>
      <c r="Z816" s="2"/>
    </row>
    <row r="817" spans="1:26" ht="15.75" customHeight="1" x14ac:dyDescent="0.2">
      <c r="A817" s="12"/>
      <c r="B817" s="10"/>
      <c r="C817" s="11"/>
      <c r="D817" s="13"/>
      <c r="E817" s="13"/>
      <c r="F817" s="13"/>
      <c r="G817" s="2"/>
      <c r="H817" s="2"/>
      <c r="I817" s="13"/>
      <c r="J817" s="13"/>
      <c r="K817" s="13"/>
      <c r="L817" s="14"/>
      <c r="M817" s="4"/>
      <c r="N817" s="2"/>
      <c r="O817" s="4"/>
      <c r="P817" s="2"/>
      <c r="Q817" s="2"/>
      <c r="R817" s="4"/>
      <c r="S817" s="2"/>
      <c r="T817" s="2"/>
      <c r="U817" s="1"/>
      <c r="V817" s="2"/>
      <c r="W817" s="2"/>
      <c r="X817" s="2"/>
      <c r="Y817" s="2"/>
      <c r="Z817" s="2"/>
    </row>
    <row r="818" spans="1:26" ht="15.75" customHeight="1" x14ac:dyDescent="0.2">
      <c r="A818" s="12"/>
      <c r="B818" s="10"/>
      <c r="C818" s="11"/>
      <c r="D818" s="13"/>
      <c r="E818" s="13"/>
      <c r="F818" s="13"/>
      <c r="G818" s="2"/>
      <c r="H818" s="2"/>
      <c r="I818" s="13"/>
      <c r="J818" s="13"/>
      <c r="K818" s="13"/>
      <c r="L818" s="14"/>
      <c r="M818" s="4"/>
      <c r="N818" s="2"/>
      <c r="O818" s="4"/>
      <c r="P818" s="2"/>
      <c r="Q818" s="2"/>
      <c r="R818" s="4"/>
      <c r="S818" s="2"/>
      <c r="T818" s="2"/>
      <c r="U818" s="1"/>
      <c r="V818" s="2"/>
      <c r="W818" s="2"/>
      <c r="X818" s="2"/>
      <c r="Y818" s="2"/>
      <c r="Z818" s="2"/>
    </row>
    <row r="819" spans="1:26" ht="15.75" customHeight="1" x14ac:dyDescent="0.2">
      <c r="A819" s="12"/>
      <c r="B819" s="10"/>
      <c r="C819" s="11"/>
      <c r="D819" s="13"/>
      <c r="E819" s="13"/>
      <c r="F819" s="13"/>
      <c r="G819" s="2"/>
      <c r="H819" s="2"/>
      <c r="I819" s="13"/>
      <c r="J819" s="13"/>
      <c r="K819" s="13"/>
      <c r="L819" s="14"/>
      <c r="M819" s="4"/>
      <c r="N819" s="2"/>
      <c r="O819" s="4"/>
      <c r="P819" s="2"/>
      <c r="Q819" s="2"/>
      <c r="R819" s="4"/>
      <c r="S819" s="2"/>
      <c r="T819" s="2"/>
      <c r="U819" s="1"/>
      <c r="V819" s="2"/>
      <c r="W819" s="2"/>
      <c r="X819" s="2"/>
      <c r="Y819" s="2"/>
      <c r="Z819" s="2"/>
    </row>
    <row r="820" spans="1:26" ht="15.75" customHeight="1" x14ac:dyDescent="0.2">
      <c r="A820" s="12"/>
      <c r="B820" s="10"/>
      <c r="C820" s="11"/>
      <c r="D820" s="13"/>
      <c r="E820" s="13"/>
      <c r="F820" s="13"/>
      <c r="G820" s="2"/>
      <c r="H820" s="2"/>
      <c r="I820" s="13"/>
      <c r="J820" s="13"/>
      <c r="K820" s="13"/>
      <c r="L820" s="14"/>
      <c r="M820" s="4"/>
      <c r="N820" s="2"/>
      <c r="O820" s="4"/>
      <c r="P820" s="2"/>
      <c r="Q820" s="2"/>
      <c r="R820" s="4"/>
      <c r="S820" s="2"/>
      <c r="T820" s="2"/>
      <c r="U820" s="1"/>
      <c r="V820" s="2"/>
      <c r="W820" s="2"/>
      <c r="X820" s="2"/>
      <c r="Y820" s="2"/>
      <c r="Z820" s="2"/>
    </row>
    <row r="821" spans="1:26" ht="15.75" customHeight="1" x14ac:dyDescent="0.2">
      <c r="A821" s="12"/>
      <c r="B821" s="10"/>
      <c r="C821" s="11"/>
      <c r="D821" s="13"/>
      <c r="E821" s="13"/>
      <c r="F821" s="13"/>
      <c r="G821" s="2"/>
      <c r="H821" s="2"/>
      <c r="I821" s="13"/>
      <c r="J821" s="13"/>
      <c r="K821" s="13"/>
      <c r="L821" s="14"/>
      <c r="M821" s="4"/>
      <c r="N821" s="2"/>
      <c r="O821" s="4"/>
      <c r="P821" s="2"/>
      <c r="Q821" s="2"/>
      <c r="R821" s="4"/>
      <c r="S821" s="2"/>
      <c r="T821" s="2"/>
      <c r="U821" s="1"/>
      <c r="V821" s="2"/>
      <c r="W821" s="2"/>
      <c r="X821" s="2"/>
      <c r="Y821" s="2"/>
      <c r="Z821" s="2"/>
    </row>
    <row r="822" spans="1:26" ht="15.75" customHeight="1" x14ac:dyDescent="0.2">
      <c r="A822" s="12"/>
      <c r="B822" s="10"/>
      <c r="C822" s="11"/>
      <c r="D822" s="13"/>
      <c r="E822" s="13"/>
      <c r="F822" s="13"/>
      <c r="G822" s="2"/>
      <c r="H822" s="2"/>
      <c r="I822" s="13"/>
      <c r="J822" s="13"/>
      <c r="K822" s="13"/>
      <c r="L822" s="14"/>
      <c r="M822" s="4"/>
      <c r="N822" s="2"/>
      <c r="O822" s="4"/>
      <c r="P822" s="2"/>
      <c r="Q822" s="2"/>
      <c r="R822" s="4"/>
      <c r="S822" s="2"/>
      <c r="T822" s="2"/>
      <c r="U822" s="1"/>
      <c r="V822" s="2"/>
      <c r="W822" s="2"/>
      <c r="X822" s="2"/>
      <c r="Y822" s="2"/>
      <c r="Z822" s="2"/>
    </row>
    <row r="823" spans="1:26" ht="15.75" customHeight="1" x14ac:dyDescent="0.2">
      <c r="A823" s="12"/>
      <c r="B823" s="10"/>
      <c r="C823" s="11"/>
      <c r="D823" s="13"/>
      <c r="E823" s="13"/>
      <c r="F823" s="13"/>
      <c r="G823" s="2"/>
      <c r="H823" s="2"/>
      <c r="I823" s="13"/>
      <c r="J823" s="13"/>
      <c r="K823" s="13"/>
      <c r="L823" s="14"/>
      <c r="M823" s="4"/>
      <c r="N823" s="2"/>
      <c r="O823" s="4"/>
      <c r="P823" s="2"/>
      <c r="Q823" s="2"/>
      <c r="R823" s="4"/>
      <c r="S823" s="2"/>
      <c r="T823" s="2"/>
      <c r="U823" s="1"/>
      <c r="V823" s="2"/>
      <c r="W823" s="2"/>
      <c r="X823" s="2"/>
      <c r="Y823" s="2"/>
      <c r="Z823" s="2"/>
    </row>
    <row r="824" spans="1:26" ht="15.75" customHeight="1" x14ac:dyDescent="0.2">
      <c r="A824" s="12"/>
      <c r="B824" s="10"/>
      <c r="C824" s="11"/>
      <c r="D824" s="13"/>
      <c r="E824" s="13"/>
      <c r="F824" s="13"/>
      <c r="G824" s="2"/>
      <c r="H824" s="2"/>
      <c r="I824" s="13"/>
      <c r="J824" s="13"/>
      <c r="K824" s="13"/>
      <c r="L824" s="14"/>
      <c r="M824" s="4"/>
      <c r="N824" s="2"/>
      <c r="O824" s="4"/>
      <c r="P824" s="2"/>
      <c r="Q824" s="2"/>
      <c r="R824" s="4"/>
      <c r="S824" s="2"/>
      <c r="T824" s="2"/>
      <c r="U824" s="1"/>
      <c r="V824" s="2"/>
      <c r="W824" s="2"/>
      <c r="X824" s="2"/>
      <c r="Y824" s="2"/>
      <c r="Z824" s="2"/>
    </row>
    <row r="825" spans="1:26" ht="15.75" customHeight="1" x14ac:dyDescent="0.2">
      <c r="A825" s="12"/>
      <c r="B825" s="10"/>
      <c r="C825" s="11"/>
      <c r="D825" s="13"/>
      <c r="E825" s="13"/>
      <c r="F825" s="13"/>
      <c r="G825" s="2"/>
      <c r="H825" s="2"/>
      <c r="I825" s="13"/>
      <c r="J825" s="13"/>
      <c r="K825" s="13"/>
      <c r="L825" s="14"/>
      <c r="M825" s="4"/>
      <c r="N825" s="2"/>
      <c r="O825" s="4"/>
      <c r="P825" s="2"/>
      <c r="Q825" s="2"/>
      <c r="R825" s="4"/>
      <c r="S825" s="2"/>
      <c r="T825" s="2"/>
      <c r="U825" s="1"/>
      <c r="V825" s="2"/>
      <c r="W825" s="2"/>
      <c r="X825" s="2"/>
      <c r="Y825" s="2"/>
      <c r="Z825" s="2"/>
    </row>
    <row r="826" spans="1:26" ht="15.75" customHeight="1" x14ac:dyDescent="0.2">
      <c r="A826" s="12"/>
      <c r="B826" s="10"/>
      <c r="C826" s="11"/>
      <c r="D826" s="13"/>
      <c r="E826" s="13"/>
      <c r="F826" s="13"/>
      <c r="G826" s="2"/>
      <c r="H826" s="2"/>
      <c r="I826" s="13"/>
      <c r="J826" s="13"/>
      <c r="K826" s="13"/>
      <c r="L826" s="14"/>
      <c r="M826" s="4"/>
      <c r="N826" s="2"/>
      <c r="O826" s="4"/>
      <c r="P826" s="2"/>
      <c r="Q826" s="2"/>
      <c r="R826" s="4"/>
      <c r="S826" s="2"/>
      <c r="T826" s="2"/>
      <c r="U826" s="1"/>
      <c r="V826" s="2"/>
      <c r="W826" s="2"/>
      <c r="X826" s="2"/>
      <c r="Y826" s="2"/>
      <c r="Z826" s="2"/>
    </row>
    <row r="827" spans="1:26" ht="15.75" customHeight="1" x14ac:dyDescent="0.2">
      <c r="A827" s="12"/>
      <c r="B827" s="10"/>
      <c r="C827" s="11"/>
      <c r="D827" s="13"/>
      <c r="E827" s="13"/>
      <c r="F827" s="13"/>
      <c r="G827" s="2"/>
      <c r="H827" s="2"/>
      <c r="I827" s="13"/>
      <c r="J827" s="13"/>
      <c r="K827" s="13"/>
      <c r="L827" s="14"/>
      <c r="M827" s="4"/>
      <c r="N827" s="2"/>
      <c r="O827" s="4"/>
      <c r="P827" s="2"/>
      <c r="Q827" s="2"/>
      <c r="R827" s="4"/>
      <c r="S827" s="2"/>
      <c r="T827" s="2"/>
      <c r="U827" s="1"/>
      <c r="V827" s="2"/>
      <c r="W827" s="2"/>
      <c r="X827" s="2"/>
      <c r="Y827" s="2"/>
      <c r="Z827" s="2"/>
    </row>
    <row r="828" spans="1:26" ht="15.75" customHeight="1" x14ac:dyDescent="0.2">
      <c r="A828" s="12"/>
      <c r="B828" s="10"/>
      <c r="C828" s="11"/>
      <c r="D828" s="13"/>
      <c r="E828" s="13"/>
      <c r="F828" s="13"/>
      <c r="G828" s="2"/>
      <c r="H828" s="2"/>
      <c r="I828" s="13"/>
      <c r="J828" s="13"/>
      <c r="K828" s="13"/>
      <c r="L828" s="14"/>
      <c r="M828" s="4"/>
      <c r="N828" s="2"/>
      <c r="O828" s="4"/>
      <c r="P828" s="2"/>
      <c r="Q828" s="2"/>
      <c r="R828" s="4"/>
      <c r="S828" s="2"/>
      <c r="T828" s="2"/>
      <c r="U828" s="1"/>
      <c r="V828" s="2"/>
      <c r="W828" s="2"/>
      <c r="X828" s="2"/>
      <c r="Y828" s="2"/>
      <c r="Z828" s="2"/>
    </row>
    <row r="829" spans="1:26" ht="15.75" customHeight="1" x14ac:dyDescent="0.2">
      <c r="A829" s="12"/>
      <c r="B829" s="10"/>
      <c r="C829" s="11"/>
      <c r="D829" s="13"/>
      <c r="E829" s="13"/>
      <c r="F829" s="13"/>
      <c r="G829" s="2"/>
      <c r="H829" s="2"/>
      <c r="I829" s="13"/>
      <c r="J829" s="13"/>
      <c r="K829" s="13"/>
      <c r="L829" s="14"/>
      <c r="M829" s="4"/>
      <c r="N829" s="2"/>
      <c r="O829" s="4"/>
      <c r="P829" s="2"/>
      <c r="Q829" s="2"/>
      <c r="R829" s="4"/>
      <c r="S829" s="2"/>
      <c r="T829" s="2"/>
      <c r="U829" s="1"/>
      <c r="V829" s="2"/>
      <c r="W829" s="2"/>
      <c r="X829" s="2"/>
      <c r="Y829" s="2"/>
      <c r="Z829" s="2"/>
    </row>
    <row r="830" spans="1:26" ht="15.75" customHeight="1" x14ac:dyDescent="0.2">
      <c r="A830" s="12"/>
      <c r="B830" s="10"/>
      <c r="C830" s="11"/>
      <c r="D830" s="13"/>
      <c r="E830" s="13"/>
      <c r="F830" s="13"/>
      <c r="G830" s="2"/>
      <c r="H830" s="2"/>
      <c r="I830" s="13"/>
      <c r="J830" s="13"/>
      <c r="K830" s="13"/>
      <c r="L830" s="14"/>
      <c r="M830" s="4"/>
      <c r="N830" s="2"/>
      <c r="O830" s="4"/>
      <c r="P830" s="2"/>
      <c r="Q830" s="2"/>
      <c r="R830" s="4"/>
      <c r="S830" s="2"/>
      <c r="T830" s="2"/>
      <c r="U830" s="1"/>
      <c r="V830" s="2"/>
      <c r="W830" s="2"/>
      <c r="X830" s="2"/>
      <c r="Y830" s="2"/>
      <c r="Z830" s="2"/>
    </row>
    <row r="831" spans="1:26" ht="15.75" customHeight="1" x14ac:dyDescent="0.2">
      <c r="A831" s="12"/>
      <c r="B831" s="10"/>
      <c r="C831" s="11"/>
      <c r="D831" s="13"/>
      <c r="E831" s="13"/>
      <c r="F831" s="13"/>
      <c r="G831" s="2"/>
      <c r="H831" s="2"/>
      <c r="I831" s="13"/>
      <c r="J831" s="13"/>
      <c r="K831" s="13"/>
      <c r="L831" s="14"/>
      <c r="M831" s="4"/>
      <c r="N831" s="2"/>
      <c r="O831" s="4"/>
      <c r="P831" s="2"/>
      <c r="Q831" s="2"/>
      <c r="R831" s="4"/>
      <c r="S831" s="2"/>
      <c r="T831" s="2"/>
      <c r="U831" s="1"/>
      <c r="V831" s="2"/>
      <c r="W831" s="2"/>
      <c r="X831" s="2"/>
      <c r="Y831" s="2"/>
      <c r="Z831" s="2"/>
    </row>
    <row r="832" spans="1:26" ht="15.75" customHeight="1" x14ac:dyDescent="0.2">
      <c r="A832" s="12"/>
      <c r="B832" s="10"/>
      <c r="C832" s="11"/>
      <c r="D832" s="13"/>
      <c r="E832" s="13"/>
      <c r="F832" s="13"/>
      <c r="G832" s="2"/>
      <c r="H832" s="2"/>
      <c r="I832" s="13"/>
      <c r="J832" s="13"/>
      <c r="K832" s="13"/>
      <c r="L832" s="14"/>
      <c r="M832" s="4"/>
      <c r="N832" s="2"/>
      <c r="O832" s="4"/>
      <c r="P832" s="2"/>
      <c r="Q832" s="2"/>
      <c r="R832" s="4"/>
      <c r="S832" s="2"/>
      <c r="T832" s="2"/>
      <c r="U832" s="1"/>
      <c r="V832" s="2"/>
      <c r="W832" s="2"/>
      <c r="X832" s="2"/>
      <c r="Y832" s="2"/>
      <c r="Z832" s="2"/>
    </row>
    <row r="833" spans="1:26" ht="15.75" customHeight="1" x14ac:dyDescent="0.2">
      <c r="A833" s="12"/>
      <c r="B833" s="10"/>
      <c r="C833" s="11"/>
      <c r="D833" s="13"/>
      <c r="E833" s="13"/>
      <c r="F833" s="13"/>
      <c r="G833" s="2"/>
      <c r="H833" s="2"/>
      <c r="I833" s="13"/>
      <c r="J833" s="13"/>
      <c r="K833" s="13"/>
      <c r="L833" s="14"/>
      <c r="M833" s="4"/>
      <c r="N833" s="2"/>
      <c r="O833" s="4"/>
      <c r="P833" s="2"/>
      <c r="Q833" s="2"/>
      <c r="R833" s="4"/>
      <c r="S833" s="2"/>
      <c r="T833" s="2"/>
      <c r="U833" s="1"/>
      <c r="V833" s="2"/>
      <c r="W833" s="2"/>
      <c r="X833" s="2"/>
      <c r="Y833" s="2"/>
      <c r="Z833" s="2"/>
    </row>
    <row r="834" spans="1:26" ht="15.75" customHeight="1" x14ac:dyDescent="0.2">
      <c r="A834" s="12"/>
      <c r="B834" s="10"/>
      <c r="C834" s="11"/>
      <c r="D834" s="13"/>
      <c r="E834" s="13"/>
      <c r="F834" s="13"/>
      <c r="G834" s="2"/>
      <c r="H834" s="2"/>
      <c r="I834" s="13"/>
      <c r="J834" s="13"/>
      <c r="K834" s="13"/>
      <c r="L834" s="14"/>
      <c r="M834" s="4"/>
      <c r="N834" s="2"/>
      <c r="O834" s="4"/>
      <c r="P834" s="2"/>
      <c r="Q834" s="2"/>
      <c r="R834" s="4"/>
      <c r="S834" s="2"/>
      <c r="T834" s="2"/>
      <c r="U834" s="1"/>
      <c r="V834" s="2"/>
      <c r="W834" s="2"/>
      <c r="X834" s="2"/>
      <c r="Y834" s="2"/>
      <c r="Z834" s="2"/>
    </row>
    <row r="835" spans="1:26" ht="15.75" customHeight="1" x14ac:dyDescent="0.2">
      <c r="A835" s="12"/>
      <c r="B835" s="10"/>
      <c r="C835" s="11"/>
      <c r="D835" s="13"/>
      <c r="E835" s="13"/>
      <c r="F835" s="13"/>
      <c r="G835" s="2"/>
      <c r="H835" s="2"/>
      <c r="I835" s="13"/>
      <c r="J835" s="13"/>
      <c r="K835" s="13"/>
      <c r="L835" s="14"/>
      <c r="M835" s="4"/>
      <c r="N835" s="2"/>
      <c r="O835" s="4"/>
      <c r="P835" s="2"/>
      <c r="Q835" s="2"/>
      <c r="R835" s="4"/>
      <c r="S835" s="2"/>
      <c r="T835" s="2"/>
      <c r="U835" s="1"/>
      <c r="V835" s="2"/>
      <c r="W835" s="2"/>
      <c r="X835" s="2"/>
      <c r="Y835" s="2"/>
      <c r="Z835" s="2"/>
    </row>
    <row r="836" spans="1:26" ht="15.75" customHeight="1" x14ac:dyDescent="0.2">
      <c r="A836" s="12"/>
      <c r="B836" s="10"/>
      <c r="C836" s="11"/>
      <c r="D836" s="13"/>
      <c r="E836" s="13"/>
      <c r="F836" s="13"/>
      <c r="G836" s="2"/>
      <c r="H836" s="2"/>
      <c r="I836" s="13"/>
      <c r="J836" s="13"/>
      <c r="K836" s="13"/>
      <c r="L836" s="14"/>
      <c r="M836" s="4"/>
      <c r="N836" s="2"/>
      <c r="O836" s="4"/>
      <c r="P836" s="2"/>
      <c r="Q836" s="2"/>
      <c r="R836" s="4"/>
      <c r="S836" s="2"/>
      <c r="T836" s="2"/>
      <c r="U836" s="1"/>
      <c r="V836" s="2"/>
      <c r="W836" s="2"/>
      <c r="X836" s="2"/>
      <c r="Y836" s="2"/>
      <c r="Z836" s="2"/>
    </row>
    <row r="837" spans="1:26" ht="15.75" customHeight="1" x14ac:dyDescent="0.2">
      <c r="A837" s="12"/>
      <c r="B837" s="10"/>
      <c r="C837" s="11"/>
      <c r="D837" s="13"/>
      <c r="E837" s="13"/>
      <c r="F837" s="13"/>
      <c r="G837" s="2"/>
      <c r="H837" s="2"/>
      <c r="I837" s="13"/>
      <c r="J837" s="13"/>
      <c r="K837" s="13"/>
      <c r="L837" s="14"/>
      <c r="M837" s="4"/>
      <c r="N837" s="2"/>
      <c r="O837" s="4"/>
      <c r="P837" s="2"/>
      <c r="Q837" s="2"/>
      <c r="R837" s="4"/>
      <c r="S837" s="2"/>
      <c r="T837" s="2"/>
      <c r="U837" s="1"/>
      <c r="V837" s="2"/>
      <c r="W837" s="2"/>
      <c r="X837" s="2"/>
      <c r="Y837" s="2"/>
      <c r="Z837" s="2"/>
    </row>
    <row r="838" spans="1:26" ht="15.75" customHeight="1" x14ac:dyDescent="0.2">
      <c r="A838" s="12"/>
      <c r="B838" s="10"/>
      <c r="C838" s="11"/>
      <c r="D838" s="13"/>
      <c r="E838" s="13"/>
      <c r="F838" s="13"/>
      <c r="G838" s="2"/>
      <c r="H838" s="2"/>
      <c r="I838" s="13"/>
      <c r="J838" s="13"/>
      <c r="K838" s="13"/>
      <c r="L838" s="14"/>
      <c r="M838" s="4"/>
      <c r="N838" s="2"/>
      <c r="O838" s="4"/>
      <c r="P838" s="2"/>
      <c r="Q838" s="2"/>
      <c r="R838" s="4"/>
      <c r="S838" s="2"/>
      <c r="T838" s="2"/>
      <c r="U838" s="1"/>
      <c r="V838" s="2"/>
      <c r="W838" s="2"/>
      <c r="X838" s="2"/>
      <c r="Y838" s="2"/>
      <c r="Z838" s="2"/>
    </row>
    <row r="839" spans="1:26" ht="15.75" customHeight="1" x14ac:dyDescent="0.2">
      <c r="A839" s="12"/>
      <c r="B839" s="10"/>
      <c r="C839" s="11"/>
      <c r="D839" s="13"/>
      <c r="E839" s="13"/>
      <c r="F839" s="13"/>
      <c r="G839" s="2"/>
      <c r="H839" s="2"/>
      <c r="I839" s="13"/>
      <c r="J839" s="13"/>
      <c r="K839" s="13"/>
      <c r="L839" s="14"/>
      <c r="M839" s="4"/>
      <c r="N839" s="2"/>
      <c r="O839" s="4"/>
      <c r="P839" s="2"/>
      <c r="Q839" s="2"/>
      <c r="R839" s="4"/>
      <c r="S839" s="2"/>
      <c r="T839" s="2"/>
      <c r="U839" s="1"/>
      <c r="V839" s="2"/>
      <c r="W839" s="2"/>
      <c r="X839" s="2"/>
      <c r="Y839" s="2"/>
      <c r="Z839" s="2"/>
    </row>
    <row r="840" spans="1:26" ht="15.75" customHeight="1" x14ac:dyDescent="0.2">
      <c r="A840" s="12"/>
      <c r="B840" s="10"/>
      <c r="C840" s="11"/>
      <c r="D840" s="13"/>
      <c r="E840" s="13"/>
      <c r="F840" s="13"/>
      <c r="G840" s="2"/>
      <c r="H840" s="2"/>
      <c r="I840" s="13"/>
      <c r="J840" s="13"/>
      <c r="K840" s="13"/>
      <c r="L840" s="14"/>
      <c r="M840" s="4"/>
      <c r="N840" s="2"/>
      <c r="O840" s="4"/>
      <c r="P840" s="2"/>
      <c r="Q840" s="2"/>
      <c r="R840" s="4"/>
      <c r="S840" s="2"/>
      <c r="T840" s="2"/>
      <c r="U840" s="1"/>
      <c r="V840" s="2"/>
      <c r="W840" s="2"/>
      <c r="X840" s="2"/>
      <c r="Y840" s="2"/>
      <c r="Z840" s="2"/>
    </row>
    <row r="841" spans="1:26" ht="15.75" customHeight="1" x14ac:dyDescent="0.2">
      <c r="A841" s="12"/>
      <c r="B841" s="10"/>
      <c r="C841" s="11"/>
      <c r="D841" s="13"/>
      <c r="E841" s="13"/>
      <c r="F841" s="13"/>
      <c r="G841" s="2"/>
      <c r="H841" s="2"/>
      <c r="I841" s="13"/>
      <c r="J841" s="13"/>
      <c r="K841" s="13"/>
      <c r="L841" s="14"/>
      <c r="M841" s="4"/>
      <c r="N841" s="2"/>
      <c r="O841" s="4"/>
      <c r="P841" s="2"/>
      <c r="Q841" s="2"/>
      <c r="R841" s="4"/>
      <c r="S841" s="2"/>
      <c r="T841" s="2"/>
      <c r="U841" s="1"/>
      <c r="V841" s="2"/>
      <c r="W841" s="2"/>
      <c r="X841" s="2"/>
      <c r="Y841" s="2"/>
      <c r="Z841" s="2"/>
    </row>
    <row r="842" spans="1:26" ht="15.75" customHeight="1" x14ac:dyDescent="0.2">
      <c r="A842" s="12"/>
      <c r="B842" s="10"/>
      <c r="C842" s="11"/>
      <c r="D842" s="13"/>
      <c r="E842" s="13"/>
      <c r="F842" s="13"/>
      <c r="G842" s="2"/>
      <c r="H842" s="2"/>
      <c r="I842" s="13"/>
      <c r="J842" s="13"/>
      <c r="K842" s="13"/>
      <c r="L842" s="14"/>
      <c r="M842" s="4"/>
      <c r="N842" s="2"/>
      <c r="O842" s="4"/>
      <c r="P842" s="2"/>
      <c r="Q842" s="2"/>
      <c r="R842" s="4"/>
      <c r="S842" s="2"/>
      <c r="T842" s="2"/>
      <c r="U842" s="1"/>
      <c r="V842" s="2"/>
      <c r="W842" s="2"/>
      <c r="X842" s="2"/>
      <c r="Y842" s="2"/>
      <c r="Z842" s="2"/>
    </row>
    <row r="843" spans="1:26" ht="15.75" customHeight="1" x14ac:dyDescent="0.2">
      <c r="A843" s="12"/>
      <c r="B843" s="10"/>
      <c r="C843" s="11"/>
      <c r="D843" s="13"/>
      <c r="E843" s="13"/>
      <c r="F843" s="13"/>
      <c r="G843" s="2"/>
      <c r="H843" s="2"/>
      <c r="I843" s="13"/>
      <c r="J843" s="13"/>
      <c r="K843" s="13"/>
      <c r="L843" s="14"/>
      <c r="M843" s="4"/>
      <c r="N843" s="2"/>
      <c r="O843" s="4"/>
      <c r="P843" s="2"/>
      <c r="Q843" s="2"/>
      <c r="R843" s="4"/>
      <c r="S843" s="2"/>
      <c r="T843" s="2"/>
      <c r="U843" s="1"/>
      <c r="V843" s="2"/>
      <c r="W843" s="2"/>
      <c r="X843" s="2"/>
      <c r="Y843" s="2"/>
      <c r="Z843" s="2"/>
    </row>
    <row r="844" spans="1:26" ht="15.75" customHeight="1" x14ac:dyDescent="0.2">
      <c r="A844" s="12"/>
      <c r="B844" s="10"/>
      <c r="C844" s="11"/>
      <c r="D844" s="13"/>
      <c r="E844" s="13"/>
      <c r="F844" s="13"/>
      <c r="G844" s="2"/>
      <c r="H844" s="2"/>
      <c r="I844" s="13"/>
      <c r="J844" s="13"/>
      <c r="K844" s="13"/>
      <c r="L844" s="14"/>
      <c r="M844" s="4"/>
      <c r="N844" s="2"/>
      <c r="O844" s="4"/>
      <c r="P844" s="2"/>
      <c r="Q844" s="2"/>
      <c r="R844" s="4"/>
      <c r="S844" s="2"/>
      <c r="T844" s="2"/>
      <c r="U844" s="1"/>
      <c r="V844" s="2"/>
      <c r="W844" s="2"/>
      <c r="X844" s="2"/>
      <c r="Y844" s="2"/>
      <c r="Z844" s="2"/>
    </row>
    <row r="845" spans="1:26" ht="15.75" customHeight="1" x14ac:dyDescent="0.2">
      <c r="A845" s="12"/>
      <c r="B845" s="10"/>
      <c r="C845" s="11"/>
      <c r="D845" s="13"/>
      <c r="E845" s="13"/>
      <c r="F845" s="13"/>
      <c r="G845" s="2"/>
      <c r="H845" s="2"/>
      <c r="I845" s="13"/>
      <c r="J845" s="13"/>
      <c r="K845" s="13"/>
      <c r="L845" s="14"/>
      <c r="M845" s="4"/>
      <c r="N845" s="2"/>
      <c r="O845" s="4"/>
      <c r="P845" s="2"/>
      <c r="Q845" s="2"/>
      <c r="R845" s="4"/>
      <c r="S845" s="2"/>
      <c r="T845" s="2"/>
      <c r="U845" s="1"/>
      <c r="V845" s="2"/>
      <c r="W845" s="2"/>
      <c r="X845" s="2"/>
      <c r="Y845" s="2"/>
      <c r="Z845" s="2"/>
    </row>
    <row r="846" spans="1:26" ht="15.75" customHeight="1" x14ac:dyDescent="0.2">
      <c r="A846" s="12"/>
      <c r="B846" s="10"/>
      <c r="C846" s="11"/>
      <c r="D846" s="13"/>
      <c r="E846" s="13"/>
      <c r="F846" s="13"/>
      <c r="G846" s="2"/>
      <c r="H846" s="2"/>
      <c r="I846" s="13"/>
      <c r="J846" s="13"/>
      <c r="K846" s="13"/>
      <c r="L846" s="14"/>
      <c r="M846" s="4"/>
      <c r="N846" s="2"/>
      <c r="O846" s="4"/>
      <c r="P846" s="2"/>
      <c r="Q846" s="2"/>
      <c r="R846" s="4"/>
      <c r="S846" s="2"/>
      <c r="T846" s="2"/>
      <c r="U846" s="1"/>
      <c r="V846" s="2"/>
      <c r="W846" s="2"/>
      <c r="X846" s="2"/>
      <c r="Y846" s="2"/>
      <c r="Z846" s="2"/>
    </row>
    <row r="847" spans="1:26" ht="15.75" customHeight="1" x14ac:dyDescent="0.2">
      <c r="A847" s="12"/>
      <c r="B847" s="10"/>
      <c r="C847" s="11"/>
      <c r="D847" s="13"/>
      <c r="E847" s="13"/>
      <c r="F847" s="13"/>
      <c r="G847" s="2"/>
      <c r="H847" s="2"/>
      <c r="I847" s="13"/>
      <c r="J847" s="13"/>
      <c r="K847" s="13"/>
      <c r="L847" s="14"/>
      <c r="M847" s="4"/>
      <c r="N847" s="2"/>
      <c r="O847" s="4"/>
      <c r="P847" s="2"/>
      <c r="Q847" s="2"/>
      <c r="R847" s="4"/>
      <c r="S847" s="2"/>
      <c r="T847" s="2"/>
      <c r="U847" s="1"/>
      <c r="V847" s="2"/>
      <c r="W847" s="2"/>
      <c r="X847" s="2"/>
      <c r="Y847" s="2"/>
      <c r="Z847" s="2"/>
    </row>
    <row r="848" spans="1:26" ht="15.75" customHeight="1" x14ac:dyDescent="0.2">
      <c r="A848" s="12"/>
      <c r="B848" s="10"/>
      <c r="C848" s="11"/>
      <c r="D848" s="13"/>
      <c r="E848" s="13"/>
      <c r="F848" s="13"/>
      <c r="G848" s="2"/>
      <c r="H848" s="2"/>
      <c r="I848" s="13"/>
      <c r="J848" s="13"/>
      <c r="K848" s="13"/>
      <c r="L848" s="14"/>
      <c r="M848" s="4"/>
      <c r="N848" s="2"/>
      <c r="O848" s="4"/>
      <c r="P848" s="2"/>
      <c r="Q848" s="2"/>
      <c r="R848" s="4"/>
      <c r="S848" s="2"/>
      <c r="T848" s="2"/>
      <c r="U848" s="1"/>
      <c r="V848" s="2"/>
      <c r="W848" s="2"/>
      <c r="X848" s="2"/>
      <c r="Y848" s="2"/>
      <c r="Z848" s="2"/>
    </row>
    <row r="849" spans="1:26" ht="15.75" customHeight="1" x14ac:dyDescent="0.2">
      <c r="A849" s="12"/>
      <c r="B849" s="10"/>
      <c r="C849" s="11"/>
      <c r="D849" s="13"/>
      <c r="E849" s="13"/>
      <c r="F849" s="13"/>
      <c r="G849" s="2"/>
      <c r="H849" s="2"/>
      <c r="I849" s="13"/>
      <c r="J849" s="13"/>
      <c r="K849" s="13"/>
      <c r="L849" s="14"/>
      <c r="M849" s="4"/>
      <c r="N849" s="2"/>
      <c r="O849" s="4"/>
      <c r="P849" s="2"/>
      <c r="Q849" s="2"/>
      <c r="R849" s="4"/>
      <c r="S849" s="2"/>
      <c r="T849" s="2"/>
      <c r="U849" s="1"/>
      <c r="V849" s="2"/>
      <c r="W849" s="2"/>
      <c r="X849" s="2"/>
      <c r="Y849" s="2"/>
      <c r="Z849" s="2"/>
    </row>
    <row r="850" spans="1:26" ht="15.75" customHeight="1" x14ac:dyDescent="0.2">
      <c r="A850" s="12"/>
      <c r="B850" s="10"/>
      <c r="C850" s="11"/>
      <c r="D850" s="13"/>
      <c r="E850" s="13"/>
      <c r="F850" s="13"/>
      <c r="G850" s="2"/>
      <c r="H850" s="2"/>
      <c r="I850" s="13"/>
      <c r="J850" s="13"/>
      <c r="K850" s="13"/>
      <c r="L850" s="14"/>
      <c r="M850" s="4"/>
      <c r="N850" s="2"/>
      <c r="O850" s="4"/>
      <c r="P850" s="2"/>
      <c r="Q850" s="2"/>
      <c r="R850" s="4"/>
      <c r="S850" s="2"/>
      <c r="T850" s="2"/>
      <c r="U850" s="1"/>
      <c r="V850" s="2"/>
      <c r="W850" s="2"/>
      <c r="X850" s="2"/>
      <c r="Y850" s="2"/>
      <c r="Z850" s="2"/>
    </row>
    <row r="851" spans="1:26" ht="15.75" customHeight="1" x14ac:dyDescent="0.2">
      <c r="A851" s="12"/>
      <c r="B851" s="10"/>
      <c r="C851" s="11"/>
      <c r="D851" s="13"/>
      <c r="E851" s="13"/>
      <c r="F851" s="13"/>
      <c r="G851" s="2"/>
      <c r="H851" s="2"/>
      <c r="I851" s="13"/>
      <c r="J851" s="13"/>
      <c r="K851" s="13"/>
      <c r="L851" s="14"/>
      <c r="M851" s="4"/>
      <c r="N851" s="2"/>
      <c r="O851" s="4"/>
      <c r="P851" s="2"/>
      <c r="Q851" s="2"/>
      <c r="R851" s="4"/>
      <c r="S851" s="2"/>
      <c r="T851" s="2"/>
      <c r="U851" s="1"/>
      <c r="V851" s="2"/>
      <c r="W851" s="2"/>
      <c r="X851" s="2"/>
      <c r="Y851" s="2"/>
      <c r="Z851" s="2"/>
    </row>
    <row r="852" spans="1:26" ht="15.75" customHeight="1" x14ac:dyDescent="0.2">
      <c r="A852" s="12"/>
      <c r="B852" s="10"/>
      <c r="C852" s="11"/>
      <c r="D852" s="13"/>
      <c r="E852" s="13"/>
      <c r="F852" s="13"/>
      <c r="G852" s="2"/>
      <c r="H852" s="2"/>
      <c r="I852" s="13"/>
      <c r="J852" s="13"/>
      <c r="K852" s="13"/>
      <c r="L852" s="14"/>
      <c r="M852" s="4"/>
      <c r="N852" s="2"/>
      <c r="O852" s="4"/>
      <c r="P852" s="2"/>
      <c r="Q852" s="2"/>
      <c r="R852" s="4"/>
      <c r="S852" s="2"/>
      <c r="T852" s="2"/>
      <c r="U852" s="1"/>
      <c r="V852" s="2"/>
      <c r="W852" s="2"/>
      <c r="X852" s="2"/>
      <c r="Y852" s="2"/>
      <c r="Z852" s="2"/>
    </row>
    <row r="853" spans="1:26" ht="15.75" customHeight="1" x14ac:dyDescent="0.2">
      <c r="A853" s="12"/>
      <c r="B853" s="10"/>
      <c r="C853" s="11"/>
      <c r="D853" s="13"/>
      <c r="E853" s="13"/>
      <c r="F853" s="13"/>
      <c r="G853" s="2"/>
      <c r="H853" s="2"/>
      <c r="I853" s="13"/>
      <c r="J853" s="13"/>
      <c r="K853" s="13"/>
      <c r="L853" s="14"/>
      <c r="M853" s="4"/>
      <c r="N853" s="2"/>
      <c r="O853" s="4"/>
      <c r="P853" s="2"/>
      <c r="Q853" s="2"/>
      <c r="R853" s="4"/>
      <c r="S853" s="2"/>
      <c r="T853" s="2"/>
      <c r="U853" s="1"/>
      <c r="V853" s="2"/>
      <c r="W853" s="2"/>
      <c r="X853" s="2"/>
      <c r="Y853" s="2"/>
      <c r="Z853" s="2"/>
    </row>
    <row r="854" spans="1:26" ht="15.75" customHeight="1" x14ac:dyDescent="0.2">
      <c r="A854" s="12"/>
      <c r="B854" s="10"/>
      <c r="C854" s="11"/>
      <c r="D854" s="13"/>
      <c r="E854" s="13"/>
      <c r="F854" s="13"/>
      <c r="G854" s="2"/>
      <c r="H854" s="2"/>
      <c r="I854" s="13"/>
      <c r="J854" s="13"/>
      <c r="K854" s="13"/>
      <c r="L854" s="14"/>
      <c r="M854" s="4"/>
      <c r="N854" s="2"/>
      <c r="O854" s="4"/>
      <c r="P854" s="2"/>
      <c r="Q854" s="2"/>
      <c r="R854" s="4"/>
      <c r="S854" s="2"/>
      <c r="T854" s="2"/>
      <c r="U854" s="1"/>
      <c r="V854" s="2"/>
      <c r="W854" s="2"/>
      <c r="X854" s="2"/>
      <c r="Y854" s="2"/>
      <c r="Z854" s="2"/>
    </row>
    <row r="855" spans="1:26" ht="15.75" customHeight="1" x14ac:dyDescent="0.2">
      <c r="A855" s="12"/>
      <c r="B855" s="10"/>
      <c r="C855" s="11"/>
      <c r="D855" s="13"/>
      <c r="E855" s="13"/>
      <c r="F855" s="13"/>
      <c r="G855" s="2"/>
      <c r="H855" s="2"/>
      <c r="I855" s="13"/>
      <c r="J855" s="13"/>
      <c r="K855" s="13"/>
      <c r="L855" s="14"/>
      <c r="M855" s="4"/>
      <c r="N855" s="2"/>
      <c r="O855" s="4"/>
      <c r="P855" s="2"/>
      <c r="Q855" s="2"/>
      <c r="R855" s="4"/>
      <c r="S855" s="2"/>
      <c r="T855" s="2"/>
      <c r="U855" s="1"/>
      <c r="V855" s="2"/>
      <c r="W855" s="2"/>
      <c r="X855" s="2"/>
      <c r="Y855" s="2"/>
      <c r="Z855" s="2"/>
    </row>
    <row r="856" spans="1:26" ht="15.75" customHeight="1" x14ac:dyDescent="0.2">
      <c r="A856" s="12"/>
      <c r="B856" s="10"/>
      <c r="C856" s="11"/>
      <c r="D856" s="13"/>
      <c r="E856" s="13"/>
      <c r="F856" s="13"/>
      <c r="G856" s="2"/>
      <c r="H856" s="2"/>
      <c r="I856" s="13"/>
      <c r="J856" s="13"/>
      <c r="K856" s="13"/>
      <c r="L856" s="14"/>
      <c r="M856" s="4"/>
      <c r="N856" s="2"/>
      <c r="O856" s="4"/>
      <c r="P856" s="2"/>
      <c r="Q856" s="2"/>
      <c r="R856" s="4"/>
      <c r="S856" s="2"/>
      <c r="T856" s="2"/>
      <c r="U856" s="1"/>
      <c r="V856" s="2"/>
      <c r="W856" s="2"/>
      <c r="X856" s="2"/>
      <c r="Y856" s="2"/>
      <c r="Z856" s="2"/>
    </row>
    <row r="857" spans="1:26" ht="15.75" customHeight="1" x14ac:dyDescent="0.2">
      <c r="A857" s="12"/>
      <c r="B857" s="10"/>
      <c r="C857" s="11"/>
      <c r="D857" s="13"/>
      <c r="E857" s="13"/>
      <c r="F857" s="13"/>
      <c r="G857" s="2"/>
      <c r="H857" s="2"/>
      <c r="I857" s="13"/>
      <c r="J857" s="13"/>
      <c r="K857" s="13"/>
      <c r="L857" s="14"/>
      <c r="M857" s="4"/>
      <c r="N857" s="2"/>
      <c r="O857" s="4"/>
      <c r="P857" s="2"/>
      <c r="Q857" s="2"/>
      <c r="R857" s="4"/>
      <c r="S857" s="2"/>
      <c r="T857" s="2"/>
      <c r="U857" s="1"/>
      <c r="V857" s="2"/>
      <c r="W857" s="2"/>
      <c r="X857" s="2"/>
      <c r="Y857" s="2"/>
      <c r="Z857" s="2"/>
    </row>
    <row r="858" spans="1:26" ht="15.75" customHeight="1" x14ac:dyDescent="0.2">
      <c r="A858" s="12"/>
      <c r="B858" s="10"/>
      <c r="C858" s="11"/>
      <c r="D858" s="13"/>
      <c r="E858" s="13"/>
      <c r="F858" s="13"/>
      <c r="G858" s="2"/>
      <c r="H858" s="2"/>
      <c r="I858" s="13"/>
      <c r="J858" s="13"/>
      <c r="K858" s="13"/>
      <c r="L858" s="14"/>
      <c r="M858" s="4"/>
      <c r="N858" s="2"/>
      <c r="O858" s="4"/>
      <c r="P858" s="2"/>
      <c r="Q858" s="2"/>
      <c r="R858" s="4"/>
      <c r="S858" s="2"/>
      <c r="T858" s="2"/>
      <c r="U858" s="1"/>
      <c r="V858" s="2"/>
      <c r="W858" s="2"/>
      <c r="X858" s="2"/>
      <c r="Y858" s="2"/>
      <c r="Z858" s="2"/>
    </row>
    <row r="859" spans="1:26" ht="15.75" customHeight="1" x14ac:dyDescent="0.2">
      <c r="A859" s="12"/>
      <c r="B859" s="10"/>
      <c r="C859" s="11"/>
      <c r="D859" s="13"/>
      <c r="E859" s="13"/>
      <c r="F859" s="13"/>
      <c r="G859" s="2"/>
      <c r="H859" s="2"/>
      <c r="I859" s="13"/>
      <c r="J859" s="13"/>
      <c r="K859" s="13"/>
      <c r="L859" s="14"/>
      <c r="M859" s="4"/>
      <c r="N859" s="2"/>
      <c r="O859" s="4"/>
      <c r="P859" s="2"/>
      <c r="Q859" s="2"/>
      <c r="R859" s="4"/>
      <c r="S859" s="2"/>
      <c r="T859" s="2"/>
      <c r="U859" s="1"/>
      <c r="V859" s="2"/>
      <c r="W859" s="2"/>
      <c r="X859" s="2"/>
      <c r="Y859" s="2"/>
      <c r="Z859" s="2"/>
    </row>
    <row r="860" spans="1:26" ht="15.75" customHeight="1" x14ac:dyDescent="0.2">
      <c r="A860" s="12"/>
      <c r="B860" s="10"/>
      <c r="C860" s="11"/>
      <c r="D860" s="13"/>
      <c r="E860" s="13"/>
      <c r="F860" s="13"/>
      <c r="G860" s="2"/>
      <c r="H860" s="2"/>
      <c r="I860" s="13"/>
      <c r="J860" s="13"/>
      <c r="K860" s="13"/>
      <c r="L860" s="14"/>
      <c r="M860" s="4"/>
      <c r="N860" s="2"/>
      <c r="O860" s="4"/>
      <c r="P860" s="2"/>
      <c r="Q860" s="2"/>
      <c r="R860" s="4"/>
      <c r="S860" s="2"/>
      <c r="T860" s="2"/>
      <c r="U860" s="1"/>
      <c r="V860" s="2"/>
      <c r="W860" s="2"/>
      <c r="X860" s="2"/>
      <c r="Y860" s="2"/>
      <c r="Z860" s="2"/>
    </row>
    <row r="861" spans="1:26" ht="15.75" customHeight="1" x14ac:dyDescent="0.2">
      <c r="A861" s="12"/>
      <c r="B861" s="10"/>
      <c r="C861" s="11"/>
      <c r="D861" s="13"/>
      <c r="E861" s="13"/>
      <c r="F861" s="13"/>
      <c r="G861" s="2"/>
      <c r="H861" s="2"/>
      <c r="I861" s="13"/>
      <c r="J861" s="13"/>
      <c r="K861" s="13"/>
      <c r="L861" s="14"/>
      <c r="M861" s="4"/>
      <c r="N861" s="2"/>
      <c r="O861" s="4"/>
      <c r="P861" s="2"/>
      <c r="Q861" s="2"/>
      <c r="R861" s="4"/>
      <c r="S861" s="2"/>
      <c r="T861" s="2"/>
      <c r="U861" s="1"/>
      <c r="V861" s="2"/>
      <c r="W861" s="2"/>
      <c r="X861" s="2"/>
      <c r="Y861" s="2"/>
      <c r="Z861" s="2"/>
    </row>
    <row r="862" spans="1:26" ht="15.75" customHeight="1" x14ac:dyDescent="0.2">
      <c r="A862" s="12"/>
      <c r="B862" s="10"/>
      <c r="C862" s="11"/>
      <c r="D862" s="13"/>
      <c r="E862" s="13"/>
      <c r="F862" s="13"/>
      <c r="G862" s="2"/>
      <c r="H862" s="2"/>
      <c r="I862" s="13"/>
      <c r="J862" s="13"/>
      <c r="K862" s="13"/>
      <c r="L862" s="14"/>
      <c r="M862" s="4"/>
      <c r="N862" s="2"/>
      <c r="O862" s="4"/>
      <c r="P862" s="2"/>
      <c r="Q862" s="2"/>
      <c r="R862" s="4"/>
      <c r="S862" s="2"/>
      <c r="T862" s="2"/>
      <c r="U862" s="1"/>
      <c r="V862" s="2"/>
      <c r="W862" s="2"/>
      <c r="X862" s="2"/>
      <c r="Y862" s="2"/>
      <c r="Z862" s="2"/>
    </row>
    <row r="863" spans="1:26" ht="15.75" customHeight="1" x14ac:dyDescent="0.2">
      <c r="A863" s="12"/>
      <c r="B863" s="10"/>
      <c r="C863" s="11"/>
      <c r="D863" s="13"/>
      <c r="E863" s="13"/>
      <c r="F863" s="13"/>
      <c r="G863" s="2"/>
      <c r="H863" s="2"/>
      <c r="I863" s="13"/>
      <c r="J863" s="13"/>
      <c r="K863" s="13"/>
      <c r="L863" s="14"/>
      <c r="M863" s="4"/>
      <c r="N863" s="2"/>
      <c r="O863" s="4"/>
      <c r="P863" s="2"/>
      <c r="Q863" s="2"/>
      <c r="R863" s="4"/>
      <c r="S863" s="2"/>
      <c r="T863" s="2"/>
      <c r="U863" s="1"/>
      <c r="V863" s="2"/>
      <c r="W863" s="2"/>
      <c r="X863" s="2"/>
      <c r="Y863" s="2"/>
      <c r="Z863" s="2"/>
    </row>
    <row r="864" spans="1:26" ht="15.75" customHeight="1" x14ac:dyDescent="0.2">
      <c r="A864" s="12"/>
      <c r="B864" s="10"/>
      <c r="C864" s="11"/>
      <c r="D864" s="13"/>
      <c r="E864" s="13"/>
      <c r="F864" s="13"/>
      <c r="G864" s="2"/>
      <c r="H864" s="2"/>
      <c r="I864" s="13"/>
      <c r="J864" s="13"/>
      <c r="K864" s="13"/>
      <c r="L864" s="14"/>
      <c r="M864" s="4"/>
      <c r="N864" s="2"/>
      <c r="O864" s="4"/>
      <c r="P864" s="2"/>
      <c r="Q864" s="2"/>
      <c r="R864" s="4"/>
      <c r="S864" s="2"/>
      <c r="T864" s="2"/>
      <c r="U864" s="1"/>
      <c r="V864" s="2"/>
      <c r="W864" s="2"/>
      <c r="X864" s="2"/>
      <c r="Y864" s="2"/>
      <c r="Z864" s="2"/>
    </row>
    <row r="865" spans="1:26" ht="15.75" customHeight="1" x14ac:dyDescent="0.2">
      <c r="A865" s="12"/>
      <c r="B865" s="10"/>
      <c r="C865" s="11"/>
      <c r="D865" s="13"/>
      <c r="E865" s="13"/>
      <c r="F865" s="13"/>
      <c r="G865" s="2"/>
      <c r="H865" s="2"/>
      <c r="I865" s="13"/>
      <c r="J865" s="13"/>
      <c r="K865" s="13"/>
      <c r="L865" s="14"/>
      <c r="M865" s="4"/>
      <c r="N865" s="2"/>
      <c r="O865" s="4"/>
      <c r="P865" s="2"/>
      <c r="Q865" s="2"/>
      <c r="R865" s="4"/>
      <c r="S865" s="2"/>
      <c r="T865" s="2"/>
      <c r="U865" s="1"/>
      <c r="V865" s="2"/>
      <c r="W865" s="2"/>
      <c r="X865" s="2"/>
      <c r="Y865" s="2"/>
      <c r="Z865" s="2"/>
    </row>
    <row r="866" spans="1:26" ht="15.75" customHeight="1" x14ac:dyDescent="0.2">
      <c r="A866" s="12"/>
      <c r="B866" s="10"/>
      <c r="C866" s="11"/>
      <c r="D866" s="13"/>
      <c r="E866" s="13"/>
      <c r="F866" s="13"/>
      <c r="G866" s="2"/>
      <c r="H866" s="2"/>
      <c r="I866" s="13"/>
      <c r="J866" s="13"/>
      <c r="K866" s="13"/>
      <c r="L866" s="14"/>
      <c r="M866" s="4"/>
      <c r="N866" s="2"/>
      <c r="O866" s="4"/>
      <c r="P866" s="2"/>
      <c r="Q866" s="2"/>
      <c r="R866" s="4"/>
      <c r="S866" s="2"/>
      <c r="T866" s="2"/>
      <c r="U866" s="1"/>
      <c r="V866" s="2"/>
      <c r="W866" s="2"/>
      <c r="X866" s="2"/>
      <c r="Y866" s="2"/>
      <c r="Z866" s="2"/>
    </row>
    <row r="867" spans="1:26" ht="15.75" customHeight="1" x14ac:dyDescent="0.2">
      <c r="A867" s="12"/>
      <c r="B867" s="10"/>
      <c r="C867" s="11"/>
      <c r="D867" s="13"/>
      <c r="E867" s="13"/>
      <c r="F867" s="13"/>
      <c r="G867" s="2"/>
      <c r="H867" s="2"/>
      <c r="I867" s="13"/>
      <c r="J867" s="13"/>
      <c r="K867" s="13"/>
      <c r="L867" s="14"/>
      <c r="M867" s="4"/>
      <c r="N867" s="2"/>
      <c r="O867" s="4"/>
      <c r="P867" s="2"/>
      <c r="Q867" s="2"/>
      <c r="R867" s="4"/>
      <c r="S867" s="2"/>
      <c r="T867" s="2"/>
      <c r="U867" s="1"/>
      <c r="V867" s="2"/>
      <c r="W867" s="2"/>
      <c r="X867" s="2"/>
      <c r="Y867" s="2"/>
      <c r="Z867" s="2"/>
    </row>
    <row r="868" spans="1:26" ht="15.75" customHeight="1" x14ac:dyDescent="0.2">
      <c r="A868" s="12"/>
      <c r="B868" s="10"/>
      <c r="C868" s="11"/>
      <c r="D868" s="13"/>
      <c r="E868" s="13"/>
      <c r="F868" s="13"/>
      <c r="G868" s="2"/>
      <c r="H868" s="2"/>
      <c r="I868" s="13"/>
      <c r="J868" s="13"/>
      <c r="K868" s="13"/>
      <c r="L868" s="14"/>
      <c r="M868" s="4"/>
      <c r="N868" s="2"/>
      <c r="O868" s="4"/>
      <c r="P868" s="2"/>
      <c r="Q868" s="2"/>
      <c r="R868" s="4"/>
      <c r="S868" s="2"/>
      <c r="T868" s="2"/>
      <c r="U868" s="1"/>
      <c r="V868" s="2"/>
      <c r="W868" s="2"/>
      <c r="X868" s="2"/>
      <c r="Y868" s="2"/>
      <c r="Z868" s="2"/>
    </row>
    <row r="869" spans="1:26" ht="15.75" customHeight="1" x14ac:dyDescent="0.2">
      <c r="A869" s="12"/>
      <c r="B869" s="10"/>
      <c r="C869" s="11"/>
      <c r="D869" s="13"/>
      <c r="E869" s="13"/>
      <c r="F869" s="13"/>
      <c r="G869" s="2"/>
      <c r="H869" s="2"/>
      <c r="I869" s="13"/>
      <c r="J869" s="13"/>
      <c r="K869" s="13"/>
      <c r="L869" s="14"/>
      <c r="M869" s="4"/>
      <c r="N869" s="2"/>
      <c r="O869" s="4"/>
      <c r="P869" s="2"/>
      <c r="Q869" s="2"/>
      <c r="R869" s="4"/>
      <c r="S869" s="2"/>
      <c r="T869" s="2"/>
      <c r="U869" s="1"/>
      <c r="V869" s="2"/>
      <c r="W869" s="2"/>
      <c r="X869" s="2"/>
      <c r="Y869" s="2"/>
      <c r="Z869" s="2"/>
    </row>
    <row r="870" spans="1:26" ht="15.75" customHeight="1" x14ac:dyDescent="0.2">
      <c r="A870" s="12"/>
      <c r="B870" s="10"/>
      <c r="C870" s="11"/>
      <c r="D870" s="13"/>
      <c r="E870" s="13"/>
      <c r="F870" s="13"/>
      <c r="G870" s="2"/>
      <c r="H870" s="2"/>
      <c r="I870" s="13"/>
      <c r="J870" s="13"/>
      <c r="K870" s="13"/>
      <c r="L870" s="14"/>
      <c r="M870" s="4"/>
      <c r="N870" s="2"/>
      <c r="O870" s="4"/>
      <c r="P870" s="2"/>
      <c r="Q870" s="2"/>
      <c r="R870" s="4"/>
      <c r="S870" s="2"/>
      <c r="T870" s="2"/>
      <c r="U870" s="1"/>
      <c r="V870" s="2"/>
      <c r="W870" s="2"/>
      <c r="X870" s="2"/>
      <c r="Y870" s="2"/>
      <c r="Z870" s="2"/>
    </row>
    <row r="871" spans="1:26" ht="15.75" customHeight="1" x14ac:dyDescent="0.2">
      <c r="A871" s="12"/>
      <c r="B871" s="10"/>
      <c r="C871" s="11"/>
      <c r="D871" s="13"/>
      <c r="E871" s="13"/>
      <c r="F871" s="13"/>
      <c r="G871" s="2"/>
      <c r="H871" s="2"/>
      <c r="I871" s="13"/>
      <c r="J871" s="13"/>
      <c r="K871" s="13"/>
      <c r="L871" s="14"/>
      <c r="M871" s="4"/>
      <c r="N871" s="2"/>
      <c r="O871" s="4"/>
      <c r="P871" s="2"/>
      <c r="Q871" s="2"/>
      <c r="R871" s="4"/>
      <c r="S871" s="2"/>
      <c r="T871" s="2"/>
      <c r="U871" s="1"/>
      <c r="V871" s="2"/>
      <c r="W871" s="2"/>
      <c r="X871" s="2"/>
      <c r="Y871" s="2"/>
      <c r="Z871" s="2"/>
    </row>
    <row r="872" spans="1:26" ht="15.75" customHeight="1" x14ac:dyDescent="0.2">
      <c r="A872" s="12"/>
      <c r="B872" s="10"/>
      <c r="C872" s="11"/>
      <c r="D872" s="13"/>
      <c r="E872" s="13"/>
      <c r="F872" s="13"/>
      <c r="G872" s="2"/>
      <c r="H872" s="2"/>
      <c r="I872" s="13"/>
      <c r="J872" s="13"/>
      <c r="K872" s="13"/>
      <c r="L872" s="14"/>
      <c r="M872" s="4"/>
      <c r="N872" s="2"/>
      <c r="O872" s="4"/>
      <c r="P872" s="2"/>
      <c r="Q872" s="2"/>
      <c r="R872" s="4"/>
      <c r="S872" s="2"/>
      <c r="T872" s="2"/>
      <c r="U872" s="1"/>
      <c r="V872" s="2"/>
      <c r="W872" s="2"/>
      <c r="X872" s="2"/>
      <c r="Y872" s="2"/>
      <c r="Z872" s="2"/>
    </row>
    <row r="873" spans="1:26" ht="15.75" customHeight="1" x14ac:dyDescent="0.2">
      <c r="A873" s="12"/>
      <c r="B873" s="10"/>
      <c r="C873" s="11"/>
      <c r="D873" s="13"/>
      <c r="E873" s="13"/>
      <c r="F873" s="13"/>
      <c r="G873" s="2"/>
      <c r="H873" s="2"/>
      <c r="I873" s="13"/>
      <c r="J873" s="13"/>
      <c r="K873" s="13"/>
      <c r="L873" s="14"/>
      <c r="M873" s="4"/>
      <c r="N873" s="2"/>
      <c r="O873" s="4"/>
      <c r="P873" s="2"/>
      <c r="Q873" s="2"/>
      <c r="R873" s="4"/>
      <c r="S873" s="2"/>
      <c r="T873" s="2"/>
      <c r="U873" s="1"/>
      <c r="V873" s="2"/>
      <c r="W873" s="2"/>
      <c r="X873" s="2"/>
      <c r="Y873" s="2"/>
      <c r="Z873" s="2"/>
    </row>
    <row r="874" spans="1:26" ht="15.75" customHeight="1" x14ac:dyDescent="0.2">
      <c r="A874" s="12"/>
      <c r="B874" s="10"/>
      <c r="C874" s="11"/>
      <c r="D874" s="13"/>
      <c r="E874" s="13"/>
      <c r="F874" s="13"/>
      <c r="G874" s="2"/>
      <c r="H874" s="2"/>
      <c r="I874" s="13"/>
      <c r="J874" s="13"/>
      <c r="K874" s="13"/>
      <c r="L874" s="14"/>
      <c r="M874" s="4"/>
      <c r="N874" s="2"/>
      <c r="O874" s="4"/>
      <c r="P874" s="2"/>
      <c r="Q874" s="2"/>
      <c r="R874" s="4"/>
      <c r="S874" s="2"/>
      <c r="T874" s="2"/>
      <c r="U874" s="1"/>
      <c r="V874" s="2"/>
      <c r="W874" s="2"/>
      <c r="X874" s="2"/>
      <c r="Y874" s="2"/>
      <c r="Z874" s="2"/>
    </row>
    <row r="875" spans="1:26" ht="15.75" customHeight="1" x14ac:dyDescent="0.2">
      <c r="A875" s="12"/>
      <c r="B875" s="10"/>
      <c r="C875" s="11"/>
      <c r="D875" s="13"/>
      <c r="E875" s="13"/>
      <c r="F875" s="13"/>
      <c r="G875" s="2"/>
      <c r="H875" s="2"/>
      <c r="I875" s="13"/>
      <c r="J875" s="13"/>
      <c r="K875" s="13"/>
      <c r="L875" s="14"/>
      <c r="M875" s="4"/>
      <c r="N875" s="2"/>
      <c r="O875" s="4"/>
      <c r="P875" s="2"/>
      <c r="Q875" s="2"/>
      <c r="R875" s="4"/>
      <c r="S875" s="2"/>
      <c r="T875" s="2"/>
      <c r="U875" s="1"/>
      <c r="V875" s="2"/>
      <c r="W875" s="2"/>
      <c r="X875" s="2"/>
      <c r="Y875" s="2"/>
      <c r="Z875" s="2"/>
    </row>
    <row r="876" spans="1:26" ht="15.75" customHeight="1" x14ac:dyDescent="0.2">
      <c r="A876" s="12"/>
      <c r="B876" s="10"/>
      <c r="C876" s="11"/>
      <c r="D876" s="13"/>
      <c r="E876" s="13"/>
      <c r="F876" s="13"/>
      <c r="G876" s="2"/>
      <c r="H876" s="2"/>
      <c r="I876" s="13"/>
      <c r="J876" s="13"/>
      <c r="K876" s="13"/>
      <c r="L876" s="14"/>
      <c r="M876" s="4"/>
      <c r="N876" s="2"/>
      <c r="O876" s="4"/>
      <c r="P876" s="2"/>
      <c r="Q876" s="2"/>
      <c r="R876" s="4"/>
      <c r="S876" s="2"/>
      <c r="T876" s="2"/>
      <c r="U876" s="1"/>
      <c r="V876" s="2"/>
      <c r="W876" s="2"/>
      <c r="X876" s="2"/>
      <c r="Y876" s="2"/>
      <c r="Z876" s="2"/>
    </row>
    <row r="877" spans="1:26" ht="15.75" customHeight="1" x14ac:dyDescent="0.2">
      <c r="A877" s="12"/>
      <c r="B877" s="10"/>
      <c r="C877" s="11"/>
      <c r="D877" s="13"/>
      <c r="E877" s="13"/>
      <c r="F877" s="13"/>
      <c r="G877" s="2"/>
      <c r="H877" s="2"/>
      <c r="I877" s="13"/>
      <c r="J877" s="13"/>
      <c r="K877" s="13"/>
      <c r="L877" s="14"/>
      <c r="M877" s="4"/>
      <c r="N877" s="2"/>
      <c r="O877" s="4"/>
      <c r="P877" s="2"/>
      <c r="Q877" s="2"/>
      <c r="R877" s="4"/>
      <c r="S877" s="2"/>
      <c r="T877" s="2"/>
      <c r="U877" s="1"/>
      <c r="V877" s="2"/>
      <c r="W877" s="2"/>
      <c r="X877" s="2"/>
      <c r="Y877" s="2"/>
      <c r="Z877" s="2"/>
    </row>
    <row r="878" spans="1:26" ht="15.75" customHeight="1" x14ac:dyDescent="0.2">
      <c r="A878" s="12"/>
      <c r="B878" s="10"/>
      <c r="C878" s="11"/>
      <c r="D878" s="13"/>
      <c r="E878" s="13"/>
      <c r="F878" s="13"/>
      <c r="G878" s="2"/>
      <c r="H878" s="2"/>
      <c r="I878" s="13"/>
      <c r="J878" s="13"/>
      <c r="K878" s="13"/>
      <c r="L878" s="14"/>
      <c r="M878" s="4"/>
      <c r="N878" s="2"/>
      <c r="O878" s="4"/>
      <c r="P878" s="2"/>
      <c r="Q878" s="2"/>
      <c r="R878" s="4"/>
      <c r="S878" s="2"/>
      <c r="T878" s="2"/>
      <c r="U878" s="1"/>
      <c r="V878" s="2"/>
      <c r="W878" s="2"/>
      <c r="X878" s="2"/>
      <c r="Y878" s="2"/>
      <c r="Z878" s="2"/>
    </row>
    <row r="879" spans="1:26" ht="15.75" customHeight="1" x14ac:dyDescent="0.2">
      <c r="A879" s="12"/>
      <c r="B879" s="10"/>
      <c r="C879" s="11"/>
      <c r="D879" s="13"/>
      <c r="E879" s="13"/>
      <c r="F879" s="13"/>
      <c r="G879" s="2"/>
      <c r="H879" s="2"/>
      <c r="I879" s="13"/>
      <c r="J879" s="13"/>
      <c r="K879" s="13"/>
      <c r="L879" s="14"/>
      <c r="M879" s="4"/>
      <c r="N879" s="2"/>
      <c r="O879" s="4"/>
      <c r="P879" s="2"/>
      <c r="Q879" s="2"/>
      <c r="R879" s="4"/>
      <c r="S879" s="2"/>
      <c r="T879" s="2"/>
      <c r="U879" s="1"/>
      <c r="V879" s="2"/>
      <c r="W879" s="2"/>
      <c r="X879" s="2"/>
      <c r="Y879" s="2"/>
      <c r="Z879" s="2"/>
    </row>
    <row r="880" spans="1:26" ht="15.75" customHeight="1" x14ac:dyDescent="0.2">
      <c r="A880" s="12"/>
      <c r="B880" s="10"/>
      <c r="C880" s="11"/>
      <c r="D880" s="13"/>
      <c r="E880" s="13"/>
      <c r="F880" s="13"/>
      <c r="G880" s="2"/>
      <c r="H880" s="2"/>
      <c r="I880" s="13"/>
      <c r="J880" s="13"/>
      <c r="K880" s="13"/>
      <c r="L880" s="14"/>
      <c r="M880" s="4"/>
      <c r="N880" s="2"/>
      <c r="O880" s="4"/>
      <c r="P880" s="2"/>
      <c r="Q880" s="2"/>
      <c r="R880" s="4"/>
      <c r="S880" s="2"/>
      <c r="T880" s="2"/>
      <c r="U880" s="1"/>
      <c r="V880" s="2"/>
      <c r="W880" s="2"/>
      <c r="X880" s="2"/>
      <c r="Y880" s="2"/>
      <c r="Z880" s="2"/>
    </row>
    <row r="881" spans="1:26" ht="15.75" customHeight="1" x14ac:dyDescent="0.2">
      <c r="A881" s="12"/>
      <c r="B881" s="10"/>
      <c r="C881" s="11"/>
      <c r="D881" s="13"/>
      <c r="E881" s="13"/>
      <c r="F881" s="13"/>
      <c r="G881" s="2"/>
      <c r="H881" s="2"/>
      <c r="I881" s="13"/>
      <c r="J881" s="13"/>
      <c r="K881" s="13"/>
      <c r="L881" s="14"/>
      <c r="M881" s="4"/>
      <c r="N881" s="2"/>
      <c r="O881" s="4"/>
      <c r="P881" s="2"/>
      <c r="Q881" s="2"/>
      <c r="R881" s="4"/>
      <c r="S881" s="2"/>
      <c r="T881" s="2"/>
      <c r="U881" s="1"/>
      <c r="V881" s="2"/>
      <c r="W881" s="2"/>
      <c r="X881" s="2"/>
      <c r="Y881" s="2"/>
      <c r="Z881" s="2"/>
    </row>
    <row r="882" spans="1:26" ht="15.75" customHeight="1" x14ac:dyDescent="0.2">
      <c r="A882" s="12"/>
      <c r="B882" s="10"/>
      <c r="C882" s="11"/>
      <c r="D882" s="13"/>
      <c r="E882" s="13"/>
      <c r="F882" s="13"/>
      <c r="G882" s="2"/>
      <c r="H882" s="2"/>
      <c r="I882" s="13"/>
      <c r="J882" s="13"/>
      <c r="K882" s="13"/>
      <c r="L882" s="14"/>
      <c r="M882" s="4"/>
      <c r="N882" s="2"/>
      <c r="O882" s="4"/>
      <c r="P882" s="2"/>
      <c r="Q882" s="2"/>
      <c r="R882" s="4"/>
      <c r="S882" s="2"/>
      <c r="T882" s="2"/>
      <c r="U882" s="1"/>
      <c r="V882" s="2"/>
      <c r="W882" s="2"/>
      <c r="X882" s="2"/>
      <c r="Y882" s="2"/>
      <c r="Z882" s="2"/>
    </row>
    <row r="883" spans="1:26" ht="15.75" customHeight="1" x14ac:dyDescent="0.2">
      <c r="A883" s="12"/>
      <c r="B883" s="10"/>
      <c r="C883" s="11"/>
      <c r="D883" s="13"/>
      <c r="E883" s="13"/>
      <c r="F883" s="13"/>
      <c r="G883" s="2"/>
      <c r="H883" s="2"/>
      <c r="I883" s="13"/>
      <c r="J883" s="13"/>
      <c r="K883" s="13"/>
      <c r="L883" s="14"/>
      <c r="M883" s="4"/>
      <c r="N883" s="2"/>
      <c r="O883" s="4"/>
      <c r="P883" s="2"/>
      <c r="Q883" s="2"/>
      <c r="R883" s="4"/>
      <c r="S883" s="2"/>
      <c r="T883" s="2"/>
      <c r="U883" s="1"/>
      <c r="V883" s="2"/>
      <c r="W883" s="2"/>
      <c r="X883" s="2"/>
      <c r="Y883" s="2"/>
      <c r="Z883" s="2"/>
    </row>
    <row r="884" spans="1:26" ht="15.75" customHeight="1" x14ac:dyDescent="0.2">
      <c r="A884" s="12"/>
      <c r="B884" s="10"/>
      <c r="C884" s="11"/>
      <c r="D884" s="13"/>
      <c r="E884" s="13"/>
      <c r="F884" s="13"/>
      <c r="G884" s="2"/>
      <c r="H884" s="2"/>
      <c r="I884" s="13"/>
      <c r="J884" s="13"/>
      <c r="K884" s="13"/>
      <c r="L884" s="14"/>
      <c r="M884" s="4"/>
      <c r="N884" s="2"/>
      <c r="O884" s="4"/>
      <c r="P884" s="2"/>
      <c r="Q884" s="2"/>
      <c r="R884" s="4"/>
      <c r="S884" s="2"/>
      <c r="T884" s="2"/>
      <c r="U884" s="1"/>
      <c r="V884" s="2"/>
      <c r="W884" s="2"/>
      <c r="X884" s="2"/>
      <c r="Y884" s="2"/>
      <c r="Z884" s="2"/>
    </row>
    <row r="885" spans="1:26" ht="15.75" customHeight="1" x14ac:dyDescent="0.2">
      <c r="A885" s="12"/>
      <c r="B885" s="10"/>
      <c r="C885" s="11"/>
      <c r="D885" s="13"/>
      <c r="E885" s="13"/>
      <c r="F885" s="13"/>
      <c r="G885" s="2"/>
      <c r="H885" s="2"/>
      <c r="I885" s="13"/>
      <c r="J885" s="13"/>
      <c r="K885" s="13"/>
      <c r="L885" s="14"/>
      <c r="M885" s="4"/>
      <c r="N885" s="2"/>
      <c r="O885" s="4"/>
      <c r="P885" s="2"/>
      <c r="Q885" s="2"/>
      <c r="R885" s="4"/>
      <c r="S885" s="2"/>
      <c r="T885" s="2"/>
      <c r="U885" s="1"/>
      <c r="V885" s="2"/>
      <c r="W885" s="2"/>
      <c r="X885" s="2"/>
      <c r="Y885" s="2"/>
      <c r="Z885" s="2"/>
    </row>
    <row r="886" spans="1:26" ht="15.75" customHeight="1" x14ac:dyDescent="0.2">
      <c r="A886" s="12"/>
      <c r="B886" s="10"/>
      <c r="C886" s="11"/>
      <c r="D886" s="13"/>
      <c r="E886" s="13"/>
      <c r="F886" s="13"/>
      <c r="G886" s="2"/>
      <c r="H886" s="2"/>
      <c r="I886" s="13"/>
      <c r="J886" s="13"/>
      <c r="K886" s="13"/>
      <c r="L886" s="14"/>
      <c r="M886" s="4"/>
      <c r="N886" s="2"/>
      <c r="O886" s="4"/>
      <c r="P886" s="2"/>
      <c r="Q886" s="2"/>
      <c r="R886" s="4"/>
      <c r="S886" s="2"/>
      <c r="T886" s="2"/>
      <c r="U886" s="1"/>
      <c r="V886" s="2"/>
      <c r="W886" s="2"/>
      <c r="X886" s="2"/>
      <c r="Y886" s="2"/>
      <c r="Z886" s="2"/>
    </row>
    <row r="887" spans="1:26" ht="15.75" customHeight="1" x14ac:dyDescent="0.2">
      <c r="A887" s="12"/>
      <c r="B887" s="10"/>
      <c r="C887" s="11"/>
      <c r="D887" s="13"/>
      <c r="E887" s="13"/>
      <c r="F887" s="13"/>
      <c r="G887" s="2"/>
      <c r="H887" s="2"/>
      <c r="I887" s="13"/>
      <c r="J887" s="13"/>
      <c r="K887" s="13"/>
      <c r="L887" s="14"/>
      <c r="M887" s="4"/>
      <c r="N887" s="2"/>
      <c r="O887" s="4"/>
      <c r="P887" s="2"/>
      <c r="Q887" s="2"/>
      <c r="R887" s="4"/>
      <c r="S887" s="2"/>
      <c r="T887" s="2"/>
      <c r="U887" s="1"/>
      <c r="V887" s="2"/>
      <c r="W887" s="2"/>
      <c r="X887" s="2"/>
      <c r="Y887" s="2"/>
      <c r="Z887" s="2"/>
    </row>
    <row r="888" spans="1:26" ht="15.75" customHeight="1" x14ac:dyDescent="0.2">
      <c r="A888" s="12"/>
      <c r="B888" s="10"/>
      <c r="C888" s="11"/>
      <c r="D888" s="13"/>
      <c r="E888" s="13"/>
      <c r="F888" s="13"/>
      <c r="G888" s="2"/>
      <c r="H888" s="2"/>
      <c r="I888" s="13"/>
      <c r="J888" s="13"/>
      <c r="K888" s="13"/>
      <c r="L888" s="14"/>
      <c r="M888" s="4"/>
      <c r="N888" s="2"/>
      <c r="O888" s="4"/>
      <c r="P888" s="2"/>
      <c r="Q888" s="2"/>
      <c r="R888" s="4"/>
      <c r="S888" s="2"/>
      <c r="T888" s="2"/>
      <c r="U888" s="1"/>
      <c r="V888" s="2"/>
      <c r="W888" s="2"/>
      <c r="X888" s="2"/>
      <c r="Y888" s="2"/>
      <c r="Z888" s="2"/>
    </row>
    <row r="889" spans="1:26" ht="15.75" customHeight="1" x14ac:dyDescent="0.2">
      <c r="A889" s="12"/>
      <c r="B889" s="10"/>
      <c r="C889" s="11"/>
      <c r="D889" s="13"/>
      <c r="E889" s="13"/>
      <c r="F889" s="13"/>
      <c r="G889" s="2"/>
      <c r="H889" s="2"/>
      <c r="I889" s="13"/>
      <c r="J889" s="13"/>
      <c r="K889" s="13"/>
      <c r="L889" s="14"/>
      <c r="M889" s="4"/>
      <c r="N889" s="2"/>
      <c r="O889" s="4"/>
      <c r="P889" s="2"/>
      <c r="Q889" s="2"/>
      <c r="R889" s="4"/>
      <c r="S889" s="2"/>
      <c r="T889" s="2"/>
      <c r="U889" s="1"/>
      <c r="V889" s="2"/>
      <c r="W889" s="2"/>
      <c r="X889" s="2"/>
      <c r="Y889" s="2"/>
      <c r="Z889" s="2"/>
    </row>
    <row r="890" spans="1:26" ht="15.75" customHeight="1" x14ac:dyDescent="0.2">
      <c r="A890" s="12"/>
      <c r="B890" s="10"/>
      <c r="C890" s="11"/>
      <c r="D890" s="13"/>
      <c r="E890" s="13"/>
      <c r="F890" s="13"/>
      <c r="G890" s="2"/>
      <c r="H890" s="2"/>
      <c r="I890" s="13"/>
      <c r="J890" s="13"/>
      <c r="K890" s="13"/>
      <c r="L890" s="14"/>
      <c r="M890" s="4"/>
      <c r="N890" s="2"/>
      <c r="O890" s="4"/>
      <c r="P890" s="2"/>
      <c r="Q890" s="2"/>
      <c r="R890" s="4"/>
      <c r="S890" s="2"/>
      <c r="T890" s="2"/>
      <c r="U890" s="1"/>
      <c r="V890" s="2"/>
      <c r="W890" s="2"/>
      <c r="X890" s="2"/>
      <c r="Y890" s="2"/>
      <c r="Z890" s="2"/>
    </row>
    <row r="891" spans="1:26" ht="15.75" customHeight="1" x14ac:dyDescent="0.2">
      <c r="A891" s="12"/>
      <c r="B891" s="10"/>
      <c r="C891" s="11"/>
      <c r="D891" s="13"/>
      <c r="E891" s="13"/>
      <c r="F891" s="13"/>
      <c r="G891" s="2"/>
      <c r="H891" s="2"/>
      <c r="I891" s="13"/>
      <c r="J891" s="13"/>
      <c r="K891" s="13"/>
      <c r="L891" s="14"/>
      <c r="M891" s="4"/>
      <c r="N891" s="2"/>
      <c r="O891" s="4"/>
      <c r="P891" s="2"/>
      <c r="Q891" s="2"/>
      <c r="R891" s="4"/>
      <c r="S891" s="2"/>
      <c r="T891" s="2"/>
      <c r="U891" s="1"/>
      <c r="V891" s="2"/>
      <c r="W891" s="2"/>
      <c r="X891" s="2"/>
      <c r="Y891" s="2"/>
      <c r="Z891" s="2"/>
    </row>
    <row r="892" spans="1:26" ht="15.75" customHeight="1" x14ac:dyDescent="0.2">
      <c r="A892" s="12"/>
      <c r="B892" s="10"/>
      <c r="C892" s="11"/>
      <c r="D892" s="13"/>
      <c r="E892" s="13"/>
      <c r="F892" s="13"/>
      <c r="G892" s="2"/>
      <c r="H892" s="2"/>
      <c r="I892" s="13"/>
      <c r="J892" s="13"/>
      <c r="K892" s="13"/>
      <c r="L892" s="14"/>
      <c r="M892" s="4"/>
      <c r="N892" s="2"/>
      <c r="O892" s="4"/>
      <c r="P892" s="2"/>
      <c r="Q892" s="2"/>
      <c r="R892" s="4"/>
      <c r="S892" s="2"/>
      <c r="T892" s="2"/>
      <c r="U892" s="1"/>
      <c r="V892" s="2"/>
      <c r="W892" s="2"/>
      <c r="X892" s="2"/>
      <c r="Y892" s="2"/>
      <c r="Z892" s="2"/>
    </row>
    <row r="893" spans="1:26" ht="15.75" customHeight="1" x14ac:dyDescent="0.2">
      <c r="A893" s="12"/>
      <c r="B893" s="10"/>
      <c r="C893" s="11"/>
      <c r="D893" s="13"/>
      <c r="E893" s="13"/>
      <c r="F893" s="13"/>
      <c r="G893" s="2"/>
      <c r="H893" s="2"/>
      <c r="I893" s="13"/>
      <c r="J893" s="13"/>
      <c r="K893" s="13"/>
      <c r="L893" s="14"/>
      <c r="M893" s="4"/>
      <c r="N893" s="2"/>
      <c r="O893" s="4"/>
      <c r="P893" s="2"/>
      <c r="Q893" s="2"/>
      <c r="R893" s="4"/>
      <c r="S893" s="2"/>
      <c r="T893" s="2"/>
      <c r="U893" s="1"/>
      <c r="V893" s="2"/>
      <c r="W893" s="2"/>
      <c r="X893" s="2"/>
      <c r="Y893" s="2"/>
      <c r="Z893" s="2"/>
    </row>
    <row r="894" spans="1:26" ht="15.75" customHeight="1" x14ac:dyDescent="0.2">
      <c r="A894" s="12"/>
      <c r="B894" s="10"/>
      <c r="C894" s="11"/>
      <c r="D894" s="13"/>
      <c r="E894" s="13"/>
      <c r="F894" s="13"/>
      <c r="G894" s="2"/>
      <c r="H894" s="2"/>
      <c r="I894" s="13"/>
      <c r="J894" s="13"/>
      <c r="K894" s="13"/>
      <c r="L894" s="14"/>
      <c r="M894" s="4"/>
      <c r="N894" s="2"/>
      <c r="O894" s="4"/>
      <c r="P894" s="2"/>
      <c r="Q894" s="2"/>
      <c r="R894" s="4"/>
      <c r="S894" s="2"/>
      <c r="T894" s="2"/>
      <c r="U894" s="1"/>
      <c r="V894" s="2"/>
      <c r="W894" s="2"/>
      <c r="X894" s="2"/>
      <c r="Y894" s="2"/>
      <c r="Z894" s="2"/>
    </row>
    <row r="895" spans="1:26" ht="15.75" customHeight="1" x14ac:dyDescent="0.2">
      <c r="A895" s="12"/>
      <c r="B895" s="10"/>
      <c r="C895" s="11"/>
      <c r="D895" s="13"/>
      <c r="E895" s="13"/>
      <c r="F895" s="13"/>
      <c r="G895" s="2"/>
      <c r="H895" s="2"/>
      <c r="I895" s="13"/>
      <c r="J895" s="13"/>
      <c r="K895" s="13"/>
      <c r="L895" s="14"/>
      <c r="M895" s="4"/>
      <c r="N895" s="2"/>
      <c r="O895" s="4"/>
      <c r="P895" s="2"/>
      <c r="Q895" s="2"/>
      <c r="R895" s="4"/>
      <c r="S895" s="2"/>
      <c r="T895" s="2"/>
      <c r="U895" s="1"/>
      <c r="V895" s="2"/>
      <c r="W895" s="2"/>
      <c r="X895" s="2"/>
      <c r="Y895" s="2"/>
      <c r="Z895" s="2"/>
    </row>
    <row r="896" spans="1:26" ht="15.75" customHeight="1" x14ac:dyDescent="0.2">
      <c r="A896" s="12"/>
      <c r="B896" s="10"/>
      <c r="C896" s="11"/>
      <c r="D896" s="13"/>
      <c r="E896" s="13"/>
      <c r="F896" s="13"/>
      <c r="G896" s="2"/>
      <c r="H896" s="2"/>
      <c r="I896" s="13"/>
      <c r="J896" s="13"/>
      <c r="K896" s="13"/>
      <c r="L896" s="14"/>
      <c r="M896" s="4"/>
      <c r="N896" s="2"/>
      <c r="O896" s="4"/>
      <c r="P896" s="2"/>
      <c r="Q896" s="2"/>
      <c r="R896" s="4"/>
      <c r="S896" s="2"/>
      <c r="T896" s="2"/>
      <c r="U896" s="1"/>
      <c r="V896" s="2"/>
      <c r="W896" s="2"/>
      <c r="X896" s="2"/>
      <c r="Y896" s="2"/>
      <c r="Z896" s="2"/>
    </row>
    <row r="897" spans="1:26" ht="15.75" customHeight="1" x14ac:dyDescent="0.2">
      <c r="A897" s="12"/>
      <c r="B897" s="10"/>
      <c r="C897" s="11"/>
      <c r="D897" s="13"/>
      <c r="E897" s="13"/>
      <c r="F897" s="13"/>
      <c r="G897" s="2"/>
      <c r="H897" s="2"/>
      <c r="I897" s="13"/>
      <c r="J897" s="13"/>
      <c r="K897" s="13"/>
      <c r="L897" s="14"/>
      <c r="M897" s="4"/>
      <c r="N897" s="2"/>
      <c r="O897" s="4"/>
      <c r="P897" s="2"/>
      <c r="Q897" s="2"/>
      <c r="R897" s="4"/>
      <c r="S897" s="2"/>
      <c r="T897" s="2"/>
      <c r="U897" s="1"/>
      <c r="V897" s="2"/>
      <c r="W897" s="2"/>
      <c r="X897" s="2"/>
      <c r="Y897" s="2"/>
      <c r="Z897" s="2"/>
    </row>
    <row r="898" spans="1:26" ht="15.75" customHeight="1" x14ac:dyDescent="0.2">
      <c r="A898" s="12"/>
      <c r="B898" s="10"/>
      <c r="C898" s="11"/>
      <c r="D898" s="13"/>
      <c r="E898" s="13"/>
      <c r="F898" s="13"/>
      <c r="G898" s="2"/>
      <c r="H898" s="2"/>
      <c r="I898" s="13"/>
      <c r="J898" s="13"/>
      <c r="K898" s="13"/>
      <c r="L898" s="14"/>
      <c r="M898" s="4"/>
      <c r="N898" s="2"/>
      <c r="O898" s="4"/>
      <c r="P898" s="2"/>
      <c r="Q898" s="2"/>
      <c r="R898" s="4"/>
      <c r="S898" s="2"/>
      <c r="T898" s="2"/>
      <c r="U898" s="1"/>
      <c r="V898" s="2"/>
      <c r="W898" s="2"/>
      <c r="X898" s="2"/>
      <c r="Y898" s="2"/>
      <c r="Z898" s="2"/>
    </row>
    <row r="899" spans="1:26" ht="15.75" customHeight="1" x14ac:dyDescent="0.2">
      <c r="A899" s="12"/>
      <c r="B899" s="10"/>
      <c r="C899" s="11"/>
      <c r="D899" s="13"/>
      <c r="E899" s="13"/>
      <c r="F899" s="13"/>
      <c r="G899" s="2"/>
      <c r="H899" s="2"/>
      <c r="I899" s="13"/>
      <c r="J899" s="13"/>
      <c r="K899" s="13"/>
      <c r="L899" s="14"/>
      <c r="M899" s="4"/>
      <c r="N899" s="2"/>
      <c r="O899" s="4"/>
      <c r="P899" s="2"/>
      <c r="Q899" s="2"/>
      <c r="R899" s="4"/>
      <c r="S899" s="2"/>
      <c r="T899" s="2"/>
      <c r="U899" s="1"/>
      <c r="V899" s="2"/>
      <c r="W899" s="2"/>
      <c r="X899" s="2"/>
      <c r="Y899" s="2"/>
      <c r="Z899" s="2"/>
    </row>
    <row r="900" spans="1:26" ht="15.75" customHeight="1" x14ac:dyDescent="0.2">
      <c r="A900" s="12"/>
      <c r="B900" s="10"/>
      <c r="C900" s="11"/>
      <c r="D900" s="13"/>
      <c r="E900" s="13"/>
      <c r="F900" s="13"/>
      <c r="G900" s="2"/>
      <c r="H900" s="2"/>
      <c r="I900" s="13"/>
      <c r="J900" s="13"/>
      <c r="K900" s="13"/>
      <c r="L900" s="14"/>
      <c r="M900" s="4"/>
      <c r="N900" s="2"/>
      <c r="O900" s="4"/>
      <c r="P900" s="2"/>
      <c r="Q900" s="2"/>
      <c r="R900" s="4"/>
      <c r="S900" s="2"/>
      <c r="T900" s="2"/>
      <c r="U900" s="1"/>
      <c r="V900" s="2"/>
      <c r="W900" s="2"/>
      <c r="X900" s="2"/>
      <c r="Y900" s="2"/>
      <c r="Z900" s="2"/>
    </row>
    <row r="901" spans="1:26" ht="15.75" customHeight="1" x14ac:dyDescent="0.2">
      <c r="A901" s="12"/>
      <c r="B901" s="10"/>
      <c r="C901" s="11"/>
      <c r="D901" s="13"/>
      <c r="E901" s="13"/>
      <c r="F901" s="13"/>
      <c r="G901" s="2"/>
      <c r="H901" s="2"/>
      <c r="I901" s="13"/>
      <c r="J901" s="13"/>
      <c r="K901" s="13"/>
      <c r="L901" s="14"/>
      <c r="M901" s="4"/>
      <c r="N901" s="2"/>
      <c r="O901" s="4"/>
      <c r="P901" s="2"/>
      <c r="Q901" s="2"/>
      <c r="R901" s="4"/>
      <c r="S901" s="2"/>
      <c r="T901" s="2"/>
      <c r="U901" s="1"/>
      <c r="V901" s="2"/>
      <c r="W901" s="2"/>
      <c r="X901" s="2"/>
      <c r="Y901" s="2"/>
      <c r="Z901" s="2"/>
    </row>
    <row r="902" spans="1:26" ht="15.75" customHeight="1" x14ac:dyDescent="0.2">
      <c r="A902" s="12"/>
      <c r="B902" s="10"/>
      <c r="C902" s="11"/>
      <c r="D902" s="13"/>
      <c r="E902" s="13"/>
      <c r="F902" s="13"/>
      <c r="G902" s="2"/>
      <c r="H902" s="2"/>
      <c r="I902" s="13"/>
      <c r="J902" s="13"/>
      <c r="K902" s="13"/>
      <c r="L902" s="14"/>
      <c r="M902" s="4"/>
      <c r="N902" s="2"/>
      <c r="O902" s="4"/>
      <c r="P902" s="2"/>
      <c r="Q902" s="2"/>
      <c r="R902" s="4"/>
      <c r="S902" s="2"/>
      <c r="T902" s="2"/>
      <c r="U902" s="1"/>
      <c r="V902" s="2"/>
      <c r="W902" s="2"/>
      <c r="X902" s="2"/>
      <c r="Y902" s="2"/>
      <c r="Z902" s="2"/>
    </row>
    <row r="903" spans="1:26" ht="15.75" customHeight="1" x14ac:dyDescent="0.2">
      <c r="A903" s="12"/>
      <c r="B903" s="10"/>
      <c r="C903" s="11"/>
      <c r="D903" s="13"/>
      <c r="E903" s="13"/>
      <c r="F903" s="13"/>
      <c r="G903" s="2"/>
      <c r="H903" s="2"/>
      <c r="I903" s="13"/>
      <c r="J903" s="13"/>
      <c r="K903" s="13"/>
      <c r="L903" s="14"/>
      <c r="M903" s="4"/>
      <c r="N903" s="2"/>
      <c r="O903" s="4"/>
      <c r="P903" s="2"/>
      <c r="Q903" s="2"/>
      <c r="R903" s="4"/>
      <c r="S903" s="2"/>
      <c r="T903" s="2"/>
      <c r="U903" s="1"/>
      <c r="V903" s="2"/>
      <c r="W903" s="2"/>
      <c r="X903" s="2"/>
      <c r="Y903" s="2"/>
      <c r="Z903" s="2"/>
    </row>
    <row r="904" spans="1:26" ht="15.75" customHeight="1" x14ac:dyDescent="0.2">
      <c r="A904" s="12"/>
      <c r="B904" s="10"/>
      <c r="C904" s="11"/>
      <c r="D904" s="13"/>
      <c r="E904" s="13"/>
      <c r="F904" s="13"/>
      <c r="G904" s="2"/>
      <c r="H904" s="2"/>
      <c r="I904" s="13"/>
      <c r="J904" s="13"/>
      <c r="K904" s="13"/>
      <c r="L904" s="14"/>
      <c r="M904" s="4"/>
      <c r="N904" s="2"/>
      <c r="O904" s="4"/>
      <c r="P904" s="2"/>
      <c r="Q904" s="2"/>
      <c r="R904" s="4"/>
      <c r="S904" s="2"/>
      <c r="T904" s="2"/>
      <c r="U904" s="1"/>
      <c r="V904" s="2"/>
      <c r="W904" s="2"/>
      <c r="X904" s="2"/>
      <c r="Y904" s="2"/>
      <c r="Z904" s="2"/>
    </row>
    <row r="905" spans="1:26" ht="15.75" customHeight="1" x14ac:dyDescent="0.2">
      <c r="A905" s="12"/>
      <c r="B905" s="10"/>
      <c r="C905" s="11"/>
      <c r="D905" s="13"/>
      <c r="E905" s="13"/>
      <c r="F905" s="13"/>
      <c r="G905" s="2"/>
      <c r="H905" s="2"/>
      <c r="I905" s="13"/>
      <c r="J905" s="13"/>
      <c r="K905" s="13"/>
      <c r="L905" s="14"/>
      <c r="M905" s="4"/>
      <c r="N905" s="2"/>
      <c r="O905" s="4"/>
      <c r="P905" s="2"/>
      <c r="Q905" s="2"/>
      <c r="R905" s="4"/>
      <c r="S905" s="2"/>
      <c r="T905" s="2"/>
      <c r="U905" s="1"/>
      <c r="V905" s="2"/>
      <c r="W905" s="2"/>
      <c r="X905" s="2"/>
      <c r="Y905" s="2"/>
      <c r="Z905" s="2"/>
    </row>
    <row r="906" spans="1:26" ht="15.75" customHeight="1" x14ac:dyDescent="0.2">
      <c r="A906" s="12"/>
      <c r="B906" s="10"/>
      <c r="C906" s="11"/>
      <c r="D906" s="13"/>
      <c r="E906" s="13"/>
      <c r="F906" s="13"/>
      <c r="G906" s="2"/>
      <c r="H906" s="2"/>
      <c r="I906" s="13"/>
      <c r="J906" s="13"/>
      <c r="K906" s="13"/>
      <c r="L906" s="14"/>
      <c r="M906" s="4"/>
      <c r="N906" s="2"/>
      <c r="O906" s="4"/>
      <c r="P906" s="2"/>
      <c r="Q906" s="2"/>
      <c r="R906" s="4"/>
      <c r="S906" s="2"/>
      <c r="T906" s="2"/>
      <c r="U906" s="1"/>
      <c r="V906" s="2"/>
      <c r="W906" s="2"/>
      <c r="X906" s="2"/>
      <c r="Y906" s="2"/>
      <c r="Z906" s="2"/>
    </row>
    <row r="907" spans="1:26" ht="15.75" customHeight="1" x14ac:dyDescent="0.2">
      <c r="A907" s="12"/>
      <c r="B907" s="10"/>
      <c r="C907" s="11"/>
      <c r="D907" s="13"/>
      <c r="E907" s="13"/>
      <c r="F907" s="13"/>
      <c r="G907" s="2"/>
      <c r="H907" s="2"/>
      <c r="I907" s="13"/>
      <c r="J907" s="13"/>
      <c r="K907" s="13"/>
      <c r="L907" s="14"/>
      <c r="M907" s="4"/>
      <c r="N907" s="2"/>
      <c r="O907" s="4"/>
      <c r="P907" s="2"/>
      <c r="Q907" s="2"/>
      <c r="R907" s="4"/>
      <c r="S907" s="2"/>
      <c r="T907" s="2"/>
      <c r="U907" s="1"/>
      <c r="V907" s="2"/>
      <c r="W907" s="2"/>
      <c r="X907" s="2"/>
      <c r="Y907" s="2"/>
      <c r="Z907" s="2"/>
    </row>
    <row r="908" spans="1:26" ht="15.75" customHeight="1" x14ac:dyDescent="0.2">
      <c r="A908" s="12"/>
      <c r="B908" s="10"/>
      <c r="C908" s="11"/>
      <c r="D908" s="13"/>
      <c r="E908" s="13"/>
      <c r="F908" s="13"/>
      <c r="G908" s="2"/>
      <c r="H908" s="2"/>
      <c r="I908" s="13"/>
      <c r="J908" s="13"/>
      <c r="K908" s="13"/>
      <c r="L908" s="14"/>
      <c r="M908" s="4"/>
      <c r="N908" s="2"/>
      <c r="O908" s="4"/>
      <c r="P908" s="2"/>
      <c r="Q908" s="2"/>
      <c r="R908" s="4"/>
      <c r="S908" s="2"/>
      <c r="T908" s="2"/>
      <c r="U908" s="1"/>
      <c r="V908" s="2"/>
      <c r="W908" s="2"/>
      <c r="X908" s="2"/>
      <c r="Y908" s="2"/>
      <c r="Z908" s="2"/>
    </row>
    <row r="909" spans="1:26" ht="15.75" customHeight="1" x14ac:dyDescent="0.2">
      <c r="A909" s="12"/>
      <c r="B909" s="10"/>
      <c r="C909" s="11"/>
      <c r="D909" s="13"/>
      <c r="E909" s="13"/>
      <c r="F909" s="13"/>
      <c r="G909" s="2"/>
      <c r="H909" s="2"/>
      <c r="I909" s="13"/>
      <c r="J909" s="13"/>
      <c r="K909" s="13"/>
      <c r="L909" s="14"/>
      <c r="M909" s="4"/>
      <c r="N909" s="2"/>
      <c r="O909" s="4"/>
      <c r="P909" s="2"/>
      <c r="Q909" s="2"/>
      <c r="R909" s="4"/>
      <c r="S909" s="2"/>
      <c r="T909" s="2"/>
      <c r="U909" s="1"/>
      <c r="V909" s="2"/>
      <c r="W909" s="2"/>
      <c r="X909" s="2"/>
      <c r="Y909" s="2"/>
      <c r="Z909" s="2"/>
    </row>
    <row r="910" spans="1:26" ht="15.75" customHeight="1" x14ac:dyDescent="0.2">
      <c r="A910" s="12"/>
      <c r="B910" s="10"/>
      <c r="C910" s="11"/>
      <c r="D910" s="13"/>
      <c r="E910" s="13"/>
      <c r="F910" s="13"/>
      <c r="G910" s="2"/>
      <c r="H910" s="2"/>
      <c r="I910" s="13"/>
      <c r="J910" s="13"/>
      <c r="K910" s="13"/>
      <c r="L910" s="14"/>
      <c r="M910" s="4"/>
      <c r="N910" s="2"/>
      <c r="O910" s="4"/>
      <c r="P910" s="2"/>
      <c r="Q910" s="2"/>
      <c r="R910" s="4"/>
      <c r="S910" s="2"/>
      <c r="T910" s="2"/>
      <c r="U910" s="1"/>
      <c r="V910" s="2"/>
      <c r="W910" s="2"/>
      <c r="X910" s="2"/>
      <c r="Y910" s="2"/>
      <c r="Z910" s="2"/>
    </row>
    <row r="911" spans="1:26" ht="15.75" customHeight="1" x14ac:dyDescent="0.2">
      <c r="A911" s="12"/>
      <c r="B911" s="10"/>
      <c r="C911" s="11"/>
      <c r="D911" s="13"/>
      <c r="E911" s="13"/>
      <c r="F911" s="13"/>
      <c r="G911" s="2"/>
      <c r="H911" s="2"/>
      <c r="I911" s="13"/>
      <c r="J911" s="13"/>
      <c r="K911" s="13"/>
      <c r="L911" s="14"/>
      <c r="M911" s="4"/>
      <c r="N911" s="2"/>
      <c r="O911" s="4"/>
      <c r="P911" s="2"/>
      <c r="Q911" s="2"/>
      <c r="R911" s="4"/>
      <c r="S911" s="2"/>
      <c r="T911" s="2"/>
      <c r="U911" s="1"/>
      <c r="V911" s="2"/>
      <c r="W911" s="2"/>
      <c r="X911" s="2"/>
      <c r="Y911" s="2"/>
      <c r="Z911" s="2"/>
    </row>
    <row r="912" spans="1:26" ht="15.75" customHeight="1" x14ac:dyDescent="0.2">
      <c r="A912" s="12"/>
      <c r="B912" s="10"/>
      <c r="C912" s="11"/>
      <c r="D912" s="13"/>
      <c r="E912" s="13"/>
      <c r="F912" s="13"/>
      <c r="G912" s="2"/>
      <c r="H912" s="2"/>
      <c r="I912" s="13"/>
      <c r="J912" s="13"/>
      <c r="K912" s="13"/>
      <c r="L912" s="14"/>
      <c r="M912" s="4"/>
      <c r="N912" s="2"/>
      <c r="O912" s="4"/>
      <c r="P912" s="2"/>
      <c r="Q912" s="2"/>
      <c r="R912" s="4"/>
      <c r="S912" s="2"/>
      <c r="T912" s="2"/>
      <c r="U912" s="1"/>
      <c r="V912" s="2"/>
      <c r="W912" s="2"/>
      <c r="X912" s="2"/>
      <c r="Y912" s="2"/>
      <c r="Z912" s="2"/>
    </row>
    <row r="913" spans="1:26" ht="15.75" customHeight="1" x14ac:dyDescent="0.2">
      <c r="A913" s="12"/>
      <c r="B913" s="10"/>
      <c r="C913" s="11"/>
      <c r="D913" s="13"/>
      <c r="E913" s="13"/>
      <c r="F913" s="13"/>
      <c r="G913" s="2"/>
      <c r="H913" s="2"/>
      <c r="I913" s="13"/>
      <c r="J913" s="13"/>
      <c r="K913" s="13"/>
      <c r="L913" s="14"/>
      <c r="M913" s="4"/>
      <c r="N913" s="2"/>
      <c r="O913" s="4"/>
      <c r="P913" s="2"/>
      <c r="Q913" s="2"/>
      <c r="R913" s="4"/>
      <c r="S913" s="2"/>
      <c r="T913" s="2"/>
      <c r="U913" s="1"/>
      <c r="V913" s="2"/>
      <c r="W913" s="2"/>
      <c r="X913" s="2"/>
      <c r="Y913" s="2"/>
      <c r="Z913" s="2"/>
    </row>
    <row r="914" spans="1:26" ht="15.75" customHeight="1" x14ac:dyDescent="0.2">
      <c r="A914" s="12"/>
      <c r="B914" s="10"/>
      <c r="C914" s="11"/>
      <c r="D914" s="13"/>
      <c r="E914" s="13"/>
      <c r="F914" s="13"/>
      <c r="G914" s="2"/>
      <c r="H914" s="2"/>
      <c r="I914" s="13"/>
      <c r="J914" s="13"/>
      <c r="K914" s="13"/>
      <c r="L914" s="14"/>
      <c r="M914" s="4"/>
      <c r="N914" s="2"/>
      <c r="O914" s="4"/>
      <c r="P914" s="2"/>
      <c r="Q914" s="2"/>
      <c r="R914" s="4"/>
      <c r="S914" s="2"/>
      <c r="T914" s="2"/>
      <c r="U914" s="1"/>
      <c r="V914" s="2"/>
      <c r="W914" s="2"/>
      <c r="X914" s="2"/>
      <c r="Y914" s="2"/>
      <c r="Z914" s="2"/>
    </row>
    <row r="915" spans="1:26" ht="15.75" customHeight="1" x14ac:dyDescent="0.2">
      <c r="A915" s="12"/>
      <c r="B915" s="10"/>
      <c r="C915" s="11"/>
      <c r="D915" s="13"/>
      <c r="E915" s="13"/>
      <c r="F915" s="13"/>
      <c r="G915" s="2"/>
      <c r="H915" s="2"/>
      <c r="I915" s="13"/>
      <c r="J915" s="13"/>
      <c r="K915" s="13"/>
      <c r="L915" s="14"/>
      <c r="M915" s="4"/>
      <c r="N915" s="2"/>
      <c r="O915" s="4"/>
      <c r="P915" s="2"/>
      <c r="Q915" s="2"/>
      <c r="R915" s="4"/>
      <c r="S915" s="2"/>
      <c r="T915" s="2"/>
      <c r="U915" s="1"/>
      <c r="V915" s="2"/>
      <c r="W915" s="2"/>
      <c r="X915" s="2"/>
      <c r="Y915" s="2"/>
      <c r="Z915" s="2"/>
    </row>
    <row r="916" spans="1:26" ht="15.75" customHeight="1" x14ac:dyDescent="0.2">
      <c r="A916" s="12"/>
      <c r="B916" s="10"/>
      <c r="C916" s="11"/>
      <c r="D916" s="13"/>
      <c r="E916" s="13"/>
      <c r="F916" s="13"/>
      <c r="G916" s="2"/>
      <c r="H916" s="2"/>
      <c r="I916" s="13"/>
      <c r="J916" s="13"/>
      <c r="K916" s="13"/>
      <c r="L916" s="14"/>
      <c r="M916" s="4"/>
      <c r="N916" s="2"/>
      <c r="O916" s="4"/>
      <c r="P916" s="2"/>
      <c r="Q916" s="2"/>
      <c r="R916" s="4"/>
      <c r="S916" s="2"/>
      <c r="T916" s="2"/>
      <c r="U916" s="1"/>
      <c r="V916" s="2"/>
      <c r="W916" s="2"/>
      <c r="X916" s="2"/>
      <c r="Y916" s="2"/>
      <c r="Z916" s="2"/>
    </row>
    <row r="917" spans="1:26" ht="15.75" customHeight="1" x14ac:dyDescent="0.2">
      <c r="A917" s="12"/>
      <c r="B917" s="10"/>
      <c r="C917" s="11"/>
      <c r="D917" s="13"/>
      <c r="E917" s="13"/>
      <c r="F917" s="13"/>
      <c r="G917" s="2"/>
      <c r="H917" s="2"/>
      <c r="I917" s="13"/>
      <c r="J917" s="13"/>
      <c r="K917" s="13"/>
      <c r="L917" s="14"/>
      <c r="M917" s="4"/>
      <c r="N917" s="2"/>
      <c r="O917" s="4"/>
      <c r="P917" s="2"/>
      <c r="Q917" s="2"/>
      <c r="R917" s="4"/>
      <c r="S917" s="2"/>
      <c r="T917" s="2"/>
      <c r="U917" s="1"/>
      <c r="V917" s="2"/>
      <c r="W917" s="2"/>
      <c r="X917" s="2"/>
      <c r="Y917" s="2"/>
      <c r="Z917" s="2"/>
    </row>
    <row r="918" spans="1:26" ht="15.75" customHeight="1" x14ac:dyDescent="0.2">
      <c r="A918" s="12"/>
      <c r="B918" s="10"/>
      <c r="C918" s="11"/>
      <c r="D918" s="13"/>
      <c r="E918" s="13"/>
      <c r="F918" s="13"/>
      <c r="G918" s="2"/>
      <c r="H918" s="2"/>
      <c r="I918" s="13"/>
      <c r="J918" s="13"/>
      <c r="K918" s="13"/>
      <c r="L918" s="14"/>
      <c r="M918" s="4"/>
      <c r="N918" s="2"/>
      <c r="O918" s="4"/>
      <c r="P918" s="2"/>
      <c r="Q918" s="2"/>
      <c r="R918" s="4"/>
      <c r="S918" s="2"/>
      <c r="T918" s="2"/>
      <c r="U918" s="1"/>
      <c r="V918" s="2"/>
      <c r="W918" s="2"/>
      <c r="X918" s="2"/>
      <c r="Y918" s="2"/>
      <c r="Z918" s="2"/>
    </row>
    <row r="919" spans="1:26" ht="15.75" customHeight="1" x14ac:dyDescent="0.2">
      <c r="A919" s="12"/>
      <c r="B919" s="10"/>
      <c r="C919" s="11"/>
      <c r="D919" s="13"/>
      <c r="E919" s="13"/>
      <c r="F919" s="13"/>
      <c r="G919" s="2"/>
      <c r="H919" s="2"/>
      <c r="I919" s="13"/>
      <c r="J919" s="13"/>
      <c r="K919" s="13"/>
      <c r="L919" s="14"/>
      <c r="M919" s="4"/>
      <c r="N919" s="2"/>
      <c r="O919" s="4"/>
      <c r="P919" s="2"/>
      <c r="Q919" s="2"/>
      <c r="R919" s="4"/>
      <c r="S919" s="2"/>
      <c r="T919" s="2"/>
      <c r="U919" s="1"/>
      <c r="V919" s="2"/>
      <c r="W919" s="2"/>
      <c r="X919" s="2"/>
      <c r="Y919" s="2"/>
      <c r="Z919" s="2"/>
    </row>
    <row r="920" spans="1:26" ht="15.75" customHeight="1" x14ac:dyDescent="0.2">
      <c r="A920" s="12"/>
      <c r="B920" s="10"/>
      <c r="C920" s="11"/>
      <c r="D920" s="13"/>
      <c r="E920" s="13"/>
      <c r="F920" s="13"/>
      <c r="G920" s="2"/>
      <c r="H920" s="2"/>
      <c r="I920" s="13"/>
      <c r="J920" s="13"/>
      <c r="K920" s="13"/>
      <c r="L920" s="14"/>
      <c r="M920" s="4"/>
      <c r="N920" s="2"/>
      <c r="O920" s="4"/>
      <c r="P920" s="2"/>
      <c r="Q920" s="2"/>
      <c r="R920" s="4"/>
      <c r="S920" s="2"/>
      <c r="T920" s="2"/>
      <c r="U920" s="1"/>
      <c r="V920" s="2"/>
      <c r="W920" s="2"/>
      <c r="X920" s="2"/>
      <c r="Y920" s="2"/>
      <c r="Z920" s="2"/>
    </row>
    <row r="921" spans="1:26" ht="15.75" customHeight="1" x14ac:dyDescent="0.2">
      <c r="A921" s="12"/>
      <c r="B921" s="10"/>
      <c r="C921" s="11"/>
      <c r="D921" s="13"/>
      <c r="E921" s="13"/>
      <c r="F921" s="13"/>
      <c r="G921" s="2"/>
      <c r="H921" s="2"/>
      <c r="I921" s="13"/>
      <c r="J921" s="13"/>
      <c r="K921" s="13"/>
      <c r="L921" s="14"/>
      <c r="M921" s="4"/>
      <c r="N921" s="2"/>
      <c r="O921" s="4"/>
      <c r="P921" s="2"/>
      <c r="Q921" s="2"/>
      <c r="R921" s="4"/>
      <c r="S921" s="2"/>
      <c r="T921" s="2"/>
      <c r="U921" s="1"/>
      <c r="V921" s="2"/>
      <c r="W921" s="2"/>
      <c r="X921" s="2"/>
      <c r="Y921" s="2"/>
      <c r="Z921" s="2"/>
    </row>
    <row r="922" spans="1:26" ht="15.75" customHeight="1" x14ac:dyDescent="0.2">
      <c r="A922" s="12"/>
      <c r="B922" s="10"/>
      <c r="C922" s="11"/>
      <c r="D922" s="13"/>
      <c r="E922" s="13"/>
      <c r="F922" s="13"/>
      <c r="G922" s="2"/>
      <c r="H922" s="2"/>
      <c r="I922" s="13"/>
      <c r="J922" s="13"/>
      <c r="K922" s="13"/>
      <c r="L922" s="14"/>
      <c r="M922" s="4"/>
      <c r="N922" s="2"/>
      <c r="O922" s="4"/>
      <c r="P922" s="2"/>
      <c r="Q922" s="2"/>
      <c r="R922" s="4"/>
      <c r="S922" s="2"/>
      <c r="T922" s="2"/>
      <c r="U922" s="1"/>
      <c r="V922" s="2"/>
      <c r="W922" s="2"/>
      <c r="X922" s="2"/>
      <c r="Y922" s="2"/>
      <c r="Z922" s="2"/>
    </row>
    <row r="923" spans="1:26" ht="15.75" customHeight="1" x14ac:dyDescent="0.2">
      <c r="A923" s="12"/>
      <c r="B923" s="10"/>
      <c r="C923" s="11"/>
      <c r="D923" s="13"/>
      <c r="E923" s="13"/>
      <c r="F923" s="13"/>
      <c r="G923" s="2"/>
      <c r="H923" s="2"/>
      <c r="I923" s="13"/>
      <c r="J923" s="13"/>
      <c r="K923" s="13"/>
      <c r="L923" s="14"/>
      <c r="M923" s="4"/>
      <c r="N923" s="2"/>
      <c r="O923" s="4"/>
      <c r="P923" s="2"/>
      <c r="Q923" s="2"/>
      <c r="R923" s="4"/>
      <c r="S923" s="2"/>
      <c r="T923" s="2"/>
      <c r="U923" s="1"/>
      <c r="V923" s="2"/>
      <c r="W923" s="2"/>
      <c r="X923" s="2"/>
      <c r="Y923" s="2"/>
      <c r="Z923" s="2"/>
    </row>
    <row r="924" spans="1:26" ht="15.75" customHeight="1" x14ac:dyDescent="0.2">
      <c r="A924" s="12"/>
      <c r="B924" s="10"/>
      <c r="C924" s="11"/>
      <c r="D924" s="13"/>
      <c r="E924" s="13"/>
      <c r="F924" s="13"/>
      <c r="G924" s="2"/>
      <c r="H924" s="2"/>
      <c r="I924" s="13"/>
      <c r="J924" s="13"/>
      <c r="K924" s="13"/>
      <c r="L924" s="14"/>
      <c r="M924" s="4"/>
      <c r="N924" s="2"/>
      <c r="O924" s="4"/>
      <c r="P924" s="2"/>
      <c r="Q924" s="2"/>
      <c r="R924" s="4"/>
      <c r="S924" s="2"/>
      <c r="T924" s="2"/>
      <c r="U924" s="1"/>
      <c r="V924" s="2"/>
      <c r="W924" s="2"/>
      <c r="X924" s="2"/>
      <c r="Y924" s="2"/>
      <c r="Z924" s="2"/>
    </row>
    <row r="925" spans="1:26" ht="15.75" customHeight="1" x14ac:dyDescent="0.2">
      <c r="A925" s="12"/>
      <c r="B925" s="10"/>
      <c r="C925" s="11"/>
      <c r="D925" s="13"/>
      <c r="E925" s="13"/>
      <c r="F925" s="13"/>
      <c r="G925" s="2"/>
      <c r="H925" s="2"/>
      <c r="I925" s="13"/>
      <c r="J925" s="13"/>
      <c r="K925" s="13"/>
      <c r="L925" s="14"/>
      <c r="M925" s="4"/>
      <c r="N925" s="2"/>
      <c r="O925" s="4"/>
      <c r="P925" s="2"/>
      <c r="Q925" s="2"/>
      <c r="R925" s="4"/>
      <c r="S925" s="2"/>
      <c r="T925" s="2"/>
      <c r="U925" s="1"/>
      <c r="V925" s="2"/>
      <c r="W925" s="2"/>
      <c r="X925" s="2"/>
      <c r="Y925" s="2"/>
      <c r="Z925" s="2"/>
    </row>
    <row r="926" spans="1:26" ht="15.75" customHeight="1" x14ac:dyDescent="0.2">
      <c r="A926" s="12"/>
      <c r="B926" s="10"/>
      <c r="C926" s="11"/>
      <c r="D926" s="13"/>
      <c r="E926" s="13"/>
      <c r="F926" s="13"/>
      <c r="G926" s="2"/>
      <c r="H926" s="2"/>
      <c r="I926" s="13"/>
      <c r="J926" s="13"/>
      <c r="K926" s="13"/>
      <c r="L926" s="14"/>
      <c r="M926" s="4"/>
      <c r="N926" s="2"/>
      <c r="O926" s="4"/>
      <c r="P926" s="2"/>
      <c r="Q926" s="2"/>
      <c r="R926" s="4"/>
      <c r="S926" s="2"/>
      <c r="T926" s="2"/>
      <c r="U926" s="1"/>
      <c r="V926" s="2"/>
      <c r="W926" s="2"/>
      <c r="X926" s="2"/>
      <c r="Y926" s="2"/>
      <c r="Z926" s="2"/>
    </row>
    <row r="927" spans="1:26" ht="15.75" customHeight="1" x14ac:dyDescent="0.2">
      <c r="A927" s="12"/>
      <c r="B927" s="10"/>
      <c r="C927" s="11"/>
      <c r="D927" s="13"/>
      <c r="E927" s="13"/>
      <c r="F927" s="13"/>
      <c r="G927" s="2"/>
      <c r="H927" s="2"/>
      <c r="I927" s="13"/>
      <c r="J927" s="13"/>
      <c r="K927" s="13"/>
      <c r="L927" s="14"/>
      <c r="M927" s="4"/>
      <c r="N927" s="2"/>
      <c r="O927" s="4"/>
      <c r="P927" s="2"/>
      <c r="Q927" s="2"/>
      <c r="R927" s="4"/>
      <c r="S927" s="2"/>
      <c r="T927" s="2"/>
      <c r="U927" s="1"/>
      <c r="V927" s="2"/>
      <c r="W927" s="2"/>
      <c r="X927" s="2"/>
      <c r="Y927" s="2"/>
      <c r="Z927" s="2"/>
    </row>
    <row r="928" spans="1:26" ht="15.75" customHeight="1" x14ac:dyDescent="0.2">
      <c r="A928" s="12"/>
      <c r="B928" s="10"/>
      <c r="C928" s="11"/>
      <c r="D928" s="13"/>
      <c r="E928" s="13"/>
      <c r="F928" s="13"/>
      <c r="G928" s="2"/>
      <c r="H928" s="2"/>
      <c r="I928" s="13"/>
      <c r="J928" s="13"/>
      <c r="K928" s="13"/>
      <c r="L928" s="14"/>
      <c r="M928" s="4"/>
      <c r="N928" s="2"/>
      <c r="O928" s="4"/>
      <c r="P928" s="2"/>
      <c r="Q928" s="2"/>
      <c r="R928" s="4"/>
      <c r="S928" s="2"/>
      <c r="T928" s="2"/>
      <c r="U928" s="1"/>
      <c r="V928" s="2"/>
      <c r="W928" s="2"/>
      <c r="X928" s="2"/>
      <c r="Y928" s="2"/>
      <c r="Z928" s="2"/>
    </row>
    <row r="929" spans="1:26" ht="15.75" customHeight="1" x14ac:dyDescent="0.2">
      <c r="A929" s="12"/>
      <c r="B929" s="10"/>
      <c r="C929" s="11"/>
      <c r="D929" s="13"/>
      <c r="E929" s="13"/>
      <c r="F929" s="13"/>
      <c r="G929" s="2"/>
      <c r="H929" s="2"/>
      <c r="I929" s="13"/>
      <c r="J929" s="13"/>
      <c r="K929" s="13"/>
      <c r="L929" s="14"/>
      <c r="M929" s="4"/>
      <c r="N929" s="2"/>
      <c r="O929" s="4"/>
      <c r="P929" s="2"/>
      <c r="Q929" s="2"/>
      <c r="R929" s="4"/>
      <c r="S929" s="2"/>
      <c r="T929" s="2"/>
      <c r="U929" s="1"/>
      <c r="V929" s="2"/>
      <c r="W929" s="2"/>
      <c r="X929" s="2"/>
      <c r="Y929" s="2"/>
      <c r="Z929" s="2"/>
    </row>
    <row r="930" spans="1:26" ht="15.75" customHeight="1" x14ac:dyDescent="0.2">
      <c r="A930" s="12"/>
      <c r="B930" s="10"/>
      <c r="C930" s="11"/>
      <c r="D930" s="13"/>
      <c r="E930" s="13"/>
      <c r="F930" s="13"/>
      <c r="G930" s="2"/>
      <c r="H930" s="2"/>
      <c r="I930" s="13"/>
      <c r="J930" s="13"/>
      <c r="K930" s="13"/>
      <c r="L930" s="14"/>
      <c r="M930" s="4"/>
      <c r="N930" s="2"/>
      <c r="O930" s="4"/>
      <c r="P930" s="2"/>
      <c r="Q930" s="2"/>
      <c r="R930" s="4"/>
      <c r="S930" s="2"/>
      <c r="T930" s="2"/>
      <c r="U930" s="1"/>
      <c r="V930" s="2"/>
      <c r="W930" s="2"/>
      <c r="X930" s="2"/>
      <c r="Y930" s="2"/>
      <c r="Z930" s="2"/>
    </row>
    <row r="931" spans="1:26" ht="15.75" customHeight="1" x14ac:dyDescent="0.2">
      <c r="A931" s="12"/>
      <c r="B931" s="10"/>
      <c r="C931" s="11"/>
      <c r="D931" s="13"/>
      <c r="E931" s="13"/>
      <c r="F931" s="13"/>
      <c r="G931" s="2"/>
      <c r="H931" s="2"/>
      <c r="I931" s="13"/>
      <c r="J931" s="13"/>
      <c r="K931" s="13"/>
      <c r="L931" s="14"/>
      <c r="M931" s="4"/>
      <c r="N931" s="2"/>
      <c r="O931" s="4"/>
      <c r="P931" s="2"/>
      <c r="Q931" s="2"/>
      <c r="R931" s="4"/>
      <c r="S931" s="2"/>
      <c r="T931" s="2"/>
      <c r="U931" s="1"/>
      <c r="V931" s="2"/>
      <c r="W931" s="2"/>
      <c r="X931" s="2"/>
      <c r="Y931" s="2"/>
      <c r="Z931" s="2"/>
    </row>
    <row r="932" spans="1:26" ht="15.75" customHeight="1" x14ac:dyDescent="0.2">
      <c r="A932" s="12"/>
      <c r="B932" s="10"/>
      <c r="C932" s="11"/>
      <c r="D932" s="13"/>
      <c r="E932" s="13"/>
      <c r="F932" s="13"/>
      <c r="G932" s="2"/>
      <c r="H932" s="2"/>
      <c r="I932" s="13"/>
      <c r="J932" s="13"/>
      <c r="K932" s="13"/>
      <c r="L932" s="14"/>
      <c r="M932" s="4"/>
      <c r="N932" s="2"/>
      <c r="O932" s="4"/>
      <c r="P932" s="2"/>
      <c r="Q932" s="2"/>
      <c r="R932" s="4"/>
      <c r="S932" s="2"/>
      <c r="T932" s="2"/>
      <c r="U932" s="1"/>
      <c r="V932" s="2"/>
      <c r="W932" s="2"/>
      <c r="X932" s="2"/>
      <c r="Y932" s="2"/>
      <c r="Z932" s="2"/>
    </row>
    <row r="933" spans="1:26" ht="15.75" customHeight="1" x14ac:dyDescent="0.2">
      <c r="A933" s="12"/>
      <c r="B933" s="10"/>
      <c r="C933" s="11"/>
      <c r="D933" s="13"/>
      <c r="E933" s="13"/>
      <c r="F933" s="13"/>
      <c r="G933" s="2"/>
      <c r="H933" s="2"/>
      <c r="I933" s="13"/>
      <c r="J933" s="13"/>
      <c r="K933" s="13"/>
      <c r="L933" s="14"/>
      <c r="M933" s="4"/>
      <c r="N933" s="2"/>
      <c r="O933" s="4"/>
      <c r="P933" s="2"/>
      <c r="Q933" s="2"/>
      <c r="R933" s="4"/>
      <c r="S933" s="2"/>
      <c r="T933" s="2"/>
      <c r="U933" s="1"/>
      <c r="V933" s="2"/>
      <c r="W933" s="2"/>
      <c r="X933" s="2"/>
      <c r="Y933" s="2"/>
      <c r="Z933" s="2"/>
    </row>
    <row r="934" spans="1:26" ht="15.75" customHeight="1" x14ac:dyDescent="0.2">
      <c r="A934" s="12"/>
      <c r="B934" s="10"/>
      <c r="C934" s="11"/>
      <c r="D934" s="13"/>
      <c r="E934" s="13"/>
      <c r="F934" s="13"/>
      <c r="G934" s="2"/>
      <c r="H934" s="2"/>
      <c r="I934" s="13"/>
      <c r="J934" s="13"/>
      <c r="K934" s="13"/>
      <c r="L934" s="14"/>
      <c r="M934" s="4"/>
      <c r="N934" s="2"/>
      <c r="O934" s="4"/>
      <c r="P934" s="2"/>
      <c r="Q934" s="2"/>
      <c r="R934" s="4"/>
      <c r="S934" s="2"/>
      <c r="T934" s="2"/>
      <c r="U934" s="1"/>
      <c r="V934" s="2"/>
      <c r="W934" s="2"/>
      <c r="X934" s="2"/>
      <c r="Y934" s="2"/>
      <c r="Z934" s="2"/>
    </row>
    <row r="935" spans="1:26" ht="15.75" customHeight="1" x14ac:dyDescent="0.2">
      <c r="A935" s="12"/>
      <c r="B935" s="10"/>
      <c r="C935" s="11"/>
      <c r="D935" s="13"/>
      <c r="E935" s="13"/>
      <c r="F935" s="13"/>
      <c r="G935" s="2"/>
      <c r="H935" s="2"/>
      <c r="I935" s="13"/>
      <c r="J935" s="13"/>
      <c r="K935" s="13"/>
      <c r="L935" s="14"/>
      <c r="M935" s="4"/>
      <c r="N935" s="2"/>
      <c r="O935" s="4"/>
      <c r="P935" s="2"/>
      <c r="Q935" s="2"/>
      <c r="R935" s="4"/>
      <c r="S935" s="2"/>
      <c r="T935" s="2"/>
      <c r="U935" s="1"/>
      <c r="V935" s="2"/>
      <c r="W935" s="2"/>
      <c r="X935" s="2"/>
      <c r="Y935" s="2"/>
      <c r="Z935" s="2"/>
    </row>
    <row r="936" spans="1:26" ht="15.75" customHeight="1" x14ac:dyDescent="0.2">
      <c r="A936" s="12"/>
      <c r="B936" s="10"/>
      <c r="C936" s="11"/>
      <c r="D936" s="13"/>
      <c r="E936" s="13"/>
      <c r="F936" s="13"/>
      <c r="G936" s="2"/>
      <c r="H936" s="2"/>
      <c r="I936" s="13"/>
      <c r="J936" s="13"/>
      <c r="K936" s="13"/>
      <c r="L936" s="14"/>
      <c r="M936" s="4"/>
      <c r="N936" s="2"/>
      <c r="O936" s="4"/>
      <c r="P936" s="2"/>
      <c r="Q936" s="2"/>
      <c r="R936" s="4"/>
      <c r="S936" s="2"/>
      <c r="T936" s="2"/>
      <c r="U936" s="1"/>
      <c r="V936" s="2"/>
      <c r="W936" s="2"/>
      <c r="X936" s="2"/>
      <c r="Y936" s="2"/>
      <c r="Z936" s="2"/>
    </row>
    <row r="937" spans="1:26" ht="15.75" customHeight="1" x14ac:dyDescent="0.2">
      <c r="A937" s="12"/>
      <c r="B937" s="10"/>
      <c r="C937" s="11"/>
      <c r="D937" s="13"/>
      <c r="E937" s="13"/>
      <c r="F937" s="13"/>
      <c r="G937" s="2"/>
      <c r="H937" s="2"/>
      <c r="I937" s="13"/>
      <c r="J937" s="13"/>
      <c r="K937" s="13"/>
      <c r="L937" s="14"/>
      <c r="M937" s="4"/>
      <c r="N937" s="2"/>
      <c r="O937" s="4"/>
      <c r="P937" s="2"/>
      <c r="Q937" s="2"/>
      <c r="R937" s="4"/>
      <c r="S937" s="2"/>
      <c r="T937" s="2"/>
      <c r="U937" s="1"/>
      <c r="V937" s="2"/>
      <c r="W937" s="2"/>
      <c r="X937" s="2"/>
      <c r="Y937" s="2"/>
      <c r="Z937" s="2"/>
    </row>
    <row r="938" spans="1:26" ht="15.75" customHeight="1" x14ac:dyDescent="0.2">
      <c r="A938" s="12"/>
      <c r="B938" s="10"/>
      <c r="C938" s="11"/>
      <c r="D938" s="13"/>
      <c r="E938" s="13"/>
      <c r="F938" s="13"/>
      <c r="G938" s="2"/>
      <c r="H938" s="2"/>
      <c r="I938" s="13"/>
      <c r="J938" s="13"/>
      <c r="K938" s="13"/>
      <c r="L938" s="14"/>
      <c r="M938" s="4"/>
      <c r="N938" s="2"/>
      <c r="O938" s="4"/>
      <c r="P938" s="2"/>
      <c r="Q938" s="2"/>
      <c r="R938" s="4"/>
      <c r="S938" s="2"/>
      <c r="T938" s="2"/>
      <c r="U938" s="1"/>
      <c r="V938" s="2"/>
      <c r="W938" s="2"/>
      <c r="X938" s="2"/>
      <c r="Y938" s="2"/>
      <c r="Z938" s="2"/>
    </row>
    <row r="939" spans="1:26" ht="15.75" customHeight="1" x14ac:dyDescent="0.2">
      <c r="A939" s="12"/>
      <c r="B939" s="10"/>
      <c r="C939" s="11"/>
      <c r="D939" s="13"/>
      <c r="E939" s="13"/>
      <c r="F939" s="13"/>
      <c r="G939" s="2"/>
      <c r="H939" s="2"/>
      <c r="I939" s="13"/>
      <c r="J939" s="13"/>
      <c r="K939" s="13"/>
      <c r="L939" s="14"/>
      <c r="M939" s="4"/>
      <c r="N939" s="2"/>
      <c r="O939" s="4"/>
      <c r="P939" s="2"/>
      <c r="Q939" s="2"/>
      <c r="R939" s="4"/>
      <c r="S939" s="2"/>
      <c r="T939" s="2"/>
      <c r="U939" s="1"/>
      <c r="V939" s="2"/>
      <c r="W939" s="2"/>
      <c r="X939" s="2"/>
      <c r="Y939" s="2"/>
      <c r="Z939" s="2"/>
    </row>
    <row r="940" spans="1:26" ht="15.75" customHeight="1" x14ac:dyDescent="0.2">
      <c r="A940" s="12"/>
      <c r="B940" s="10"/>
      <c r="C940" s="11"/>
      <c r="D940" s="13"/>
      <c r="E940" s="13"/>
      <c r="F940" s="13"/>
      <c r="G940" s="2"/>
      <c r="H940" s="2"/>
      <c r="I940" s="13"/>
      <c r="J940" s="13"/>
      <c r="K940" s="13"/>
      <c r="L940" s="14"/>
      <c r="M940" s="4"/>
      <c r="N940" s="2"/>
      <c r="O940" s="4"/>
      <c r="P940" s="2"/>
      <c r="Q940" s="2"/>
      <c r="R940" s="4"/>
      <c r="S940" s="2"/>
      <c r="T940" s="2"/>
      <c r="U940" s="1"/>
      <c r="V940" s="2"/>
      <c r="W940" s="2"/>
      <c r="X940" s="2"/>
      <c r="Y940" s="2"/>
      <c r="Z940" s="2"/>
    </row>
    <row r="941" spans="1:26" ht="15.75" customHeight="1" x14ac:dyDescent="0.2">
      <c r="A941" s="12"/>
      <c r="B941" s="10"/>
      <c r="C941" s="11"/>
      <c r="D941" s="13"/>
      <c r="E941" s="13"/>
      <c r="F941" s="13"/>
      <c r="G941" s="2"/>
      <c r="H941" s="2"/>
      <c r="I941" s="13"/>
      <c r="J941" s="13"/>
      <c r="K941" s="13"/>
      <c r="L941" s="14"/>
      <c r="M941" s="4"/>
      <c r="N941" s="2"/>
      <c r="O941" s="4"/>
      <c r="P941" s="2"/>
      <c r="Q941" s="2"/>
      <c r="R941" s="4"/>
      <c r="S941" s="2"/>
      <c r="T941" s="2"/>
      <c r="U941" s="1"/>
      <c r="V941" s="2"/>
      <c r="W941" s="2"/>
      <c r="X941" s="2"/>
      <c r="Y941" s="2"/>
      <c r="Z941" s="2"/>
    </row>
    <row r="942" spans="1:26" ht="15.75" customHeight="1" x14ac:dyDescent="0.2">
      <c r="A942" s="12"/>
      <c r="B942" s="10"/>
      <c r="C942" s="11"/>
      <c r="D942" s="13"/>
      <c r="E942" s="13"/>
      <c r="F942" s="13"/>
      <c r="G942" s="2"/>
      <c r="H942" s="2"/>
      <c r="I942" s="13"/>
      <c r="J942" s="13"/>
      <c r="K942" s="13"/>
      <c r="L942" s="14"/>
      <c r="M942" s="4"/>
      <c r="N942" s="2"/>
      <c r="O942" s="4"/>
      <c r="P942" s="2"/>
      <c r="Q942" s="2"/>
      <c r="R942" s="4"/>
      <c r="S942" s="2"/>
      <c r="T942" s="2"/>
      <c r="U942" s="1"/>
      <c r="V942" s="2"/>
      <c r="W942" s="2"/>
      <c r="X942" s="2"/>
      <c r="Y942" s="2"/>
      <c r="Z942" s="2"/>
    </row>
    <row r="943" spans="1:26" ht="15.75" customHeight="1" x14ac:dyDescent="0.2">
      <c r="A943" s="12"/>
      <c r="B943" s="10"/>
      <c r="C943" s="11"/>
      <c r="D943" s="13"/>
      <c r="E943" s="13"/>
      <c r="F943" s="13"/>
      <c r="G943" s="2"/>
      <c r="H943" s="2"/>
      <c r="I943" s="13"/>
      <c r="J943" s="13"/>
      <c r="K943" s="13"/>
      <c r="L943" s="14"/>
      <c r="M943" s="4"/>
      <c r="N943" s="2"/>
      <c r="O943" s="4"/>
      <c r="P943" s="2"/>
      <c r="Q943" s="2"/>
      <c r="R943" s="4"/>
      <c r="S943" s="2"/>
      <c r="T943" s="2"/>
      <c r="U943" s="1"/>
      <c r="V943" s="2"/>
      <c r="W943" s="2"/>
      <c r="X943" s="2"/>
      <c r="Y943" s="2"/>
      <c r="Z943" s="2"/>
    </row>
    <row r="944" spans="1:26" ht="15.75" customHeight="1" x14ac:dyDescent="0.2">
      <c r="A944" s="12"/>
      <c r="B944" s="10"/>
      <c r="C944" s="11"/>
      <c r="D944" s="13"/>
      <c r="E944" s="13"/>
      <c r="F944" s="13"/>
      <c r="G944" s="2"/>
      <c r="H944" s="2"/>
      <c r="I944" s="13"/>
      <c r="J944" s="13"/>
      <c r="K944" s="13"/>
      <c r="L944" s="14"/>
      <c r="M944" s="4"/>
      <c r="N944" s="2"/>
      <c r="O944" s="4"/>
      <c r="P944" s="2"/>
      <c r="Q944" s="2"/>
      <c r="R944" s="4"/>
      <c r="S944" s="2"/>
      <c r="T944" s="2"/>
      <c r="U944" s="1"/>
      <c r="V944" s="2"/>
      <c r="W944" s="2"/>
      <c r="X944" s="2"/>
      <c r="Y944" s="2"/>
      <c r="Z944" s="2"/>
    </row>
    <row r="945" spans="1:26" ht="15.75" customHeight="1" x14ac:dyDescent="0.2">
      <c r="A945" s="12"/>
      <c r="B945" s="10"/>
      <c r="C945" s="11"/>
      <c r="D945" s="13"/>
      <c r="E945" s="13"/>
      <c r="F945" s="13"/>
      <c r="G945" s="2"/>
      <c r="H945" s="2"/>
      <c r="I945" s="13"/>
      <c r="J945" s="13"/>
      <c r="K945" s="13"/>
      <c r="L945" s="14"/>
      <c r="M945" s="4"/>
      <c r="N945" s="2"/>
      <c r="O945" s="4"/>
      <c r="P945" s="2"/>
      <c r="Q945" s="2"/>
      <c r="R945" s="4"/>
      <c r="S945" s="2"/>
      <c r="T945" s="2"/>
      <c r="U945" s="1"/>
      <c r="V945" s="2"/>
      <c r="W945" s="2"/>
      <c r="X945" s="2"/>
      <c r="Y945" s="2"/>
      <c r="Z945" s="2"/>
    </row>
    <row r="946" spans="1:26" ht="15.75" customHeight="1" x14ac:dyDescent="0.2">
      <c r="A946" s="12"/>
      <c r="B946" s="10"/>
      <c r="C946" s="11"/>
      <c r="D946" s="13"/>
      <c r="E946" s="13"/>
      <c r="F946" s="13"/>
      <c r="G946" s="2"/>
      <c r="H946" s="2"/>
      <c r="I946" s="13"/>
      <c r="J946" s="13"/>
      <c r="K946" s="13"/>
      <c r="L946" s="14"/>
      <c r="M946" s="4"/>
      <c r="N946" s="2"/>
      <c r="O946" s="4"/>
      <c r="P946" s="2"/>
      <c r="Q946" s="2"/>
      <c r="R946" s="4"/>
      <c r="S946" s="2"/>
      <c r="T946" s="2"/>
      <c r="U946" s="1"/>
      <c r="V946" s="2"/>
      <c r="W946" s="2"/>
      <c r="X946" s="2"/>
      <c r="Y946" s="2"/>
      <c r="Z946" s="2"/>
    </row>
    <row r="947" spans="1:26" ht="15.75" customHeight="1" x14ac:dyDescent="0.2">
      <c r="A947" s="12"/>
      <c r="B947" s="10"/>
      <c r="C947" s="11"/>
      <c r="D947" s="13"/>
      <c r="E947" s="13"/>
      <c r="F947" s="13"/>
      <c r="G947" s="2"/>
      <c r="H947" s="2"/>
      <c r="I947" s="13"/>
      <c r="J947" s="13"/>
      <c r="K947" s="13"/>
      <c r="L947" s="14"/>
      <c r="M947" s="4"/>
      <c r="N947" s="2"/>
      <c r="O947" s="4"/>
      <c r="P947" s="2"/>
      <c r="Q947" s="2"/>
      <c r="R947" s="4"/>
      <c r="S947" s="2"/>
      <c r="T947" s="2"/>
      <c r="U947" s="1"/>
      <c r="V947" s="2"/>
      <c r="W947" s="2"/>
      <c r="X947" s="2"/>
      <c r="Y947" s="2"/>
      <c r="Z947" s="2"/>
    </row>
    <row r="948" spans="1:26" ht="15.75" customHeight="1" x14ac:dyDescent="0.2">
      <c r="A948" s="12"/>
      <c r="B948" s="10"/>
      <c r="C948" s="11"/>
      <c r="D948" s="13"/>
      <c r="E948" s="13"/>
      <c r="F948" s="13"/>
      <c r="G948" s="2"/>
      <c r="H948" s="2"/>
      <c r="I948" s="13"/>
      <c r="J948" s="13"/>
      <c r="K948" s="13"/>
      <c r="L948" s="14"/>
      <c r="M948" s="4"/>
      <c r="N948" s="2"/>
      <c r="O948" s="4"/>
      <c r="P948" s="2"/>
      <c r="Q948" s="2"/>
      <c r="R948" s="4"/>
      <c r="S948" s="2"/>
      <c r="T948" s="2"/>
      <c r="U948" s="1"/>
      <c r="V948" s="2"/>
      <c r="W948" s="2"/>
      <c r="X948" s="2"/>
      <c r="Y948" s="2"/>
      <c r="Z948" s="2"/>
    </row>
    <row r="949" spans="1:26" ht="15.75" customHeight="1" x14ac:dyDescent="0.2">
      <c r="A949" s="12"/>
      <c r="B949" s="10"/>
      <c r="C949" s="11"/>
      <c r="D949" s="13"/>
      <c r="E949" s="13"/>
      <c r="F949" s="13"/>
      <c r="G949" s="2"/>
      <c r="H949" s="2"/>
      <c r="I949" s="13"/>
      <c r="J949" s="13"/>
      <c r="K949" s="13"/>
      <c r="L949" s="14"/>
      <c r="M949" s="4"/>
      <c r="N949" s="2"/>
      <c r="O949" s="4"/>
      <c r="P949" s="2"/>
      <c r="Q949" s="2"/>
      <c r="R949" s="4"/>
      <c r="S949" s="2"/>
      <c r="T949" s="2"/>
      <c r="U949" s="1"/>
      <c r="V949" s="2"/>
      <c r="W949" s="2"/>
      <c r="X949" s="2"/>
      <c r="Y949" s="2"/>
      <c r="Z949" s="2"/>
    </row>
    <row r="950" spans="1:26" ht="15.75" customHeight="1" x14ac:dyDescent="0.2">
      <c r="A950" s="12"/>
      <c r="B950" s="10"/>
      <c r="C950" s="11"/>
      <c r="D950" s="13"/>
      <c r="E950" s="13"/>
      <c r="F950" s="13"/>
      <c r="G950" s="2"/>
      <c r="H950" s="2"/>
      <c r="I950" s="13"/>
      <c r="J950" s="13"/>
      <c r="K950" s="13"/>
      <c r="L950" s="14"/>
      <c r="M950" s="4"/>
      <c r="N950" s="2"/>
      <c r="O950" s="4"/>
      <c r="P950" s="2"/>
      <c r="Q950" s="2"/>
      <c r="R950" s="4"/>
      <c r="S950" s="2"/>
      <c r="T950" s="2"/>
      <c r="U950" s="1"/>
      <c r="V950" s="2"/>
      <c r="W950" s="2"/>
      <c r="X950" s="2"/>
      <c r="Y950" s="2"/>
      <c r="Z950" s="2"/>
    </row>
    <row r="951" spans="1:26" ht="15.75" customHeight="1" x14ac:dyDescent="0.2">
      <c r="A951" s="12"/>
      <c r="B951" s="10"/>
      <c r="C951" s="11"/>
      <c r="D951" s="13"/>
      <c r="E951" s="13"/>
      <c r="F951" s="13"/>
      <c r="G951" s="2"/>
      <c r="H951" s="2"/>
      <c r="I951" s="13"/>
      <c r="J951" s="13"/>
      <c r="K951" s="13"/>
      <c r="L951" s="14"/>
      <c r="M951" s="4"/>
      <c r="N951" s="2"/>
      <c r="O951" s="4"/>
      <c r="P951" s="2"/>
      <c r="Q951" s="2"/>
      <c r="R951" s="4"/>
      <c r="S951" s="2"/>
      <c r="T951" s="2"/>
      <c r="U951" s="1"/>
      <c r="V951" s="2"/>
      <c r="W951" s="2"/>
      <c r="X951" s="2"/>
      <c r="Y951" s="2"/>
      <c r="Z951" s="2"/>
    </row>
    <row r="952" spans="1:26" ht="15.75" customHeight="1" x14ac:dyDescent="0.2">
      <c r="A952" s="12"/>
      <c r="B952" s="10"/>
      <c r="C952" s="11"/>
      <c r="D952" s="13"/>
      <c r="E952" s="13"/>
      <c r="F952" s="13"/>
      <c r="G952" s="2"/>
      <c r="H952" s="2"/>
      <c r="I952" s="13"/>
      <c r="J952" s="13"/>
      <c r="K952" s="13"/>
      <c r="L952" s="14"/>
      <c r="M952" s="4"/>
      <c r="N952" s="2"/>
      <c r="O952" s="4"/>
      <c r="P952" s="2"/>
      <c r="Q952" s="2"/>
      <c r="R952" s="4"/>
      <c r="S952" s="2"/>
      <c r="T952" s="2"/>
      <c r="U952" s="1"/>
      <c r="V952" s="2"/>
      <c r="W952" s="2"/>
      <c r="X952" s="2"/>
      <c r="Y952" s="2"/>
      <c r="Z952" s="2"/>
    </row>
    <row r="953" spans="1:26" ht="15.75" customHeight="1" x14ac:dyDescent="0.2">
      <c r="A953" s="12"/>
      <c r="B953" s="10"/>
      <c r="C953" s="11"/>
      <c r="D953" s="13"/>
      <c r="E953" s="13"/>
      <c r="F953" s="13"/>
      <c r="G953" s="2"/>
      <c r="H953" s="2"/>
      <c r="I953" s="13"/>
      <c r="J953" s="13"/>
      <c r="K953" s="13"/>
      <c r="L953" s="14"/>
      <c r="M953" s="4"/>
      <c r="N953" s="2"/>
      <c r="O953" s="4"/>
      <c r="P953" s="2"/>
      <c r="Q953" s="2"/>
      <c r="R953" s="4"/>
      <c r="S953" s="2"/>
      <c r="T953" s="2"/>
      <c r="U953" s="1"/>
      <c r="V953" s="2"/>
      <c r="W953" s="2"/>
      <c r="X953" s="2"/>
      <c r="Y953" s="2"/>
      <c r="Z953" s="2"/>
    </row>
    <row r="954" spans="1:26" ht="15.75" customHeight="1" x14ac:dyDescent="0.2">
      <c r="A954" s="12"/>
      <c r="B954" s="10"/>
      <c r="C954" s="11"/>
      <c r="D954" s="13"/>
      <c r="E954" s="13"/>
      <c r="F954" s="13"/>
      <c r="G954" s="2"/>
      <c r="H954" s="2"/>
      <c r="I954" s="13"/>
      <c r="J954" s="13"/>
      <c r="K954" s="13"/>
      <c r="L954" s="14"/>
      <c r="M954" s="4"/>
      <c r="N954" s="2"/>
      <c r="O954" s="4"/>
      <c r="P954" s="2"/>
      <c r="Q954" s="2"/>
      <c r="R954" s="4"/>
      <c r="S954" s="2"/>
      <c r="T954" s="2"/>
      <c r="U954" s="1"/>
      <c r="V954" s="2"/>
      <c r="W954" s="2"/>
      <c r="X954" s="2"/>
      <c r="Y954" s="2"/>
      <c r="Z954" s="2"/>
    </row>
    <row r="955" spans="1:26" ht="15.75" customHeight="1" x14ac:dyDescent="0.2">
      <c r="A955" s="12"/>
      <c r="B955" s="10"/>
      <c r="C955" s="11"/>
      <c r="D955" s="13"/>
      <c r="E955" s="13"/>
      <c r="F955" s="13"/>
      <c r="G955" s="2"/>
      <c r="H955" s="2"/>
      <c r="I955" s="13"/>
      <c r="J955" s="13"/>
      <c r="K955" s="13"/>
      <c r="L955" s="14"/>
      <c r="M955" s="4"/>
      <c r="N955" s="2"/>
      <c r="O955" s="4"/>
      <c r="P955" s="2"/>
      <c r="Q955" s="2"/>
      <c r="R955" s="4"/>
      <c r="S955" s="2"/>
      <c r="T955" s="2"/>
      <c r="U955" s="1"/>
      <c r="V955" s="2"/>
      <c r="W955" s="2"/>
      <c r="X955" s="2"/>
      <c r="Y955" s="2"/>
      <c r="Z955" s="2"/>
    </row>
    <row r="956" spans="1:26" ht="15.75" customHeight="1" x14ac:dyDescent="0.2">
      <c r="A956" s="12"/>
      <c r="B956" s="10"/>
      <c r="C956" s="11"/>
      <c r="D956" s="13"/>
      <c r="E956" s="13"/>
      <c r="F956" s="13"/>
      <c r="G956" s="2"/>
      <c r="H956" s="2"/>
      <c r="I956" s="13"/>
      <c r="J956" s="13"/>
      <c r="K956" s="13"/>
      <c r="L956" s="14"/>
      <c r="M956" s="4"/>
      <c r="N956" s="2"/>
      <c r="O956" s="4"/>
      <c r="P956" s="2"/>
      <c r="Q956" s="2"/>
      <c r="R956" s="4"/>
      <c r="S956" s="2"/>
      <c r="T956" s="2"/>
      <c r="U956" s="1"/>
      <c r="V956" s="2"/>
      <c r="W956" s="2"/>
      <c r="X956" s="2"/>
      <c r="Y956" s="2"/>
      <c r="Z956" s="2"/>
    </row>
    <row r="957" spans="1:26" ht="15.75" customHeight="1" x14ac:dyDescent="0.2">
      <c r="A957" s="12"/>
      <c r="B957" s="10"/>
      <c r="C957" s="11"/>
      <c r="D957" s="13"/>
      <c r="E957" s="13"/>
      <c r="F957" s="13"/>
      <c r="G957" s="2"/>
      <c r="H957" s="2"/>
      <c r="I957" s="13"/>
      <c r="J957" s="13"/>
      <c r="K957" s="13"/>
      <c r="L957" s="14"/>
      <c r="M957" s="4"/>
      <c r="N957" s="2"/>
      <c r="O957" s="4"/>
      <c r="P957" s="2"/>
      <c r="Q957" s="2"/>
      <c r="R957" s="4"/>
      <c r="S957" s="2"/>
      <c r="T957" s="2"/>
      <c r="U957" s="1"/>
      <c r="V957" s="2"/>
      <c r="W957" s="2"/>
      <c r="X957" s="2"/>
      <c r="Y957" s="2"/>
      <c r="Z957" s="2"/>
    </row>
    <row r="958" spans="1:26" ht="15.75" customHeight="1" x14ac:dyDescent="0.2">
      <c r="A958" s="12"/>
      <c r="B958" s="10"/>
      <c r="C958" s="11"/>
      <c r="D958" s="13"/>
      <c r="E958" s="13"/>
      <c r="F958" s="13"/>
      <c r="G958" s="2"/>
      <c r="H958" s="2"/>
      <c r="I958" s="13"/>
      <c r="J958" s="13"/>
      <c r="K958" s="13"/>
      <c r="L958" s="14"/>
      <c r="M958" s="4"/>
      <c r="N958" s="2"/>
      <c r="O958" s="4"/>
      <c r="P958" s="2"/>
      <c r="Q958" s="2"/>
      <c r="R958" s="4"/>
      <c r="S958" s="2"/>
      <c r="T958" s="2"/>
      <c r="U958" s="1"/>
      <c r="V958" s="2"/>
      <c r="W958" s="2"/>
      <c r="X958" s="2"/>
      <c r="Y958" s="2"/>
      <c r="Z958" s="2"/>
    </row>
    <row r="959" spans="1:26" ht="15.75" customHeight="1" x14ac:dyDescent="0.2">
      <c r="A959" s="12"/>
      <c r="B959" s="10"/>
      <c r="C959" s="11"/>
      <c r="D959" s="13"/>
      <c r="E959" s="13"/>
      <c r="F959" s="13"/>
      <c r="G959" s="2"/>
      <c r="H959" s="2"/>
      <c r="I959" s="13"/>
      <c r="J959" s="13"/>
      <c r="K959" s="13"/>
      <c r="L959" s="14"/>
      <c r="M959" s="4"/>
      <c r="N959" s="2"/>
      <c r="O959" s="4"/>
      <c r="P959" s="2"/>
      <c r="Q959" s="2"/>
      <c r="R959" s="4"/>
      <c r="S959" s="2"/>
      <c r="T959" s="2"/>
      <c r="U959" s="1"/>
      <c r="V959" s="2"/>
      <c r="W959" s="2"/>
      <c r="X959" s="2"/>
      <c r="Y959" s="2"/>
      <c r="Z959" s="2"/>
    </row>
    <row r="960" spans="1:26" ht="15.75" customHeight="1" x14ac:dyDescent="0.2">
      <c r="A960" s="12"/>
      <c r="B960" s="10"/>
      <c r="C960" s="11"/>
      <c r="D960" s="13"/>
      <c r="E960" s="13"/>
      <c r="F960" s="13"/>
      <c r="G960" s="2"/>
      <c r="H960" s="2"/>
      <c r="I960" s="13"/>
      <c r="J960" s="13"/>
      <c r="K960" s="13"/>
      <c r="L960" s="14"/>
      <c r="M960" s="4"/>
      <c r="N960" s="2"/>
      <c r="O960" s="4"/>
      <c r="P960" s="2"/>
      <c r="Q960" s="2"/>
      <c r="R960" s="4"/>
      <c r="S960" s="2"/>
      <c r="T960" s="2"/>
      <c r="U960" s="1"/>
      <c r="V960" s="2"/>
      <c r="W960" s="2"/>
      <c r="X960" s="2"/>
      <c r="Y960" s="2"/>
      <c r="Z960" s="2"/>
    </row>
    <row r="961" spans="1:26" ht="15.75" customHeight="1" x14ac:dyDescent="0.2">
      <c r="A961" s="12"/>
      <c r="B961" s="10"/>
      <c r="C961" s="11"/>
      <c r="D961" s="13"/>
      <c r="E961" s="13"/>
      <c r="F961" s="13"/>
      <c r="G961" s="2"/>
      <c r="H961" s="2"/>
      <c r="I961" s="13"/>
      <c r="J961" s="13"/>
      <c r="K961" s="13"/>
      <c r="L961" s="14"/>
      <c r="M961" s="4"/>
      <c r="N961" s="2"/>
      <c r="O961" s="4"/>
      <c r="P961" s="2"/>
      <c r="Q961" s="2"/>
      <c r="R961" s="4"/>
      <c r="S961" s="2"/>
      <c r="T961" s="2"/>
      <c r="U961" s="1"/>
      <c r="V961" s="2"/>
      <c r="W961" s="2"/>
      <c r="X961" s="2"/>
      <c r="Y961" s="2"/>
      <c r="Z961" s="2"/>
    </row>
    <row r="962" spans="1:26" ht="15.75" customHeight="1" x14ac:dyDescent="0.2">
      <c r="A962" s="12"/>
      <c r="B962" s="10"/>
      <c r="C962" s="11"/>
      <c r="D962" s="13"/>
      <c r="E962" s="13"/>
      <c r="F962" s="13"/>
      <c r="G962" s="2"/>
      <c r="H962" s="2"/>
      <c r="I962" s="13"/>
      <c r="J962" s="13"/>
      <c r="K962" s="13"/>
      <c r="L962" s="14"/>
      <c r="M962" s="4"/>
      <c r="N962" s="2"/>
      <c r="O962" s="4"/>
      <c r="P962" s="2"/>
      <c r="Q962" s="2"/>
      <c r="R962" s="4"/>
      <c r="S962" s="2"/>
      <c r="T962" s="2"/>
      <c r="U962" s="1"/>
      <c r="V962" s="2"/>
      <c r="W962" s="2"/>
      <c r="X962" s="2"/>
      <c r="Y962" s="2"/>
      <c r="Z962" s="2"/>
    </row>
    <row r="963" spans="1:26" ht="15.75" customHeight="1" x14ac:dyDescent="0.2">
      <c r="A963" s="12"/>
      <c r="B963" s="10"/>
      <c r="C963" s="11"/>
      <c r="D963" s="13"/>
      <c r="E963" s="13"/>
      <c r="F963" s="13"/>
      <c r="G963" s="2"/>
      <c r="H963" s="2"/>
      <c r="I963" s="13"/>
      <c r="J963" s="13"/>
      <c r="K963" s="13"/>
      <c r="L963" s="14"/>
      <c r="M963" s="4"/>
      <c r="N963" s="2"/>
      <c r="O963" s="4"/>
      <c r="P963" s="2"/>
      <c r="Q963" s="2"/>
      <c r="R963" s="4"/>
      <c r="S963" s="2"/>
      <c r="T963" s="2"/>
      <c r="U963" s="1"/>
      <c r="V963" s="2"/>
      <c r="W963" s="2"/>
      <c r="X963" s="2"/>
      <c r="Y963" s="2"/>
      <c r="Z963" s="2"/>
    </row>
    <row r="964" spans="1:26" ht="15.75" customHeight="1" x14ac:dyDescent="0.2">
      <c r="A964" s="12"/>
      <c r="B964" s="10"/>
      <c r="C964" s="11"/>
      <c r="D964" s="13"/>
      <c r="E964" s="13"/>
      <c r="F964" s="13"/>
      <c r="G964" s="2"/>
      <c r="H964" s="2"/>
      <c r="I964" s="13"/>
      <c r="J964" s="13"/>
      <c r="K964" s="13"/>
      <c r="L964" s="14"/>
      <c r="M964" s="4"/>
      <c r="N964" s="2"/>
      <c r="O964" s="4"/>
      <c r="P964" s="2"/>
      <c r="Q964" s="2"/>
      <c r="R964" s="4"/>
      <c r="S964" s="2"/>
      <c r="T964" s="2"/>
      <c r="U964" s="1"/>
      <c r="V964" s="2"/>
      <c r="W964" s="2"/>
      <c r="X964" s="2"/>
      <c r="Y964" s="2"/>
      <c r="Z964" s="2"/>
    </row>
    <row r="965" spans="1:26" ht="15.75" customHeight="1" x14ac:dyDescent="0.2">
      <c r="A965" s="12"/>
      <c r="B965" s="10"/>
      <c r="C965" s="11"/>
      <c r="D965" s="13"/>
      <c r="E965" s="13"/>
      <c r="F965" s="13"/>
      <c r="G965" s="2"/>
      <c r="H965" s="2"/>
      <c r="I965" s="13"/>
      <c r="J965" s="13"/>
      <c r="K965" s="13"/>
      <c r="L965" s="14"/>
      <c r="M965" s="4"/>
      <c r="N965" s="2"/>
      <c r="O965" s="4"/>
      <c r="P965" s="2"/>
      <c r="Q965" s="2"/>
      <c r="R965" s="4"/>
      <c r="S965" s="2"/>
      <c r="T965" s="2"/>
      <c r="U965" s="1"/>
      <c r="V965" s="2"/>
      <c r="W965" s="2"/>
      <c r="X965" s="2"/>
      <c r="Y965" s="2"/>
      <c r="Z965" s="2"/>
    </row>
    <row r="966" spans="1:26" ht="15.75" customHeight="1" x14ac:dyDescent="0.2">
      <c r="A966" s="12"/>
      <c r="B966" s="10"/>
      <c r="C966" s="11"/>
      <c r="D966" s="13"/>
      <c r="E966" s="13"/>
      <c r="F966" s="13"/>
      <c r="G966" s="2"/>
      <c r="H966" s="2"/>
      <c r="I966" s="13"/>
      <c r="J966" s="13"/>
      <c r="K966" s="13"/>
      <c r="L966" s="14"/>
      <c r="M966" s="4"/>
      <c r="N966" s="2"/>
      <c r="O966" s="4"/>
      <c r="P966" s="2"/>
      <c r="Q966" s="2"/>
      <c r="R966" s="4"/>
      <c r="S966" s="2"/>
      <c r="T966" s="2"/>
      <c r="U966" s="1"/>
      <c r="V966" s="2"/>
      <c r="W966" s="2"/>
      <c r="X966" s="2"/>
      <c r="Y966" s="2"/>
      <c r="Z966" s="2"/>
    </row>
    <row r="967" spans="1:26" ht="15.75" customHeight="1" x14ac:dyDescent="0.2">
      <c r="A967" s="12"/>
      <c r="B967" s="10"/>
      <c r="C967" s="11"/>
      <c r="D967" s="13"/>
      <c r="E967" s="13"/>
      <c r="F967" s="13"/>
      <c r="G967" s="2"/>
      <c r="H967" s="2"/>
      <c r="I967" s="13"/>
      <c r="J967" s="13"/>
      <c r="K967" s="13"/>
      <c r="L967" s="14"/>
      <c r="M967" s="4"/>
      <c r="N967" s="2"/>
      <c r="O967" s="4"/>
      <c r="P967" s="2"/>
      <c r="Q967" s="2"/>
      <c r="R967" s="4"/>
      <c r="S967" s="2"/>
      <c r="T967" s="2"/>
      <c r="U967" s="1"/>
      <c r="V967" s="2"/>
      <c r="W967" s="2"/>
      <c r="X967" s="2"/>
      <c r="Y967" s="2"/>
      <c r="Z967" s="2"/>
    </row>
    <row r="968" spans="1:26" ht="15.75" customHeight="1" x14ac:dyDescent="0.2">
      <c r="A968" s="12"/>
      <c r="B968" s="10"/>
      <c r="C968" s="11"/>
      <c r="D968" s="13"/>
      <c r="E968" s="13"/>
      <c r="F968" s="13"/>
      <c r="G968" s="2"/>
      <c r="H968" s="2"/>
      <c r="I968" s="13"/>
      <c r="J968" s="13"/>
      <c r="K968" s="13"/>
      <c r="L968" s="14"/>
      <c r="M968" s="4"/>
      <c r="N968" s="2"/>
      <c r="O968" s="4"/>
      <c r="P968" s="2"/>
      <c r="Q968" s="2"/>
      <c r="R968" s="4"/>
      <c r="S968" s="2"/>
      <c r="T968" s="2"/>
      <c r="U968" s="1"/>
      <c r="V968" s="2"/>
      <c r="W968" s="2"/>
      <c r="X968" s="2"/>
      <c r="Y968" s="2"/>
      <c r="Z968" s="2"/>
    </row>
    <row r="969" spans="1:26" ht="15.75" customHeight="1" x14ac:dyDescent="0.2">
      <c r="A969" s="12"/>
      <c r="B969" s="10"/>
      <c r="C969" s="11"/>
      <c r="D969" s="13"/>
      <c r="E969" s="13"/>
      <c r="F969" s="13"/>
      <c r="G969" s="2"/>
      <c r="H969" s="2"/>
      <c r="I969" s="13"/>
      <c r="J969" s="13"/>
      <c r="K969" s="13"/>
      <c r="L969" s="14"/>
      <c r="M969" s="4"/>
      <c r="N969" s="2"/>
      <c r="O969" s="4"/>
      <c r="P969" s="2"/>
      <c r="Q969" s="2"/>
      <c r="R969" s="4"/>
      <c r="S969" s="2"/>
      <c r="T969" s="2"/>
      <c r="U969" s="1"/>
      <c r="V969" s="2"/>
      <c r="W969" s="2"/>
      <c r="X969" s="2"/>
      <c r="Y969" s="2"/>
      <c r="Z969" s="2"/>
    </row>
    <row r="970" spans="1:26" ht="15.75" customHeight="1" x14ac:dyDescent="0.2">
      <c r="A970" s="12"/>
      <c r="B970" s="10"/>
      <c r="C970" s="11"/>
      <c r="D970" s="13"/>
      <c r="E970" s="13"/>
      <c r="F970" s="13"/>
      <c r="G970" s="2"/>
      <c r="H970" s="2"/>
      <c r="I970" s="13"/>
      <c r="J970" s="13"/>
      <c r="K970" s="13"/>
      <c r="L970" s="14"/>
      <c r="M970" s="4"/>
      <c r="N970" s="2"/>
      <c r="O970" s="4"/>
      <c r="P970" s="2"/>
      <c r="Q970" s="2"/>
      <c r="R970" s="4"/>
      <c r="S970" s="2"/>
      <c r="T970" s="2"/>
      <c r="U970" s="1"/>
      <c r="V970" s="2"/>
      <c r="W970" s="2"/>
      <c r="X970" s="2"/>
      <c r="Y970" s="2"/>
      <c r="Z970" s="2"/>
    </row>
    <row r="971" spans="1:26" ht="15.75" customHeight="1" x14ac:dyDescent="0.2">
      <c r="A971" s="12"/>
      <c r="B971" s="10"/>
      <c r="C971" s="11"/>
      <c r="D971" s="13"/>
      <c r="E971" s="13"/>
      <c r="F971" s="13"/>
      <c r="G971" s="2"/>
      <c r="H971" s="2"/>
      <c r="I971" s="13"/>
      <c r="J971" s="13"/>
      <c r="K971" s="13"/>
      <c r="L971" s="14"/>
      <c r="M971" s="4"/>
      <c r="N971" s="2"/>
      <c r="O971" s="4"/>
      <c r="P971" s="2"/>
      <c r="Q971" s="2"/>
      <c r="R971" s="4"/>
      <c r="S971" s="2"/>
      <c r="T971" s="2"/>
      <c r="U971" s="1"/>
      <c r="V971" s="2"/>
      <c r="W971" s="2"/>
      <c r="X971" s="2"/>
      <c r="Y971" s="2"/>
      <c r="Z971" s="2"/>
    </row>
    <row r="972" spans="1:26" ht="15.75" customHeight="1" x14ac:dyDescent="0.2">
      <c r="A972" s="12"/>
      <c r="B972" s="10"/>
      <c r="C972" s="11"/>
      <c r="D972" s="13"/>
      <c r="E972" s="13"/>
      <c r="F972" s="13"/>
      <c r="G972" s="2"/>
      <c r="H972" s="2"/>
      <c r="I972" s="13"/>
      <c r="J972" s="13"/>
      <c r="K972" s="13"/>
      <c r="L972" s="14"/>
      <c r="M972" s="4"/>
      <c r="N972" s="2"/>
      <c r="O972" s="4"/>
      <c r="P972" s="2"/>
      <c r="Q972" s="2"/>
      <c r="R972" s="4"/>
      <c r="S972" s="2"/>
      <c r="T972" s="2"/>
      <c r="U972" s="1"/>
      <c r="V972" s="2"/>
      <c r="W972" s="2"/>
      <c r="X972" s="2"/>
      <c r="Y972" s="2"/>
      <c r="Z972" s="2"/>
    </row>
    <row r="973" spans="1:26" ht="15.75" customHeight="1" x14ac:dyDescent="0.2">
      <c r="A973" s="12"/>
      <c r="B973" s="10"/>
      <c r="C973" s="11"/>
      <c r="D973" s="13"/>
      <c r="E973" s="13"/>
      <c r="F973" s="13"/>
      <c r="G973" s="2"/>
      <c r="H973" s="2"/>
      <c r="I973" s="13"/>
      <c r="J973" s="13"/>
      <c r="K973" s="13"/>
      <c r="L973" s="14"/>
      <c r="M973" s="4"/>
      <c r="N973" s="2"/>
      <c r="O973" s="4"/>
      <c r="P973" s="2"/>
      <c r="Q973" s="2"/>
      <c r="R973" s="4"/>
      <c r="S973" s="2"/>
      <c r="T973" s="2"/>
      <c r="U973" s="1"/>
      <c r="V973" s="2"/>
      <c r="W973" s="2"/>
      <c r="X973" s="2"/>
      <c r="Y973" s="2"/>
      <c r="Z973" s="2"/>
    </row>
    <row r="974" spans="1:26" ht="15.75" customHeight="1" x14ac:dyDescent="0.2">
      <c r="A974" s="12"/>
      <c r="B974" s="10"/>
      <c r="C974" s="11"/>
      <c r="D974" s="13"/>
      <c r="E974" s="13"/>
      <c r="F974" s="13"/>
      <c r="G974" s="2"/>
      <c r="H974" s="2"/>
      <c r="I974" s="13"/>
      <c r="J974" s="13"/>
      <c r="K974" s="13"/>
      <c r="L974" s="14"/>
      <c r="M974" s="4"/>
      <c r="N974" s="2"/>
      <c r="O974" s="4"/>
      <c r="P974" s="2"/>
      <c r="Q974" s="2"/>
      <c r="R974" s="4"/>
      <c r="S974" s="2"/>
      <c r="T974" s="2"/>
      <c r="U974" s="1"/>
      <c r="V974" s="2"/>
      <c r="W974" s="2"/>
      <c r="X974" s="2"/>
      <c r="Y974" s="2"/>
      <c r="Z974" s="2"/>
    </row>
    <row r="975" spans="1:26" ht="15.75" customHeight="1" x14ac:dyDescent="0.2">
      <c r="A975" s="12"/>
      <c r="B975" s="10"/>
      <c r="C975" s="11"/>
      <c r="D975" s="13"/>
      <c r="E975" s="13"/>
      <c r="F975" s="13"/>
      <c r="G975" s="2"/>
      <c r="H975" s="2"/>
      <c r="I975" s="13"/>
      <c r="J975" s="13"/>
      <c r="K975" s="13"/>
      <c r="L975" s="14"/>
      <c r="M975" s="4"/>
      <c r="N975" s="2"/>
      <c r="O975" s="4"/>
      <c r="P975" s="2"/>
      <c r="Q975" s="2"/>
      <c r="R975" s="4"/>
      <c r="S975" s="2"/>
      <c r="T975" s="2"/>
      <c r="U975" s="1"/>
      <c r="V975" s="2"/>
      <c r="W975" s="2"/>
      <c r="X975" s="2"/>
      <c r="Y975" s="2"/>
      <c r="Z975" s="2"/>
    </row>
    <row r="976" spans="1:26" ht="15.75" customHeight="1" x14ac:dyDescent="0.2">
      <c r="A976" s="12"/>
      <c r="B976" s="10"/>
      <c r="C976" s="11"/>
      <c r="D976" s="13"/>
      <c r="E976" s="13"/>
      <c r="F976" s="13"/>
      <c r="G976" s="2"/>
      <c r="H976" s="2"/>
      <c r="I976" s="13"/>
      <c r="J976" s="13"/>
      <c r="K976" s="13"/>
      <c r="L976" s="14"/>
      <c r="M976" s="4"/>
      <c r="N976" s="2"/>
      <c r="O976" s="4"/>
      <c r="P976" s="2"/>
      <c r="Q976" s="2"/>
      <c r="R976" s="4"/>
      <c r="S976" s="2"/>
      <c r="T976" s="2"/>
      <c r="U976" s="1"/>
      <c r="V976" s="2"/>
      <c r="W976" s="2"/>
      <c r="X976" s="2"/>
      <c r="Y976" s="2"/>
      <c r="Z976" s="2"/>
    </row>
    <row r="977" spans="1:26" ht="15.75" customHeight="1" x14ac:dyDescent="0.2">
      <c r="A977" s="12"/>
      <c r="B977" s="10"/>
      <c r="C977" s="11"/>
      <c r="D977" s="13"/>
      <c r="E977" s="13"/>
      <c r="F977" s="13"/>
      <c r="G977" s="2"/>
      <c r="H977" s="2"/>
      <c r="I977" s="13"/>
      <c r="J977" s="13"/>
      <c r="K977" s="13"/>
      <c r="L977" s="14"/>
      <c r="M977" s="4"/>
      <c r="N977" s="2"/>
      <c r="O977" s="4"/>
      <c r="P977" s="2"/>
      <c r="Q977" s="2"/>
      <c r="R977" s="4"/>
      <c r="S977" s="2"/>
      <c r="T977" s="2"/>
      <c r="U977" s="1"/>
      <c r="V977" s="2"/>
      <c r="W977" s="2"/>
      <c r="X977" s="2"/>
      <c r="Y977" s="2"/>
      <c r="Z977" s="2"/>
    </row>
    <row r="978" spans="1:26" ht="15.75" customHeight="1" x14ac:dyDescent="0.2">
      <c r="A978" s="12"/>
      <c r="B978" s="10"/>
      <c r="C978" s="11"/>
      <c r="D978" s="13"/>
      <c r="E978" s="13"/>
      <c r="F978" s="13"/>
      <c r="G978" s="2"/>
      <c r="H978" s="2"/>
      <c r="I978" s="13"/>
      <c r="J978" s="13"/>
      <c r="K978" s="13"/>
      <c r="L978" s="14"/>
      <c r="M978" s="4"/>
      <c r="N978" s="2"/>
      <c r="O978" s="4"/>
      <c r="P978" s="2"/>
      <c r="Q978" s="2"/>
      <c r="R978" s="4"/>
      <c r="S978" s="2"/>
      <c r="T978" s="2"/>
      <c r="U978" s="1"/>
      <c r="V978" s="2"/>
      <c r="W978" s="2"/>
      <c r="X978" s="2"/>
      <c r="Y978" s="2"/>
      <c r="Z978" s="2"/>
    </row>
    <row r="979" spans="1:26" ht="15.75" customHeight="1" x14ac:dyDescent="0.2">
      <c r="A979" s="12"/>
      <c r="B979" s="10"/>
      <c r="C979" s="11"/>
      <c r="D979" s="13"/>
      <c r="E979" s="13"/>
      <c r="F979" s="13"/>
      <c r="G979" s="2"/>
      <c r="H979" s="2"/>
      <c r="I979" s="13"/>
      <c r="J979" s="13"/>
      <c r="K979" s="13"/>
      <c r="L979" s="14"/>
      <c r="M979" s="4"/>
      <c r="N979" s="2"/>
      <c r="O979" s="4"/>
      <c r="P979" s="2"/>
      <c r="Q979" s="2"/>
      <c r="R979" s="4"/>
      <c r="S979" s="2"/>
      <c r="T979" s="2"/>
      <c r="U979" s="1"/>
      <c r="V979" s="2"/>
      <c r="W979" s="2"/>
      <c r="X979" s="2"/>
      <c r="Y979" s="2"/>
      <c r="Z979" s="2"/>
    </row>
    <row r="980" spans="1:26" ht="15.75" customHeight="1" x14ac:dyDescent="0.2">
      <c r="A980" s="12"/>
      <c r="B980" s="10"/>
      <c r="C980" s="11"/>
      <c r="D980" s="13"/>
      <c r="E980" s="13"/>
      <c r="F980" s="13"/>
      <c r="G980" s="2"/>
      <c r="H980" s="2"/>
      <c r="I980" s="13"/>
      <c r="J980" s="13"/>
      <c r="K980" s="13"/>
      <c r="L980" s="14"/>
      <c r="M980" s="4"/>
      <c r="N980" s="2"/>
      <c r="O980" s="4"/>
      <c r="P980" s="2"/>
      <c r="Q980" s="2"/>
      <c r="R980" s="4"/>
      <c r="S980" s="2"/>
      <c r="T980" s="2"/>
      <c r="U980" s="1"/>
      <c r="V980" s="2"/>
      <c r="W980" s="2"/>
      <c r="X980" s="2"/>
      <c r="Y980" s="2"/>
      <c r="Z980" s="2"/>
    </row>
    <row r="981" spans="1:26" ht="15.75" customHeight="1" x14ac:dyDescent="0.2">
      <c r="A981" s="12"/>
      <c r="B981" s="10"/>
      <c r="C981" s="11"/>
      <c r="D981" s="13"/>
      <c r="E981" s="13"/>
      <c r="F981" s="13"/>
      <c r="G981" s="2"/>
      <c r="H981" s="2"/>
      <c r="I981" s="13"/>
      <c r="J981" s="13"/>
      <c r="K981" s="13"/>
      <c r="L981" s="14"/>
      <c r="M981" s="4"/>
      <c r="N981" s="2"/>
      <c r="O981" s="4"/>
      <c r="P981" s="2"/>
      <c r="Q981" s="2"/>
      <c r="R981" s="4"/>
      <c r="S981" s="2"/>
      <c r="T981" s="2"/>
      <c r="U981" s="1"/>
      <c r="V981" s="2"/>
      <c r="W981" s="2"/>
      <c r="X981" s="2"/>
      <c r="Y981" s="2"/>
      <c r="Z981" s="2"/>
    </row>
    <row r="982" spans="1:26" ht="15.75" customHeight="1" x14ac:dyDescent="0.2">
      <c r="A982" s="12"/>
      <c r="B982" s="10"/>
      <c r="C982" s="11"/>
      <c r="D982" s="13"/>
      <c r="E982" s="13"/>
      <c r="F982" s="13"/>
      <c r="G982" s="2"/>
      <c r="H982" s="2"/>
      <c r="I982" s="13"/>
      <c r="J982" s="13"/>
      <c r="K982" s="13"/>
      <c r="L982" s="14"/>
      <c r="M982" s="4"/>
      <c r="N982" s="2"/>
      <c r="O982" s="4"/>
      <c r="P982" s="2"/>
      <c r="Q982" s="2"/>
      <c r="R982" s="4"/>
      <c r="S982" s="2"/>
      <c r="T982" s="2"/>
      <c r="U982" s="1"/>
      <c r="V982" s="2"/>
      <c r="W982" s="2"/>
      <c r="X982" s="2"/>
      <c r="Y982" s="2"/>
      <c r="Z982" s="2"/>
    </row>
    <row r="983" spans="1:26" ht="15.75" customHeight="1" x14ac:dyDescent="0.2">
      <c r="A983" s="12"/>
      <c r="B983" s="10"/>
      <c r="C983" s="11"/>
      <c r="D983" s="13"/>
      <c r="E983" s="13"/>
      <c r="F983" s="13"/>
      <c r="G983" s="2"/>
      <c r="H983" s="2"/>
      <c r="I983" s="13"/>
      <c r="J983" s="13"/>
      <c r="K983" s="13"/>
      <c r="L983" s="14"/>
      <c r="M983" s="4"/>
      <c r="N983" s="2"/>
      <c r="O983" s="4"/>
      <c r="P983" s="2"/>
      <c r="Q983" s="2"/>
      <c r="R983" s="4"/>
      <c r="S983" s="2"/>
      <c r="T983" s="2"/>
      <c r="U983" s="1"/>
      <c r="V983" s="2"/>
      <c r="W983" s="2"/>
      <c r="X983" s="2"/>
      <c r="Y983" s="2"/>
      <c r="Z983" s="2"/>
    </row>
    <row r="984" spans="1:26" ht="15.75" customHeight="1" x14ac:dyDescent="0.2">
      <c r="A984" s="12"/>
      <c r="B984" s="10"/>
      <c r="C984" s="11"/>
      <c r="D984" s="13"/>
      <c r="E984" s="13"/>
      <c r="F984" s="13"/>
      <c r="G984" s="2"/>
      <c r="H984" s="2"/>
      <c r="I984" s="13"/>
      <c r="J984" s="13"/>
      <c r="K984" s="13"/>
      <c r="L984" s="14"/>
      <c r="M984" s="4"/>
      <c r="N984" s="2"/>
      <c r="O984" s="4"/>
      <c r="P984" s="2"/>
      <c r="Q984" s="2"/>
      <c r="R984" s="4"/>
      <c r="S984" s="2"/>
      <c r="T984" s="2"/>
      <c r="U984" s="1"/>
      <c r="V984" s="2"/>
      <c r="W984" s="2"/>
      <c r="X984" s="2"/>
      <c r="Y984" s="2"/>
      <c r="Z984" s="2"/>
    </row>
    <row r="985" spans="1:26" ht="15.75" customHeight="1" x14ac:dyDescent="0.2">
      <c r="A985" s="12"/>
      <c r="B985" s="10"/>
      <c r="C985" s="11"/>
      <c r="D985" s="13"/>
      <c r="E985" s="13"/>
      <c r="F985" s="13"/>
      <c r="G985" s="2"/>
      <c r="H985" s="2"/>
      <c r="I985" s="13"/>
      <c r="J985" s="13"/>
      <c r="K985" s="13"/>
      <c r="L985" s="14"/>
      <c r="M985" s="4"/>
      <c r="N985" s="2"/>
      <c r="O985" s="4"/>
      <c r="P985" s="2"/>
      <c r="Q985" s="2"/>
      <c r="R985" s="4"/>
      <c r="S985" s="2"/>
      <c r="T985" s="2"/>
      <c r="U985" s="1"/>
      <c r="V985" s="2"/>
      <c r="W985" s="2"/>
      <c r="X985" s="2"/>
      <c r="Y985" s="2"/>
      <c r="Z985" s="2"/>
    </row>
    <row r="986" spans="1:26" ht="15.75" customHeight="1" x14ac:dyDescent="0.2">
      <c r="A986" s="12"/>
      <c r="B986" s="10"/>
      <c r="C986" s="11"/>
      <c r="D986" s="13"/>
      <c r="E986" s="13"/>
      <c r="F986" s="13"/>
      <c r="G986" s="2"/>
      <c r="H986" s="2"/>
      <c r="I986" s="13"/>
      <c r="J986" s="13"/>
      <c r="K986" s="13"/>
      <c r="L986" s="14"/>
      <c r="M986" s="4"/>
      <c r="N986" s="2"/>
      <c r="O986" s="4"/>
      <c r="P986" s="2"/>
      <c r="Q986" s="2"/>
      <c r="R986" s="4"/>
      <c r="S986" s="2"/>
      <c r="T986" s="2"/>
      <c r="U986" s="1"/>
      <c r="V986" s="2"/>
      <c r="W986" s="2"/>
      <c r="X986" s="2"/>
      <c r="Y986" s="2"/>
      <c r="Z986" s="2"/>
    </row>
    <row r="987" spans="1:26" ht="15.75" customHeight="1" x14ac:dyDescent="0.2">
      <c r="A987" s="12"/>
      <c r="B987" s="10"/>
      <c r="C987" s="11"/>
      <c r="D987" s="13"/>
      <c r="E987" s="13"/>
      <c r="F987" s="13"/>
      <c r="G987" s="2"/>
      <c r="H987" s="2"/>
      <c r="I987" s="13"/>
      <c r="J987" s="13"/>
      <c r="K987" s="13"/>
      <c r="L987" s="14"/>
      <c r="M987" s="4"/>
      <c r="N987" s="2"/>
      <c r="O987" s="4"/>
      <c r="P987" s="2"/>
      <c r="Q987" s="2"/>
      <c r="R987" s="4"/>
      <c r="S987" s="2"/>
      <c r="T987" s="2"/>
      <c r="U987" s="1"/>
      <c r="V987" s="2"/>
      <c r="W987" s="2"/>
      <c r="X987" s="2"/>
      <c r="Y987" s="2"/>
      <c r="Z987" s="2"/>
    </row>
    <row r="988" spans="1:26" ht="15.75" customHeight="1" x14ac:dyDescent="0.2">
      <c r="A988" s="12"/>
      <c r="B988" s="10"/>
      <c r="C988" s="11"/>
      <c r="D988" s="13"/>
      <c r="E988" s="13"/>
      <c r="F988" s="13"/>
      <c r="G988" s="2"/>
      <c r="H988" s="2"/>
      <c r="I988" s="13"/>
      <c r="J988" s="13"/>
      <c r="K988" s="13"/>
      <c r="L988" s="14"/>
      <c r="M988" s="4"/>
      <c r="N988" s="2"/>
      <c r="O988" s="4"/>
      <c r="P988" s="2"/>
      <c r="Q988" s="2"/>
      <c r="R988" s="4"/>
      <c r="S988" s="2"/>
      <c r="T988" s="2"/>
      <c r="U988" s="1"/>
      <c r="V988" s="2"/>
      <c r="W988" s="2"/>
      <c r="X988" s="2"/>
      <c r="Y988" s="2"/>
      <c r="Z988" s="2"/>
    </row>
    <row r="989" spans="1:26" ht="15.75" customHeight="1" x14ac:dyDescent="0.2">
      <c r="A989" s="12"/>
      <c r="B989" s="10"/>
      <c r="C989" s="11"/>
      <c r="D989" s="13"/>
      <c r="E989" s="13"/>
      <c r="F989" s="13"/>
      <c r="G989" s="2"/>
      <c r="H989" s="2"/>
      <c r="I989" s="13"/>
      <c r="J989" s="13"/>
      <c r="K989" s="13"/>
      <c r="L989" s="14"/>
      <c r="M989" s="4"/>
      <c r="N989" s="2"/>
      <c r="O989" s="4"/>
      <c r="P989" s="2"/>
      <c r="Q989" s="2"/>
      <c r="R989" s="4"/>
      <c r="S989" s="2"/>
      <c r="T989" s="2"/>
      <c r="U989" s="1"/>
      <c r="V989" s="2"/>
      <c r="W989" s="2"/>
      <c r="X989" s="2"/>
      <c r="Y989" s="2"/>
      <c r="Z989" s="2"/>
    </row>
    <row r="990" spans="1:26" ht="15.75" customHeight="1" x14ac:dyDescent="0.2">
      <c r="A990" s="12"/>
      <c r="B990" s="10"/>
      <c r="C990" s="11"/>
      <c r="D990" s="13"/>
      <c r="E990" s="13"/>
      <c r="F990" s="13"/>
      <c r="G990" s="2"/>
      <c r="H990" s="2"/>
      <c r="I990" s="13"/>
      <c r="J990" s="13"/>
      <c r="K990" s="13"/>
      <c r="L990" s="14"/>
      <c r="M990" s="4"/>
      <c r="N990" s="2"/>
      <c r="O990" s="4"/>
      <c r="P990" s="2"/>
      <c r="Q990" s="2"/>
      <c r="R990" s="4"/>
      <c r="S990" s="2"/>
      <c r="T990" s="2"/>
      <c r="U990" s="1"/>
      <c r="V990" s="2"/>
      <c r="W990" s="2"/>
      <c r="X990" s="2"/>
      <c r="Y990" s="2"/>
      <c r="Z990" s="2"/>
    </row>
    <row r="991" spans="1:26" ht="15.75" customHeight="1" x14ac:dyDescent="0.2">
      <c r="A991" s="12"/>
      <c r="B991" s="10"/>
      <c r="C991" s="11"/>
      <c r="D991" s="13"/>
      <c r="E991" s="13"/>
      <c r="F991" s="13"/>
      <c r="G991" s="2"/>
      <c r="H991" s="2"/>
      <c r="I991" s="13"/>
      <c r="J991" s="13"/>
      <c r="K991" s="13"/>
      <c r="L991" s="14"/>
      <c r="M991" s="4"/>
      <c r="N991" s="2"/>
      <c r="O991" s="4"/>
      <c r="P991" s="2"/>
      <c r="Q991" s="2"/>
      <c r="R991" s="4"/>
      <c r="S991" s="2"/>
      <c r="T991" s="2"/>
      <c r="U991" s="1"/>
      <c r="V991" s="2"/>
      <c r="W991" s="2"/>
      <c r="X991" s="2"/>
      <c r="Y991" s="2"/>
      <c r="Z991" s="2"/>
    </row>
    <row r="992" spans="1:26" ht="15.75" customHeight="1" x14ac:dyDescent="0.2">
      <c r="A992" s="12"/>
      <c r="B992" s="10"/>
      <c r="C992" s="11"/>
      <c r="D992" s="13"/>
      <c r="E992" s="13"/>
      <c r="F992" s="13"/>
      <c r="G992" s="2"/>
      <c r="H992" s="2"/>
      <c r="I992" s="13"/>
      <c r="J992" s="13"/>
      <c r="K992" s="13"/>
      <c r="L992" s="14"/>
      <c r="M992" s="4"/>
      <c r="N992" s="2"/>
      <c r="O992" s="4"/>
      <c r="P992" s="2"/>
      <c r="Q992" s="2"/>
      <c r="R992" s="4"/>
      <c r="S992" s="2"/>
      <c r="T992" s="2"/>
      <c r="U992" s="1"/>
      <c r="V992" s="2"/>
      <c r="W992" s="2"/>
      <c r="X992" s="2"/>
      <c r="Y992" s="2"/>
      <c r="Z992" s="2"/>
    </row>
    <row r="993" spans="1:26" ht="15.75" customHeight="1" x14ac:dyDescent="0.2">
      <c r="A993" s="12"/>
      <c r="B993" s="10"/>
      <c r="C993" s="11"/>
      <c r="D993" s="13"/>
      <c r="E993" s="13"/>
      <c r="F993" s="13"/>
      <c r="G993" s="2"/>
      <c r="H993" s="2"/>
      <c r="I993" s="13"/>
      <c r="J993" s="13"/>
      <c r="K993" s="13"/>
      <c r="L993" s="14"/>
      <c r="M993" s="4"/>
      <c r="N993" s="2"/>
      <c r="O993" s="4"/>
      <c r="P993" s="2"/>
      <c r="Q993" s="2"/>
      <c r="R993" s="4"/>
      <c r="S993" s="2"/>
      <c r="T993" s="2"/>
      <c r="U993" s="1"/>
      <c r="V993" s="2"/>
      <c r="W993" s="2"/>
      <c r="X993" s="2"/>
      <c r="Y993" s="2"/>
      <c r="Z993" s="2"/>
    </row>
    <row r="994" spans="1:26" ht="15.75" customHeight="1" x14ac:dyDescent="0.2">
      <c r="A994" s="12"/>
      <c r="B994" s="10"/>
      <c r="C994" s="11"/>
      <c r="D994" s="13"/>
      <c r="E994" s="13"/>
      <c r="F994" s="13"/>
      <c r="G994" s="2"/>
      <c r="H994" s="2"/>
      <c r="I994" s="13"/>
      <c r="J994" s="13"/>
      <c r="K994" s="13"/>
      <c r="L994" s="14"/>
      <c r="M994" s="4"/>
      <c r="N994" s="2"/>
      <c r="O994" s="4"/>
      <c r="P994" s="2"/>
      <c r="Q994" s="2"/>
      <c r="R994" s="4"/>
      <c r="S994" s="2"/>
      <c r="T994" s="2"/>
      <c r="U994" s="1"/>
      <c r="V994" s="2"/>
      <c r="W994" s="2"/>
      <c r="X994" s="2"/>
      <c r="Y994" s="2"/>
      <c r="Z994" s="2"/>
    </row>
    <row r="995" spans="1:26" ht="15.75" customHeight="1" x14ac:dyDescent="0.2">
      <c r="A995" s="12"/>
      <c r="B995" s="10"/>
      <c r="C995" s="11"/>
      <c r="D995" s="13"/>
      <c r="E995" s="13"/>
      <c r="F995" s="13"/>
      <c r="G995" s="2"/>
      <c r="H995" s="2"/>
      <c r="I995" s="13"/>
      <c r="J995" s="13"/>
      <c r="K995" s="13"/>
      <c r="L995" s="14"/>
      <c r="M995" s="4"/>
      <c r="N995" s="2"/>
      <c r="O995" s="4"/>
      <c r="P995" s="2"/>
      <c r="Q995" s="2"/>
      <c r="R995" s="4"/>
      <c r="S995" s="2"/>
      <c r="T995" s="2"/>
      <c r="U995" s="1"/>
      <c r="V995" s="2"/>
      <c r="W995" s="2"/>
      <c r="X995" s="2"/>
      <c r="Y995" s="2"/>
      <c r="Z995" s="2"/>
    </row>
    <row r="996" spans="1:26" ht="15.75" customHeight="1" x14ac:dyDescent="0.2">
      <c r="A996" s="12"/>
      <c r="B996" s="10"/>
      <c r="C996" s="11"/>
      <c r="D996" s="13"/>
      <c r="E996" s="13"/>
      <c r="F996" s="13"/>
      <c r="G996" s="2"/>
      <c r="H996" s="2"/>
      <c r="I996" s="13"/>
      <c r="J996" s="13"/>
      <c r="K996" s="13"/>
      <c r="L996" s="14"/>
      <c r="M996" s="4"/>
      <c r="N996" s="2"/>
      <c r="O996" s="4"/>
      <c r="P996" s="2"/>
      <c r="Q996" s="2"/>
      <c r="R996" s="4"/>
      <c r="S996" s="2"/>
      <c r="T996" s="2"/>
      <c r="U996" s="1"/>
      <c r="V996" s="2"/>
      <c r="W996" s="2"/>
      <c r="X996" s="2"/>
      <c r="Y996" s="2"/>
      <c r="Z996" s="2"/>
    </row>
    <row r="997" spans="1:26" ht="15.75" customHeight="1" x14ac:dyDescent="0.2">
      <c r="A997" s="12"/>
      <c r="B997" s="10"/>
      <c r="C997" s="11"/>
      <c r="D997" s="13"/>
      <c r="E997" s="13"/>
      <c r="F997" s="13"/>
      <c r="G997" s="2"/>
      <c r="H997" s="2"/>
      <c r="I997" s="13"/>
      <c r="J997" s="13"/>
      <c r="K997" s="13"/>
      <c r="L997" s="14"/>
      <c r="M997" s="4"/>
      <c r="N997" s="2"/>
      <c r="O997" s="4"/>
      <c r="P997" s="2"/>
      <c r="Q997" s="2"/>
      <c r="R997" s="4"/>
      <c r="S997" s="2"/>
      <c r="T997" s="2"/>
      <c r="U997" s="1"/>
      <c r="V997" s="2"/>
      <c r="W997" s="2"/>
      <c r="X997" s="2"/>
      <c r="Y997" s="2"/>
      <c r="Z997" s="2"/>
    </row>
    <row r="998" spans="1:26" ht="15.75" customHeight="1" x14ac:dyDescent="0.2">
      <c r="A998" s="12"/>
      <c r="B998" s="10"/>
      <c r="C998" s="11"/>
      <c r="D998" s="13"/>
      <c r="E998" s="13"/>
      <c r="F998" s="13"/>
      <c r="G998" s="2"/>
      <c r="H998" s="2"/>
      <c r="I998" s="13"/>
      <c r="J998" s="13"/>
      <c r="K998" s="13"/>
      <c r="L998" s="14"/>
      <c r="M998" s="4"/>
      <c r="N998" s="2"/>
      <c r="O998" s="4"/>
      <c r="P998" s="2"/>
      <c r="Q998" s="2"/>
      <c r="R998" s="4"/>
      <c r="S998" s="2"/>
      <c r="T998" s="2"/>
      <c r="U998" s="1"/>
      <c r="V998" s="2"/>
      <c r="W998" s="2"/>
      <c r="X998" s="2"/>
      <c r="Y998" s="2"/>
      <c r="Z998" s="2"/>
    </row>
    <row r="999" spans="1:26" ht="15.75" customHeight="1" x14ac:dyDescent="0.2">
      <c r="A999" s="12"/>
      <c r="B999" s="10"/>
      <c r="C999" s="11"/>
      <c r="D999" s="13"/>
      <c r="E999" s="13"/>
      <c r="F999" s="13"/>
      <c r="G999" s="2"/>
      <c r="H999" s="2"/>
      <c r="I999" s="13"/>
      <c r="J999" s="13"/>
      <c r="K999" s="13"/>
      <c r="L999" s="14"/>
      <c r="M999" s="4"/>
      <c r="N999" s="2"/>
      <c r="O999" s="4"/>
      <c r="P999" s="2"/>
      <c r="Q999" s="2"/>
      <c r="R999" s="4"/>
      <c r="S999" s="2"/>
      <c r="T999" s="2"/>
      <c r="U999" s="1"/>
      <c r="V999" s="2"/>
      <c r="W999" s="2"/>
      <c r="X999" s="2"/>
      <c r="Y999" s="2"/>
      <c r="Z999" s="2"/>
    </row>
    <row r="1000" spans="1:26" ht="15.75" customHeight="1" x14ac:dyDescent="0.2">
      <c r="A1000" s="12"/>
      <c r="B1000" s="10"/>
      <c r="C1000" s="11"/>
      <c r="D1000" s="13"/>
      <c r="E1000" s="13"/>
      <c r="F1000" s="13"/>
      <c r="G1000" s="2"/>
      <c r="H1000" s="2"/>
      <c r="I1000" s="13"/>
      <c r="J1000" s="13"/>
      <c r="K1000" s="13"/>
      <c r="L1000" s="14"/>
      <c r="M1000" s="4"/>
      <c r="N1000" s="2"/>
      <c r="O1000" s="4"/>
      <c r="P1000" s="2"/>
      <c r="Q1000" s="2"/>
      <c r="R1000" s="4"/>
      <c r="S1000" s="2"/>
      <c r="T1000" s="2"/>
      <c r="U1000" s="1"/>
      <c r="V1000" s="2"/>
      <c r="W1000" s="2"/>
      <c r="X1000" s="2"/>
      <c r="Y1000" s="2"/>
      <c r="Z1000" s="2"/>
    </row>
    <row r="1001" spans="1:26" ht="15.75" customHeight="1" x14ac:dyDescent="0.2">
      <c r="A1001" s="12"/>
      <c r="B1001" s="10"/>
      <c r="C1001" s="11"/>
      <c r="D1001" s="13"/>
      <c r="E1001" s="13"/>
      <c r="F1001" s="13"/>
      <c r="G1001" s="2"/>
      <c r="H1001" s="2"/>
      <c r="I1001" s="13"/>
      <c r="J1001" s="13"/>
      <c r="K1001" s="13"/>
      <c r="L1001" s="14"/>
      <c r="M1001" s="4"/>
      <c r="N1001" s="2"/>
      <c r="O1001" s="4"/>
      <c r="P1001" s="2"/>
      <c r="Q1001" s="2"/>
      <c r="R1001" s="4"/>
      <c r="S1001" s="2"/>
      <c r="T1001" s="2"/>
      <c r="U1001" s="1"/>
      <c r="V1001" s="2"/>
      <c r="W1001" s="2"/>
      <c r="X1001" s="2"/>
      <c r="Y1001" s="2"/>
      <c r="Z1001" s="2"/>
    </row>
    <row r="1002" spans="1:26" ht="15.75" customHeight="1" x14ac:dyDescent="0.2">
      <c r="A1002" s="12"/>
      <c r="B1002" s="10"/>
      <c r="C1002" s="11"/>
      <c r="D1002" s="13"/>
      <c r="E1002" s="13"/>
      <c r="F1002" s="13"/>
      <c r="G1002" s="2"/>
      <c r="H1002" s="2"/>
      <c r="I1002" s="13"/>
      <c r="J1002" s="13"/>
      <c r="K1002" s="13"/>
      <c r="L1002" s="14"/>
      <c r="M1002" s="4"/>
      <c r="N1002" s="2"/>
      <c r="O1002" s="4"/>
      <c r="P1002" s="2"/>
      <c r="Q1002" s="2"/>
      <c r="R1002" s="4"/>
      <c r="S1002" s="2"/>
      <c r="T1002" s="2"/>
      <c r="U1002" s="1"/>
      <c r="V1002" s="2"/>
      <c r="W1002" s="2"/>
      <c r="X1002" s="2"/>
      <c r="Y1002" s="2"/>
      <c r="Z1002" s="2"/>
    </row>
    <row r="1003" spans="1:26" ht="15.75" customHeight="1" x14ac:dyDescent="0.2">
      <c r="A1003" s="12"/>
      <c r="B1003" s="10"/>
      <c r="C1003" s="11"/>
      <c r="D1003" s="13"/>
      <c r="E1003" s="13"/>
      <c r="F1003" s="13"/>
      <c r="G1003" s="2"/>
      <c r="H1003" s="2"/>
      <c r="I1003" s="13"/>
      <c r="J1003" s="13"/>
      <c r="K1003" s="13"/>
      <c r="L1003" s="14"/>
      <c r="M1003" s="4"/>
      <c r="N1003" s="2"/>
      <c r="O1003" s="4"/>
      <c r="P1003" s="2"/>
      <c r="Q1003" s="2"/>
      <c r="R1003" s="4"/>
      <c r="S1003" s="2"/>
      <c r="T1003" s="2"/>
      <c r="U1003" s="1"/>
      <c r="V1003" s="2"/>
      <c r="W1003" s="2"/>
      <c r="X1003" s="2"/>
      <c r="Y1003" s="2"/>
      <c r="Z1003" s="2"/>
    </row>
    <row r="1004" spans="1:26" ht="15.75" customHeight="1" x14ac:dyDescent="0.2">
      <c r="A1004" s="12"/>
      <c r="B1004" s="10"/>
      <c r="C1004" s="11"/>
      <c r="D1004" s="13"/>
      <c r="E1004" s="13"/>
      <c r="F1004" s="13"/>
      <c r="G1004" s="2"/>
      <c r="H1004" s="2"/>
      <c r="I1004" s="13"/>
      <c r="J1004" s="13"/>
      <c r="K1004" s="13"/>
      <c r="L1004" s="14"/>
      <c r="M1004" s="4"/>
      <c r="N1004" s="2"/>
      <c r="O1004" s="4"/>
      <c r="P1004" s="2"/>
      <c r="Q1004" s="2"/>
      <c r="R1004" s="4"/>
      <c r="S1004" s="2"/>
      <c r="T1004" s="2"/>
      <c r="U1004" s="1"/>
      <c r="V1004" s="2"/>
      <c r="W1004" s="2"/>
      <c r="X1004" s="2"/>
      <c r="Y1004" s="2"/>
      <c r="Z1004" s="2"/>
    </row>
    <row r="1005" spans="1:26" ht="15.75" customHeight="1" x14ac:dyDescent="0.2">
      <c r="A1005" s="12"/>
      <c r="B1005" s="10"/>
      <c r="C1005" s="11"/>
      <c r="D1005" s="13"/>
      <c r="E1005" s="13"/>
      <c r="F1005" s="13"/>
      <c r="G1005" s="2"/>
      <c r="H1005" s="2"/>
      <c r="I1005" s="13"/>
      <c r="J1005" s="13"/>
      <c r="K1005" s="13"/>
      <c r="L1005" s="14"/>
      <c r="M1005" s="4"/>
      <c r="N1005" s="2"/>
      <c r="O1005" s="4"/>
      <c r="P1005" s="2"/>
      <c r="Q1005" s="2"/>
      <c r="R1005" s="4"/>
      <c r="S1005" s="2"/>
      <c r="T1005" s="2"/>
      <c r="U1005" s="1"/>
      <c r="V1005" s="2"/>
      <c r="W1005" s="2"/>
      <c r="X1005" s="2"/>
      <c r="Y1005" s="2"/>
      <c r="Z1005" s="2"/>
    </row>
    <row r="1006" spans="1:26" ht="15.75" customHeight="1" x14ac:dyDescent="0.2">
      <c r="A1006" s="12"/>
      <c r="B1006" s="10"/>
      <c r="C1006" s="11"/>
      <c r="D1006" s="13"/>
      <c r="E1006" s="13"/>
      <c r="F1006" s="13"/>
      <c r="G1006" s="2"/>
      <c r="H1006" s="2"/>
      <c r="I1006" s="13"/>
      <c r="J1006" s="13"/>
      <c r="K1006" s="13"/>
      <c r="L1006" s="14"/>
      <c r="M1006" s="4"/>
      <c r="N1006" s="2"/>
      <c r="O1006" s="4"/>
      <c r="P1006" s="2"/>
      <c r="Q1006" s="2"/>
      <c r="R1006" s="4"/>
      <c r="S1006" s="2"/>
      <c r="T1006" s="2"/>
      <c r="U1006" s="1"/>
      <c r="V1006" s="2"/>
      <c r="W1006" s="2"/>
      <c r="X1006" s="2"/>
      <c r="Y1006" s="2"/>
      <c r="Z1006" s="2"/>
    </row>
    <row r="1007" spans="1:26" ht="15.75" customHeight="1" x14ac:dyDescent="0.2">
      <c r="A1007" s="12"/>
      <c r="B1007" s="10"/>
      <c r="C1007" s="11"/>
      <c r="D1007" s="13"/>
      <c r="E1007" s="13"/>
      <c r="F1007" s="13"/>
      <c r="G1007" s="2"/>
      <c r="H1007" s="2"/>
      <c r="I1007" s="13"/>
      <c r="J1007" s="13"/>
      <c r="K1007" s="13"/>
      <c r="L1007" s="14"/>
      <c r="M1007" s="4"/>
      <c r="N1007" s="2"/>
      <c r="O1007" s="4"/>
      <c r="P1007" s="2"/>
      <c r="Q1007" s="2"/>
      <c r="R1007" s="4"/>
      <c r="S1007" s="2"/>
      <c r="T1007" s="2"/>
      <c r="U1007" s="1"/>
      <c r="V1007" s="2"/>
      <c r="W1007" s="2"/>
      <c r="X1007" s="2"/>
      <c r="Y1007" s="2"/>
      <c r="Z1007" s="2"/>
    </row>
    <row r="1008" spans="1:26" ht="15.75" customHeight="1" x14ac:dyDescent="0.2">
      <c r="A1008" s="12"/>
      <c r="B1008" s="10"/>
      <c r="C1008" s="11"/>
      <c r="D1008" s="13"/>
      <c r="E1008" s="13"/>
      <c r="F1008" s="13"/>
      <c r="G1008" s="2"/>
      <c r="H1008" s="2"/>
      <c r="I1008" s="13"/>
      <c r="J1008" s="13"/>
      <c r="K1008" s="13"/>
      <c r="L1008" s="14"/>
      <c r="M1008" s="4"/>
      <c r="N1008" s="2"/>
      <c r="O1008" s="4"/>
      <c r="P1008" s="2"/>
      <c r="Q1008" s="2"/>
      <c r="R1008" s="4"/>
      <c r="S1008" s="2"/>
      <c r="T1008" s="2"/>
      <c r="U1008" s="1"/>
      <c r="V1008" s="2"/>
      <c r="W1008" s="2"/>
      <c r="X1008" s="2"/>
      <c r="Y1008" s="2"/>
      <c r="Z1008" s="2"/>
    </row>
    <row r="1009" spans="1:26" ht="15.75" customHeight="1" x14ac:dyDescent="0.2">
      <c r="A1009" s="12"/>
      <c r="B1009" s="10"/>
      <c r="C1009" s="11"/>
      <c r="D1009" s="13"/>
      <c r="E1009" s="13"/>
      <c r="F1009" s="13"/>
      <c r="G1009" s="2"/>
      <c r="H1009" s="2"/>
      <c r="I1009" s="13"/>
      <c r="J1009" s="13"/>
      <c r="K1009" s="13"/>
      <c r="L1009" s="14"/>
      <c r="M1009" s="4"/>
      <c r="N1009" s="2"/>
      <c r="O1009" s="4"/>
      <c r="P1009" s="2"/>
      <c r="Q1009" s="2"/>
      <c r="R1009" s="4"/>
      <c r="S1009" s="2"/>
      <c r="T1009" s="2"/>
      <c r="U1009" s="1"/>
      <c r="V1009" s="2"/>
      <c r="W1009" s="2"/>
      <c r="X1009" s="2"/>
      <c r="Y1009" s="2"/>
      <c r="Z1009" s="2"/>
    </row>
    <row r="1010" spans="1:26" ht="15.75" customHeight="1" x14ac:dyDescent="0.2">
      <c r="A1010" s="12"/>
      <c r="B1010" s="10"/>
      <c r="C1010" s="11"/>
      <c r="D1010" s="13"/>
      <c r="E1010" s="13"/>
      <c r="F1010" s="13"/>
      <c r="G1010" s="2"/>
      <c r="H1010" s="2"/>
      <c r="I1010" s="13"/>
      <c r="J1010" s="13"/>
      <c r="K1010" s="13"/>
      <c r="L1010" s="14"/>
      <c r="M1010" s="4"/>
      <c r="N1010" s="2"/>
      <c r="O1010" s="4"/>
      <c r="P1010" s="2"/>
      <c r="Q1010" s="2"/>
      <c r="R1010" s="4"/>
      <c r="S1010" s="2"/>
      <c r="T1010" s="2"/>
      <c r="U1010" s="1"/>
      <c r="V1010" s="2"/>
      <c r="W1010" s="2"/>
      <c r="X1010" s="2"/>
      <c r="Y1010" s="2"/>
      <c r="Z1010" s="2"/>
    </row>
    <row r="1011" spans="1:26" ht="15.75" customHeight="1" x14ac:dyDescent="0.2">
      <c r="A1011" s="12"/>
      <c r="B1011" s="10"/>
      <c r="C1011" s="11"/>
      <c r="D1011" s="13"/>
      <c r="E1011" s="13"/>
      <c r="F1011" s="13"/>
      <c r="G1011" s="2"/>
      <c r="H1011" s="2"/>
      <c r="I1011" s="13"/>
      <c r="J1011" s="13"/>
      <c r="K1011" s="13"/>
      <c r="L1011" s="14"/>
      <c r="M1011" s="4"/>
      <c r="N1011" s="2"/>
      <c r="O1011" s="4"/>
      <c r="P1011" s="2"/>
      <c r="Q1011" s="2"/>
      <c r="R1011" s="4"/>
      <c r="S1011" s="2"/>
      <c r="T1011" s="2"/>
      <c r="U1011" s="1"/>
      <c r="V1011" s="2"/>
      <c r="W1011" s="2"/>
      <c r="X1011" s="2"/>
      <c r="Y1011" s="2"/>
      <c r="Z1011" s="2"/>
    </row>
    <row r="1012" spans="1:26" ht="15.75" customHeight="1" x14ac:dyDescent="0.2">
      <c r="A1012" s="12"/>
      <c r="B1012" s="10"/>
      <c r="C1012" s="11"/>
      <c r="D1012" s="13"/>
      <c r="E1012" s="13"/>
      <c r="F1012" s="13"/>
      <c r="G1012" s="2"/>
      <c r="H1012" s="2"/>
      <c r="I1012" s="13"/>
      <c r="J1012" s="13"/>
      <c r="K1012" s="13"/>
      <c r="L1012" s="14"/>
      <c r="M1012" s="4"/>
      <c r="N1012" s="2"/>
      <c r="O1012" s="4"/>
      <c r="P1012" s="2"/>
      <c r="Q1012" s="2"/>
      <c r="R1012" s="4"/>
      <c r="S1012" s="2"/>
      <c r="T1012" s="2"/>
      <c r="U1012" s="1"/>
      <c r="V1012" s="2"/>
      <c r="W1012" s="2"/>
      <c r="X1012" s="2"/>
      <c r="Y1012" s="2"/>
      <c r="Z1012" s="2"/>
    </row>
    <row r="1013" spans="1:26" ht="15.75" customHeight="1" x14ac:dyDescent="0.2">
      <c r="A1013" s="12"/>
      <c r="B1013" s="10"/>
      <c r="C1013" s="11"/>
      <c r="D1013" s="13"/>
      <c r="E1013" s="13"/>
      <c r="F1013" s="13"/>
      <c r="G1013" s="2"/>
      <c r="H1013" s="2"/>
      <c r="I1013" s="13"/>
      <c r="J1013" s="13"/>
      <c r="K1013" s="13"/>
      <c r="L1013" s="14"/>
      <c r="M1013" s="4"/>
      <c r="N1013" s="2"/>
      <c r="O1013" s="4"/>
      <c r="P1013" s="2"/>
      <c r="Q1013" s="2"/>
      <c r="R1013" s="4"/>
      <c r="S1013" s="2"/>
      <c r="T1013" s="2"/>
      <c r="U1013" s="1"/>
      <c r="V1013" s="2"/>
      <c r="W1013" s="2"/>
      <c r="X1013" s="2"/>
      <c r="Y1013" s="2"/>
      <c r="Z1013" s="2"/>
    </row>
    <row r="1014" spans="1:26" ht="15.75" customHeight="1" x14ac:dyDescent="0.2">
      <c r="A1014" s="12"/>
      <c r="B1014" s="10"/>
      <c r="C1014" s="11"/>
      <c r="D1014" s="13"/>
      <c r="E1014" s="13"/>
      <c r="F1014" s="13"/>
      <c r="G1014" s="2"/>
      <c r="H1014" s="2"/>
      <c r="I1014" s="13"/>
      <c r="J1014" s="13"/>
      <c r="K1014" s="13"/>
      <c r="L1014" s="14"/>
      <c r="M1014" s="4"/>
      <c r="N1014" s="2"/>
      <c r="O1014" s="4"/>
      <c r="P1014" s="2"/>
      <c r="Q1014" s="2"/>
      <c r="R1014" s="4"/>
      <c r="S1014" s="2"/>
      <c r="T1014" s="2"/>
      <c r="U1014" s="1"/>
      <c r="V1014" s="2"/>
      <c r="W1014" s="2"/>
      <c r="X1014" s="2"/>
      <c r="Y1014" s="2"/>
      <c r="Z1014" s="2"/>
    </row>
    <row r="1015" spans="1:26" ht="15.75" customHeight="1" x14ac:dyDescent="0.2">
      <c r="A1015" s="12"/>
      <c r="B1015" s="10"/>
      <c r="C1015" s="11"/>
      <c r="D1015" s="13"/>
      <c r="E1015" s="13"/>
      <c r="F1015" s="13"/>
      <c r="G1015" s="2"/>
      <c r="H1015" s="2"/>
      <c r="I1015" s="13"/>
      <c r="J1015" s="13"/>
      <c r="K1015" s="13"/>
      <c r="L1015" s="14"/>
      <c r="M1015" s="4"/>
      <c r="N1015" s="2"/>
      <c r="O1015" s="4"/>
      <c r="P1015" s="2"/>
      <c r="Q1015" s="2"/>
      <c r="R1015" s="4"/>
      <c r="S1015" s="2"/>
      <c r="T1015" s="2"/>
      <c r="U1015" s="1"/>
      <c r="V1015" s="2"/>
      <c r="W1015" s="2"/>
      <c r="X1015" s="2"/>
      <c r="Y1015" s="2"/>
      <c r="Z1015" s="2"/>
    </row>
    <row r="1016" spans="1:26" ht="15.75" customHeight="1" x14ac:dyDescent="0.2">
      <c r="A1016" s="12"/>
      <c r="B1016" s="10"/>
      <c r="C1016" s="11"/>
      <c r="D1016" s="13"/>
      <c r="E1016" s="13"/>
      <c r="F1016" s="13"/>
      <c r="G1016" s="2"/>
      <c r="H1016" s="2"/>
      <c r="I1016" s="13"/>
      <c r="J1016" s="13"/>
      <c r="K1016" s="13"/>
      <c r="L1016" s="14"/>
      <c r="M1016" s="4"/>
      <c r="N1016" s="2"/>
      <c r="O1016" s="4"/>
      <c r="P1016" s="2"/>
      <c r="Q1016" s="2"/>
      <c r="R1016" s="4"/>
      <c r="S1016" s="2"/>
      <c r="T1016" s="2"/>
      <c r="U1016" s="1"/>
      <c r="V1016" s="2"/>
      <c r="W1016" s="2"/>
      <c r="X1016" s="2"/>
      <c r="Y1016" s="2"/>
      <c r="Z1016" s="2"/>
    </row>
    <row r="1017" spans="1:26" ht="15.75" customHeight="1" x14ac:dyDescent="0.2">
      <c r="A1017" s="12"/>
      <c r="B1017" s="10"/>
      <c r="C1017" s="11"/>
      <c r="D1017" s="13"/>
      <c r="E1017" s="13"/>
      <c r="F1017" s="13"/>
      <c r="G1017" s="2"/>
      <c r="H1017" s="2"/>
      <c r="I1017" s="13"/>
      <c r="J1017" s="13"/>
      <c r="K1017" s="13"/>
      <c r="L1017" s="14"/>
      <c r="M1017" s="4"/>
      <c r="N1017" s="2"/>
      <c r="O1017" s="4"/>
      <c r="P1017" s="2"/>
      <c r="Q1017" s="2"/>
      <c r="R1017" s="4"/>
      <c r="S1017" s="2"/>
      <c r="T1017" s="2"/>
      <c r="U1017" s="1"/>
      <c r="V1017" s="2"/>
      <c r="W1017" s="2"/>
      <c r="X1017" s="2"/>
      <c r="Y1017" s="2"/>
      <c r="Z1017" s="2"/>
    </row>
    <row r="1018" spans="1:26" ht="15.75" customHeight="1" x14ac:dyDescent="0.2">
      <c r="A1018" s="12"/>
      <c r="B1018" s="10"/>
      <c r="C1018" s="11"/>
      <c r="D1018" s="13"/>
      <c r="E1018" s="13"/>
      <c r="F1018" s="13"/>
      <c r="G1018" s="2"/>
      <c r="H1018" s="2"/>
      <c r="I1018" s="13"/>
      <c r="J1018" s="13"/>
      <c r="K1018" s="13"/>
      <c r="L1018" s="14"/>
      <c r="M1018" s="4"/>
      <c r="N1018" s="2"/>
      <c r="O1018" s="4"/>
      <c r="P1018" s="2"/>
      <c r="Q1018" s="2"/>
      <c r="R1018" s="4"/>
      <c r="S1018" s="2"/>
      <c r="T1018" s="2"/>
      <c r="U1018" s="1"/>
      <c r="V1018" s="2"/>
      <c r="W1018" s="2"/>
      <c r="X1018" s="2"/>
      <c r="Y1018" s="2"/>
      <c r="Z1018" s="2"/>
    </row>
    <row r="1019" spans="1:26" ht="15.75" customHeight="1" x14ac:dyDescent="0.2">
      <c r="A1019" s="12"/>
      <c r="B1019" s="10"/>
      <c r="C1019" s="11"/>
      <c r="D1019" s="13"/>
      <c r="E1019" s="13"/>
      <c r="F1019" s="13"/>
      <c r="G1019" s="2"/>
      <c r="H1019" s="2"/>
      <c r="I1019" s="13"/>
      <c r="J1019" s="13"/>
      <c r="K1019" s="13"/>
      <c r="L1019" s="14"/>
      <c r="M1019" s="4"/>
      <c r="N1019" s="2"/>
      <c r="O1019" s="4"/>
      <c r="P1019" s="2"/>
      <c r="Q1019" s="2"/>
      <c r="R1019" s="4"/>
      <c r="S1019" s="2"/>
      <c r="T1019" s="2"/>
      <c r="U1019" s="1"/>
      <c r="V1019" s="2"/>
      <c r="W1019" s="2"/>
      <c r="X1019" s="2"/>
      <c r="Y1019" s="2"/>
      <c r="Z1019" s="2"/>
    </row>
    <row r="1020" spans="1:26" ht="15.75" customHeight="1" x14ac:dyDescent="0.2">
      <c r="A1020" s="12"/>
      <c r="B1020" s="10"/>
      <c r="C1020" s="11"/>
      <c r="D1020" s="13"/>
      <c r="E1020" s="13"/>
      <c r="F1020" s="13"/>
      <c r="G1020" s="2"/>
      <c r="H1020" s="2"/>
      <c r="I1020" s="13"/>
      <c r="J1020" s="13"/>
      <c r="K1020" s="13"/>
      <c r="L1020" s="14"/>
      <c r="M1020" s="4"/>
      <c r="N1020" s="2"/>
      <c r="O1020" s="4"/>
      <c r="P1020" s="2"/>
      <c r="Q1020" s="2"/>
      <c r="R1020" s="4"/>
      <c r="S1020" s="2"/>
      <c r="T1020" s="2"/>
      <c r="U1020" s="1"/>
      <c r="V1020" s="2"/>
      <c r="W1020" s="2"/>
      <c r="X1020" s="2"/>
      <c r="Y1020" s="2"/>
      <c r="Z1020" s="2"/>
    </row>
    <row r="1021" spans="1:26" ht="15.75" customHeight="1" x14ac:dyDescent="0.2">
      <c r="A1021" s="12"/>
      <c r="B1021" s="10"/>
      <c r="C1021" s="11"/>
      <c r="D1021" s="13"/>
      <c r="E1021" s="13"/>
      <c r="F1021" s="13"/>
      <c r="G1021" s="2"/>
      <c r="H1021" s="2"/>
      <c r="I1021" s="13"/>
      <c r="J1021" s="13"/>
      <c r="K1021" s="13"/>
      <c r="L1021" s="14"/>
      <c r="M1021" s="4"/>
      <c r="N1021" s="2"/>
      <c r="O1021" s="4"/>
      <c r="P1021" s="2"/>
      <c r="Q1021" s="2"/>
      <c r="R1021" s="4"/>
      <c r="S1021" s="2"/>
      <c r="T1021" s="2"/>
      <c r="U1021" s="1"/>
      <c r="V1021" s="2"/>
      <c r="W1021" s="2"/>
      <c r="X1021" s="2"/>
      <c r="Y1021" s="2"/>
      <c r="Z1021" s="2"/>
    </row>
    <row r="1022" spans="1:26" ht="15.75" customHeight="1" x14ac:dyDescent="0.2">
      <c r="A1022" s="12"/>
      <c r="B1022" s="10"/>
      <c r="C1022" s="11"/>
      <c r="D1022" s="13"/>
      <c r="E1022" s="13"/>
      <c r="F1022" s="13"/>
      <c r="G1022" s="2"/>
      <c r="H1022" s="2"/>
      <c r="I1022" s="13"/>
      <c r="J1022" s="13"/>
      <c r="K1022" s="13"/>
      <c r="L1022" s="14"/>
      <c r="M1022" s="4"/>
      <c r="N1022" s="2"/>
      <c r="O1022" s="4"/>
      <c r="P1022" s="2"/>
      <c r="Q1022" s="2"/>
      <c r="R1022" s="4"/>
      <c r="S1022" s="2"/>
      <c r="T1022" s="2"/>
      <c r="U1022" s="1"/>
      <c r="V1022" s="2"/>
      <c r="W1022" s="2"/>
      <c r="X1022" s="2"/>
      <c r="Y1022" s="2"/>
      <c r="Z1022" s="2"/>
    </row>
    <row r="1023" spans="1:26" ht="15.75" customHeight="1" x14ac:dyDescent="0.2">
      <c r="A1023" s="12"/>
      <c r="B1023" s="10"/>
      <c r="C1023" s="11"/>
      <c r="D1023" s="13"/>
      <c r="E1023" s="13"/>
      <c r="F1023" s="13"/>
      <c r="G1023" s="2"/>
      <c r="H1023" s="2"/>
      <c r="I1023" s="13"/>
      <c r="J1023" s="13"/>
      <c r="K1023" s="13"/>
      <c r="L1023" s="14"/>
      <c r="M1023" s="4"/>
      <c r="N1023" s="2"/>
      <c r="O1023" s="4"/>
      <c r="P1023" s="2"/>
      <c r="Q1023" s="2"/>
      <c r="R1023" s="4"/>
      <c r="S1023" s="2"/>
      <c r="T1023" s="2"/>
      <c r="U1023" s="1"/>
      <c r="V1023" s="2"/>
      <c r="W1023" s="2"/>
      <c r="X1023" s="2"/>
      <c r="Y1023" s="2"/>
      <c r="Z1023" s="2"/>
    </row>
    <row r="1024" spans="1:26" ht="15.75" customHeight="1" x14ac:dyDescent="0.2">
      <c r="A1024" s="12"/>
      <c r="B1024" s="10"/>
      <c r="C1024" s="11"/>
      <c r="D1024" s="13"/>
      <c r="E1024" s="13"/>
      <c r="F1024" s="13"/>
      <c r="G1024" s="2"/>
      <c r="H1024" s="2"/>
      <c r="I1024" s="13"/>
      <c r="J1024" s="13"/>
      <c r="K1024" s="13"/>
      <c r="L1024" s="14"/>
      <c r="M1024" s="4"/>
      <c r="N1024" s="2"/>
      <c r="O1024" s="4"/>
      <c r="P1024" s="2"/>
      <c r="Q1024" s="2"/>
      <c r="R1024" s="4"/>
      <c r="S1024" s="2"/>
      <c r="T1024" s="2"/>
      <c r="U1024" s="1"/>
      <c r="V1024" s="2"/>
      <c r="W1024" s="2"/>
      <c r="X1024" s="2"/>
      <c r="Y1024" s="2"/>
      <c r="Z1024" s="2"/>
    </row>
    <row r="1025" spans="1:26" ht="15.75" customHeight="1" x14ac:dyDescent="0.2">
      <c r="A1025" s="12"/>
      <c r="B1025" s="10"/>
      <c r="C1025" s="11"/>
      <c r="D1025" s="13"/>
      <c r="E1025" s="13"/>
      <c r="F1025" s="13"/>
      <c r="G1025" s="2"/>
      <c r="H1025" s="2"/>
      <c r="I1025" s="13"/>
      <c r="J1025" s="13"/>
      <c r="K1025" s="13"/>
      <c r="L1025" s="14"/>
      <c r="M1025" s="4"/>
      <c r="N1025" s="2"/>
      <c r="O1025" s="4"/>
      <c r="P1025" s="2"/>
      <c r="Q1025" s="2"/>
      <c r="R1025" s="4"/>
      <c r="S1025" s="2"/>
      <c r="T1025" s="2"/>
      <c r="U1025" s="1"/>
      <c r="V1025" s="2"/>
      <c r="W1025" s="2"/>
      <c r="X1025" s="2"/>
      <c r="Y1025" s="2"/>
      <c r="Z1025" s="2"/>
    </row>
    <row r="1026" spans="1:26" ht="15.75" customHeight="1" x14ac:dyDescent="0.2">
      <c r="A1026" s="12"/>
      <c r="B1026" s="10"/>
      <c r="C1026" s="11"/>
      <c r="D1026" s="13"/>
      <c r="E1026" s="13"/>
      <c r="F1026" s="13"/>
      <c r="G1026" s="2"/>
      <c r="H1026" s="2"/>
      <c r="I1026" s="13"/>
      <c r="J1026" s="13"/>
      <c r="K1026" s="13"/>
      <c r="L1026" s="14"/>
      <c r="M1026" s="4"/>
      <c r="N1026" s="2"/>
      <c r="O1026" s="4"/>
      <c r="P1026" s="2"/>
      <c r="Q1026" s="2"/>
      <c r="R1026" s="4"/>
      <c r="S1026" s="2"/>
      <c r="T1026" s="2"/>
      <c r="U1026" s="1"/>
      <c r="V1026" s="2"/>
      <c r="W1026" s="2"/>
      <c r="X1026" s="2"/>
      <c r="Y1026" s="2"/>
      <c r="Z1026" s="2"/>
    </row>
    <row r="1027" spans="1:26" ht="15.75" customHeight="1" x14ac:dyDescent="0.2">
      <c r="A1027" s="12"/>
      <c r="B1027" s="10"/>
      <c r="C1027" s="11"/>
      <c r="D1027" s="13"/>
      <c r="E1027" s="13"/>
      <c r="F1027" s="13"/>
      <c r="G1027" s="2"/>
      <c r="H1027" s="2"/>
      <c r="I1027" s="13"/>
      <c r="J1027" s="13"/>
      <c r="K1027" s="13"/>
      <c r="L1027" s="14"/>
      <c r="M1027" s="4"/>
      <c r="N1027" s="2"/>
      <c r="O1027" s="4"/>
      <c r="P1027" s="2"/>
      <c r="Q1027" s="2"/>
      <c r="R1027" s="4"/>
      <c r="S1027" s="2"/>
      <c r="T1027" s="2"/>
      <c r="U1027" s="1"/>
      <c r="V1027" s="2"/>
      <c r="W1027" s="2"/>
      <c r="X1027" s="2"/>
      <c r="Y1027" s="2"/>
      <c r="Z1027" s="2"/>
    </row>
    <row r="1028" spans="1:26" ht="15.75" customHeight="1" x14ac:dyDescent="0.2">
      <c r="A1028" s="12"/>
      <c r="B1028" s="10"/>
      <c r="C1028" s="11"/>
      <c r="D1028" s="13"/>
      <c r="E1028" s="13"/>
      <c r="F1028" s="13"/>
      <c r="G1028" s="2"/>
      <c r="H1028" s="2"/>
      <c r="I1028" s="13"/>
      <c r="J1028" s="13"/>
      <c r="K1028" s="13"/>
      <c r="L1028" s="14"/>
      <c r="M1028" s="4"/>
      <c r="N1028" s="2"/>
      <c r="O1028" s="4"/>
      <c r="P1028" s="2"/>
      <c r="Q1028" s="2"/>
      <c r="R1028" s="4"/>
      <c r="S1028" s="2"/>
      <c r="T1028" s="2"/>
      <c r="U1028" s="1"/>
      <c r="V1028" s="2"/>
      <c r="W1028" s="2"/>
      <c r="X1028" s="2"/>
      <c r="Y1028" s="2"/>
      <c r="Z1028" s="2"/>
    </row>
    <row r="1029" spans="1:26" ht="15.75" customHeight="1" x14ac:dyDescent="0.2">
      <c r="A1029" s="12"/>
      <c r="B1029" s="10"/>
      <c r="C1029" s="11"/>
      <c r="D1029" s="13"/>
      <c r="E1029" s="13"/>
      <c r="F1029" s="13"/>
      <c r="G1029" s="2"/>
      <c r="H1029" s="2"/>
      <c r="I1029" s="13"/>
      <c r="J1029" s="13"/>
      <c r="K1029" s="13"/>
      <c r="L1029" s="14"/>
      <c r="M1029" s="4"/>
      <c r="N1029" s="2"/>
      <c r="O1029" s="4"/>
      <c r="P1029" s="2"/>
      <c r="Q1029" s="2"/>
      <c r="R1029" s="4"/>
      <c r="S1029" s="2"/>
      <c r="T1029" s="2"/>
      <c r="U1029" s="1"/>
      <c r="V1029" s="2"/>
      <c r="W1029" s="2"/>
      <c r="X1029" s="2"/>
      <c r="Y1029" s="2"/>
      <c r="Z1029" s="2"/>
    </row>
    <row r="1030" spans="1:26" ht="15.75" customHeight="1" x14ac:dyDescent="0.2">
      <c r="A1030" s="12"/>
      <c r="B1030" s="10"/>
      <c r="C1030" s="11"/>
      <c r="D1030" s="13"/>
      <c r="E1030" s="13"/>
      <c r="F1030" s="13"/>
      <c r="G1030" s="2"/>
      <c r="H1030" s="2"/>
      <c r="I1030" s="13"/>
      <c r="J1030" s="13"/>
      <c r="K1030" s="13"/>
      <c r="L1030" s="14"/>
      <c r="M1030" s="4"/>
      <c r="N1030" s="2"/>
      <c r="O1030" s="4"/>
      <c r="P1030" s="2"/>
      <c r="Q1030" s="2"/>
      <c r="R1030" s="4"/>
      <c r="S1030" s="2"/>
      <c r="T1030" s="2"/>
      <c r="U1030" s="1"/>
      <c r="V1030" s="2"/>
      <c r="W1030" s="2"/>
      <c r="X1030" s="2"/>
      <c r="Y1030" s="2"/>
      <c r="Z1030" s="2"/>
    </row>
    <row r="1031" spans="1:26" ht="15.75" customHeight="1" x14ac:dyDescent="0.2">
      <c r="A1031" s="12"/>
      <c r="B1031" s="10"/>
      <c r="C1031" s="11"/>
      <c r="D1031" s="13"/>
      <c r="E1031" s="13"/>
      <c r="F1031" s="13"/>
      <c r="G1031" s="2"/>
      <c r="H1031" s="2"/>
      <c r="I1031" s="13"/>
      <c r="J1031" s="13"/>
      <c r="K1031" s="13"/>
      <c r="L1031" s="14"/>
      <c r="M1031" s="4"/>
      <c r="N1031" s="2"/>
      <c r="O1031" s="4"/>
      <c r="P1031" s="2"/>
      <c r="Q1031" s="2"/>
      <c r="R1031" s="4"/>
      <c r="S1031" s="2"/>
      <c r="T1031" s="2"/>
      <c r="U1031" s="1"/>
      <c r="V1031" s="2"/>
      <c r="W1031" s="2"/>
      <c r="X1031" s="2"/>
      <c r="Y1031" s="2"/>
      <c r="Z1031" s="2"/>
    </row>
    <row r="1032" spans="1:26" ht="15.75" customHeight="1" x14ac:dyDescent="0.2">
      <c r="A1032" s="12"/>
      <c r="B1032" s="10"/>
      <c r="C1032" s="11"/>
      <c r="D1032" s="13"/>
      <c r="E1032" s="13"/>
      <c r="F1032" s="13"/>
      <c r="G1032" s="2"/>
      <c r="H1032" s="2"/>
      <c r="I1032" s="13"/>
      <c r="J1032" s="13"/>
      <c r="K1032" s="13"/>
      <c r="L1032" s="14"/>
      <c r="M1032" s="4"/>
      <c r="N1032" s="2"/>
      <c r="O1032" s="4"/>
      <c r="P1032" s="2"/>
      <c r="Q1032" s="2"/>
      <c r="R1032" s="4"/>
      <c r="S1032" s="2"/>
      <c r="T1032" s="2"/>
      <c r="U1032" s="1"/>
      <c r="V1032" s="2"/>
      <c r="W1032" s="2"/>
      <c r="X1032" s="2"/>
      <c r="Y1032" s="2"/>
      <c r="Z1032" s="2"/>
    </row>
    <row r="1033" spans="1:26" ht="15.75" customHeight="1" x14ac:dyDescent="0.2">
      <c r="A1033" s="12"/>
      <c r="B1033" s="10"/>
      <c r="C1033" s="11"/>
      <c r="D1033" s="13"/>
      <c r="E1033" s="13"/>
      <c r="F1033" s="13"/>
      <c r="G1033" s="2"/>
      <c r="H1033" s="2"/>
      <c r="I1033" s="13"/>
      <c r="J1033" s="13"/>
      <c r="K1033" s="13"/>
      <c r="L1033" s="14"/>
      <c r="M1033" s="4"/>
      <c r="N1033" s="2"/>
      <c r="O1033" s="4"/>
      <c r="P1033" s="2"/>
      <c r="Q1033" s="2"/>
      <c r="R1033" s="4"/>
      <c r="S1033" s="2"/>
      <c r="T1033" s="2"/>
      <c r="U1033" s="1"/>
      <c r="V1033" s="2"/>
      <c r="W1033" s="2"/>
      <c r="X1033" s="2"/>
      <c r="Y1033" s="2"/>
      <c r="Z1033" s="2"/>
    </row>
    <row r="1034" spans="1:26" ht="15.75" customHeight="1" x14ac:dyDescent="0.2">
      <c r="A1034" s="12"/>
      <c r="B1034" s="10"/>
      <c r="C1034" s="11"/>
      <c r="D1034" s="13"/>
      <c r="E1034" s="13"/>
      <c r="F1034" s="13"/>
      <c r="G1034" s="2"/>
      <c r="H1034" s="2"/>
      <c r="I1034" s="13"/>
      <c r="J1034" s="13"/>
      <c r="K1034" s="13"/>
      <c r="L1034" s="14"/>
      <c r="M1034" s="4"/>
      <c r="N1034" s="2"/>
      <c r="O1034" s="4"/>
      <c r="P1034" s="2"/>
      <c r="Q1034" s="2"/>
      <c r="R1034" s="4"/>
      <c r="S1034" s="2"/>
      <c r="T1034" s="2"/>
      <c r="U1034" s="1"/>
      <c r="V1034" s="2"/>
      <c r="W1034" s="2"/>
      <c r="X1034" s="2"/>
      <c r="Y1034" s="2"/>
      <c r="Z1034" s="2"/>
    </row>
    <row r="1035" spans="1:26" ht="15.75" customHeight="1" x14ac:dyDescent="0.2">
      <c r="A1035" s="12"/>
      <c r="B1035" s="10"/>
      <c r="C1035" s="11"/>
      <c r="D1035" s="13"/>
      <c r="E1035" s="13"/>
      <c r="F1035" s="13"/>
      <c r="G1035" s="2"/>
      <c r="H1035" s="2"/>
      <c r="I1035" s="13"/>
      <c r="J1035" s="13"/>
      <c r="K1035" s="13"/>
      <c r="L1035" s="14"/>
      <c r="M1035" s="4"/>
      <c r="N1035" s="2"/>
      <c r="O1035" s="4"/>
      <c r="P1035" s="2"/>
      <c r="Q1035" s="2"/>
      <c r="R1035" s="4"/>
      <c r="S1035" s="2"/>
      <c r="T1035" s="2"/>
      <c r="U1035" s="1"/>
      <c r="V1035" s="2"/>
      <c r="W1035" s="2"/>
      <c r="X1035" s="2"/>
      <c r="Y1035" s="2"/>
      <c r="Z1035" s="2"/>
    </row>
    <row r="1036" spans="1:26" ht="15.75" customHeight="1" x14ac:dyDescent="0.2">
      <c r="A1036" s="12"/>
      <c r="B1036" s="10"/>
      <c r="C1036" s="11"/>
      <c r="D1036" s="13"/>
      <c r="E1036" s="13"/>
      <c r="F1036" s="13"/>
      <c r="G1036" s="2"/>
      <c r="H1036" s="2"/>
      <c r="I1036" s="13"/>
      <c r="J1036" s="13"/>
      <c r="K1036" s="13"/>
      <c r="L1036" s="14"/>
      <c r="M1036" s="4"/>
      <c r="N1036" s="2"/>
      <c r="O1036" s="4"/>
      <c r="P1036" s="2"/>
      <c r="Q1036" s="2"/>
      <c r="R1036" s="4"/>
      <c r="S1036" s="2"/>
      <c r="T1036" s="2"/>
      <c r="U1036" s="1"/>
      <c r="V1036" s="2"/>
      <c r="W1036" s="2"/>
      <c r="X1036" s="2"/>
      <c r="Y1036" s="2"/>
      <c r="Z1036" s="2"/>
    </row>
    <row r="1037" spans="1:26" ht="15.75" customHeight="1" x14ac:dyDescent="0.2">
      <c r="A1037" s="12"/>
      <c r="B1037" s="10"/>
      <c r="C1037" s="11"/>
      <c r="D1037" s="13"/>
      <c r="E1037" s="13"/>
      <c r="F1037" s="13"/>
      <c r="G1037" s="2"/>
      <c r="H1037" s="2"/>
      <c r="I1037" s="13"/>
      <c r="J1037" s="13"/>
      <c r="K1037" s="13"/>
      <c r="L1037" s="14"/>
      <c r="M1037" s="4"/>
      <c r="N1037" s="2"/>
      <c r="O1037" s="4"/>
      <c r="P1037" s="2"/>
      <c r="Q1037" s="2"/>
      <c r="R1037" s="4"/>
      <c r="S1037" s="2"/>
      <c r="T1037" s="2"/>
      <c r="U1037" s="1"/>
      <c r="V1037" s="2"/>
      <c r="W1037" s="2"/>
      <c r="X1037" s="2"/>
      <c r="Y1037" s="2"/>
      <c r="Z1037" s="2"/>
    </row>
    <row r="1038" spans="1:26" ht="15.75" customHeight="1" x14ac:dyDescent="0.2">
      <c r="A1038" s="12"/>
      <c r="B1038" s="10"/>
      <c r="C1038" s="11"/>
      <c r="D1038" s="13"/>
      <c r="E1038" s="13"/>
      <c r="F1038" s="13"/>
      <c r="G1038" s="2"/>
      <c r="H1038" s="2"/>
      <c r="I1038" s="13"/>
      <c r="J1038" s="13"/>
      <c r="K1038" s="13"/>
      <c r="L1038" s="14"/>
      <c r="M1038" s="4"/>
      <c r="N1038" s="2"/>
      <c r="O1038" s="4"/>
      <c r="P1038" s="2"/>
      <c r="Q1038" s="2"/>
      <c r="R1038" s="4"/>
      <c r="S1038" s="2"/>
      <c r="T1038" s="2"/>
      <c r="U1038" s="1"/>
      <c r="V1038" s="2"/>
      <c r="W1038" s="2"/>
      <c r="X1038" s="2"/>
      <c r="Y1038" s="2"/>
      <c r="Z1038" s="2"/>
    </row>
    <row r="1039" spans="1:26" ht="15.75" customHeight="1" x14ac:dyDescent="0.2">
      <c r="A1039" s="12"/>
      <c r="B1039" s="10"/>
      <c r="C1039" s="11"/>
      <c r="D1039" s="13"/>
      <c r="E1039" s="13"/>
      <c r="F1039" s="13"/>
      <c r="G1039" s="2"/>
      <c r="H1039" s="2"/>
      <c r="I1039" s="13"/>
      <c r="J1039" s="13"/>
      <c r="K1039" s="13"/>
      <c r="L1039" s="14"/>
      <c r="M1039" s="4"/>
      <c r="N1039" s="2"/>
      <c r="O1039" s="4"/>
      <c r="P1039" s="2"/>
      <c r="Q1039" s="2"/>
      <c r="R1039" s="4"/>
      <c r="S1039" s="2"/>
      <c r="T1039" s="2"/>
      <c r="U1039" s="1"/>
      <c r="V1039" s="2"/>
      <c r="W1039" s="2"/>
      <c r="X1039" s="2"/>
      <c r="Y1039" s="2"/>
      <c r="Z1039" s="2"/>
    </row>
    <row r="1040" spans="1:26" ht="15.75" customHeight="1" x14ac:dyDescent="0.2">
      <c r="A1040" s="12"/>
      <c r="B1040" s="10"/>
      <c r="C1040" s="11"/>
      <c r="D1040" s="13"/>
      <c r="E1040" s="13"/>
      <c r="F1040" s="13"/>
      <c r="G1040" s="2"/>
      <c r="H1040" s="2"/>
      <c r="I1040" s="13"/>
      <c r="J1040" s="13"/>
      <c r="K1040" s="13"/>
      <c r="L1040" s="14"/>
      <c r="M1040" s="4"/>
      <c r="N1040" s="2"/>
      <c r="O1040" s="4"/>
      <c r="P1040" s="2"/>
      <c r="Q1040" s="2"/>
      <c r="R1040" s="4"/>
      <c r="S1040" s="2"/>
      <c r="T1040" s="2"/>
      <c r="U1040" s="1"/>
      <c r="V1040" s="2"/>
      <c r="W1040" s="2"/>
      <c r="X1040" s="2"/>
      <c r="Y1040" s="2"/>
      <c r="Z1040" s="2"/>
    </row>
    <row r="1041" spans="1:26" ht="15.75" customHeight="1" x14ac:dyDescent="0.2">
      <c r="A1041" s="12"/>
      <c r="B1041" s="10"/>
      <c r="C1041" s="11"/>
      <c r="D1041" s="13"/>
      <c r="E1041" s="13"/>
      <c r="F1041" s="13"/>
      <c r="G1041" s="2"/>
      <c r="H1041" s="2"/>
      <c r="I1041" s="13"/>
      <c r="J1041" s="13"/>
      <c r="K1041" s="13"/>
      <c r="L1041" s="14"/>
      <c r="M1041" s="4"/>
      <c r="N1041" s="2"/>
      <c r="O1041" s="4"/>
      <c r="P1041" s="2"/>
      <c r="Q1041" s="2"/>
      <c r="R1041" s="4"/>
      <c r="S1041" s="2"/>
      <c r="T1041" s="2"/>
      <c r="U1041" s="1"/>
      <c r="V1041" s="2"/>
      <c r="W1041" s="2"/>
      <c r="X1041" s="2"/>
      <c r="Y1041" s="2"/>
      <c r="Z1041" s="2"/>
    </row>
    <row r="1042" spans="1:26" ht="15.75" customHeight="1" x14ac:dyDescent="0.2">
      <c r="A1042" s="12"/>
      <c r="B1042" s="10"/>
      <c r="C1042" s="11"/>
      <c r="D1042" s="13"/>
      <c r="E1042" s="13"/>
      <c r="F1042" s="13"/>
      <c r="G1042" s="2"/>
      <c r="H1042" s="2"/>
      <c r="I1042" s="13"/>
      <c r="J1042" s="13"/>
      <c r="K1042" s="13"/>
      <c r="L1042" s="14"/>
      <c r="M1042" s="4"/>
      <c r="N1042" s="2"/>
      <c r="O1042" s="4"/>
      <c r="P1042" s="2"/>
      <c r="Q1042" s="2"/>
      <c r="R1042" s="4"/>
      <c r="S1042" s="2"/>
      <c r="T1042" s="2"/>
      <c r="U1042" s="1"/>
      <c r="V1042" s="2"/>
      <c r="W1042" s="2"/>
      <c r="X1042" s="2"/>
      <c r="Y1042" s="2"/>
      <c r="Z1042" s="2"/>
    </row>
    <row r="1043" spans="1:26" ht="15.75" customHeight="1" x14ac:dyDescent="0.2">
      <c r="A1043" s="12"/>
      <c r="B1043" s="10"/>
      <c r="C1043" s="11"/>
      <c r="D1043" s="13"/>
      <c r="E1043" s="13"/>
      <c r="F1043" s="13"/>
      <c r="G1043" s="2"/>
      <c r="H1043" s="2"/>
      <c r="I1043" s="13"/>
      <c r="J1043" s="13"/>
      <c r="K1043" s="13"/>
      <c r="L1043" s="14"/>
      <c r="M1043" s="4"/>
      <c r="N1043" s="2"/>
      <c r="O1043" s="4"/>
      <c r="P1043" s="2"/>
      <c r="Q1043" s="2"/>
      <c r="R1043" s="4"/>
      <c r="S1043" s="2"/>
      <c r="T1043" s="2"/>
      <c r="U1043" s="1"/>
      <c r="V1043" s="2"/>
      <c r="W1043" s="2"/>
      <c r="X1043" s="2"/>
      <c r="Y1043" s="2"/>
      <c r="Z1043" s="2"/>
    </row>
    <row r="1044" spans="1:26" ht="15.75" customHeight="1" x14ac:dyDescent="0.2">
      <c r="A1044" s="12"/>
      <c r="B1044" s="10"/>
      <c r="C1044" s="11"/>
      <c r="D1044" s="13"/>
      <c r="E1044" s="13"/>
      <c r="F1044" s="13"/>
      <c r="G1044" s="2"/>
      <c r="H1044" s="2"/>
      <c r="I1044" s="13"/>
      <c r="J1044" s="13"/>
      <c r="K1044" s="13"/>
      <c r="L1044" s="14"/>
      <c r="M1044" s="4"/>
      <c r="N1044" s="2"/>
      <c r="O1044" s="4"/>
      <c r="P1044" s="2"/>
      <c r="Q1044" s="2"/>
      <c r="R1044" s="4"/>
      <c r="S1044" s="2"/>
      <c r="T1044" s="2"/>
      <c r="U1044" s="1"/>
      <c r="V1044" s="2"/>
      <c r="W1044" s="2"/>
      <c r="X1044" s="2"/>
      <c r="Y1044" s="2"/>
      <c r="Z1044" s="2"/>
    </row>
    <row r="1045" spans="1:26" ht="15.75" customHeight="1" x14ac:dyDescent="0.2">
      <c r="A1045" s="12"/>
      <c r="B1045" s="10"/>
      <c r="C1045" s="11"/>
      <c r="D1045" s="13"/>
      <c r="E1045" s="13"/>
      <c r="F1045" s="13"/>
      <c r="G1045" s="2"/>
      <c r="H1045" s="2"/>
      <c r="I1045" s="13"/>
      <c r="J1045" s="13"/>
      <c r="K1045" s="13"/>
      <c r="L1045" s="14"/>
      <c r="M1045" s="4"/>
      <c r="N1045" s="2"/>
      <c r="O1045" s="4"/>
      <c r="P1045" s="2"/>
      <c r="Q1045" s="2"/>
      <c r="R1045" s="4"/>
      <c r="S1045" s="2"/>
      <c r="T1045" s="2"/>
      <c r="U1045" s="1"/>
      <c r="V1045" s="2"/>
      <c r="W1045" s="2"/>
      <c r="X1045" s="2"/>
      <c r="Y1045" s="2"/>
      <c r="Z1045" s="2"/>
    </row>
    <row r="1046" spans="1:26" ht="15.75" customHeight="1" x14ac:dyDescent="0.2">
      <c r="A1046" s="12"/>
      <c r="B1046" s="10"/>
      <c r="C1046" s="11"/>
      <c r="D1046" s="13"/>
      <c r="E1046" s="13"/>
      <c r="F1046" s="13"/>
      <c r="G1046" s="2"/>
      <c r="H1046" s="2"/>
      <c r="I1046" s="13"/>
      <c r="J1046" s="13"/>
      <c r="K1046" s="13"/>
      <c r="L1046" s="14"/>
      <c r="M1046" s="4"/>
      <c r="N1046" s="2"/>
      <c r="O1046" s="4"/>
      <c r="P1046" s="2"/>
      <c r="Q1046" s="2"/>
      <c r="R1046" s="4"/>
      <c r="S1046" s="2"/>
      <c r="T1046" s="2"/>
      <c r="U1046" s="1"/>
      <c r="V1046" s="2"/>
      <c r="W1046" s="2"/>
      <c r="X1046" s="2"/>
      <c r="Y1046" s="2"/>
      <c r="Z1046" s="2"/>
    </row>
    <row r="1047" spans="1:26" ht="15.75" customHeight="1" x14ac:dyDescent="0.2">
      <c r="A1047" s="12"/>
      <c r="B1047" s="10"/>
      <c r="C1047" s="11"/>
      <c r="D1047" s="13"/>
      <c r="E1047" s="13"/>
      <c r="F1047" s="13"/>
      <c r="G1047" s="2"/>
      <c r="H1047" s="2"/>
      <c r="I1047" s="13"/>
      <c r="J1047" s="13"/>
      <c r="K1047" s="13"/>
      <c r="L1047" s="14"/>
      <c r="M1047" s="4"/>
      <c r="N1047" s="2"/>
      <c r="O1047" s="4"/>
      <c r="P1047" s="2"/>
      <c r="Q1047" s="2"/>
      <c r="R1047" s="4"/>
      <c r="S1047" s="2"/>
      <c r="T1047" s="2"/>
      <c r="U1047" s="1"/>
      <c r="V1047" s="2"/>
      <c r="W1047" s="2"/>
      <c r="X1047" s="2"/>
      <c r="Y1047" s="2"/>
      <c r="Z1047" s="2"/>
    </row>
    <row r="1048" spans="1:26" ht="15.75" customHeight="1" x14ac:dyDescent="0.2">
      <c r="A1048" s="12"/>
      <c r="B1048" s="10"/>
      <c r="C1048" s="11"/>
      <c r="D1048" s="13"/>
      <c r="E1048" s="13"/>
      <c r="F1048" s="13"/>
      <c r="G1048" s="2"/>
      <c r="H1048" s="2"/>
      <c r="I1048" s="13"/>
      <c r="J1048" s="13"/>
      <c r="K1048" s="13"/>
      <c r="L1048" s="14"/>
      <c r="M1048" s="4"/>
      <c r="N1048" s="2"/>
      <c r="O1048" s="4"/>
      <c r="P1048" s="2"/>
      <c r="Q1048" s="2"/>
      <c r="R1048" s="4"/>
      <c r="S1048" s="2"/>
      <c r="T1048" s="2"/>
      <c r="U1048" s="1"/>
      <c r="V1048" s="2"/>
      <c r="W1048" s="2"/>
      <c r="X1048" s="2"/>
      <c r="Y1048" s="2"/>
      <c r="Z1048" s="2"/>
    </row>
    <row r="1049" spans="1:26" ht="15.75" customHeight="1" x14ac:dyDescent="0.2">
      <c r="A1049" s="12"/>
      <c r="B1049" s="10"/>
      <c r="C1049" s="11"/>
      <c r="D1049" s="13"/>
      <c r="E1049" s="13"/>
      <c r="F1049" s="13"/>
      <c r="G1049" s="2"/>
      <c r="H1049" s="2"/>
      <c r="I1049" s="13"/>
      <c r="J1049" s="13"/>
      <c r="K1049" s="13"/>
      <c r="L1049" s="14"/>
      <c r="M1049" s="4"/>
      <c r="N1049" s="2"/>
      <c r="O1049" s="4"/>
      <c r="P1049" s="2"/>
      <c r="Q1049" s="2"/>
      <c r="R1049" s="4"/>
      <c r="S1049" s="2"/>
      <c r="T1049" s="2"/>
      <c r="U1049" s="1"/>
      <c r="V1049" s="2"/>
      <c r="W1049" s="2"/>
      <c r="X1049" s="2"/>
      <c r="Y1049" s="2"/>
      <c r="Z1049" s="2"/>
    </row>
    <row r="1050" spans="1:26" ht="15.75" customHeight="1" x14ac:dyDescent="0.2">
      <c r="A1050" s="12"/>
      <c r="B1050" s="10"/>
      <c r="C1050" s="11"/>
      <c r="D1050" s="13"/>
      <c r="E1050" s="13"/>
      <c r="F1050" s="13"/>
      <c r="G1050" s="2"/>
      <c r="H1050" s="2"/>
      <c r="I1050" s="13"/>
      <c r="J1050" s="13"/>
      <c r="K1050" s="13"/>
      <c r="L1050" s="14"/>
      <c r="M1050" s="4"/>
      <c r="N1050" s="2"/>
      <c r="O1050" s="4"/>
      <c r="P1050" s="2"/>
      <c r="Q1050" s="2"/>
      <c r="R1050" s="4"/>
      <c r="S1050" s="2"/>
      <c r="T1050" s="2"/>
      <c r="U1050" s="1"/>
      <c r="V1050" s="2"/>
      <c r="W1050" s="2"/>
      <c r="X1050" s="2"/>
      <c r="Y1050" s="2"/>
      <c r="Z1050" s="2"/>
    </row>
    <row r="1051" spans="1:26" ht="15.75" customHeight="1" x14ac:dyDescent="0.2">
      <c r="A1051" s="12"/>
      <c r="B1051" s="10"/>
      <c r="C1051" s="11"/>
      <c r="D1051" s="13"/>
      <c r="E1051" s="13"/>
      <c r="F1051" s="13"/>
      <c r="G1051" s="2"/>
      <c r="H1051" s="2"/>
      <c r="I1051" s="13"/>
      <c r="J1051" s="13"/>
      <c r="K1051" s="13"/>
      <c r="L1051" s="14"/>
      <c r="M1051" s="4"/>
      <c r="N1051" s="2"/>
      <c r="O1051" s="4"/>
      <c r="P1051" s="2"/>
      <c r="Q1051" s="2"/>
      <c r="R1051" s="4"/>
      <c r="S1051" s="2"/>
      <c r="T1051" s="2"/>
      <c r="U1051" s="1"/>
      <c r="V1051" s="2"/>
      <c r="W1051" s="2"/>
      <c r="X1051" s="2"/>
      <c r="Y1051" s="2"/>
      <c r="Z1051" s="2"/>
    </row>
    <row r="1052" spans="1:26" ht="15.75" customHeight="1" x14ac:dyDescent="0.2">
      <c r="A1052" s="12"/>
      <c r="B1052" s="10"/>
      <c r="C1052" s="11"/>
      <c r="D1052" s="13"/>
      <c r="E1052" s="13"/>
      <c r="F1052" s="13"/>
      <c r="G1052" s="2"/>
      <c r="H1052" s="2"/>
      <c r="I1052" s="13"/>
      <c r="J1052" s="13"/>
      <c r="K1052" s="13"/>
      <c r="L1052" s="14"/>
      <c r="M1052" s="4"/>
      <c r="N1052" s="2"/>
      <c r="O1052" s="4"/>
      <c r="P1052" s="2"/>
      <c r="Q1052" s="2"/>
      <c r="R1052" s="4"/>
      <c r="S1052" s="2"/>
      <c r="T1052" s="2"/>
      <c r="U1052" s="1"/>
      <c r="V1052" s="2"/>
      <c r="W1052" s="2"/>
      <c r="X1052" s="2"/>
      <c r="Y1052" s="2"/>
      <c r="Z1052" s="2"/>
    </row>
    <row r="1053" spans="1:26" ht="15.75" customHeight="1" x14ac:dyDescent="0.2">
      <c r="A1053" s="12"/>
      <c r="B1053" s="10"/>
      <c r="C1053" s="11"/>
      <c r="D1053" s="13"/>
      <c r="E1053" s="13"/>
      <c r="F1053" s="13"/>
      <c r="G1053" s="2"/>
      <c r="H1053" s="2"/>
      <c r="I1053" s="13"/>
      <c r="J1053" s="13"/>
      <c r="K1053" s="13"/>
      <c r="L1053" s="14"/>
      <c r="M1053" s="4"/>
      <c r="N1053" s="2"/>
      <c r="O1053" s="4"/>
      <c r="P1053" s="2"/>
      <c r="Q1053" s="2"/>
      <c r="R1053" s="4"/>
      <c r="S1053" s="2"/>
      <c r="T1053" s="2"/>
      <c r="U1053" s="1"/>
      <c r="V1053" s="2"/>
      <c r="W1053" s="2"/>
      <c r="X1053" s="2"/>
      <c r="Y1053" s="2"/>
      <c r="Z1053" s="2"/>
    </row>
    <row r="1054" spans="1:26" ht="15.75" customHeight="1" x14ac:dyDescent="0.2">
      <c r="A1054" s="12"/>
      <c r="B1054" s="10"/>
      <c r="C1054" s="11"/>
      <c r="D1054" s="13"/>
      <c r="E1054" s="13"/>
      <c r="F1054" s="13"/>
      <c r="G1054" s="2"/>
      <c r="H1054" s="2"/>
      <c r="I1054" s="13"/>
      <c r="J1054" s="13"/>
      <c r="K1054" s="13"/>
      <c r="L1054" s="14"/>
      <c r="M1054" s="4"/>
      <c r="N1054" s="2"/>
      <c r="O1054" s="4"/>
      <c r="P1054" s="2"/>
      <c r="Q1054" s="2"/>
      <c r="R1054" s="4"/>
      <c r="S1054" s="2"/>
      <c r="T1054" s="2"/>
      <c r="U1054" s="1"/>
      <c r="V1054" s="2"/>
      <c r="W1054" s="2"/>
      <c r="X1054" s="2"/>
      <c r="Y1054" s="2"/>
      <c r="Z1054" s="2"/>
    </row>
    <row r="1055" spans="1:26" ht="15.75" customHeight="1" x14ac:dyDescent="0.2">
      <c r="A1055" s="12"/>
      <c r="B1055" s="10"/>
      <c r="C1055" s="11"/>
      <c r="D1055" s="13"/>
      <c r="E1055" s="13"/>
      <c r="F1055" s="13"/>
      <c r="G1055" s="2"/>
      <c r="H1055" s="2"/>
      <c r="I1055" s="13"/>
      <c r="J1055" s="13"/>
      <c r="K1055" s="13"/>
      <c r="L1055" s="14"/>
      <c r="M1055" s="4"/>
      <c r="N1055" s="2"/>
      <c r="O1055" s="4"/>
      <c r="P1055" s="2"/>
      <c r="Q1055" s="2"/>
      <c r="R1055" s="4"/>
      <c r="S1055" s="2"/>
      <c r="T1055" s="2"/>
      <c r="U1055" s="1"/>
      <c r="V1055" s="2"/>
      <c r="W1055" s="2"/>
      <c r="X1055" s="2"/>
      <c r="Y1055" s="2"/>
      <c r="Z1055" s="2"/>
    </row>
    <row r="1056" spans="1:26" ht="15.75" customHeight="1" x14ac:dyDescent="0.2">
      <c r="A1056" s="12"/>
      <c r="B1056" s="10"/>
      <c r="C1056" s="11"/>
      <c r="D1056" s="13"/>
      <c r="E1056" s="13"/>
      <c r="F1056" s="13"/>
      <c r="G1056" s="2"/>
      <c r="H1056" s="2"/>
      <c r="I1056" s="13"/>
      <c r="J1056" s="13"/>
      <c r="K1056" s="13"/>
      <c r="L1056" s="14"/>
      <c r="M1056" s="4"/>
      <c r="N1056" s="2"/>
      <c r="O1056" s="4"/>
      <c r="P1056" s="2"/>
      <c r="Q1056" s="2"/>
      <c r="R1056" s="4"/>
      <c r="S1056" s="2"/>
      <c r="T1056" s="2"/>
      <c r="U1056" s="1"/>
      <c r="V1056" s="2"/>
      <c r="W1056" s="2"/>
      <c r="X1056" s="2"/>
      <c r="Y1056" s="2"/>
      <c r="Z1056" s="2"/>
    </row>
    <row r="1057" spans="1:26" ht="15.75" customHeight="1" x14ac:dyDescent="0.2">
      <c r="A1057" s="12"/>
      <c r="B1057" s="10"/>
      <c r="C1057" s="11"/>
      <c r="D1057" s="13"/>
      <c r="E1057" s="13"/>
      <c r="F1057" s="13"/>
      <c r="G1057" s="2"/>
      <c r="H1057" s="2"/>
      <c r="I1057" s="13"/>
      <c r="J1057" s="13"/>
      <c r="K1057" s="13"/>
      <c r="L1057" s="14"/>
      <c r="M1057" s="4"/>
      <c r="N1057" s="2"/>
      <c r="O1057" s="4"/>
      <c r="P1057" s="2"/>
      <c r="Q1057" s="2"/>
      <c r="R1057" s="4"/>
      <c r="S1057" s="2"/>
      <c r="T1057" s="2"/>
      <c r="U1057" s="1"/>
      <c r="V1057" s="2"/>
      <c r="W1057" s="2"/>
      <c r="X1057" s="2"/>
      <c r="Y1057" s="2"/>
      <c r="Z1057" s="2"/>
    </row>
    <row r="1058" spans="1:26" ht="15.75" customHeight="1" x14ac:dyDescent="0.2">
      <c r="A1058" s="12"/>
      <c r="B1058" s="10"/>
      <c r="C1058" s="11"/>
      <c r="D1058" s="13"/>
      <c r="E1058" s="13"/>
      <c r="F1058" s="13"/>
      <c r="G1058" s="2"/>
      <c r="H1058" s="2"/>
      <c r="I1058" s="13"/>
      <c r="J1058" s="13"/>
      <c r="K1058" s="13"/>
      <c r="L1058" s="14"/>
      <c r="M1058" s="4"/>
      <c r="N1058" s="2"/>
      <c r="O1058" s="4"/>
      <c r="P1058" s="2"/>
      <c r="Q1058" s="2"/>
      <c r="R1058" s="4"/>
      <c r="S1058" s="2"/>
      <c r="T1058" s="2"/>
      <c r="U1058" s="1"/>
      <c r="V1058" s="2"/>
      <c r="W1058" s="2"/>
      <c r="X1058" s="2"/>
      <c r="Y1058" s="2"/>
      <c r="Z1058" s="2"/>
    </row>
    <row r="1059" spans="1:26" ht="15.75" customHeight="1" x14ac:dyDescent="0.2">
      <c r="A1059" s="12"/>
      <c r="B1059" s="10"/>
      <c r="C1059" s="11"/>
      <c r="D1059" s="13"/>
      <c r="E1059" s="13"/>
      <c r="F1059" s="13"/>
      <c r="G1059" s="2"/>
      <c r="H1059" s="2"/>
      <c r="I1059" s="13"/>
      <c r="J1059" s="13"/>
      <c r="K1059" s="13"/>
      <c r="L1059" s="14"/>
      <c r="M1059" s="4"/>
      <c r="N1059" s="2"/>
      <c r="O1059" s="4"/>
      <c r="P1059" s="2"/>
      <c r="Q1059" s="2"/>
      <c r="R1059" s="4"/>
      <c r="S1059" s="2"/>
      <c r="T1059" s="2"/>
      <c r="U1059" s="1"/>
      <c r="V1059" s="2"/>
      <c r="W1059" s="2"/>
      <c r="X1059" s="2"/>
      <c r="Y1059" s="2"/>
      <c r="Z1059" s="2"/>
    </row>
    <row r="1060" spans="1:26" ht="15.75" customHeight="1" x14ac:dyDescent="0.2">
      <c r="A1060" s="12"/>
      <c r="B1060" s="10"/>
      <c r="C1060" s="11"/>
      <c r="D1060" s="13"/>
      <c r="E1060" s="13"/>
      <c r="F1060" s="13"/>
      <c r="G1060" s="2"/>
      <c r="H1060" s="2"/>
      <c r="I1060" s="13"/>
      <c r="J1060" s="13"/>
      <c r="K1060" s="13"/>
      <c r="L1060" s="14"/>
      <c r="M1060" s="4"/>
      <c r="N1060" s="2"/>
      <c r="O1060" s="4"/>
      <c r="P1060" s="2"/>
      <c r="Q1060" s="2"/>
      <c r="R1060" s="4"/>
      <c r="S1060" s="2"/>
      <c r="T1060" s="2"/>
      <c r="U1060" s="1"/>
      <c r="V1060" s="2"/>
      <c r="W1060" s="2"/>
      <c r="X1060" s="2"/>
      <c r="Y1060" s="2"/>
      <c r="Z1060" s="2"/>
    </row>
    <row r="1061" spans="1:26" ht="15.75" customHeight="1" x14ac:dyDescent="0.2">
      <c r="A1061" s="12"/>
      <c r="B1061" s="10"/>
      <c r="C1061" s="11"/>
      <c r="D1061" s="13"/>
      <c r="E1061" s="13"/>
      <c r="F1061" s="13"/>
      <c r="G1061" s="2"/>
      <c r="H1061" s="2"/>
      <c r="I1061" s="13"/>
      <c r="J1061" s="13"/>
      <c r="K1061" s="13"/>
      <c r="L1061" s="14"/>
      <c r="M1061" s="4"/>
      <c r="N1061" s="2"/>
      <c r="O1061" s="4"/>
      <c r="P1061" s="2"/>
      <c r="Q1061" s="2"/>
      <c r="R1061" s="4"/>
      <c r="S1061" s="2"/>
      <c r="T1061" s="2"/>
      <c r="U1061" s="1"/>
      <c r="V1061" s="2"/>
      <c r="W1061" s="2"/>
      <c r="X1061" s="2"/>
      <c r="Y1061" s="2"/>
      <c r="Z1061" s="2"/>
    </row>
    <row r="1062" spans="1:26" ht="15.75" customHeight="1" x14ac:dyDescent="0.2">
      <c r="A1062" s="12"/>
      <c r="B1062" s="10"/>
      <c r="C1062" s="11"/>
      <c r="D1062" s="13"/>
      <c r="E1062" s="13"/>
      <c r="F1062" s="13"/>
      <c r="G1062" s="2"/>
      <c r="H1062" s="2"/>
      <c r="I1062" s="13"/>
      <c r="J1062" s="13"/>
      <c r="K1062" s="13"/>
      <c r="L1062" s="14"/>
      <c r="M1062" s="4"/>
      <c r="N1062" s="2"/>
      <c r="O1062" s="4"/>
      <c r="P1062" s="2"/>
      <c r="Q1062" s="2"/>
      <c r="R1062" s="4"/>
      <c r="S1062" s="2"/>
      <c r="T1062" s="2"/>
      <c r="U1062" s="1"/>
      <c r="V1062" s="2"/>
      <c r="W1062" s="2"/>
      <c r="X1062" s="2"/>
      <c r="Y1062" s="2"/>
      <c r="Z1062" s="2"/>
    </row>
    <row r="1063" spans="1:26" ht="15.75" customHeight="1" x14ac:dyDescent="0.2">
      <c r="A1063" s="12"/>
      <c r="B1063" s="10"/>
      <c r="C1063" s="11"/>
      <c r="D1063" s="13"/>
      <c r="E1063" s="13"/>
      <c r="F1063" s="13"/>
      <c r="G1063" s="2"/>
      <c r="H1063" s="2"/>
      <c r="I1063" s="13"/>
      <c r="J1063" s="13"/>
      <c r="K1063" s="13"/>
      <c r="L1063" s="14"/>
      <c r="M1063" s="4"/>
      <c r="N1063" s="2"/>
      <c r="O1063" s="4"/>
      <c r="P1063" s="2"/>
      <c r="Q1063" s="2"/>
      <c r="R1063" s="4"/>
      <c r="S1063" s="2"/>
      <c r="T1063" s="2"/>
      <c r="U1063" s="1"/>
      <c r="V1063" s="2"/>
      <c r="W1063" s="2"/>
      <c r="X1063" s="2"/>
      <c r="Y1063" s="2"/>
      <c r="Z1063" s="2"/>
    </row>
    <row r="1064" spans="1:26" ht="15.75" customHeight="1" x14ac:dyDescent="0.2">
      <c r="A1064" s="12"/>
      <c r="B1064" s="10"/>
      <c r="C1064" s="11"/>
      <c r="D1064" s="13"/>
      <c r="E1064" s="13"/>
      <c r="F1064" s="13"/>
      <c r="G1064" s="2"/>
      <c r="H1064" s="2"/>
      <c r="I1064" s="13"/>
      <c r="J1064" s="13"/>
      <c r="K1064" s="13"/>
      <c r="L1064" s="14"/>
      <c r="M1064" s="4"/>
      <c r="N1064" s="2"/>
      <c r="O1064" s="4"/>
      <c r="P1064" s="2"/>
      <c r="Q1064" s="2"/>
      <c r="R1064" s="4"/>
      <c r="S1064" s="2"/>
      <c r="T1064" s="2"/>
      <c r="U1064" s="1"/>
      <c r="V1064" s="2"/>
      <c r="W1064" s="2"/>
      <c r="X1064" s="2"/>
      <c r="Y1064" s="2"/>
      <c r="Z1064" s="2"/>
    </row>
    <row r="1065" spans="1:26" ht="15.75" customHeight="1" x14ac:dyDescent="0.2">
      <c r="A1065" s="12"/>
      <c r="B1065" s="10"/>
      <c r="C1065" s="11"/>
      <c r="D1065" s="13"/>
      <c r="E1065" s="13"/>
      <c r="F1065" s="13"/>
      <c r="G1065" s="2"/>
      <c r="H1065" s="2"/>
      <c r="I1065" s="13"/>
      <c r="J1065" s="13"/>
      <c r="K1065" s="13"/>
      <c r="L1065" s="14"/>
      <c r="M1065" s="4"/>
      <c r="N1065" s="2"/>
      <c r="O1065" s="4"/>
      <c r="P1065" s="2"/>
      <c r="Q1065" s="2"/>
      <c r="R1065" s="4"/>
      <c r="S1065" s="2"/>
      <c r="T1065" s="2"/>
      <c r="U1065" s="1"/>
      <c r="V1065" s="2"/>
      <c r="W1065" s="2"/>
      <c r="X1065" s="2"/>
      <c r="Y1065" s="2"/>
      <c r="Z1065" s="2"/>
    </row>
    <row r="1066" spans="1:26" ht="15.75" customHeight="1" x14ac:dyDescent="0.2">
      <c r="A1066" s="12"/>
      <c r="B1066" s="10"/>
      <c r="C1066" s="11"/>
      <c r="D1066" s="13"/>
      <c r="E1066" s="13"/>
      <c r="F1066" s="13"/>
      <c r="G1066" s="2"/>
      <c r="H1066" s="2"/>
      <c r="I1066" s="13"/>
      <c r="J1066" s="13"/>
      <c r="K1066" s="13"/>
      <c r="L1066" s="14"/>
      <c r="M1066" s="4"/>
      <c r="N1066" s="2"/>
      <c r="O1066" s="4"/>
      <c r="P1066" s="2"/>
      <c r="Q1066" s="2"/>
      <c r="R1066" s="4"/>
      <c r="S1066" s="2"/>
      <c r="T1066" s="2"/>
      <c r="U1066" s="1"/>
      <c r="V1066" s="2"/>
      <c r="W1066" s="2"/>
      <c r="X1066" s="2"/>
      <c r="Y1066" s="2"/>
      <c r="Z1066" s="2"/>
    </row>
    <row r="1067" spans="1:26" ht="15.75" customHeight="1" x14ac:dyDescent="0.2">
      <c r="A1067" s="12"/>
      <c r="B1067" s="10"/>
      <c r="C1067" s="11"/>
      <c r="D1067" s="13"/>
      <c r="E1067" s="13"/>
      <c r="F1067" s="13"/>
      <c r="G1067" s="2"/>
      <c r="H1067" s="2"/>
      <c r="I1067" s="13"/>
      <c r="J1067" s="13"/>
      <c r="K1067" s="13"/>
      <c r="L1067" s="14"/>
      <c r="M1067" s="4"/>
      <c r="N1067" s="2"/>
      <c r="O1067" s="4"/>
      <c r="P1067" s="2"/>
      <c r="Q1067" s="2"/>
      <c r="R1067" s="4"/>
      <c r="S1067" s="2"/>
      <c r="T1067" s="2"/>
      <c r="U1067" s="1"/>
      <c r="V1067" s="2"/>
      <c r="W1067" s="2"/>
      <c r="X1067" s="2"/>
      <c r="Y1067" s="2"/>
      <c r="Z1067" s="2"/>
    </row>
    <row r="1068" spans="1:26" ht="15.75" customHeight="1" x14ac:dyDescent="0.2">
      <c r="A1068" s="12"/>
      <c r="B1068" s="10"/>
      <c r="C1068" s="11"/>
      <c r="D1068" s="13"/>
      <c r="E1068" s="13"/>
      <c r="F1068" s="13"/>
      <c r="G1068" s="2"/>
      <c r="H1068" s="2"/>
      <c r="I1068" s="13"/>
      <c r="J1068" s="13"/>
      <c r="K1068" s="13"/>
      <c r="L1068" s="14"/>
      <c r="M1068" s="4"/>
      <c r="N1068" s="2"/>
      <c r="O1068" s="4"/>
      <c r="P1068" s="2"/>
      <c r="Q1068" s="2"/>
      <c r="R1068" s="4"/>
      <c r="S1068" s="2"/>
      <c r="T1068" s="2"/>
      <c r="U1068" s="1"/>
      <c r="V1068" s="2"/>
      <c r="W1068" s="2"/>
      <c r="X1068" s="2"/>
      <c r="Y1068" s="2"/>
      <c r="Z1068" s="2"/>
    </row>
    <row r="1069" spans="1:26" ht="15.75" customHeight="1" x14ac:dyDescent="0.2">
      <c r="A1069" s="12"/>
      <c r="B1069" s="10"/>
      <c r="C1069" s="11"/>
      <c r="D1069" s="13"/>
      <c r="E1069" s="13"/>
      <c r="F1069" s="13"/>
      <c r="G1069" s="2"/>
      <c r="H1069" s="2"/>
      <c r="I1069" s="13"/>
      <c r="J1069" s="13"/>
      <c r="K1069" s="13"/>
      <c r="L1069" s="14"/>
      <c r="M1069" s="4"/>
      <c r="N1069" s="2"/>
      <c r="O1069" s="4"/>
      <c r="P1069" s="2"/>
      <c r="Q1069" s="2"/>
      <c r="R1069" s="4"/>
      <c r="S1069" s="2"/>
      <c r="T1069" s="2"/>
      <c r="U1069" s="1"/>
      <c r="V1069" s="2"/>
      <c r="W1069" s="2"/>
      <c r="X1069" s="2"/>
      <c r="Y1069" s="2"/>
      <c r="Z1069" s="2"/>
    </row>
    <row r="1070" spans="1:26" ht="15.75" customHeight="1" x14ac:dyDescent="0.2">
      <c r="A1070" s="12"/>
      <c r="B1070" s="10"/>
      <c r="C1070" s="11"/>
      <c r="D1070" s="13"/>
      <c r="E1070" s="13"/>
      <c r="F1070" s="13"/>
      <c r="G1070" s="2"/>
      <c r="H1070" s="2"/>
      <c r="I1070" s="13"/>
      <c r="J1070" s="13"/>
      <c r="K1070" s="13"/>
      <c r="L1070" s="14"/>
      <c r="M1070" s="4"/>
      <c r="N1070" s="2"/>
      <c r="O1070" s="4"/>
      <c r="P1070" s="2"/>
      <c r="Q1070" s="2"/>
      <c r="R1070" s="4"/>
      <c r="S1070" s="2"/>
      <c r="T1070" s="2"/>
      <c r="U1070" s="1"/>
      <c r="V1070" s="2"/>
      <c r="W1070" s="2"/>
      <c r="X1070" s="2"/>
      <c r="Y1070" s="2"/>
      <c r="Z1070" s="2"/>
    </row>
    <row r="1071" spans="1:26" ht="15.75" customHeight="1" x14ac:dyDescent="0.2">
      <c r="A1071" s="12"/>
      <c r="B1071" s="10"/>
      <c r="C1071" s="11"/>
      <c r="D1071" s="13"/>
      <c r="E1071" s="13"/>
      <c r="F1071" s="13"/>
      <c r="G1071" s="2"/>
      <c r="H1071" s="2"/>
      <c r="I1071" s="13"/>
      <c r="J1071" s="13"/>
      <c r="K1071" s="13"/>
      <c r="L1071" s="14"/>
      <c r="M1071" s="4"/>
      <c r="N1071" s="2"/>
      <c r="O1071" s="4"/>
      <c r="P1071" s="2"/>
      <c r="Q1071" s="2"/>
      <c r="R1071" s="4"/>
      <c r="S1071" s="2"/>
      <c r="T1071" s="2"/>
      <c r="U1071" s="1"/>
      <c r="V1071" s="2"/>
      <c r="W1071" s="2"/>
      <c r="X1071" s="2"/>
      <c r="Y1071" s="2"/>
      <c r="Z1071" s="2"/>
    </row>
    <row r="1072" spans="1:26" ht="15.75" customHeight="1" x14ac:dyDescent="0.2">
      <c r="A1072" s="12"/>
      <c r="B1072" s="10"/>
      <c r="C1072" s="11"/>
      <c r="D1072" s="13"/>
      <c r="E1072" s="13"/>
      <c r="F1072" s="13"/>
      <c r="G1072" s="2"/>
      <c r="H1072" s="2"/>
      <c r="I1072" s="13"/>
      <c r="J1072" s="13"/>
      <c r="K1072" s="13"/>
      <c r="L1072" s="14"/>
      <c r="M1072" s="4"/>
      <c r="N1072" s="2"/>
      <c r="O1072" s="4"/>
      <c r="P1072" s="2"/>
      <c r="Q1072" s="2"/>
      <c r="R1072" s="4"/>
      <c r="S1072" s="2"/>
      <c r="T1072" s="2"/>
      <c r="U1072" s="1"/>
      <c r="V1072" s="2"/>
      <c r="W1072" s="2"/>
      <c r="X1072" s="2"/>
      <c r="Y1072" s="2"/>
      <c r="Z1072" s="2"/>
    </row>
    <row r="1073" spans="1:26" ht="15.75" customHeight="1" x14ac:dyDescent="0.2">
      <c r="A1073" s="12"/>
      <c r="B1073" s="10"/>
      <c r="C1073" s="11"/>
      <c r="D1073" s="13"/>
      <c r="E1073" s="13"/>
      <c r="F1073" s="13"/>
      <c r="G1073" s="2"/>
      <c r="H1073" s="2"/>
      <c r="I1073" s="13"/>
      <c r="J1073" s="13"/>
      <c r="K1073" s="13"/>
      <c r="L1073" s="14"/>
      <c r="M1073" s="4"/>
      <c r="N1073" s="2"/>
      <c r="O1073" s="4"/>
      <c r="P1073" s="2"/>
      <c r="Q1073" s="2"/>
      <c r="R1073" s="4"/>
      <c r="S1073" s="2"/>
      <c r="T1073" s="2"/>
      <c r="U1073" s="1"/>
      <c r="V1073" s="2"/>
      <c r="W1073" s="2"/>
      <c r="X1073" s="2"/>
      <c r="Y1073" s="2"/>
      <c r="Z1073" s="2"/>
    </row>
    <row r="1074" spans="1:26" ht="15.75" customHeight="1" x14ac:dyDescent="0.2">
      <c r="A1074" s="12"/>
      <c r="B1074" s="10"/>
      <c r="C1074" s="11"/>
      <c r="D1074" s="13"/>
      <c r="E1074" s="13"/>
      <c r="F1074" s="13"/>
      <c r="G1074" s="2"/>
      <c r="H1074" s="2"/>
      <c r="I1074" s="13"/>
      <c r="J1074" s="13"/>
      <c r="K1074" s="13"/>
      <c r="L1074" s="14"/>
      <c r="M1074" s="4"/>
      <c r="N1074" s="2"/>
      <c r="O1074" s="4"/>
      <c r="P1074" s="2"/>
      <c r="Q1074" s="2"/>
      <c r="R1074" s="4"/>
      <c r="S1074" s="2"/>
      <c r="T1074" s="2"/>
      <c r="U1074" s="1"/>
      <c r="V1074" s="2"/>
      <c r="W1074" s="2"/>
      <c r="X1074" s="2"/>
      <c r="Y1074" s="2"/>
      <c r="Z1074" s="2"/>
    </row>
    <row r="1075" spans="1:26" ht="15.75" customHeight="1" x14ac:dyDescent="0.2">
      <c r="A1075" s="12"/>
      <c r="B1075" s="10"/>
      <c r="C1075" s="11"/>
      <c r="D1075" s="13"/>
      <c r="E1075" s="13"/>
      <c r="F1075" s="13"/>
      <c r="G1075" s="2"/>
      <c r="H1075" s="2"/>
      <c r="I1075" s="13"/>
      <c r="J1075" s="13"/>
      <c r="K1075" s="13"/>
      <c r="L1075" s="14"/>
      <c r="M1075" s="4"/>
      <c r="N1075" s="2"/>
      <c r="O1075" s="4"/>
      <c r="P1075" s="2"/>
      <c r="Q1075" s="2"/>
      <c r="R1075" s="4"/>
      <c r="S1075" s="2"/>
      <c r="T1075" s="2"/>
      <c r="U1075" s="1"/>
      <c r="V1075" s="2"/>
      <c r="W1075" s="2"/>
      <c r="X1075" s="2"/>
      <c r="Y1075" s="2"/>
      <c r="Z1075" s="2"/>
    </row>
    <row r="1076" spans="1:26" ht="15.75" customHeight="1" x14ac:dyDescent="0.2">
      <c r="A1076" s="12"/>
      <c r="B1076" s="10"/>
      <c r="C1076" s="11"/>
      <c r="D1076" s="13"/>
      <c r="E1076" s="13"/>
      <c r="F1076" s="13"/>
      <c r="G1076" s="2"/>
      <c r="H1076" s="2"/>
      <c r="I1076" s="13"/>
      <c r="J1076" s="13"/>
      <c r="K1076" s="13"/>
      <c r="L1076" s="14"/>
      <c r="M1076" s="4"/>
      <c r="N1076" s="2"/>
      <c r="O1076" s="4"/>
      <c r="P1076" s="2"/>
      <c r="Q1076" s="2"/>
      <c r="R1076" s="4"/>
      <c r="S1076" s="2"/>
      <c r="T1076" s="2"/>
      <c r="U1076" s="1"/>
      <c r="V1076" s="2"/>
      <c r="W1076" s="2"/>
      <c r="X1076" s="2"/>
      <c r="Y1076" s="2"/>
      <c r="Z1076" s="2"/>
    </row>
    <row r="1077" spans="1:26" ht="15.75" customHeight="1" x14ac:dyDescent="0.2">
      <c r="A1077" s="12"/>
      <c r="B1077" s="10"/>
      <c r="C1077" s="11"/>
      <c r="D1077" s="13"/>
      <c r="E1077" s="13"/>
      <c r="F1077" s="13"/>
      <c r="G1077" s="2"/>
      <c r="H1077" s="2"/>
      <c r="I1077" s="13"/>
      <c r="J1077" s="13"/>
      <c r="K1077" s="13"/>
      <c r="L1077" s="14"/>
      <c r="M1077" s="4"/>
      <c r="N1077" s="2"/>
      <c r="O1077" s="4"/>
      <c r="P1077" s="2"/>
      <c r="Q1077" s="2"/>
      <c r="R1077" s="4"/>
      <c r="S1077" s="2"/>
      <c r="T1077" s="2"/>
      <c r="U1077" s="1"/>
      <c r="V1077" s="2"/>
      <c r="W1077" s="2"/>
      <c r="X1077" s="2"/>
      <c r="Y1077" s="2"/>
      <c r="Z1077" s="2"/>
    </row>
    <row r="1078" spans="1:26" ht="15.75" customHeight="1" x14ac:dyDescent="0.2">
      <c r="A1078" s="12"/>
      <c r="B1078" s="10"/>
      <c r="C1078" s="11"/>
      <c r="D1078" s="13"/>
      <c r="E1078" s="13"/>
      <c r="F1078" s="13"/>
      <c r="G1078" s="2"/>
      <c r="H1078" s="2"/>
      <c r="I1078" s="13"/>
      <c r="J1078" s="13"/>
      <c r="K1078" s="13"/>
      <c r="L1078" s="14"/>
      <c r="M1078" s="4"/>
      <c r="N1078" s="2"/>
      <c r="O1078" s="4"/>
      <c r="P1078" s="2"/>
      <c r="Q1078" s="2"/>
      <c r="R1078" s="4"/>
      <c r="S1078" s="2"/>
      <c r="T1078" s="2"/>
      <c r="U1078" s="1"/>
      <c r="V1078" s="2"/>
      <c r="W1078" s="2"/>
      <c r="X1078" s="2"/>
      <c r="Y1078" s="2"/>
      <c r="Z1078" s="2"/>
    </row>
    <row r="1079" spans="1:26" ht="15.75" customHeight="1" x14ac:dyDescent="0.2">
      <c r="A1079" s="12"/>
      <c r="B1079" s="10"/>
      <c r="C1079" s="11"/>
      <c r="D1079" s="13"/>
      <c r="E1079" s="13"/>
      <c r="F1079" s="13"/>
      <c r="G1079" s="2"/>
      <c r="H1079" s="2"/>
      <c r="I1079" s="13"/>
      <c r="J1079" s="13"/>
      <c r="K1079" s="13"/>
      <c r="L1079" s="14"/>
      <c r="M1079" s="4"/>
      <c r="N1079" s="2"/>
      <c r="O1079" s="4"/>
      <c r="P1079" s="2"/>
      <c r="Q1079" s="2"/>
      <c r="R1079" s="4"/>
      <c r="S1079" s="2"/>
      <c r="T1079" s="2"/>
      <c r="U1079" s="1"/>
      <c r="V1079" s="2"/>
      <c r="W1079" s="2"/>
      <c r="X1079" s="2"/>
      <c r="Y1079" s="2"/>
      <c r="Z1079" s="2"/>
    </row>
    <row r="1080" spans="1:26" ht="15.75" customHeight="1" x14ac:dyDescent="0.2">
      <c r="A1080" s="12"/>
      <c r="B1080" s="10"/>
      <c r="C1080" s="11"/>
      <c r="D1080" s="13"/>
      <c r="E1080" s="13"/>
      <c r="F1080" s="13"/>
      <c r="G1080" s="2"/>
      <c r="H1080" s="2"/>
      <c r="I1080" s="13"/>
      <c r="J1080" s="13"/>
      <c r="K1080" s="13"/>
      <c r="L1080" s="14"/>
      <c r="M1080" s="4"/>
      <c r="N1080" s="2"/>
      <c r="O1080" s="4"/>
      <c r="P1080" s="2"/>
      <c r="Q1080" s="2"/>
      <c r="R1080" s="4"/>
      <c r="S1080" s="2"/>
      <c r="T1080" s="2"/>
      <c r="U1080" s="1"/>
      <c r="V1080" s="2"/>
      <c r="W1080" s="2"/>
      <c r="X1080" s="2"/>
      <c r="Y1080" s="2"/>
      <c r="Z1080" s="2"/>
    </row>
    <row r="1081" spans="1:26" ht="15.75" customHeight="1" x14ac:dyDescent="0.2">
      <c r="A1081" s="12"/>
      <c r="B1081" s="10"/>
      <c r="C1081" s="11"/>
      <c r="D1081" s="13"/>
      <c r="E1081" s="13"/>
      <c r="F1081" s="13"/>
      <c r="G1081" s="2"/>
      <c r="H1081" s="2"/>
      <c r="I1081" s="13"/>
      <c r="J1081" s="13"/>
      <c r="K1081" s="13"/>
      <c r="L1081" s="14"/>
      <c r="M1081" s="4"/>
      <c r="N1081" s="2"/>
      <c r="O1081" s="4"/>
      <c r="P1081" s="2"/>
      <c r="Q1081" s="2"/>
      <c r="R1081" s="4"/>
      <c r="S1081" s="2"/>
      <c r="T1081" s="2"/>
      <c r="U1081" s="1"/>
      <c r="V1081" s="2"/>
      <c r="W1081" s="2"/>
      <c r="X1081" s="2"/>
      <c r="Y1081" s="2"/>
      <c r="Z1081" s="2"/>
    </row>
    <row r="1082" spans="1:26" ht="15.75" customHeight="1" x14ac:dyDescent="0.2">
      <c r="A1082" s="12"/>
      <c r="B1082" s="10"/>
      <c r="C1082" s="11"/>
      <c r="D1082" s="13"/>
      <c r="E1082" s="13"/>
      <c r="F1082" s="13"/>
      <c r="G1082" s="2"/>
      <c r="H1082" s="2"/>
      <c r="I1082" s="13"/>
      <c r="J1082" s="13"/>
      <c r="K1082" s="13"/>
      <c r="L1082" s="14"/>
      <c r="M1082" s="4"/>
      <c r="N1082" s="2"/>
      <c r="O1082" s="4"/>
      <c r="P1082" s="2"/>
      <c r="Q1082" s="2"/>
      <c r="R1082" s="4"/>
      <c r="S1082" s="2"/>
      <c r="T1082" s="2"/>
      <c r="U1082" s="1"/>
      <c r="V1082" s="2"/>
      <c r="W1082" s="2"/>
      <c r="X1082" s="2"/>
      <c r="Y1082" s="2"/>
      <c r="Z1082" s="2"/>
    </row>
    <row r="1083" spans="1:26" ht="15.75" customHeight="1" x14ac:dyDescent="0.2">
      <c r="A1083" s="12"/>
      <c r="B1083" s="10"/>
      <c r="C1083" s="11"/>
      <c r="D1083" s="13"/>
      <c r="E1083" s="13"/>
      <c r="F1083" s="13"/>
      <c r="G1083" s="2"/>
      <c r="H1083" s="2"/>
      <c r="I1083" s="13"/>
      <c r="J1083" s="13"/>
      <c r="K1083" s="13"/>
      <c r="L1083" s="14"/>
      <c r="M1083" s="4"/>
      <c r="N1083" s="2"/>
      <c r="O1083" s="4"/>
      <c r="P1083" s="2"/>
      <c r="Q1083" s="2"/>
      <c r="R1083" s="4"/>
      <c r="S1083" s="2"/>
      <c r="T1083" s="2"/>
      <c r="U1083" s="1"/>
      <c r="V1083" s="2"/>
      <c r="W1083" s="2"/>
      <c r="X1083" s="2"/>
      <c r="Y1083" s="2"/>
      <c r="Z1083" s="2"/>
    </row>
    <row r="1084" spans="1:26" ht="15.75" customHeight="1" x14ac:dyDescent="0.2">
      <c r="A1084" s="12"/>
      <c r="B1084" s="10"/>
      <c r="C1084" s="11"/>
      <c r="D1084" s="13"/>
      <c r="E1084" s="13"/>
      <c r="F1084" s="13"/>
      <c r="G1084" s="2"/>
      <c r="H1084" s="2"/>
      <c r="I1084" s="13"/>
      <c r="J1084" s="13"/>
      <c r="K1084" s="13"/>
      <c r="L1084" s="14"/>
      <c r="M1084" s="4"/>
      <c r="N1084" s="2"/>
      <c r="O1084" s="4"/>
      <c r="P1084" s="2"/>
      <c r="Q1084" s="2"/>
      <c r="R1084" s="4"/>
      <c r="S1084" s="2"/>
      <c r="T1084" s="2"/>
      <c r="U1084" s="1"/>
      <c r="V1084" s="2"/>
      <c r="W1084" s="2"/>
      <c r="X1084" s="2"/>
      <c r="Y1084" s="2"/>
      <c r="Z1084" s="2"/>
    </row>
    <row r="1085" spans="1:26" ht="15.75" customHeight="1" x14ac:dyDescent="0.2">
      <c r="A1085" s="12"/>
      <c r="B1085" s="10"/>
      <c r="C1085" s="11"/>
      <c r="D1085" s="13"/>
      <c r="E1085" s="13"/>
      <c r="F1085" s="13"/>
      <c r="G1085" s="2"/>
      <c r="H1085" s="2"/>
      <c r="I1085" s="13"/>
      <c r="J1085" s="13"/>
      <c r="K1085" s="13"/>
      <c r="L1085" s="14"/>
      <c r="M1085" s="4"/>
      <c r="N1085" s="2"/>
      <c r="O1085" s="4"/>
      <c r="P1085" s="2"/>
      <c r="Q1085" s="2"/>
      <c r="R1085" s="4"/>
      <c r="S1085" s="2"/>
      <c r="T1085" s="2"/>
      <c r="U1085" s="1"/>
      <c r="V1085" s="2"/>
      <c r="W1085" s="2"/>
      <c r="X1085" s="2"/>
      <c r="Y1085" s="2"/>
      <c r="Z1085" s="2"/>
    </row>
    <row r="1086" spans="1:26" ht="15.75" customHeight="1" x14ac:dyDescent="0.2">
      <c r="A1086" s="12"/>
      <c r="B1086" s="10"/>
      <c r="C1086" s="11"/>
      <c r="D1086" s="13"/>
      <c r="E1086" s="13"/>
      <c r="F1086" s="13"/>
      <c r="G1086" s="2"/>
      <c r="H1086" s="2"/>
      <c r="I1086" s="13"/>
      <c r="J1086" s="13"/>
      <c r="K1086" s="13"/>
      <c r="L1086" s="14"/>
      <c r="M1086" s="4"/>
      <c r="N1086" s="2"/>
      <c r="O1086" s="4"/>
      <c r="P1086" s="2"/>
      <c r="Q1086" s="2"/>
      <c r="R1086" s="4"/>
      <c r="S1086" s="2"/>
      <c r="T1086" s="2"/>
      <c r="U1086" s="1"/>
      <c r="V1086" s="2"/>
      <c r="W1086" s="2"/>
      <c r="X1086" s="2"/>
      <c r="Y1086" s="2"/>
      <c r="Z1086" s="2"/>
    </row>
    <row r="1087" spans="1:26" ht="15.75" customHeight="1" x14ac:dyDescent="0.2">
      <c r="A1087" s="12"/>
      <c r="B1087" s="10"/>
      <c r="C1087" s="11"/>
      <c r="D1087" s="13"/>
      <c r="E1087" s="13"/>
      <c r="F1087" s="13"/>
      <c r="G1087" s="2"/>
      <c r="H1087" s="2"/>
      <c r="I1087" s="13"/>
      <c r="J1087" s="13"/>
      <c r="K1087" s="13"/>
      <c r="L1087" s="14"/>
      <c r="M1087" s="4"/>
      <c r="N1087" s="2"/>
      <c r="O1087" s="4"/>
      <c r="P1087" s="2"/>
      <c r="Q1087" s="2"/>
      <c r="R1087" s="4"/>
      <c r="S1087" s="2"/>
      <c r="T1087" s="2"/>
      <c r="U1087" s="1"/>
      <c r="V1087" s="2"/>
      <c r="W1087" s="2"/>
      <c r="X1087" s="2"/>
      <c r="Y1087" s="2"/>
      <c r="Z1087" s="2"/>
    </row>
    <row r="1088" spans="1:26" ht="15.75" customHeight="1" x14ac:dyDescent="0.2">
      <c r="A1088" s="12"/>
      <c r="B1088" s="10"/>
      <c r="C1088" s="11"/>
      <c r="D1088" s="13"/>
      <c r="E1088" s="13"/>
      <c r="F1088" s="13"/>
      <c r="G1088" s="2"/>
      <c r="H1088" s="2"/>
      <c r="I1088" s="13"/>
      <c r="J1088" s="13"/>
      <c r="K1088" s="13"/>
      <c r="L1088" s="14"/>
      <c r="M1088" s="4"/>
      <c r="N1088" s="2"/>
      <c r="O1088" s="4"/>
      <c r="P1088" s="2"/>
      <c r="Q1088" s="2"/>
      <c r="R1088" s="4"/>
      <c r="S1088" s="2"/>
      <c r="T1088" s="2"/>
      <c r="U1088" s="1"/>
      <c r="V1088" s="2"/>
      <c r="W1088" s="2"/>
      <c r="X1088" s="2"/>
      <c r="Y1088" s="2"/>
      <c r="Z1088" s="2"/>
    </row>
    <row r="1089" spans="1:26" ht="15.75" customHeight="1" x14ac:dyDescent="0.2">
      <c r="A1089" s="12"/>
      <c r="B1089" s="10"/>
      <c r="C1089" s="11"/>
      <c r="D1089" s="13"/>
      <c r="E1089" s="13"/>
      <c r="F1089" s="13"/>
      <c r="G1089" s="2"/>
      <c r="H1089" s="2"/>
      <c r="I1089" s="13"/>
      <c r="J1089" s="13"/>
      <c r="K1089" s="13"/>
      <c r="L1089" s="14"/>
      <c r="M1089" s="4"/>
      <c r="N1089" s="2"/>
      <c r="O1089" s="4"/>
      <c r="P1089" s="2"/>
      <c r="Q1089" s="2"/>
      <c r="R1089" s="4"/>
      <c r="S1089" s="2"/>
      <c r="T1089" s="2"/>
      <c r="U1089" s="1"/>
      <c r="V1089" s="2"/>
      <c r="W1089" s="2"/>
      <c r="X1089" s="2"/>
      <c r="Y1089" s="2"/>
      <c r="Z1089" s="2"/>
    </row>
    <row r="1090" spans="1:26" ht="15.75" customHeight="1" x14ac:dyDescent="0.2">
      <c r="A1090" s="12"/>
      <c r="B1090" s="10"/>
      <c r="C1090" s="11"/>
      <c r="D1090" s="13"/>
      <c r="E1090" s="13"/>
      <c r="F1090" s="13"/>
      <c r="G1090" s="2"/>
      <c r="H1090" s="2"/>
      <c r="I1090" s="13"/>
      <c r="J1090" s="13"/>
      <c r="K1090" s="13"/>
      <c r="L1090" s="14"/>
      <c r="M1090" s="4"/>
      <c r="N1090" s="2"/>
      <c r="O1090" s="4"/>
      <c r="P1090" s="2"/>
      <c r="Q1090" s="2"/>
      <c r="R1090" s="4"/>
      <c r="S1090" s="2"/>
      <c r="T1090" s="2"/>
      <c r="U1090" s="1"/>
      <c r="V1090" s="2"/>
      <c r="W1090" s="2"/>
      <c r="X1090" s="2"/>
      <c r="Y1090" s="2"/>
      <c r="Z1090" s="2"/>
    </row>
    <row r="1091" spans="1:26" ht="15.75" customHeight="1" x14ac:dyDescent="0.2">
      <c r="A1091" s="12"/>
      <c r="B1091" s="10"/>
      <c r="C1091" s="11"/>
      <c r="D1091" s="13"/>
      <c r="E1091" s="13"/>
      <c r="F1091" s="13"/>
      <c r="G1091" s="2"/>
      <c r="H1091" s="2"/>
      <c r="I1091" s="13"/>
      <c r="J1091" s="13"/>
      <c r="K1091" s="13"/>
      <c r="L1091" s="14"/>
      <c r="M1091" s="4"/>
      <c r="N1091" s="2"/>
      <c r="O1091" s="4"/>
      <c r="P1091" s="2"/>
      <c r="Q1091" s="2"/>
      <c r="R1091" s="4"/>
      <c r="S1091" s="2"/>
      <c r="T1091" s="2"/>
      <c r="U1091" s="1"/>
      <c r="V1091" s="2"/>
      <c r="W1091" s="2"/>
      <c r="X1091" s="2"/>
      <c r="Y1091" s="2"/>
      <c r="Z1091" s="2"/>
    </row>
    <row r="1092" spans="1:26" ht="15.75" customHeight="1" x14ac:dyDescent="0.2">
      <c r="A1092" s="12"/>
      <c r="B1092" s="10"/>
      <c r="C1092" s="11"/>
      <c r="D1092" s="13"/>
      <c r="E1092" s="13"/>
      <c r="F1092" s="13"/>
      <c r="G1092" s="2"/>
      <c r="H1092" s="2"/>
      <c r="I1092" s="13"/>
      <c r="J1092" s="13"/>
      <c r="K1092" s="13"/>
      <c r="L1092" s="14"/>
      <c r="M1092" s="4"/>
      <c r="N1092" s="2"/>
      <c r="O1092" s="4"/>
      <c r="P1092" s="2"/>
      <c r="Q1092" s="2"/>
      <c r="R1092" s="4"/>
      <c r="S1092" s="2"/>
      <c r="T1092" s="2"/>
      <c r="U1092" s="1"/>
      <c r="V1092" s="2"/>
      <c r="W1092" s="2"/>
      <c r="X1092" s="2"/>
      <c r="Y1092" s="2"/>
      <c r="Z1092" s="2"/>
    </row>
    <row r="1093" spans="1:26" ht="15.75" customHeight="1" x14ac:dyDescent="0.2">
      <c r="A1093" s="12"/>
      <c r="B1093" s="10"/>
      <c r="C1093" s="11"/>
      <c r="D1093" s="13"/>
      <c r="E1093" s="13"/>
      <c r="F1093" s="13"/>
      <c r="G1093" s="2"/>
      <c r="H1093" s="2"/>
      <c r="I1093" s="13"/>
      <c r="J1093" s="13"/>
      <c r="K1093" s="13"/>
      <c r="L1093" s="14"/>
      <c r="M1093" s="4"/>
      <c r="N1093" s="2"/>
      <c r="O1093" s="4"/>
      <c r="P1093" s="2"/>
      <c r="Q1093" s="2"/>
      <c r="R1093" s="4"/>
      <c r="S1093" s="2"/>
      <c r="T1093" s="2"/>
      <c r="U1093" s="1"/>
      <c r="V1093" s="2"/>
      <c r="W1093" s="2"/>
      <c r="X1093" s="2"/>
      <c r="Y1093" s="2"/>
      <c r="Z1093" s="2"/>
    </row>
    <row r="1094" spans="1:26" ht="15.75" customHeight="1" x14ac:dyDescent="0.2">
      <c r="A1094" s="12"/>
      <c r="B1094" s="10"/>
      <c r="C1094" s="11"/>
      <c r="D1094" s="13"/>
      <c r="E1094" s="13"/>
      <c r="F1094" s="13"/>
      <c r="G1094" s="2"/>
      <c r="H1094" s="2"/>
      <c r="I1094" s="13"/>
      <c r="J1094" s="13"/>
      <c r="K1094" s="13"/>
      <c r="L1094" s="14"/>
      <c r="M1094" s="4"/>
      <c r="N1094" s="2"/>
      <c r="O1094" s="4"/>
      <c r="P1094" s="2"/>
      <c r="Q1094" s="2"/>
      <c r="R1094" s="4"/>
      <c r="S1094" s="2"/>
      <c r="T1094" s="2"/>
      <c r="U1094" s="1"/>
      <c r="V1094" s="2"/>
      <c r="W1094" s="2"/>
      <c r="X1094" s="2"/>
      <c r="Y1094" s="2"/>
      <c r="Z1094" s="2"/>
    </row>
    <row r="1095" spans="1:26" ht="15.75" customHeight="1" x14ac:dyDescent="0.2">
      <c r="A1095" s="12"/>
      <c r="B1095" s="10"/>
      <c r="C1095" s="11"/>
      <c r="D1095" s="13"/>
      <c r="E1095" s="13"/>
      <c r="F1095" s="13"/>
      <c r="G1095" s="2"/>
      <c r="H1095" s="2"/>
      <c r="I1095" s="13"/>
      <c r="J1095" s="13"/>
      <c r="K1095" s="13"/>
      <c r="L1095" s="14"/>
      <c r="M1095" s="4"/>
      <c r="N1095" s="2"/>
      <c r="O1095" s="4"/>
      <c r="P1095" s="2"/>
      <c r="Q1095" s="2"/>
      <c r="R1095" s="4"/>
      <c r="S1095" s="2"/>
      <c r="T1095" s="2"/>
      <c r="U1095" s="1"/>
      <c r="V1095" s="2"/>
      <c r="W1095" s="2"/>
      <c r="X1095" s="2"/>
      <c r="Y1095" s="2"/>
      <c r="Z1095" s="2"/>
    </row>
    <row r="1096" spans="1:26" ht="15.75" customHeight="1" x14ac:dyDescent="0.2">
      <c r="A1096" s="12"/>
      <c r="B1096" s="10"/>
      <c r="C1096" s="11"/>
      <c r="D1096" s="13"/>
      <c r="E1096" s="13"/>
      <c r="F1096" s="13"/>
      <c r="G1096" s="2"/>
      <c r="H1096" s="2"/>
      <c r="I1096" s="13"/>
      <c r="J1096" s="13"/>
      <c r="K1096" s="13"/>
      <c r="L1096" s="14"/>
      <c r="M1096" s="4"/>
      <c r="N1096" s="2"/>
      <c r="O1096" s="4"/>
      <c r="P1096" s="2"/>
      <c r="Q1096" s="2"/>
      <c r="R1096" s="4"/>
      <c r="S1096" s="2"/>
      <c r="T1096" s="2"/>
      <c r="U1096" s="1"/>
      <c r="V1096" s="2"/>
      <c r="W1096" s="2"/>
      <c r="X1096" s="2"/>
      <c r="Y1096" s="2"/>
      <c r="Z1096" s="2"/>
    </row>
    <row r="1097" spans="1:26" ht="15.75" customHeight="1" x14ac:dyDescent="0.2">
      <c r="A1097" s="12"/>
      <c r="B1097" s="10"/>
      <c r="C1097" s="11"/>
      <c r="D1097" s="13"/>
      <c r="E1097" s="13"/>
      <c r="F1097" s="13"/>
      <c r="G1097" s="2"/>
      <c r="H1097" s="2"/>
      <c r="I1097" s="13"/>
      <c r="J1097" s="13"/>
      <c r="K1097" s="13"/>
      <c r="L1097" s="14"/>
      <c r="M1097" s="4"/>
      <c r="N1097" s="2"/>
      <c r="O1097" s="4"/>
      <c r="P1097" s="2"/>
      <c r="Q1097" s="2"/>
      <c r="R1097" s="4"/>
      <c r="S1097" s="2"/>
      <c r="T1097" s="2"/>
      <c r="U1097" s="1"/>
      <c r="V1097" s="2"/>
      <c r="W1097" s="2"/>
      <c r="X1097" s="2"/>
      <c r="Y1097" s="2"/>
      <c r="Z1097" s="2"/>
    </row>
    <row r="1098" spans="1:26" ht="15.75" customHeight="1" x14ac:dyDescent="0.2">
      <c r="A1098" s="12"/>
      <c r="B1098" s="10"/>
      <c r="C1098" s="11"/>
      <c r="D1098" s="13"/>
      <c r="E1098" s="13"/>
      <c r="F1098" s="13"/>
      <c r="G1098" s="2"/>
      <c r="H1098" s="2"/>
      <c r="I1098" s="13"/>
      <c r="J1098" s="13"/>
      <c r="K1098" s="13"/>
      <c r="L1098" s="14"/>
      <c r="M1098" s="4"/>
      <c r="N1098" s="2"/>
      <c r="O1098" s="4"/>
      <c r="P1098" s="2"/>
      <c r="Q1098" s="2"/>
      <c r="R1098" s="4"/>
      <c r="S1098" s="2"/>
      <c r="T1098" s="2"/>
      <c r="U1098" s="1"/>
      <c r="V1098" s="2"/>
      <c r="W1098" s="2"/>
      <c r="X1098" s="2"/>
      <c r="Y1098" s="2"/>
      <c r="Z1098" s="2"/>
    </row>
    <row r="1099" spans="1:26" ht="15.75" customHeight="1" x14ac:dyDescent="0.2">
      <c r="A1099" s="12"/>
      <c r="B1099" s="10"/>
      <c r="C1099" s="11"/>
      <c r="D1099" s="13"/>
      <c r="E1099" s="13"/>
      <c r="F1099" s="13"/>
      <c r="G1099" s="2"/>
      <c r="H1099" s="2"/>
      <c r="I1099" s="13"/>
      <c r="J1099" s="13"/>
      <c r="K1099" s="13"/>
      <c r="L1099" s="14"/>
      <c r="M1099" s="4"/>
      <c r="N1099" s="2"/>
      <c r="O1099" s="4"/>
      <c r="P1099" s="2"/>
      <c r="Q1099" s="2"/>
      <c r="R1099" s="4"/>
      <c r="S1099" s="2"/>
      <c r="T1099" s="2"/>
      <c r="U1099" s="1"/>
      <c r="V1099" s="2"/>
      <c r="W1099" s="2"/>
      <c r="X1099" s="2"/>
      <c r="Y1099" s="2"/>
      <c r="Z1099" s="2"/>
    </row>
    <row r="1100" spans="1:26" ht="15.75" customHeight="1" x14ac:dyDescent="0.2">
      <c r="A1100" s="12"/>
      <c r="B1100" s="10"/>
      <c r="C1100" s="11"/>
      <c r="D1100" s="13"/>
      <c r="E1100" s="13"/>
      <c r="F1100" s="13"/>
      <c r="G1100" s="2"/>
      <c r="H1100" s="2"/>
      <c r="I1100" s="13"/>
      <c r="J1100" s="13"/>
      <c r="K1100" s="13"/>
      <c r="L1100" s="14"/>
      <c r="M1100" s="4"/>
      <c r="N1100" s="2"/>
      <c r="O1100" s="4"/>
      <c r="P1100" s="2"/>
      <c r="Q1100" s="2"/>
      <c r="R1100" s="4"/>
      <c r="S1100" s="2"/>
      <c r="T1100" s="2"/>
      <c r="U1100" s="1"/>
      <c r="V1100" s="2"/>
      <c r="W1100" s="2"/>
      <c r="X1100" s="2"/>
      <c r="Y1100" s="2"/>
      <c r="Z1100" s="2"/>
    </row>
    <row r="1101" spans="1:26" ht="15.75" customHeight="1" x14ac:dyDescent="0.2">
      <c r="A1101" s="12"/>
      <c r="B1101" s="10"/>
      <c r="C1101" s="11"/>
      <c r="D1101" s="13"/>
      <c r="E1101" s="13"/>
      <c r="F1101" s="13"/>
      <c r="G1101" s="2"/>
      <c r="H1101" s="2"/>
      <c r="I1101" s="13"/>
      <c r="J1101" s="13"/>
      <c r="K1101" s="13"/>
      <c r="L1101" s="14"/>
      <c r="M1101" s="4"/>
      <c r="N1101" s="2"/>
      <c r="O1101" s="4"/>
      <c r="P1101" s="2"/>
      <c r="Q1101" s="2"/>
      <c r="R1101" s="4"/>
      <c r="S1101" s="2"/>
      <c r="T1101" s="2"/>
      <c r="U1101" s="1"/>
      <c r="V1101" s="2"/>
      <c r="W1101" s="2"/>
      <c r="X1101" s="2"/>
      <c r="Y1101" s="2"/>
      <c r="Z1101" s="2"/>
    </row>
    <row r="1102" spans="1:26" ht="15.75" customHeight="1" x14ac:dyDescent="0.2">
      <c r="A1102" s="12"/>
      <c r="B1102" s="10"/>
      <c r="C1102" s="11"/>
      <c r="D1102" s="13"/>
      <c r="E1102" s="13"/>
      <c r="F1102" s="13"/>
      <c r="G1102" s="2"/>
      <c r="H1102" s="2"/>
      <c r="I1102" s="13"/>
      <c r="J1102" s="13"/>
      <c r="K1102" s="13"/>
      <c r="L1102" s="14"/>
      <c r="M1102" s="4"/>
      <c r="N1102" s="2"/>
      <c r="O1102" s="4"/>
      <c r="P1102" s="2"/>
      <c r="Q1102" s="2"/>
      <c r="R1102" s="4"/>
      <c r="S1102" s="2"/>
      <c r="T1102" s="2"/>
      <c r="U1102" s="1"/>
      <c r="V1102" s="2"/>
      <c r="W1102" s="2"/>
      <c r="X1102" s="2"/>
      <c r="Y1102" s="2"/>
      <c r="Z1102" s="2"/>
    </row>
    <row r="1103" spans="1:26" ht="15.75" customHeight="1" x14ac:dyDescent="0.2">
      <c r="A1103" s="12"/>
      <c r="B1103" s="10"/>
      <c r="C1103" s="11"/>
      <c r="D1103" s="13"/>
      <c r="E1103" s="13"/>
      <c r="F1103" s="13"/>
      <c r="G1103" s="2"/>
      <c r="H1103" s="2"/>
      <c r="I1103" s="13"/>
      <c r="J1103" s="13"/>
      <c r="K1103" s="13"/>
      <c r="L1103" s="14"/>
      <c r="M1103" s="4"/>
      <c r="N1103" s="2"/>
      <c r="O1103" s="4"/>
      <c r="P1103" s="2"/>
      <c r="Q1103" s="2"/>
      <c r="R1103" s="4"/>
      <c r="S1103" s="2"/>
      <c r="T1103" s="2"/>
      <c r="U1103" s="1"/>
      <c r="V1103" s="2"/>
      <c r="W1103" s="2"/>
      <c r="X1103" s="2"/>
      <c r="Y1103" s="2"/>
      <c r="Z1103" s="2"/>
    </row>
    <row r="1104" spans="1:26" ht="15.75" customHeight="1" x14ac:dyDescent="0.2">
      <c r="A1104" s="12"/>
      <c r="B1104" s="10"/>
      <c r="C1104" s="11"/>
      <c r="D1104" s="13"/>
      <c r="E1104" s="13"/>
      <c r="F1104" s="13"/>
      <c r="G1104" s="2"/>
      <c r="H1104" s="2"/>
      <c r="I1104" s="13"/>
      <c r="J1104" s="13"/>
      <c r="K1104" s="13"/>
      <c r="L1104" s="14"/>
      <c r="M1104" s="4"/>
      <c r="N1104" s="2"/>
      <c r="O1104" s="4"/>
      <c r="P1104" s="2"/>
      <c r="Q1104" s="2"/>
      <c r="R1104" s="4"/>
      <c r="S1104" s="2"/>
      <c r="T1104" s="2"/>
      <c r="U1104" s="1"/>
      <c r="V1104" s="2"/>
      <c r="W1104" s="2"/>
      <c r="X1104" s="2"/>
      <c r="Y1104" s="2"/>
      <c r="Z1104" s="2"/>
    </row>
    <row r="1105" spans="1:26" ht="15.75" customHeight="1" x14ac:dyDescent="0.2">
      <c r="A1105" s="12"/>
      <c r="B1105" s="10"/>
      <c r="C1105" s="11"/>
      <c r="D1105" s="13"/>
      <c r="E1105" s="13"/>
      <c r="F1105" s="13"/>
      <c r="G1105" s="2"/>
      <c r="H1105" s="2"/>
      <c r="I1105" s="13"/>
      <c r="J1105" s="13"/>
      <c r="K1105" s="13"/>
      <c r="L1105" s="14"/>
      <c r="M1105" s="4"/>
      <c r="N1105" s="2"/>
      <c r="O1105" s="4"/>
      <c r="P1105" s="2"/>
      <c r="Q1105" s="2"/>
      <c r="R1105" s="4"/>
      <c r="S1105" s="2"/>
      <c r="T1105" s="2"/>
      <c r="U1105" s="1"/>
      <c r="V1105" s="2"/>
      <c r="W1105" s="2"/>
      <c r="X1105" s="2"/>
      <c r="Y1105" s="2"/>
      <c r="Z1105" s="2"/>
    </row>
    <row r="1106" spans="1:26" ht="15.75" customHeight="1" x14ac:dyDescent="0.2">
      <c r="A1106" s="12"/>
      <c r="B1106" s="10"/>
      <c r="C1106" s="11"/>
      <c r="D1106" s="13"/>
      <c r="E1106" s="13"/>
      <c r="F1106" s="13"/>
      <c r="G1106" s="2"/>
      <c r="H1106" s="2"/>
      <c r="I1106" s="13"/>
      <c r="J1106" s="13"/>
      <c r="K1106" s="13"/>
      <c r="L1106" s="14"/>
      <c r="M1106" s="4"/>
      <c r="N1106" s="2"/>
      <c r="O1106" s="4"/>
      <c r="P1106" s="2"/>
      <c r="Q1106" s="2"/>
      <c r="R1106" s="4"/>
      <c r="S1106" s="2"/>
      <c r="T1106" s="2"/>
      <c r="U1106" s="1"/>
      <c r="V1106" s="2"/>
      <c r="W1106" s="2"/>
      <c r="X1106" s="2"/>
      <c r="Y1106" s="2"/>
      <c r="Z1106" s="2"/>
    </row>
    <row r="1107" spans="1:26" ht="15.75" customHeight="1" x14ac:dyDescent="0.2">
      <c r="A1107" s="12"/>
      <c r="B1107" s="10"/>
      <c r="C1107" s="11"/>
      <c r="D1107" s="13"/>
      <c r="E1107" s="13"/>
      <c r="F1107" s="13"/>
      <c r="G1107" s="2"/>
      <c r="H1107" s="2"/>
      <c r="I1107" s="13"/>
      <c r="J1107" s="13"/>
      <c r="K1107" s="13"/>
      <c r="L1107" s="14"/>
      <c r="M1107" s="4"/>
      <c r="N1107" s="2"/>
      <c r="O1107" s="4"/>
      <c r="P1107" s="2"/>
      <c r="Q1107" s="2"/>
      <c r="R1107" s="4"/>
      <c r="S1107" s="2"/>
      <c r="T1107" s="2"/>
      <c r="U1107" s="1"/>
      <c r="V1107" s="2"/>
      <c r="W1107" s="2"/>
      <c r="X1107" s="2"/>
      <c r="Y1107" s="2"/>
      <c r="Z1107" s="2"/>
    </row>
    <row r="1108" spans="1:26" ht="15.75" customHeight="1" x14ac:dyDescent="0.2">
      <c r="A1108" s="12"/>
      <c r="B1108" s="10"/>
      <c r="C1108" s="11"/>
      <c r="D1108" s="13"/>
      <c r="E1108" s="13"/>
      <c r="F1108" s="13"/>
      <c r="G1108" s="2"/>
      <c r="H1108" s="2"/>
      <c r="I1108" s="13"/>
      <c r="J1108" s="13"/>
      <c r="K1108" s="13"/>
      <c r="L1108" s="14"/>
      <c r="M1108" s="4"/>
      <c r="N1108" s="2"/>
      <c r="O1108" s="4"/>
      <c r="P1108" s="2"/>
      <c r="Q1108" s="2"/>
      <c r="R1108" s="4"/>
      <c r="S1108" s="2"/>
      <c r="T1108" s="2"/>
      <c r="U1108" s="1"/>
      <c r="V1108" s="2"/>
      <c r="W1108" s="2"/>
      <c r="X1108" s="2"/>
      <c r="Y1108" s="2"/>
      <c r="Z1108" s="2"/>
    </row>
    <row r="1109" spans="1:26" ht="15.75" customHeight="1" x14ac:dyDescent="0.2">
      <c r="A1109" s="12"/>
      <c r="B1109" s="10"/>
      <c r="C1109" s="11"/>
      <c r="D1109" s="13"/>
      <c r="E1109" s="13"/>
      <c r="F1109" s="13"/>
      <c r="G1109" s="2"/>
      <c r="H1109" s="2"/>
      <c r="I1109" s="13"/>
      <c r="J1109" s="13"/>
      <c r="K1109" s="13"/>
      <c r="L1109" s="14"/>
      <c r="M1109" s="4"/>
      <c r="N1109" s="2"/>
      <c r="O1109" s="4"/>
      <c r="P1109" s="2"/>
      <c r="Q1109" s="2"/>
      <c r="R1109" s="4"/>
      <c r="S1109" s="2"/>
      <c r="T1109" s="2"/>
      <c r="U1109" s="1"/>
      <c r="V1109" s="2"/>
      <c r="W1109" s="2"/>
      <c r="X1109" s="2"/>
      <c r="Y1109" s="2"/>
      <c r="Z1109" s="2"/>
    </row>
    <row r="1110" spans="1:26" ht="15.75" customHeight="1" x14ac:dyDescent="0.2">
      <c r="A1110" s="12"/>
      <c r="B1110" s="10"/>
      <c r="C1110" s="11"/>
      <c r="D1110" s="13"/>
      <c r="E1110" s="13"/>
      <c r="F1110" s="13"/>
      <c r="G1110" s="2"/>
      <c r="H1110" s="2"/>
      <c r="I1110" s="13"/>
      <c r="J1110" s="13"/>
      <c r="K1110" s="13"/>
      <c r="L1110" s="14"/>
      <c r="M1110" s="4"/>
      <c r="N1110" s="2"/>
      <c r="O1110" s="4"/>
      <c r="P1110" s="2"/>
      <c r="Q1110" s="2"/>
      <c r="R1110" s="4"/>
      <c r="S1110" s="2"/>
      <c r="T1110" s="2"/>
      <c r="U1110" s="1"/>
      <c r="V1110" s="2"/>
      <c r="W1110" s="2"/>
      <c r="X1110" s="2"/>
      <c r="Y1110" s="2"/>
      <c r="Z1110" s="2"/>
    </row>
    <row r="1111" spans="1:26" ht="15.75" customHeight="1" x14ac:dyDescent="0.2">
      <c r="A1111" s="12"/>
      <c r="B1111" s="10"/>
      <c r="C1111" s="11"/>
      <c r="D1111" s="13"/>
      <c r="E1111" s="13"/>
      <c r="F1111" s="13"/>
      <c r="G1111" s="2"/>
      <c r="H1111" s="2"/>
      <c r="I1111" s="13"/>
      <c r="J1111" s="13"/>
      <c r="K1111" s="13"/>
      <c r="L1111" s="14"/>
      <c r="M1111" s="4"/>
      <c r="N1111" s="2"/>
      <c r="O1111" s="4"/>
      <c r="P1111" s="2"/>
      <c r="Q1111" s="2"/>
      <c r="R1111" s="4"/>
      <c r="S1111" s="2"/>
      <c r="T1111" s="2"/>
      <c r="U1111" s="1"/>
      <c r="V1111" s="2"/>
      <c r="W1111" s="2"/>
      <c r="X1111" s="2"/>
      <c r="Y1111" s="2"/>
      <c r="Z1111" s="2"/>
    </row>
    <row r="1112" spans="1:26" ht="15.75" customHeight="1" x14ac:dyDescent="0.2">
      <c r="A1112" s="12"/>
      <c r="B1112" s="10"/>
      <c r="C1112" s="11"/>
      <c r="D1112" s="13"/>
      <c r="E1112" s="13"/>
      <c r="F1112" s="13"/>
      <c r="G1112" s="2"/>
      <c r="H1112" s="2"/>
      <c r="I1112" s="13"/>
      <c r="J1112" s="13"/>
      <c r="K1112" s="13"/>
      <c r="L1112" s="14"/>
      <c r="M1112" s="4"/>
      <c r="N1112" s="2"/>
      <c r="O1112" s="4"/>
      <c r="P1112" s="2"/>
      <c r="Q1112" s="2"/>
      <c r="R1112" s="4"/>
      <c r="S1112" s="2"/>
      <c r="T1112" s="2"/>
      <c r="U1112" s="1"/>
      <c r="V1112" s="2"/>
      <c r="W1112" s="2"/>
      <c r="X1112" s="2"/>
      <c r="Y1112" s="2"/>
      <c r="Z1112" s="2"/>
    </row>
    <row r="1113" spans="1:26" ht="15.75" customHeight="1" x14ac:dyDescent="0.2">
      <c r="A1113" s="12"/>
      <c r="B1113" s="10"/>
      <c r="C1113" s="11"/>
      <c r="D1113" s="13"/>
      <c r="E1113" s="13"/>
      <c r="F1113" s="13"/>
      <c r="G1113" s="2"/>
      <c r="H1113" s="2"/>
      <c r="I1113" s="13"/>
      <c r="J1113" s="13"/>
      <c r="K1113" s="13"/>
      <c r="L1113" s="14"/>
      <c r="M1113" s="4"/>
      <c r="N1113" s="2"/>
      <c r="O1113" s="4"/>
      <c r="P1113" s="2"/>
      <c r="Q1113" s="2"/>
      <c r="R1113" s="4"/>
      <c r="S1113" s="2"/>
      <c r="T1113" s="2"/>
      <c r="U1113" s="1"/>
      <c r="V1113" s="2"/>
      <c r="W1113" s="2"/>
      <c r="X1113" s="2"/>
      <c r="Y1113" s="2"/>
      <c r="Z1113" s="2"/>
    </row>
    <row r="1114" spans="1:26" ht="15.75" customHeight="1" x14ac:dyDescent="0.2">
      <c r="A1114" s="12"/>
      <c r="B1114" s="10"/>
      <c r="C1114" s="11"/>
      <c r="D1114" s="13"/>
      <c r="E1114" s="13"/>
      <c r="F1114" s="13"/>
      <c r="G1114" s="2"/>
      <c r="H1114" s="2"/>
      <c r="I1114" s="13"/>
      <c r="J1114" s="13"/>
      <c r="K1114" s="13"/>
      <c r="L1114" s="14"/>
      <c r="M1114" s="4"/>
      <c r="N1114" s="2"/>
      <c r="O1114" s="4"/>
      <c r="P1114" s="2"/>
      <c r="Q1114" s="2"/>
      <c r="R1114" s="4"/>
      <c r="S1114" s="2"/>
      <c r="T1114" s="2"/>
      <c r="U1114" s="1"/>
      <c r="V1114" s="2"/>
      <c r="W1114" s="2"/>
      <c r="X1114" s="2"/>
      <c r="Y1114" s="2"/>
      <c r="Z1114" s="2"/>
    </row>
    <row r="1115" spans="1:26" ht="15.75" customHeight="1" x14ac:dyDescent="0.2">
      <c r="A1115" s="12"/>
      <c r="B1115" s="10"/>
      <c r="C1115" s="11"/>
      <c r="D1115" s="13"/>
      <c r="E1115" s="13"/>
      <c r="F1115" s="13"/>
      <c r="G1115" s="2"/>
      <c r="H1115" s="2"/>
      <c r="I1115" s="13"/>
      <c r="J1115" s="13"/>
      <c r="K1115" s="13"/>
      <c r="L1115" s="14"/>
      <c r="M1115" s="4"/>
      <c r="N1115" s="2"/>
      <c r="O1115" s="4"/>
      <c r="P1115" s="2"/>
      <c r="Q1115" s="2"/>
      <c r="R1115" s="4"/>
      <c r="S1115" s="2"/>
      <c r="T1115" s="2"/>
      <c r="U1115" s="1"/>
      <c r="V1115" s="2"/>
      <c r="W1115" s="2"/>
      <c r="X1115" s="2"/>
      <c r="Y1115" s="2"/>
      <c r="Z1115" s="2"/>
    </row>
    <row r="1116" spans="1:26" ht="15.75" customHeight="1" x14ac:dyDescent="0.2">
      <c r="A1116" s="12"/>
      <c r="B1116" s="10"/>
      <c r="C1116" s="11"/>
      <c r="D1116" s="13"/>
      <c r="E1116" s="13"/>
      <c r="F1116" s="13"/>
      <c r="G1116" s="2"/>
      <c r="H1116" s="2"/>
      <c r="I1116" s="13"/>
      <c r="J1116" s="13"/>
      <c r="K1116" s="13"/>
      <c r="L1116" s="14"/>
      <c r="M1116" s="4"/>
      <c r="N1116" s="2"/>
      <c r="O1116" s="4"/>
      <c r="P1116" s="2"/>
      <c r="Q1116" s="2"/>
      <c r="R1116" s="4"/>
      <c r="S1116" s="2"/>
      <c r="T1116" s="2"/>
      <c r="U1116" s="1"/>
      <c r="V1116" s="2"/>
      <c r="W1116" s="2"/>
      <c r="X1116" s="2"/>
      <c r="Y1116" s="2"/>
      <c r="Z1116" s="2"/>
    </row>
    <row r="1117" spans="1:26" ht="15.75" customHeight="1" x14ac:dyDescent="0.2">
      <c r="A1117" s="12"/>
      <c r="B1117" s="10"/>
      <c r="C1117" s="11"/>
      <c r="D1117" s="13"/>
      <c r="E1117" s="13"/>
      <c r="F1117" s="13"/>
      <c r="G1117" s="2"/>
      <c r="H1117" s="2"/>
      <c r="I1117" s="13"/>
      <c r="J1117" s="13"/>
      <c r="K1117" s="13"/>
      <c r="L1117" s="14"/>
      <c r="M1117" s="4"/>
      <c r="N1117" s="2"/>
      <c r="O1117" s="4"/>
      <c r="P1117" s="2"/>
      <c r="Q1117" s="2"/>
      <c r="R1117" s="4"/>
      <c r="S1117" s="2"/>
      <c r="T1117" s="2"/>
      <c r="U1117" s="1"/>
      <c r="V1117" s="2"/>
      <c r="W1117" s="2"/>
      <c r="X1117" s="2"/>
      <c r="Y1117" s="2"/>
      <c r="Z1117" s="2"/>
    </row>
    <row r="1118" spans="1:26" ht="15.75" customHeight="1" x14ac:dyDescent="0.2">
      <c r="A1118" s="12"/>
      <c r="B1118" s="10"/>
      <c r="C1118" s="11"/>
      <c r="D1118" s="13"/>
      <c r="E1118" s="13"/>
      <c r="F1118" s="13"/>
      <c r="G1118" s="2"/>
      <c r="H1118" s="2"/>
      <c r="I1118" s="13"/>
      <c r="J1118" s="13"/>
      <c r="K1118" s="13"/>
      <c r="L1118" s="14"/>
      <c r="M1118" s="4"/>
      <c r="N1118" s="2"/>
      <c r="O1118" s="4"/>
      <c r="P1118" s="2"/>
      <c r="Q1118" s="2"/>
      <c r="R1118" s="4"/>
      <c r="S1118" s="2"/>
      <c r="T1118" s="2"/>
      <c r="U1118" s="1"/>
      <c r="V1118" s="2"/>
      <c r="W1118" s="2"/>
      <c r="X1118" s="2"/>
      <c r="Y1118" s="2"/>
      <c r="Z1118" s="2"/>
    </row>
    <row r="1119" spans="1:26" ht="15.75" customHeight="1" x14ac:dyDescent="0.2">
      <c r="A1119" s="12"/>
      <c r="B1119" s="10"/>
      <c r="C1119" s="11"/>
      <c r="D1119" s="13"/>
      <c r="E1119" s="13"/>
      <c r="F1119" s="13"/>
      <c r="G1119" s="2"/>
      <c r="H1119" s="2"/>
      <c r="I1119" s="13"/>
      <c r="J1119" s="13"/>
      <c r="K1119" s="13"/>
      <c r="L1119" s="14"/>
      <c r="M1119" s="4"/>
      <c r="N1119" s="2"/>
      <c r="O1119" s="4"/>
      <c r="P1119" s="2"/>
      <c r="Q1119" s="2"/>
      <c r="R1119" s="4"/>
      <c r="S1119" s="2"/>
      <c r="T1119" s="2"/>
      <c r="U1119" s="1"/>
      <c r="V1119" s="2"/>
      <c r="W1119" s="2"/>
      <c r="X1119" s="2"/>
      <c r="Y1119" s="2"/>
      <c r="Z1119" s="2"/>
    </row>
    <row r="1120" spans="1:26" ht="15.75" customHeight="1" x14ac:dyDescent="0.2">
      <c r="A1120" s="12"/>
      <c r="B1120" s="10"/>
      <c r="C1120" s="11"/>
      <c r="D1120" s="13"/>
      <c r="E1120" s="13"/>
      <c r="F1120" s="13"/>
      <c r="G1120" s="2"/>
      <c r="H1120" s="2"/>
      <c r="I1120" s="13"/>
      <c r="J1120" s="13"/>
      <c r="K1120" s="13"/>
      <c r="L1120" s="14"/>
      <c r="M1120" s="4"/>
      <c r="N1120" s="2"/>
      <c r="O1120" s="4"/>
      <c r="P1120" s="2"/>
      <c r="Q1120" s="2"/>
      <c r="R1120" s="4"/>
      <c r="S1120" s="2"/>
      <c r="T1120" s="2"/>
      <c r="U1120" s="1"/>
      <c r="V1120" s="2"/>
      <c r="W1120" s="2"/>
      <c r="X1120" s="2"/>
      <c r="Y1120" s="2"/>
      <c r="Z1120" s="2"/>
    </row>
    <row r="1121" spans="1:26" ht="15.75" customHeight="1" x14ac:dyDescent="0.2">
      <c r="A1121" s="12"/>
      <c r="B1121" s="10"/>
      <c r="C1121" s="11"/>
      <c r="D1121" s="13"/>
      <c r="E1121" s="13"/>
      <c r="F1121" s="13"/>
      <c r="G1121" s="2"/>
      <c r="H1121" s="2"/>
      <c r="I1121" s="13"/>
      <c r="J1121" s="13"/>
      <c r="K1121" s="13"/>
      <c r="L1121" s="14"/>
      <c r="M1121" s="4"/>
      <c r="N1121" s="2"/>
      <c r="O1121" s="4"/>
      <c r="P1121" s="2"/>
      <c r="Q1121" s="2"/>
      <c r="R1121" s="4"/>
      <c r="S1121" s="2"/>
      <c r="T1121" s="2"/>
      <c r="U1121" s="1"/>
      <c r="V1121" s="2"/>
      <c r="W1121" s="2"/>
      <c r="X1121" s="2"/>
      <c r="Y1121" s="2"/>
      <c r="Z1121" s="2"/>
    </row>
    <row r="1122" spans="1:26" ht="15.75" customHeight="1" x14ac:dyDescent="0.2">
      <c r="A1122" s="12"/>
      <c r="B1122" s="10"/>
      <c r="C1122" s="11"/>
      <c r="D1122" s="13"/>
      <c r="E1122" s="13"/>
      <c r="F1122" s="13"/>
      <c r="G1122" s="2"/>
      <c r="H1122" s="2"/>
      <c r="I1122" s="13"/>
      <c r="J1122" s="13"/>
      <c r="K1122" s="13"/>
      <c r="L1122" s="14"/>
      <c r="M1122" s="4"/>
      <c r="N1122" s="2"/>
      <c r="O1122" s="4"/>
      <c r="P1122" s="2"/>
      <c r="Q1122" s="2"/>
      <c r="R1122" s="4"/>
      <c r="S1122" s="2"/>
      <c r="T1122" s="2"/>
      <c r="U1122" s="1"/>
      <c r="V1122" s="2"/>
      <c r="W1122" s="2"/>
      <c r="X1122" s="2"/>
      <c r="Y1122" s="2"/>
      <c r="Z1122" s="2"/>
    </row>
    <row r="1123" spans="1:26" ht="15.75" customHeight="1" x14ac:dyDescent="0.2">
      <c r="A1123" s="12"/>
      <c r="B1123" s="10"/>
      <c r="C1123" s="11"/>
      <c r="D1123" s="13"/>
      <c r="E1123" s="13"/>
      <c r="F1123" s="13"/>
      <c r="G1123" s="2"/>
      <c r="H1123" s="2"/>
      <c r="I1123" s="13"/>
      <c r="J1123" s="13"/>
      <c r="K1123" s="13"/>
      <c r="L1123" s="14"/>
      <c r="M1123" s="4"/>
      <c r="N1123" s="2"/>
      <c r="O1123" s="4"/>
      <c r="P1123" s="2"/>
      <c r="Q1123" s="2"/>
      <c r="R1123" s="4"/>
      <c r="S1123" s="2"/>
      <c r="T1123" s="2"/>
      <c r="U1123" s="1"/>
      <c r="V1123" s="2"/>
      <c r="W1123" s="2"/>
      <c r="X1123" s="2"/>
      <c r="Y1123" s="2"/>
      <c r="Z1123" s="2"/>
    </row>
    <row r="1124" spans="1:26" ht="15.75" customHeight="1" x14ac:dyDescent="0.2">
      <c r="A1124" s="12"/>
      <c r="B1124" s="10"/>
      <c r="C1124" s="11"/>
      <c r="D1124" s="13"/>
      <c r="E1124" s="13"/>
      <c r="F1124" s="13"/>
      <c r="G1124" s="2"/>
      <c r="H1124" s="2"/>
      <c r="I1124" s="13"/>
      <c r="J1124" s="13"/>
      <c r="K1124" s="13"/>
      <c r="L1124" s="14"/>
      <c r="M1124" s="4"/>
      <c r="N1124" s="2"/>
      <c r="O1124" s="4"/>
      <c r="P1124" s="2"/>
      <c r="Q1124" s="2"/>
      <c r="R1124" s="4"/>
      <c r="S1124" s="2"/>
      <c r="T1124" s="2"/>
      <c r="U1124" s="1"/>
      <c r="V1124" s="2"/>
      <c r="W1124" s="2"/>
      <c r="X1124" s="2"/>
      <c r="Y1124" s="2"/>
      <c r="Z1124" s="2"/>
    </row>
    <row r="1125" spans="1:26" ht="15.75" customHeight="1" x14ac:dyDescent="0.2">
      <c r="A1125" s="12"/>
      <c r="B1125" s="10"/>
      <c r="C1125" s="11"/>
      <c r="D1125" s="13"/>
      <c r="E1125" s="13"/>
      <c r="F1125" s="13"/>
      <c r="G1125" s="2"/>
      <c r="H1125" s="2"/>
      <c r="I1125" s="13"/>
      <c r="J1125" s="13"/>
      <c r="K1125" s="13"/>
      <c r="L1125" s="14"/>
      <c r="M1125" s="4"/>
      <c r="N1125" s="2"/>
      <c r="O1125" s="4"/>
      <c r="P1125" s="2"/>
      <c r="Q1125" s="2"/>
      <c r="R1125" s="4"/>
      <c r="S1125" s="2"/>
      <c r="T1125" s="2"/>
      <c r="U1125" s="1"/>
      <c r="V1125" s="2"/>
      <c r="W1125" s="2"/>
      <c r="X1125" s="2"/>
      <c r="Y1125" s="2"/>
      <c r="Z1125" s="2"/>
    </row>
    <row r="1126" spans="1:26" ht="15.75" customHeight="1" x14ac:dyDescent="0.2">
      <c r="A1126" s="12"/>
      <c r="B1126" s="10"/>
      <c r="C1126" s="11"/>
      <c r="D1126" s="13"/>
      <c r="E1126" s="13"/>
      <c r="F1126" s="13"/>
      <c r="G1126" s="2"/>
      <c r="H1126" s="2"/>
      <c r="I1126" s="13"/>
      <c r="J1126" s="13"/>
      <c r="K1126" s="13"/>
      <c r="L1126" s="14"/>
      <c r="M1126" s="4"/>
      <c r="N1126" s="2"/>
      <c r="O1126" s="4"/>
      <c r="P1126" s="2"/>
      <c r="Q1126" s="2"/>
      <c r="R1126" s="4"/>
      <c r="S1126" s="2"/>
      <c r="T1126" s="2"/>
      <c r="U1126" s="1"/>
      <c r="V1126" s="2"/>
      <c r="W1126" s="2"/>
      <c r="X1126" s="2"/>
      <c r="Y1126" s="2"/>
      <c r="Z1126" s="2"/>
    </row>
    <row r="1127" spans="1:26" ht="15.75" customHeight="1" x14ac:dyDescent="0.2">
      <c r="A1127" s="12"/>
      <c r="B1127" s="10"/>
      <c r="C1127" s="11"/>
      <c r="D1127" s="13"/>
      <c r="E1127" s="13"/>
      <c r="F1127" s="13"/>
      <c r="G1127" s="2"/>
      <c r="H1127" s="2"/>
      <c r="I1127" s="13"/>
      <c r="J1127" s="13"/>
      <c r="K1127" s="13"/>
      <c r="L1127" s="14"/>
      <c r="M1127" s="4"/>
      <c r="N1127" s="2"/>
      <c r="O1127" s="4"/>
      <c r="P1127" s="2"/>
      <c r="Q1127" s="2"/>
      <c r="R1127" s="4"/>
      <c r="S1127" s="2"/>
      <c r="T1127" s="2"/>
      <c r="U1127" s="1"/>
      <c r="V1127" s="2"/>
      <c r="W1127" s="2"/>
      <c r="X1127" s="2"/>
      <c r="Y1127" s="2"/>
      <c r="Z1127" s="2"/>
    </row>
    <row r="1128" spans="1:26" ht="15.75" customHeight="1" x14ac:dyDescent="0.2">
      <c r="A1128" s="12"/>
      <c r="B1128" s="10"/>
      <c r="C1128" s="11"/>
      <c r="D1128" s="13"/>
      <c r="E1128" s="13"/>
      <c r="F1128" s="13"/>
      <c r="G1128" s="2"/>
      <c r="H1128" s="2"/>
      <c r="I1128" s="13"/>
      <c r="J1128" s="13"/>
      <c r="K1128" s="13"/>
      <c r="L1128" s="14"/>
      <c r="M1128" s="4"/>
      <c r="N1128" s="2"/>
      <c r="O1128" s="4"/>
      <c r="P1128" s="2"/>
      <c r="Q1128" s="2"/>
      <c r="R1128" s="4"/>
      <c r="S1128" s="2"/>
      <c r="T1128" s="2"/>
      <c r="U1128" s="1"/>
      <c r="V1128" s="2"/>
      <c r="W1128" s="2"/>
      <c r="X1128" s="2"/>
      <c r="Y1128" s="2"/>
      <c r="Z1128" s="2"/>
    </row>
    <row r="1129" spans="1:26" ht="15.75" customHeight="1" x14ac:dyDescent="0.2">
      <c r="A1129" s="12"/>
      <c r="B1129" s="10"/>
      <c r="C1129" s="11"/>
      <c r="D1129" s="13"/>
      <c r="E1129" s="13"/>
      <c r="F1129" s="13"/>
      <c r="G1129" s="2"/>
      <c r="H1129" s="2"/>
      <c r="I1129" s="13"/>
      <c r="J1129" s="13"/>
      <c r="K1129" s="13"/>
      <c r="L1129" s="14"/>
      <c r="M1129" s="4"/>
      <c r="N1129" s="2"/>
      <c r="O1129" s="4"/>
      <c r="P1129" s="2"/>
      <c r="Q1129" s="2"/>
      <c r="R1129" s="4"/>
      <c r="S1129" s="2"/>
      <c r="T1129" s="2"/>
      <c r="U1129" s="1"/>
      <c r="V1129" s="2"/>
      <c r="W1129" s="2"/>
      <c r="X1129" s="2"/>
      <c r="Y1129" s="2"/>
      <c r="Z1129" s="2"/>
    </row>
    <row r="1130" spans="1:26" ht="15.75" customHeight="1" x14ac:dyDescent="0.2">
      <c r="A1130" s="12"/>
      <c r="B1130" s="10"/>
      <c r="C1130" s="11"/>
      <c r="D1130" s="13"/>
      <c r="E1130" s="13"/>
      <c r="F1130" s="13"/>
      <c r="G1130" s="2"/>
      <c r="H1130" s="2"/>
      <c r="I1130" s="13"/>
      <c r="J1130" s="13"/>
      <c r="K1130" s="13"/>
      <c r="L1130" s="14"/>
      <c r="M1130" s="4"/>
      <c r="N1130" s="2"/>
      <c r="O1130" s="4"/>
      <c r="P1130" s="2"/>
      <c r="Q1130" s="2"/>
      <c r="R1130" s="4"/>
      <c r="S1130" s="2"/>
      <c r="T1130" s="2"/>
      <c r="U1130" s="1"/>
      <c r="V1130" s="2"/>
      <c r="W1130" s="2"/>
      <c r="X1130" s="2"/>
      <c r="Y1130" s="2"/>
      <c r="Z1130" s="2"/>
    </row>
    <row r="1131" spans="1:26" ht="15.75" customHeight="1" x14ac:dyDescent="0.2">
      <c r="A1131" s="12"/>
      <c r="B1131" s="10"/>
      <c r="C1131" s="11"/>
      <c r="D1131" s="13"/>
      <c r="E1131" s="13"/>
      <c r="F1131" s="13"/>
      <c r="G1131" s="2"/>
      <c r="H1131" s="2"/>
      <c r="I1131" s="13"/>
      <c r="J1131" s="13"/>
      <c r="K1131" s="13"/>
      <c r="L1131" s="14"/>
      <c r="M1131" s="4"/>
      <c r="N1131" s="2"/>
      <c r="O1131" s="4"/>
      <c r="P1131" s="2"/>
      <c r="Q1131" s="2"/>
      <c r="R1131" s="4"/>
      <c r="S1131" s="2"/>
      <c r="T1131" s="2"/>
      <c r="U1131" s="1"/>
      <c r="V1131" s="2"/>
      <c r="W1131" s="2"/>
      <c r="X1131" s="2"/>
      <c r="Y1131" s="2"/>
      <c r="Z1131" s="2"/>
    </row>
    <row r="1132" spans="1:26" ht="15.75" customHeight="1" x14ac:dyDescent="0.2">
      <c r="A1132" s="12"/>
      <c r="B1132" s="10"/>
      <c r="C1132" s="11"/>
      <c r="D1132" s="13"/>
      <c r="E1132" s="13"/>
      <c r="F1132" s="13"/>
      <c r="G1132" s="2"/>
      <c r="H1132" s="2"/>
      <c r="I1132" s="13"/>
      <c r="J1132" s="13"/>
      <c r="K1132" s="13"/>
      <c r="L1132" s="14"/>
      <c r="M1132" s="4"/>
      <c r="N1132" s="2"/>
      <c r="O1132" s="4"/>
      <c r="P1132" s="2"/>
      <c r="Q1132" s="2"/>
      <c r="R1132" s="4"/>
      <c r="S1132" s="2"/>
      <c r="T1132" s="2"/>
      <c r="U1132" s="1"/>
      <c r="V1132" s="2"/>
      <c r="W1132" s="2"/>
      <c r="X1132" s="2"/>
      <c r="Y1132" s="2"/>
      <c r="Z1132" s="2"/>
    </row>
    <row r="1133" spans="1:26" ht="15.75" customHeight="1" x14ac:dyDescent="0.2">
      <c r="A1133" s="12"/>
      <c r="B1133" s="10"/>
      <c r="C1133" s="11"/>
      <c r="D1133" s="13"/>
      <c r="E1133" s="13"/>
      <c r="F1133" s="13"/>
      <c r="G1133" s="2"/>
      <c r="H1133" s="2"/>
      <c r="I1133" s="13"/>
      <c r="J1133" s="13"/>
      <c r="K1133" s="13"/>
      <c r="L1133" s="14"/>
      <c r="M1133" s="4"/>
      <c r="N1133" s="2"/>
      <c r="O1133" s="4"/>
      <c r="P1133" s="2"/>
      <c r="Q1133" s="2"/>
      <c r="R1133" s="4"/>
      <c r="S1133" s="2"/>
      <c r="T1133" s="2"/>
      <c r="U1133" s="1"/>
      <c r="V1133" s="2"/>
      <c r="W1133" s="2"/>
      <c r="X1133" s="2"/>
      <c r="Y1133" s="2"/>
      <c r="Z1133" s="2"/>
    </row>
    <row r="1134" spans="1:26" ht="15.75" customHeight="1" x14ac:dyDescent="0.2">
      <c r="A1134" s="12"/>
      <c r="B1134" s="10"/>
      <c r="C1134" s="11"/>
      <c r="D1134" s="13"/>
      <c r="E1134" s="13"/>
      <c r="F1134" s="13"/>
      <c r="G1134" s="2"/>
      <c r="H1134" s="2"/>
      <c r="I1134" s="13"/>
      <c r="J1134" s="13"/>
      <c r="K1134" s="13"/>
      <c r="L1134" s="14"/>
      <c r="M1134" s="4"/>
      <c r="N1134" s="2"/>
      <c r="O1134" s="4"/>
      <c r="P1134" s="2"/>
      <c r="Q1134" s="2"/>
      <c r="R1134" s="4"/>
      <c r="S1134" s="2"/>
      <c r="T1134" s="2"/>
      <c r="U1134" s="1"/>
      <c r="V1134" s="2"/>
      <c r="W1134" s="2"/>
      <c r="X1134" s="2"/>
      <c r="Y1134" s="2"/>
      <c r="Z1134" s="2"/>
    </row>
    <row r="1135" spans="1:26" ht="15.75" customHeight="1" x14ac:dyDescent="0.2">
      <c r="A1135" s="12"/>
      <c r="B1135" s="10"/>
      <c r="C1135" s="11"/>
      <c r="D1135" s="13"/>
      <c r="E1135" s="13"/>
      <c r="F1135" s="13"/>
      <c r="G1135" s="2"/>
      <c r="H1135" s="2"/>
      <c r="I1135" s="13"/>
      <c r="J1135" s="13"/>
      <c r="K1135" s="13"/>
      <c r="L1135" s="14"/>
      <c r="M1135" s="4"/>
      <c r="N1135" s="2"/>
      <c r="O1135" s="4"/>
      <c r="P1135" s="2"/>
      <c r="Q1135" s="2"/>
      <c r="R1135" s="4"/>
      <c r="S1135" s="2"/>
      <c r="T1135" s="2"/>
      <c r="U1135" s="1"/>
      <c r="V1135" s="2"/>
      <c r="W1135" s="2"/>
      <c r="X1135" s="2"/>
      <c r="Y1135" s="2"/>
      <c r="Z1135" s="2"/>
    </row>
    <row r="1136" spans="1:26" ht="15.75" customHeight="1" x14ac:dyDescent="0.2">
      <c r="A1136" s="12"/>
      <c r="B1136" s="10"/>
      <c r="C1136" s="11"/>
      <c r="D1136" s="13"/>
      <c r="E1136" s="13"/>
      <c r="F1136" s="13"/>
      <c r="G1136" s="2"/>
      <c r="H1136" s="2"/>
      <c r="I1136" s="13"/>
      <c r="J1136" s="13"/>
      <c r="K1136" s="13"/>
      <c r="L1136" s="14"/>
      <c r="M1136" s="4"/>
      <c r="N1136" s="2"/>
      <c r="O1136" s="4"/>
      <c r="P1136" s="2"/>
      <c r="Q1136" s="2"/>
      <c r="R1136" s="4"/>
      <c r="S1136" s="2"/>
      <c r="T1136" s="2"/>
      <c r="U1136" s="1"/>
      <c r="V1136" s="2"/>
      <c r="W1136" s="2"/>
      <c r="X1136" s="2"/>
      <c r="Y1136" s="2"/>
      <c r="Z1136" s="2"/>
    </row>
    <row r="1137" spans="1:26" ht="15.75" customHeight="1" x14ac:dyDescent="0.2">
      <c r="A1137" s="12"/>
      <c r="B1137" s="10"/>
      <c r="C1137" s="11"/>
      <c r="D1137" s="13"/>
      <c r="E1137" s="13"/>
      <c r="F1137" s="13"/>
      <c r="G1137" s="2"/>
      <c r="H1137" s="2"/>
      <c r="I1137" s="13"/>
      <c r="J1137" s="13"/>
      <c r="K1137" s="13"/>
      <c r="L1137" s="14"/>
      <c r="M1137" s="4"/>
      <c r="N1137" s="2"/>
      <c r="O1137" s="4"/>
      <c r="P1137" s="2"/>
      <c r="Q1137" s="2"/>
      <c r="R1137" s="4"/>
      <c r="S1137" s="2"/>
      <c r="T1137" s="2"/>
      <c r="U1137" s="1"/>
      <c r="V1137" s="2"/>
      <c r="W1137" s="2"/>
      <c r="X1137" s="2"/>
      <c r="Y1137" s="2"/>
      <c r="Z1137" s="2"/>
    </row>
    <row r="1138" spans="1:26" ht="15.75" customHeight="1" x14ac:dyDescent="0.2">
      <c r="A1138" s="12"/>
      <c r="B1138" s="10"/>
      <c r="C1138" s="11"/>
      <c r="D1138" s="13"/>
      <c r="E1138" s="13"/>
      <c r="F1138" s="13"/>
      <c r="G1138" s="2"/>
      <c r="H1138" s="2"/>
      <c r="I1138" s="13"/>
      <c r="J1138" s="13"/>
      <c r="K1138" s="13"/>
      <c r="L1138" s="14"/>
      <c r="M1138" s="4"/>
      <c r="N1138" s="2"/>
      <c r="O1138" s="4"/>
      <c r="P1138" s="2"/>
      <c r="Q1138" s="2"/>
      <c r="R1138" s="4"/>
      <c r="S1138" s="2"/>
      <c r="T1138" s="2"/>
      <c r="U1138" s="1"/>
      <c r="V1138" s="2"/>
      <c r="W1138" s="2"/>
      <c r="X1138" s="2"/>
      <c r="Y1138" s="2"/>
      <c r="Z1138" s="2"/>
    </row>
    <row r="1139" spans="1:26" ht="15.75" customHeight="1" x14ac:dyDescent="0.2">
      <c r="A1139" s="12"/>
      <c r="B1139" s="10"/>
      <c r="C1139" s="11"/>
      <c r="D1139" s="13"/>
      <c r="E1139" s="13"/>
      <c r="F1139" s="13"/>
      <c r="G1139" s="2"/>
      <c r="H1139" s="2"/>
      <c r="I1139" s="13"/>
      <c r="J1139" s="13"/>
      <c r="K1139" s="13"/>
      <c r="L1139" s="14"/>
      <c r="M1139" s="4"/>
      <c r="N1139" s="2"/>
      <c r="O1139" s="4"/>
      <c r="P1139" s="2"/>
      <c r="Q1139" s="2"/>
      <c r="R1139" s="4"/>
      <c r="S1139" s="2"/>
      <c r="T1139" s="2"/>
      <c r="U1139" s="1"/>
      <c r="V1139" s="2"/>
      <c r="W1139" s="2"/>
      <c r="X1139" s="2"/>
      <c r="Y1139" s="2"/>
      <c r="Z1139" s="2"/>
    </row>
    <row r="1140" spans="1:26" ht="15.75" customHeight="1" x14ac:dyDescent="0.2">
      <c r="A1140" s="12"/>
      <c r="B1140" s="10"/>
      <c r="C1140" s="11"/>
      <c r="D1140" s="13"/>
      <c r="E1140" s="13"/>
      <c r="F1140" s="13"/>
      <c r="G1140" s="2"/>
      <c r="H1140" s="2"/>
      <c r="I1140" s="13"/>
      <c r="J1140" s="13"/>
      <c r="K1140" s="13"/>
      <c r="L1140" s="14"/>
      <c r="M1140" s="4"/>
      <c r="N1140" s="2"/>
      <c r="O1140" s="4"/>
      <c r="P1140" s="2"/>
      <c r="Q1140" s="2"/>
      <c r="R1140" s="4"/>
      <c r="S1140" s="2"/>
      <c r="T1140" s="2"/>
      <c r="U1140" s="1"/>
      <c r="V1140" s="2"/>
      <c r="W1140" s="2"/>
      <c r="X1140" s="2"/>
      <c r="Y1140" s="2"/>
      <c r="Z1140" s="2"/>
    </row>
    <row r="1141" spans="1:26" ht="15.75" customHeight="1" x14ac:dyDescent="0.2">
      <c r="A1141" s="12"/>
      <c r="B1141" s="10"/>
      <c r="C1141" s="11"/>
      <c r="D1141" s="13"/>
      <c r="E1141" s="13"/>
      <c r="F1141" s="13"/>
      <c r="G1141" s="2"/>
      <c r="H1141" s="2"/>
      <c r="I1141" s="13"/>
      <c r="J1141" s="13"/>
      <c r="K1141" s="13"/>
      <c r="L1141" s="14"/>
      <c r="M1141" s="4"/>
      <c r="N1141" s="2"/>
      <c r="O1141" s="4"/>
      <c r="P1141" s="2"/>
      <c r="Q1141" s="2"/>
      <c r="R1141" s="4"/>
      <c r="S1141" s="2"/>
      <c r="T1141" s="2"/>
      <c r="U1141" s="1"/>
      <c r="V1141" s="2"/>
      <c r="W1141" s="2"/>
      <c r="X1141" s="2"/>
      <c r="Y1141" s="2"/>
      <c r="Z1141" s="2"/>
    </row>
    <row r="1142" spans="1:26" ht="15.75" customHeight="1" x14ac:dyDescent="0.2">
      <c r="A1142" s="12"/>
      <c r="B1142" s="10"/>
      <c r="C1142" s="11"/>
      <c r="D1142" s="13"/>
      <c r="E1142" s="13"/>
      <c r="F1142" s="13"/>
      <c r="G1142" s="2"/>
      <c r="H1142" s="2"/>
      <c r="I1142" s="13"/>
      <c r="J1142" s="13"/>
      <c r="K1142" s="13"/>
      <c r="L1142" s="14"/>
      <c r="M1142" s="4"/>
      <c r="N1142" s="2"/>
      <c r="O1142" s="4"/>
      <c r="P1142" s="2"/>
      <c r="Q1142" s="2"/>
      <c r="R1142" s="4"/>
      <c r="S1142" s="2"/>
      <c r="T1142" s="2"/>
      <c r="U1142" s="1"/>
      <c r="V1142" s="2"/>
      <c r="W1142" s="2"/>
      <c r="X1142" s="2"/>
      <c r="Y1142" s="2"/>
      <c r="Z1142" s="2"/>
    </row>
    <row r="1143" spans="1:26" ht="15.75" customHeight="1" x14ac:dyDescent="0.2">
      <c r="A1143" s="12"/>
      <c r="B1143" s="10"/>
      <c r="C1143" s="11"/>
      <c r="D1143" s="13"/>
      <c r="E1143" s="13"/>
      <c r="F1143" s="13"/>
      <c r="G1143" s="2"/>
      <c r="H1143" s="2"/>
      <c r="I1143" s="13"/>
      <c r="J1143" s="13"/>
      <c r="K1143" s="13"/>
      <c r="L1143" s="14"/>
      <c r="M1143" s="4"/>
      <c r="N1143" s="2"/>
      <c r="O1143" s="4"/>
      <c r="P1143" s="2"/>
      <c r="Q1143" s="2"/>
      <c r="R1143" s="4"/>
      <c r="S1143" s="2"/>
      <c r="T1143" s="2"/>
      <c r="U1143" s="1"/>
      <c r="V1143" s="2"/>
      <c r="W1143" s="2"/>
      <c r="X1143" s="2"/>
      <c r="Y1143" s="2"/>
      <c r="Z1143" s="2"/>
    </row>
    <row r="1144" spans="1:26" ht="15.75" customHeight="1" x14ac:dyDescent="0.2">
      <c r="A1144" s="12"/>
      <c r="B1144" s="10"/>
      <c r="C1144" s="11"/>
      <c r="D1144" s="13"/>
      <c r="E1144" s="13"/>
      <c r="F1144" s="13"/>
      <c r="G1144" s="2"/>
      <c r="H1144" s="2"/>
      <c r="I1144" s="13"/>
      <c r="J1144" s="13"/>
      <c r="K1144" s="13"/>
      <c r="L1144" s="14"/>
      <c r="M1144" s="4"/>
      <c r="N1144" s="2"/>
      <c r="O1144" s="4"/>
      <c r="P1144" s="2"/>
      <c r="Q1144" s="2"/>
      <c r="R1144" s="4"/>
      <c r="S1144" s="2"/>
      <c r="T1144" s="2"/>
      <c r="U1144" s="1"/>
      <c r="V1144" s="2"/>
      <c r="W1144" s="2"/>
      <c r="X1144" s="2"/>
      <c r="Y1144" s="2"/>
      <c r="Z1144" s="2"/>
    </row>
    <row r="1145" spans="1:26" ht="15.75" customHeight="1" x14ac:dyDescent="0.2">
      <c r="A1145" s="12"/>
      <c r="B1145" s="10"/>
      <c r="C1145" s="11"/>
      <c r="D1145" s="13"/>
      <c r="E1145" s="13"/>
      <c r="F1145" s="13"/>
      <c r="G1145" s="2"/>
      <c r="H1145" s="2"/>
      <c r="I1145" s="13"/>
      <c r="J1145" s="13"/>
      <c r="K1145" s="13"/>
      <c r="L1145" s="14"/>
      <c r="M1145" s="4"/>
      <c r="N1145" s="2"/>
      <c r="O1145" s="4"/>
      <c r="P1145" s="2"/>
      <c r="Q1145" s="2"/>
      <c r="R1145" s="4"/>
      <c r="S1145" s="2"/>
      <c r="T1145" s="2"/>
      <c r="U1145" s="1"/>
      <c r="V1145" s="2"/>
      <c r="W1145" s="2"/>
      <c r="X1145" s="2"/>
      <c r="Y1145" s="2"/>
      <c r="Z1145" s="2"/>
    </row>
    <row r="1146" spans="1:26" ht="15.75" customHeight="1" x14ac:dyDescent="0.2">
      <c r="A1146" s="12"/>
      <c r="B1146" s="10"/>
      <c r="C1146" s="11"/>
      <c r="D1146" s="13"/>
      <c r="E1146" s="13"/>
      <c r="F1146" s="13"/>
      <c r="G1146" s="2"/>
      <c r="H1146" s="2"/>
      <c r="I1146" s="13"/>
      <c r="J1146" s="13"/>
      <c r="K1146" s="13"/>
      <c r="L1146" s="14"/>
      <c r="M1146" s="4"/>
      <c r="N1146" s="2"/>
      <c r="O1146" s="4"/>
      <c r="P1146" s="2"/>
      <c r="Q1146" s="2"/>
      <c r="R1146" s="4"/>
      <c r="S1146" s="2"/>
      <c r="T1146" s="2"/>
      <c r="U1146" s="1"/>
      <c r="V1146" s="2"/>
      <c r="W1146" s="2"/>
      <c r="X1146" s="2"/>
      <c r="Y1146" s="2"/>
      <c r="Z1146" s="2"/>
    </row>
    <row r="1147" spans="1:26" ht="15.75" customHeight="1" x14ac:dyDescent="0.2">
      <c r="A1147" s="12"/>
      <c r="B1147" s="10"/>
      <c r="C1147" s="11"/>
      <c r="D1147" s="13"/>
      <c r="E1147" s="13"/>
      <c r="F1147" s="13"/>
      <c r="G1147" s="2"/>
      <c r="H1147" s="2"/>
      <c r="I1147" s="13"/>
      <c r="J1147" s="13"/>
      <c r="K1147" s="13"/>
      <c r="L1147" s="14"/>
      <c r="M1147" s="4"/>
      <c r="N1147" s="2"/>
      <c r="O1147" s="4"/>
      <c r="P1147" s="2"/>
      <c r="Q1147" s="2"/>
      <c r="R1147" s="4"/>
      <c r="S1147" s="2"/>
      <c r="T1147" s="2"/>
      <c r="U1147" s="1"/>
      <c r="V1147" s="2"/>
      <c r="W1147" s="2"/>
      <c r="X1147" s="2"/>
      <c r="Y1147" s="2"/>
      <c r="Z1147" s="2"/>
    </row>
    <row r="1148" spans="1:26" ht="15.75" customHeight="1" x14ac:dyDescent="0.2">
      <c r="A1148" s="12"/>
      <c r="B1148" s="10"/>
      <c r="C1148" s="11"/>
      <c r="D1148" s="13"/>
      <c r="E1148" s="13"/>
      <c r="F1148" s="13"/>
      <c r="G1148" s="2"/>
      <c r="H1148" s="2"/>
      <c r="I1148" s="13"/>
      <c r="J1148" s="13"/>
      <c r="K1148" s="13"/>
      <c r="L1148" s="14"/>
      <c r="M1148" s="4"/>
      <c r="N1148" s="2"/>
      <c r="O1148" s="4"/>
      <c r="P1148" s="2"/>
      <c r="Q1148" s="2"/>
      <c r="R1148" s="4"/>
      <c r="S1148" s="2"/>
      <c r="T1148" s="2"/>
      <c r="U1148" s="1"/>
      <c r="V1148" s="2"/>
      <c r="W1148" s="2"/>
      <c r="X1148" s="2"/>
      <c r="Y1148" s="2"/>
      <c r="Z1148" s="2"/>
    </row>
    <row r="1149" spans="1:26" ht="15.75" customHeight="1" x14ac:dyDescent="0.2">
      <c r="A1149" s="12"/>
      <c r="B1149" s="10"/>
      <c r="C1149" s="11"/>
      <c r="D1149" s="13"/>
      <c r="E1149" s="13"/>
      <c r="F1149" s="13"/>
      <c r="G1149" s="2"/>
      <c r="H1149" s="2"/>
      <c r="I1149" s="13"/>
      <c r="J1149" s="13"/>
      <c r="K1149" s="13"/>
      <c r="L1149" s="14"/>
      <c r="M1149" s="4"/>
      <c r="N1149" s="2"/>
      <c r="O1149" s="4"/>
      <c r="P1149" s="2"/>
      <c r="Q1149" s="2"/>
      <c r="R1149" s="4"/>
      <c r="S1149" s="2"/>
      <c r="T1149" s="2"/>
      <c r="U1149" s="1"/>
      <c r="V1149" s="2"/>
      <c r="W1149" s="2"/>
      <c r="X1149" s="2"/>
      <c r="Y1149" s="2"/>
      <c r="Z1149" s="2"/>
    </row>
    <row r="1150" spans="1:26" ht="15.75" customHeight="1" x14ac:dyDescent="0.2">
      <c r="A1150" s="12"/>
      <c r="B1150" s="10"/>
      <c r="C1150" s="11"/>
      <c r="D1150" s="13"/>
      <c r="E1150" s="13"/>
      <c r="F1150" s="13"/>
      <c r="G1150" s="2"/>
      <c r="H1150" s="2"/>
      <c r="I1150" s="13"/>
      <c r="J1150" s="13"/>
      <c r="K1150" s="13"/>
      <c r="L1150" s="14"/>
      <c r="M1150" s="4"/>
      <c r="N1150" s="2"/>
      <c r="O1150" s="4"/>
      <c r="P1150" s="2"/>
      <c r="Q1150" s="2"/>
      <c r="R1150" s="4"/>
      <c r="S1150" s="2"/>
      <c r="T1150" s="2"/>
      <c r="U1150" s="1"/>
      <c r="V1150" s="2"/>
      <c r="W1150" s="2"/>
      <c r="X1150" s="2"/>
      <c r="Y1150" s="2"/>
      <c r="Z1150" s="2"/>
    </row>
    <row r="1151" spans="1:26" ht="15.75" customHeight="1" x14ac:dyDescent="0.2">
      <c r="A1151" s="12"/>
      <c r="B1151" s="10"/>
      <c r="C1151" s="11"/>
      <c r="D1151" s="13"/>
      <c r="E1151" s="13"/>
      <c r="F1151" s="13"/>
      <c r="G1151" s="2"/>
      <c r="H1151" s="2"/>
      <c r="I1151" s="13"/>
      <c r="J1151" s="13"/>
      <c r="K1151" s="13"/>
      <c r="L1151" s="14"/>
      <c r="M1151" s="4"/>
      <c r="N1151" s="2"/>
      <c r="O1151" s="4"/>
      <c r="P1151" s="2"/>
      <c r="Q1151" s="2"/>
      <c r="R1151" s="4"/>
      <c r="S1151" s="2"/>
      <c r="T1151" s="2"/>
      <c r="U1151" s="1"/>
      <c r="V1151" s="2"/>
      <c r="W1151" s="2"/>
      <c r="X1151" s="2"/>
      <c r="Y1151" s="2"/>
      <c r="Z1151" s="2"/>
    </row>
    <row r="1152" spans="1:26" ht="15.75" customHeight="1" x14ac:dyDescent="0.2">
      <c r="A1152" s="12"/>
      <c r="B1152" s="10"/>
      <c r="C1152" s="11"/>
      <c r="D1152" s="13"/>
      <c r="E1152" s="13"/>
      <c r="F1152" s="13"/>
      <c r="G1152" s="2"/>
      <c r="H1152" s="2"/>
      <c r="I1152" s="13"/>
      <c r="J1152" s="13"/>
      <c r="K1152" s="13"/>
      <c r="L1152" s="14"/>
      <c r="M1152" s="4"/>
      <c r="N1152" s="2"/>
      <c r="O1152" s="4"/>
      <c r="P1152" s="2"/>
      <c r="Q1152" s="2"/>
      <c r="R1152" s="4"/>
      <c r="S1152" s="2"/>
      <c r="T1152" s="2"/>
      <c r="U1152" s="1"/>
      <c r="V1152" s="2"/>
      <c r="W1152" s="2"/>
      <c r="X1152" s="2"/>
      <c r="Y1152" s="2"/>
      <c r="Z1152" s="2"/>
    </row>
    <row r="1153" spans="1:26" ht="15.75" customHeight="1" x14ac:dyDescent="0.2">
      <c r="A1153" s="12"/>
      <c r="B1153" s="10"/>
      <c r="C1153" s="11"/>
      <c r="D1153" s="13"/>
      <c r="E1153" s="13"/>
      <c r="F1153" s="13"/>
      <c r="G1153" s="2"/>
      <c r="H1153" s="2"/>
      <c r="I1153" s="13"/>
      <c r="J1153" s="13"/>
      <c r="K1153" s="13"/>
      <c r="L1153" s="14"/>
      <c r="M1153" s="4"/>
      <c r="N1153" s="2"/>
      <c r="O1153" s="4"/>
      <c r="P1153" s="2"/>
      <c r="Q1153" s="2"/>
      <c r="R1153" s="4"/>
      <c r="S1153" s="2"/>
      <c r="T1153" s="2"/>
      <c r="U1153" s="1"/>
      <c r="V1153" s="2"/>
      <c r="W1153" s="2"/>
      <c r="X1153" s="2"/>
      <c r="Y1153" s="2"/>
      <c r="Z1153" s="2"/>
    </row>
    <row r="1154" spans="1:26" ht="15.75" customHeight="1" x14ac:dyDescent="0.2">
      <c r="A1154" s="12"/>
      <c r="B1154" s="10"/>
      <c r="C1154" s="11"/>
      <c r="D1154" s="13"/>
      <c r="E1154" s="13"/>
      <c r="F1154" s="13"/>
      <c r="G1154" s="2"/>
      <c r="H1154" s="2"/>
      <c r="I1154" s="13"/>
      <c r="J1154" s="13"/>
      <c r="K1154" s="13"/>
      <c r="L1154" s="14"/>
      <c r="M1154" s="4"/>
      <c r="N1154" s="2"/>
      <c r="O1154" s="4"/>
      <c r="P1154" s="2"/>
      <c r="Q1154" s="2"/>
      <c r="R1154" s="4"/>
      <c r="S1154" s="2"/>
      <c r="T1154" s="2"/>
      <c r="U1154" s="1"/>
      <c r="V1154" s="2"/>
      <c r="W1154" s="2"/>
      <c r="X1154" s="2"/>
      <c r="Y1154" s="2"/>
      <c r="Z1154" s="2"/>
    </row>
    <row r="1155" spans="1:26" ht="15.75" customHeight="1" x14ac:dyDescent="0.2">
      <c r="A1155" s="12"/>
      <c r="B1155" s="10"/>
      <c r="C1155" s="11"/>
      <c r="D1155" s="13"/>
      <c r="E1155" s="13"/>
      <c r="F1155" s="13"/>
      <c r="G1155" s="2"/>
      <c r="H1155" s="2"/>
      <c r="I1155" s="13"/>
      <c r="J1155" s="13"/>
      <c r="K1155" s="13"/>
      <c r="L1155" s="14"/>
      <c r="M1155" s="4"/>
      <c r="N1155" s="2"/>
      <c r="O1155" s="4"/>
      <c r="P1155" s="2"/>
      <c r="Q1155" s="2"/>
      <c r="R1155" s="4"/>
      <c r="S1155" s="2"/>
      <c r="T1155" s="2"/>
      <c r="U1155" s="1"/>
      <c r="V1155" s="2"/>
      <c r="W1155" s="2"/>
      <c r="X1155" s="2"/>
      <c r="Y1155" s="2"/>
      <c r="Z1155" s="2"/>
    </row>
    <row r="1156" spans="1:26" ht="15.75" customHeight="1" x14ac:dyDescent="0.2">
      <c r="A1156" s="12"/>
      <c r="B1156" s="10"/>
      <c r="C1156" s="11"/>
      <c r="D1156" s="13"/>
      <c r="E1156" s="13"/>
      <c r="F1156" s="13"/>
      <c r="G1156" s="2"/>
      <c r="H1156" s="2"/>
      <c r="I1156" s="13"/>
      <c r="J1156" s="13"/>
      <c r="K1156" s="13"/>
      <c r="L1156" s="14"/>
      <c r="M1156" s="4"/>
      <c r="N1156" s="2"/>
      <c r="O1156" s="4"/>
      <c r="P1156" s="2"/>
      <c r="Q1156" s="2"/>
      <c r="R1156" s="4"/>
      <c r="S1156" s="2"/>
      <c r="T1156" s="2"/>
      <c r="U1156" s="1"/>
      <c r="V1156" s="2"/>
      <c r="W1156" s="2"/>
      <c r="X1156" s="2"/>
      <c r="Y1156" s="2"/>
      <c r="Z1156" s="2"/>
    </row>
    <row r="1157" spans="1:26" ht="15.75" customHeight="1" x14ac:dyDescent="0.2">
      <c r="A1157" s="12"/>
      <c r="B1157" s="10"/>
      <c r="C1157" s="11"/>
      <c r="D1157" s="13"/>
      <c r="E1157" s="13"/>
      <c r="F1157" s="13"/>
      <c r="G1157" s="2"/>
      <c r="H1157" s="2"/>
      <c r="I1157" s="13"/>
      <c r="J1157" s="13"/>
      <c r="K1157" s="13"/>
      <c r="L1157" s="14"/>
      <c r="M1157" s="4"/>
      <c r="N1157" s="2"/>
      <c r="O1157" s="4"/>
      <c r="P1157" s="2"/>
      <c r="Q1157" s="2"/>
      <c r="R1157" s="4"/>
      <c r="S1157" s="2"/>
      <c r="T1157" s="2"/>
      <c r="U1157" s="1"/>
      <c r="V1157" s="2"/>
      <c r="W1157" s="2"/>
      <c r="X1157" s="2"/>
      <c r="Y1157" s="2"/>
      <c r="Z1157" s="2"/>
    </row>
    <row r="1158" spans="1:26" ht="15.75" customHeight="1" x14ac:dyDescent="0.2">
      <c r="A1158" s="12"/>
      <c r="B1158" s="10"/>
      <c r="C1158" s="11"/>
      <c r="D1158" s="13"/>
      <c r="E1158" s="13"/>
      <c r="F1158" s="13"/>
      <c r="G1158" s="2"/>
      <c r="H1158" s="2"/>
      <c r="I1158" s="13"/>
      <c r="J1158" s="13"/>
      <c r="K1158" s="13"/>
      <c r="L1158" s="14"/>
      <c r="M1158" s="4"/>
      <c r="N1158" s="2"/>
      <c r="O1158" s="4"/>
      <c r="P1158" s="2"/>
      <c r="Q1158" s="2"/>
      <c r="R1158" s="4"/>
      <c r="S1158" s="2"/>
      <c r="T1158" s="2"/>
      <c r="U1158" s="1"/>
      <c r="V1158" s="2"/>
      <c r="W1158" s="2"/>
      <c r="X1158" s="2"/>
      <c r="Y1158" s="2"/>
      <c r="Z1158" s="2"/>
    </row>
    <row r="1159" spans="1:26" ht="15.75" customHeight="1" x14ac:dyDescent="0.2">
      <c r="A1159" s="12"/>
      <c r="B1159" s="10"/>
      <c r="C1159" s="11"/>
      <c r="D1159" s="13"/>
      <c r="E1159" s="13"/>
      <c r="F1159" s="13"/>
      <c r="G1159" s="2"/>
      <c r="H1159" s="2"/>
      <c r="I1159" s="13"/>
      <c r="J1159" s="13"/>
      <c r="K1159" s="13"/>
      <c r="L1159" s="14"/>
      <c r="M1159" s="4"/>
      <c r="N1159" s="2"/>
      <c r="O1159" s="4"/>
      <c r="P1159" s="2"/>
      <c r="Q1159" s="2"/>
      <c r="R1159" s="4"/>
      <c r="S1159" s="2"/>
      <c r="T1159" s="2"/>
      <c r="U1159" s="1"/>
      <c r="V1159" s="2"/>
      <c r="W1159" s="2"/>
      <c r="X1159" s="2"/>
      <c r="Y1159" s="2"/>
      <c r="Z1159" s="2"/>
    </row>
    <row r="1160" spans="1:26" ht="15.75" customHeight="1" x14ac:dyDescent="0.2">
      <c r="A1160" s="12"/>
      <c r="B1160" s="10"/>
      <c r="C1160" s="11"/>
      <c r="D1160" s="13"/>
      <c r="E1160" s="13"/>
      <c r="F1160" s="13"/>
      <c r="G1160" s="2"/>
      <c r="H1160" s="2"/>
      <c r="I1160" s="13"/>
      <c r="J1160" s="13"/>
      <c r="K1160" s="13"/>
      <c r="L1160" s="14"/>
      <c r="M1160" s="4"/>
      <c r="N1160" s="2"/>
      <c r="O1160" s="4"/>
      <c r="P1160" s="2"/>
      <c r="Q1160" s="2"/>
      <c r="R1160" s="4"/>
      <c r="S1160" s="2"/>
      <c r="T1160" s="2"/>
      <c r="U1160" s="1"/>
      <c r="V1160" s="2"/>
      <c r="W1160" s="2"/>
      <c r="X1160" s="2"/>
      <c r="Y1160" s="2"/>
      <c r="Z1160" s="2"/>
    </row>
    <row r="1161" spans="1:26" ht="15.75" customHeight="1" x14ac:dyDescent="0.2">
      <c r="A1161" s="12"/>
      <c r="B1161" s="10"/>
      <c r="C1161" s="11"/>
      <c r="D1161" s="13"/>
      <c r="E1161" s="13"/>
      <c r="F1161" s="13"/>
      <c r="G1161" s="2"/>
      <c r="H1161" s="2"/>
      <c r="I1161" s="13"/>
      <c r="J1161" s="13"/>
      <c r="K1161" s="13"/>
      <c r="L1161" s="14"/>
      <c r="M1161" s="4"/>
      <c r="N1161" s="2"/>
      <c r="O1161" s="4"/>
      <c r="P1161" s="2"/>
      <c r="Q1161" s="2"/>
      <c r="R1161" s="4"/>
      <c r="S1161" s="2"/>
      <c r="T1161" s="2"/>
      <c r="U1161" s="1"/>
      <c r="V1161" s="2"/>
      <c r="W1161" s="2"/>
      <c r="X1161" s="2"/>
      <c r="Y1161" s="2"/>
      <c r="Z1161" s="2"/>
    </row>
    <row r="1162" spans="1:26" ht="15.75" customHeight="1" x14ac:dyDescent="0.2">
      <c r="A1162" s="12"/>
      <c r="B1162" s="10"/>
      <c r="C1162" s="11"/>
      <c r="D1162" s="13"/>
      <c r="E1162" s="13"/>
      <c r="F1162" s="13"/>
      <c r="G1162" s="2"/>
      <c r="H1162" s="2"/>
      <c r="I1162" s="13"/>
      <c r="J1162" s="13"/>
      <c r="K1162" s="13"/>
      <c r="L1162" s="14"/>
      <c r="M1162" s="4"/>
      <c r="N1162" s="2"/>
      <c r="O1162" s="4"/>
      <c r="P1162" s="2"/>
      <c r="Q1162" s="2"/>
      <c r="R1162" s="4"/>
      <c r="S1162" s="2"/>
      <c r="T1162" s="2"/>
      <c r="U1162" s="1"/>
      <c r="V1162" s="2"/>
      <c r="W1162" s="2"/>
      <c r="X1162" s="2"/>
      <c r="Y1162" s="2"/>
      <c r="Z1162" s="2"/>
    </row>
    <row r="1163" spans="1:26" ht="15.75" customHeight="1" x14ac:dyDescent="0.2">
      <c r="A1163" s="12"/>
      <c r="B1163" s="10"/>
      <c r="C1163" s="11"/>
      <c r="D1163" s="13"/>
      <c r="E1163" s="13"/>
      <c r="F1163" s="13"/>
      <c r="G1163" s="2"/>
      <c r="H1163" s="2"/>
      <c r="I1163" s="13"/>
      <c r="J1163" s="13"/>
      <c r="K1163" s="13"/>
      <c r="L1163" s="14"/>
      <c r="M1163" s="4"/>
      <c r="N1163" s="2"/>
      <c r="O1163" s="4"/>
      <c r="P1163" s="2"/>
      <c r="Q1163" s="2"/>
      <c r="R1163" s="4"/>
      <c r="S1163" s="2"/>
      <c r="T1163" s="2"/>
      <c r="U1163" s="1"/>
      <c r="V1163" s="2"/>
      <c r="W1163" s="2"/>
      <c r="X1163" s="2"/>
      <c r="Y1163" s="2"/>
      <c r="Z1163" s="2"/>
    </row>
    <row r="1164" spans="1:26" ht="15.75" customHeight="1" x14ac:dyDescent="0.2">
      <c r="A1164" s="12"/>
      <c r="B1164" s="10"/>
      <c r="C1164" s="11"/>
      <c r="D1164" s="13"/>
      <c r="E1164" s="13"/>
      <c r="F1164" s="13"/>
      <c r="G1164" s="2"/>
      <c r="H1164" s="2"/>
      <c r="I1164" s="13"/>
      <c r="J1164" s="13"/>
      <c r="K1164" s="13"/>
      <c r="L1164" s="14"/>
      <c r="M1164" s="4"/>
      <c r="N1164" s="2"/>
      <c r="O1164" s="4"/>
      <c r="P1164" s="2"/>
      <c r="Q1164" s="2"/>
      <c r="R1164" s="4"/>
      <c r="S1164" s="2"/>
      <c r="T1164" s="2"/>
      <c r="U1164" s="1"/>
      <c r="V1164" s="2"/>
      <c r="W1164" s="2"/>
      <c r="X1164" s="2"/>
      <c r="Y1164" s="2"/>
      <c r="Z1164" s="2"/>
    </row>
    <row r="1165" spans="1:26" ht="15.75" customHeight="1" x14ac:dyDescent="0.2">
      <c r="A1165" s="12"/>
      <c r="B1165" s="10"/>
      <c r="C1165" s="11"/>
      <c r="D1165" s="13"/>
      <c r="E1165" s="13"/>
      <c r="F1165" s="13"/>
      <c r="G1165" s="2"/>
      <c r="H1165" s="2"/>
      <c r="I1165" s="13"/>
      <c r="J1165" s="13"/>
      <c r="K1165" s="13"/>
      <c r="L1165" s="14"/>
      <c r="M1165" s="4"/>
      <c r="N1165" s="2"/>
      <c r="O1165" s="4"/>
      <c r="P1165" s="2"/>
      <c r="Q1165" s="2"/>
      <c r="R1165" s="4"/>
      <c r="S1165" s="2"/>
      <c r="T1165" s="2"/>
      <c r="U1165" s="1"/>
      <c r="V1165" s="2"/>
      <c r="W1165" s="2"/>
      <c r="X1165" s="2"/>
      <c r="Y1165" s="2"/>
      <c r="Z1165" s="2"/>
    </row>
    <row r="1166" spans="1:26" ht="15.75" customHeight="1" x14ac:dyDescent="0.2">
      <c r="A1166" s="12"/>
      <c r="B1166" s="10"/>
      <c r="C1166" s="11"/>
      <c r="D1166" s="13"/>
      <c r="E1166" s="13"/>
      <c r="F1166" s="13"/>
      <c r="G1166" s="2"/>
      <c r="H1166" s="2"/>
      <c r="I1166" s="13"/>
      <c r="J1166" s="13"/>
      <c r="K1166" s="13"/>
      <c r="L1166" s="14"/>
      <c r="M1166" s="4"/>
      <c r="N1166" s="2"/>
      <c r="O1166" s="4"/>
      <c r="P1166" s="2"/>
      <c r="Q1166" s="2"/>
      <c r="R1166" s="4"/>
      <c r="S1166" s="2"/>
      <c r="T1166" s="2"/>
      <c r="U1166" s="1"/>
      <c r="V1166" s="2"/>
      <c r="W1166" s="2"/>
      <c r="X1166" s="2"/>
      <c r="Y1166" s="2"/>
      <c r="Z1166" s="2"/>
    </row>
    <row r="1167" spans="1:26" ht="15.75" customHeight="1" x14ac:dyDescent="0.2">
      <c r="A1167" s="12"/>
      <c r="B1167" s="10"/>
      <c r="C1167" s="11"/>
      <c r="D1167" s="13"/>
      <c r="E1167" s="13"/>
      <c r="F1167" s="13"/>
      <c r="G1167" s="2"/>
      <c r="H1167" s="2"/>
      <c r="I1167" s="13"/>
      <c r="J1167" s="13"/>
      <c r="K1167" s="13"/>
      <c r="L1167" s="14"/>
      <c r="M1167" s="4"/>
      <c r="N1167" s="2"/>
      <c r="O1167" s="4"/>
      <c r="P1167" s="2"/>
      <c r="Q1167" s="2"/>
      <c r="R1167" s="4"/>
      <c r="S1167" s="2"/>
      <c r="T1167" s="2"/>
      <c r="U1167" s="1"/>
      <c r="V1167" s="2"/>
      <c r="W1167" s="2"/>
      <c r="X1167" s="2"/>
      <c r="Y1167" s="2"/>
      <c r="Z1167" s="2"/>
    </row>
    <row r="1168" spans="1:26" ht="15.75" customHeight="1" x14ac:dyDescent="0.2">
      <c r="A1168" s="12"/>
      <c r="B1168" s="10"/>
      <c r="C1168" s="11"/>
      <c r="D1168" s="13"/>
      <c r="E1168" s="13"/>
      <c r="F1168" s="13"/>
      <c r="G1168" s="2"/>
      <c r="H1168" s="2"/>
      <c r="I1168" s="13"/>
      <c r="J1168" s="13"/>
      <c r="K1168" s="13"/>
      <c r="L1168" s="14"/>
      <c r="M1168" s="4"/>
      <c r="N1168" s="2"/>
      <c r="O1168" s="4"/>
      <c r="P1168" s="2"/>
      <c r="Q1168" s="2"/>
      <c r="R1168" s="4"/>
      <c r="S1168" s="2"/>
      <c r="T1168" s="2"/>
      <c r="U1168" s="1"/>
      <c r="V1168" s="2"/>
      <c r="W1168" s="2"/>
      <c r="X1168" s="2"/>
      <c r="Y1168" s="2"/>
      <c r="Z1168" s="2"/>
    </row>
    <row r="1169" spans="1:26" ht="15.75" customHeight="1" x14ac:dyDescent="0.2">
      <c r="A1169" s="12"/>
      <c r="B1169" s="10"/>
      <c r="C1169" s="11"/>
      <c r="D1169" s="13"/>
      <c r="E1169" s="13"/>
      <c r="F1169" s="13"/>
      <c r="G1169" s="2"/>
      <c r="H1169" s="2"/>
      <c r="I1169" s="13"/>
      <c r="J1169" s="13"/>
      <c r="K1169" s="13"/>
      <c r="L1169" s="14"/>
      <c r="M1169" s="4"/>
      <c r="N1169" s="2"/>
      <c r="O1169" s="4"/>
      <c r="P1169" s="2"/>
      <c r="Q1169" s="2"/>
      <c r="R1169" s="4"/>
      <c r="S1169" s="2"/>
      <c r="T1169" s="2"/>
      <c r="U1169" s="1"/>
      <c r="V1169" s="2"/>
      <c r="W1169" s="2"/>
      <c r="X1169" s="2"/>
      <c r="Y1169" s="2"/>
      <c r="Z1169" s="2"/>
    </row>
    <row r="1170" spans="1:26" ht="15.75" customHeight="1" x14ac:dyDescent="0.2">
      <c r="A1170" s="12"/>
      <c r="B1170" s="10"/>
      <c r="C1170" s="11"/>
      <c r="D1170" s="13"/>
      <c r="E1170" s="13"/>
      <c r="F1170" s="13"/>
      <c r="G1170" s="2"/>
      <c r="H1170" s="2"/>
      <c r="I1170" s="13"/>
      <c r="J1170" s="13"/>
      <c r="K1170" s="13"/>
      <c r="L1170" s="14"/>
      <c r="M1170" s="4"/>
      <c r="N1170" s="2"/>
      <c r="O1170" s="4"/>
      <c r="P1170" s="2"/>
      <c r="Q1170" s="2"/>
      <c r="R1170" s="4"/>
      <c r="S1170" s="2"/>
      <c r="T1170" s="2"/>
      <c r="U1170" s="1"/>
      <c r="V1170" s="2"/>
      <c r="W1170" s="2"/>
      <c r="X1170" s="2"/>
      <c r="Y1170" s="2"/>
      <c r="Z1170" s="2"/>
    </row>
    <row r="1171" spans="1:26" ht="15.75" customHeight="1" x14ac:dyDescent="0.2">
      <c r="A1171" s="12"/>
      <c r="B1171" s="10"/>
      <c r="C1171" s="11"/>
      <c r="D1171" s="13"/>
      <c r="E1171" s="13"/>
      <c r="F1171" s="13"/>
      <c r="G1171" s="2"/>
      <c r="H1171" s="2"/>
      <c r="I1171" s="13"/>
      <c r="J1171" s="13"/>
      <c r="K1171" s="13"/>
      <c r="L1171" s="14"/>
      <c r="M1171" s="4"/>
      <c r="N1171" s="2"/>
      <c r="O1171" s="4"/>
      <c r="P1171" s="2"/>
      <c r="Q1171" s="2"/>
      <c r="R1171" s="4"/>
      <c r="S1171" s="2"/>
      <c r="T1171" s="2"/>
      <c r="U1171" s="1"/>
      <c r="V1171" s="2"/>
      <c r="W1171" s="2"/>
      <c r="X1171" s="2"/>
      <c r="Y1171" s="2"/>
      <c r="Z1171" s="2"/>
    </row>
    <row r="1172" spans="1:26" ht="15.75" customHeight="1" x14ac:dyDescent="0.2">
      <c r="A1172" s="12"/>
      <c r="B1172" s="10"/>
      <c r="C1172" s="11"/>
      <c r="D1172" s="13"/>
      <c r="E1172" s="13"/>
      <c r="F1172" s="13"/>
      <c r="G1172" s="2"/>
      <c r="H1172" s="2"/>
      <c r="I1172" s="13"/>
      <c r="J1172" s="13"/>
      <c r="K1172" s="13"/>
      <c r="L1172" s="14"/>
      <c r="M1172" s="4"/>
      <c r="N1172" s="2"/>
      <c r="O1172" s="4"/>
      <c r="P1172" s="2"/>
      <c r="Q1172" s="2"/>
      <c r="R1172" s="4"/>
      <c r="S1172" s="2"/>
      <c r="T1172" s="2"/>
      <c r="U1172" s="1"/>
      <c r="V1172" s="2"/>
      <c r="W1172" s="2"/>
      <c r="X1172" s="2"/>
      <c r="Y1172" s="2"/>
      <c r="Z1172" s="2"/>
    </row>
    <row r="1173" spans="1:26" ht="15.75" customHeight="1" x14ac:dyDescent="0.2">
      <c r="A1173" s="12"/>
      <c r="B1173" s="10"/>
      <c r="C1173" s="11"/>
      <c r="D1173" s="13"/>
      <c r="E1173" s="13"/>
      <c r="F1173" s="13"/>
      <c r="G1173" s="2"/>
      <c r="H1173" s="2"/>
      <c r="I1173" s="13"/>
      <c r="J1173" s="13"/>
      <c r="K1173" s="13"/>
      <c r="L1173" s="14"/>
      <c r="M1173" s="4"/>
      <c r="N1173" s="2"/>
      <c r="O1173" s="4"/>
      <c r="P1173" s="2"/>
      <c r="Q1173" s="2"/>
      <c r="R1173" s="4"/>
      <c r="S1173" s="2"/>
      <c r="T1173" s="2"/>
      <c r="U1173" s="1"/>
      <c r="V1173" s="2"/>
      <c r="W1173" s="2"/>
      <c r="X1173" s="2"/>
      <c r="Y1173" s="2"/>
      <c r="Z1173" s="2"/>
    </row>
    <row r="1174" spans="1:26" ht="15.75" customHeight="1" x14ac:dyDescent="0.2">
      <c r="A1174" s="12"/>
      <c r="B1174" s="10"/>
      <c r="C1174" s="11"/>
      <c r="D1174" s="13"/>
      <c r="E1174" s="13"/>
      <c r="F1174" s="13"/>
      <c r="G1174" s="2"/>
      <c r="H1174" s="2"/>
      <c r="I1174" s="13"/>
      <c r="J1174" s="13"/>
      <c r="K1174" s="13"/>
      <c r="L1174" s="14"/>
      <c r="M1174" s="4"/>
      <c r="N1174" s="2"/>
      <c r="O1174" s="4"/>
      <c r="P1174" s="2"/>
      <c r="Q1174" s="2"/>
      <c r="R1174" s="4"/>
      <c r="S1174" s="2"/>
      <c r="T1174" s="2"/>
      <c r="U1174" s="1"/>
      <c r="V1174" s="2"/>
      <c r="W1174" s="2"/>
      <c r="X1174" s="2"/>
      <c r="Y1174" s="2"/>
      <c r="Z1174" s="2"/>
    </row>
    <row r="1175" spans="1:26" ht="15.75" customHeight="1" x14ac:dyDescent="0.2">
      <c r="A1175" s="12"/>
      <c r="B1175" s="10"/>
      <c r="C1175" s="11"/>
      <c r="D1175" s="13"/>
      <c r="E1175" s="13"/>
      <c r="F1175" s="13"/>
      <c r="G1175" s="2"/>
      <c r="H1175" s="2"/>
      <c r="I1175" s="13"/>
      <c r="J1175" s="13"/>
      <c r="K1175" s="13"/>
      <c r="L1175" s="14"/>
      <c r="M1175" s="4"/>
      <c r="N1175" s="2"/>
      <c r="O1175" s="4"/>
      <c r="P1175" s="2"/>
      <c r="Q1175" s="2"/>
      <c r="R1175" s="4"/>
      <c r="S1175" s="2"/>
      <c r="T1175" s="2"/>
      <c r="U1175" s="1"/>
      <c r="V1175" s="2"/>
      <c r="W1175" s="2"/>
      <c r="X1175" s="2"/>
      <c r="Y1175" s="2"/>
      <c r="Z1175" s="2"/>
    </row>
    <row r="1176" spans="1:26" ht="15.75" customHeight="1" x14ac:dyDescent="0.2">
      <c r="A1176" s="12"/>
      <c r="B1176" s="10"/>
      <c r="C1176" s="11"/>
      <c r="D1176" s="13"/>
      <c r="E1176" s="13"/>
      <c r="F1176" s="13"/>
      <c r="G1176" s="2"/>
      <c r="H1176" s="2"/>
      <c r="I1176" s="13"/>
      <c r="J1176" s="13"/>
      <c r="K1176" s="13"/>
      <c r="L1176" s="14"/>
      <c r="M1176" s="4"/>
      <c r="N1176" s="2"/>
      <c r="O1176" s="4"/>
      <c r="P1176" s="2"/>
      <c r="Q1176" s="2"/>
      <c r="R1176" s="4"/>
      <c r="S1176" s="2"/>
      <c r="T1176" s="2"/>
      <c r="U1176" s="1"/>
      <c r="V1176" s="2"/>
      <c r="W1176" s="2"/>
      <c r="X1176" s="2"/>
      <c r="Y1176" s="2"/>
      <c r="Z1176" s="2"/>
    </row>
    <row r="1177" spans="1:26" ht="15.75" customHeight="1" x14ac:dyDescent="0.2">
      <c r="A1177" s="12"/>
      <c r="B1177" s="10"/>
      <c r="C1177" s="11"/>
      <c r="D1177" s="13"/>
      <c r="E1177" s="13"/>
      <c r="F1177" s="13"/>
      <c r="G1177" s="2"/>
      <c r="H1177" s="2"/>
      <c r="I1177" s="13"/>
      <c r="J1177" s="13"/>
      <c r="K1177" s="13"/>
      <c r="L1177" s="14"/>
      <c r="M1177" s="4"/>
      <c r="N1177" s="2"/>
      <c r="O1177" s="4"/>
      <c r="P1177" s="2"/>
      <c r="Q1177" s="2"/>
      <c r="R1177" s="4"/>
      <c r="S1177" s="2"/>
      <c r="T1177" s="2"/>
      <c r="U1177" s="1"/>
      <c r="V1177" s="2"/>
      <c r="W1177" s="2"/>
      <c r="X1177" s="2"/>
      <c r="Y1177" s="2"/>
      <c r="Z1177" s="2"/>
    </row>
    <row r="1178" spans="1:26" ht="15.75" customHeight="1" x14ac:dyDescent="0.2">
      <c r="A1178" s="12"/>
      <c r="B1178" s="10"/>
      <c r="C1178" s="11"/>
      <c r="D1178" s="13"/>
      <c r="E1178" s="13"/>
      <c r="F1178" s="13"/>
      <c r="G1178" s="2"/>
      <c r="H1178" s="2"/>
      <c r="I1178" s="13"/>
      <c r="J1178" s="13"/>
      <c r="K1178" s="13"/>
      <c r="L1178" s="14"/>
      <c r="M1178" s="4"/>
      <c r="N1178" s="2"/>
      <c r="O1178" s="4"/>
      <c r="P1178" s="2"/>
      <c r="Q1178" s="2"/>
      <c r="R1178" s="4"/>
      <c r="S1178" s="2"/>
      <c r="T1178" s="2"/>
      <c r="U1178" s="1"/>
      <c r="V1178" s="2"/>
      <c r="W1178" s="2"/>
      <c r="X1178" s="2"/>
      <c r="Y1178" s="2"/>
      <c r="Z1178" s="2"/>
    </row>
    <row r="1179" spans="1:26" ht="15.75" customHeight="1" x14ac:dyDescent="0.2">
      <c r="A1179" s="12"/>
      <c r="B1179" s="10"/>
      <c r="C1179" s="11"/>
      <c r="D1179" s="13"/>
      <c r="E1179" s="13"/>
      <c r="F1179" s="13"/>
      <c r="G1179" s="2"/>
      <c r="H1179" s="2"/>
      <c r="I1179" s="13"/>
      <c r="J1179" s="13"/>
      <c r="K1179" s="13"/>
      <c r="L1179" s="14"/>
      <c r="M1179" s="4"/>
      <c r="N1179" s="2"/>
      <c r="O1179" s="4"/>
      <c r="P1179" s="2"/>
      <c r="Q1179" s="2"/>
      <c r="R1179" s="4"/>
      <c r="S1179" s="2"/>
      <c r="T1179" s="2"/>
      <c r="U1179" s="1"/>
      <c r="V1179" s="2"/>
      <c r="W1179" s="2"/>
      <c r="X1179" s="2"/>
      <c r="Y1179" s="2"/>
      <c r="Z1179" s="2"/>
    </row>
    <row r="1180" spans="1:26" ht="15.75" customHeight="1" x14ac:dyDescent="0.2">
      <c r="A1180" s="12"/>
      <c r="B1180" s="10"/>
      <c r="C1180" s="11"/>
      <c r="D1180" s="13"/>
      <c r="E1180" s="13"/>
      <c r="F1180" s="13"/>
      <c r="G1180" s="2"/>
      <c r="H1180" s="2"/>
      <c r="I1180" s="13"/>
      <c r="J1180" s="13"/>
      <c r="K1180" s="13"/>
      <c r="L1180" s="14"/>
      <c r="M1180" s="4"/>
      <c r="N1180" s="2"/>
      <c r="O1180" s="4"/>
      <c r="P1180" s="2"/>
      <c r="Q1180" s="2"/>
      <c r="R1180" s="4"/>
      <c r="S1180" s="2"/>
      <c r="T1180" s="2"/>
      <c r="U1180" s="1"/>
      <c r="V1180" s="2"/>
      <c r="W1180" s="2"/>
      <c r="X1180" s="2"/>
      <c r="Y1180" s="2"/>
      <c r="Z1180" s="2"/>
    </row>
    <row r="1181" spans="1:26" ht="15.75" customHeight="1" x14ac:dyDescent="0.2">
      <c r="A1181" s="12"/>
      <c r="B1181" s="10"/>
      <c r="C1181" s="11"/>
      <c r="D1181" s="13"/>
      <c r="E1181" s="13"/>
      <c r="F1181" s="13"/>
      <c r="G1181" s="2"/>
      <c r="H1181" s="2"/>
      <c r="I1181" s="13"/>
      <c r="J1181" s="13"/>
      <c r="K1181" s="13"/>
      <c r="L1181" s="14"/>
      <c r="M1181" s="4"/>
      <c r="N1181" s="2"/>
      <c r="O1181" s="4"/>
      <c r="P1181" s="2"/>
      <c r="Q1181" s="2"/>
      <c r="R1181" s="4"/>
      <c r="S1181" s="2"/>
      <c r="T1181" s="2"/>
      <c r="U1181" s="1"/>
      <c r="V1181" s="2"/>
      <c r="W1181" s="2"/>
      <c r="X1181" s="2"/>
      <c r="Y1181" s="2"/>
      <c r="Z1181" s="2"/>
    </row>
    <row r="1182" spans="1:26" ht="15.75" customHeight="1" x14ac:dyDescent="0.2">
      <c r="A1182" s="12"/>
      <c r="B1182" s="10"/>
      <c r="C1182" s="11"/>
      <c r="D1182" s="13"/>
      <c r="E1182" s="13"/>
      <c r="F1182" s="13"/>
      <c r="G1182" s="2"/>
      <c r="H1182" s="2"/>
      <c r="I1182" s="13"/>
      <c r="J1182" s="13"/>
      <c r="K1182" s="13"/>
      <c r="L1182" s="14"/>
      <c r="M1182" s="4"/>
      <c r="N1182" s="2"/>
      <c r="O1182" s="4"/>
      <c r="P1182" s="2"/>
      <c r="Q1182" s="2"/>
      <c r="R1182" s="4"/>
      <c r="S1182" s="2"/>
      <c r="T1182" s="2"/>
      <c r="U1182" s="1"/>
      <c r="V1182" s="2"/>
      <c r="W1182" s="2"/>
      <c r="X1182" s="2"/>
      <c r="Y1182" s="2"/>
      <c r="Z1182" s="2"/>
    </row>
    <row r="1183" spans="1:26" ht="15.75" customHeight="1" x14ac:dyDescent="0.2">
      <c r="A1183" s="12"/>
      <c r="B1183" s="10"/>
      <c r="C1183" s="11"/>
      <c r="D1183" s="13"/>
      <c r="E1183" s="13"/>
      <c r="F1183" s="13"/>
      <c r="G1183" s="2"/>
      <c r="H1183" s="2"/>
      <c r="I1183" s="13"/>
      <c r="J1183" s="13"/>
      <c r="K1183" s="13"/>
      <c r="L1183" s="14"/>
      <c r="M1183" s="4"/>
      <c r="N1183" s="2"/>
      <c r="O1183" s="4"/>
      <c r="P1183" s="2"/>
      <c r="Q1183" s="2"/>
      <c r="R1183" s="4"/>
      <c r="S1183" s="2"/>
      <c r="T1183" s="2"/>
      <c r="U1183" s="1"/>
      <c r="V1183" s="2"/>
      <c r="W1183" s="2"/>
      <c r="X1183" s="2"/>
      <c r="Y1183" s="2"/>
      <c r="Z1183" s="2"/>
    </row>
    <row r="1184" spans="1:26" ht="15.75" customHeight="1" x14ac:dyDescent="0.2">
      <c r="A1184" s="12"/>
      <c r="B1184" s="10"/>
      <c r="C1184" s="11"/>
      <c r="D1184" s="13"/>
      <c r="E1184" s="13"/>
      <c r="F1184" s="13"/>
      <c r="G1184" s="2"/>
      <c r="H1184" s="2"/>
      <c r="I1184" s="13"/>
      <c r="J1184" s="13"/>
      <c r="K1184" s="13"/>
      <c r="L1184" s="14"/>
      <c r="M1184" s="4"/>
      <c r="N1184" s="2"/>
      <c r="O1184" s="4"/>
      <c r="P1184" s="2"/>
      <c r="Q1184" s="2"/>
      <c r="R1184" s="4"/>
      <c r="S1184" s="2"/>
      <c r="T1184" s="2"/>
      <c r="U1184" s="1"/>
      <c r="V1184" s="2"/>
      <c r="W1184" s="2"/>
      <c r="X1184" s="2"/>
      <c r="Y1184" s="2"/>
      <c r="Z1184" s="2"/>
    </row>
    <row r="1185" spans="1:26" ht="15.75" customHeight="1" x14ac:dyDescent="0.2">
      <c r="A1185" s="12"/>
      <c r="B1185" s="10"/>
      <c r="C1185" s="11"/>
      <c r="D1185" s="13"/>
      <c r="E1185" s="13"/>
      <c r="F1185" s="13"/>
      <c r="G1185" s="2"/>
      <c r="H1185" s="2"/>
      <c r="I1185" s="13"/>
      <c r="J1185" s="13"/>
      <c r="K1185" s="13"/>
      <c r="L1185" s="14"/>
      <c r="M1185" s="4"/>
      <c r="N1185" s="2"/>
      <c r="O1185" s="4"/>
      <c r="P1185" s="2"/>
      <c r="Q1185" s="2"/>
      <c r="R1185" s="4"/>
      <c r="S1185" s="2"/>
      <c r="T1185" s="2"/>
      <c r="U1185" s="1"/>
      <c r="V1185" s="2"/>
      <c r="W1185" s="2"/>
      <c r="X1185" s="2"/>
      <c r="Y1185" s="2"/>
      <c r="Z1185" s="2"/>
    </row>
    <row r="1186" spans="1:26" ht="15.75" customHeight="1" x14ac:dyDescent="0.2">
      <c r="A1186" s="12"/>
      <c r="B1186" s="10"/>
      <c r="C1186" s="11"/>
      <c r="D1186" s="13"/>
      <c r="E1186" s="13"/>
      <c r="F1186" s="13"/>
      <c r="G1186" s="2"/>
      <c r="H1186" s="2"/>
      <c r="I1186" s="13"/>
      <c r="J1186" s="13"/>
      <c r="K1186" s="13"/>
      <c r="L1186" s="14"/>
      <c r="M1186" s="4"/>
      <c r="N1186" s="2"/>
      <c r="O1186" s="4"/>
      <c r="P1186" s="2"/>
      <c r="Q1186" s="2"/>
      <c r="R1186" s="4"/>
      <c r="S1186" s="2"/>
      <c r="T1186" s="2"/>
      <c r="U1186" s="1"/>
      <c r="V1186" s="2"/>
      <c r="W1186" s="2"/>
      <c r="X1186" s="2"/>
      <c r="Y1186" s="2"/>
      <c r="Z1186" s="2"/>
    </row>
    <row r="1187" spans="1:26" ht="15.75" customHeight="1" x14ac:dyDescent="0.2">
      <c r="A1187" s="12"/>
      <c r="B1187" s="10"/>
      <c r="C1187" s="11"/>
      <c r="D1187" s="13"/>
      <c r="E1187" s="13"/>
      <c r="F1187" s="13"/>
      <c r="G1187" s="2"/>
      <c r="H1187" s="2"/>
      <c r="I1187" s="13"/>
      <c r="J1187" s="13"/>
      <c r="K1187" s="13"/>
      <c r="L1187" s="14"/>
      <c r="M1187" s="4"/>
      <c r="N1187" s="2"/>
      <c r="O1187" s="4"/>
      <c r="P1187" s="2"/>
      <c r="Q1187" s="2"/>
      <c r="R1187" s="4"/>
      <c r="S1187" s="2"/>
      <c r="T1187" s="2"/>
      <c r="U1187" s="1"/>
      <c r="V1187" s="2"/>
      <c r="W1187" s="2"/>
      <c r="X1187" s="2"/>
      <c r="Y1187" s="2"/>
      <c r="Z1187" s="2"/>
    </row>
    <row r="1188" spans="1:26" ht="15.75" customHeight="1" x14ac:dyDescent="0.2">
      <c r="A1188" s="12"/>
      <c r="B1188" s="10"/>
      <c r="C1188" s="11"/>
      <c r="D1188" s="13"/>
      <c r="E1188" s="13"/>
      <c r="F1188" s="13"/>
      <c r="G1188" s="2"/>
      <c r="H1188" s="2"/>
      <c r="I1188" s="13"/>
      <c r="J1188" s="13"/>
      <c r="K1188" s="13"/>
      <c r="L1188" s="14"/>
      <c r="M1188" s="4"/>
      <c r="N1188" s="2"/>
      <c r="O1188" s="4"/>
      <c r="P1188" s="2"/>
      <c r="Q1188" s="2"/>
      <c r="R1188" s="4"/>
      <c r="S1188" s="2"/>
      <c r="T1188" s="2"/>
      <c r="U1188" s="1"/>
      <c r="V1188" s="2"/>
      <c r="W1188" s="2"/>
      <c r="X1188" s="2"/>
      <c r="Y1188" s="2"/>
      <c r="Z1188" s="2"/>
    </row>
    <row r="1189" spans="1:26" ht="15.75" customHeight="1" x14ac:dyDescent="0.2">
      <c r="A1189" s="12"/>
      <c r="B1189" s="10"/>
      <c r="C1189" s="11"/>
      <c r="D1189" s="13"/>
      <c r="E1189" s="13"/>
      <c r="F1189" s="13"/>
      <c r="G1189" s="2"/>
      <c r="H1189" s="2"/>
      <c r="I1189" s="13"/>
      <c r="J1189" s="13"/>
      <c r="K1189" s="13"/>
      <c r="L1189" s="14"/>
      <c r="M1189" s="4"/>
      <c r="N1189" s="2"/>
      <c r="O1189" s="4"/>
      <c r="P1189" s="2"/>
      <c r="Q1189" s="2"/>
      <c r="R1189" s="4"/>
      <c r="S1189" s="2"/>
      <c r="T1189" s="2"/>
      <c r="U1189" s="1"/>
      <c r="V1189" s="2"/>
      <c r="W1189" s="2"/>
      <c r="X1189" s="2"/>
      <c r="Y1189" s="2"/>
      <c r="Z1189" s="2"/>
    </row>
    <row r="1190" spans="1:26" ht="15.75" customHeight="1" x14ac:dyDescent="0.2">
      <c r="A1190" s="12"/>
      <c r="B1190" s="10"/>
      <c r="C1190" s="11"/>
      <c r="D1190" s="13"/>
      <c r="E1190" s="13"/>
      <c r="F1190" s="13"/>
      <c r="G1190" s="2"/>
      <c r="H1190" s="2"/>
      <c r="I1190" s="13"/>
      <c r="J1190" s="13"/>
      <c r="K1190" s="13"/>
      <c r="L1190" s="14"/>
      <c r="M1190" s="4"/>
      <c r="N1190" s="2"/>
      <c r="O1190" s="4"/>
      <c r="P1190" s="2"/>
      <c r="Q1190" s="2"/>
      <c r="R1190" s="4"/>
      <c r="S1190" s="2"/>
      <c r="T1190" s="2"/>
      <c r="U1190" s="1"/>
      <c r="V1190" s="2"/>
      <c r="W1190" s="2"/>
      <c r="X1190" s="2"/>
      <c r="Y1190" s="2"/>
      <c r="Z1190" s="2"/>
    </row>
    <row r="1191" spans="1:26" ht="15.75" customHeight="1" x14ac:dyDescent="0.2">
      <c r="A1191" s="12"/>
      <c r="B1191" s="10"/>
      <c r="C1191" s="11"/>
      <c r="D1191" s="13"/>
      <c r="E1191" s="13"/>
      <c r="F1191" s="13"/>
      <c r="G1191" s="2"/>
      <c r="H1191" s="2"/>
      <c r="I1191" s="13"/>
      <c r="J1191" s="13"/>
      <c r="K1191" s="13"/>
      <c r="L1191" s="14"/>
      <c r="M1191" s="4"/>
      <c r="N1191" s="2"/>
      <c r="O1191" s="4"/>
      <c r="P1191" s="2"/>
      <c r="Q1191" s="2"/>
      <c r="R1191" s="4"/>
      <c r="S1191" s="2"/>
      <c r="T1191" s="2"/>
      <c r="U1191" s="1"/>
      <c r="V1191" s="2"/>
      <c r="W1191" s="2"/>
      <c r="X1191" s="2"/>
      <c r="Y1191" s="2"/>
      <c r="Z1191" s="2"/>
    </row>
    <row r="1192" spans="1:26" ht="15.75" customHeight="1" x14ac:dyDescent="0.2">
      <c r="A1192" s="12"/>
      <c r="B1192" s="10"/>
      <c r="C1192" s="11"/>
      <c r="D1192" s="13"/>
      <c r="E1192" s="13"/>
      <c r="F1192" s="13"/>
      <c r="G1192" s="2"/>
      <c r="H1192" s="2"/>
      <c r="I1192" s="13"/>
      <c r="J1192" s="13"/>
      <c r="K1192" s="13"/>
      <c r="L1192" s="14"/>
      <c r="M1192" s="4"/>
      <c r="N1192" s="2"/>
      <c r="O1192" s="4"/>
      <c r="P1192" s="2"/>
      <c r="Q1192" s="2"/>
      <c r="R1192" s="4"/>
      <c r="S1192" s="2"/>
      <c r="T1192" s="2"/>
      <c r="U1192" s="1"/>
      <c r="V1192" s="2"/>
      <c r="W1192" s="2"/>
      <c r="X1192" s="2"/>
      <c r="Y1192" s="2"/>
      <c r="Z1192" s="2"/>
    </row>
    <row r="1193" spans="1:26" ht="15.75" customHeight="1" x14ac:dyDescent="0.2">
      <c r="A1193" s="12"/>
      <c r="B1193" s="10"/>
      <c r="C1193" s="11"/>
      <c r="D1193" s="13"/>
      <c r="E1193" s="13"/>
      <c r="F1193" s="13"/>
      <c r="G1193" s="2"/>
      <c r="H1193" s="2"/>
      <c r="I1193" s="13"/>
      <c r="J1193" s="13"/>
      <c r="K1193" s="13"/>
      <c r="L1193" s="14"/>
      <c r="M1193" s="4"/>
      <c r="N1193" s="2"/>
      <c r="O1193" s="4"/>
      <c r="P1193" s="2"/>
      <c r="Q1193" s="2"/>
      <c r="R1193" s="4"/>
      <c r="S1193" s="2"/>
      <c r="T1193" s="2"/>
      <c r="U1193" s="1"/>
      <c r="V1193" s="2"/>
      <c r="W1193" s="2"/>
      <c r="X1193" s="2"/>
      <c r="Y1193" s="2"/>
      <c r="Z1193" s="2"/>
    </row>
    <row r="1194" spans="1:26" ht="15.75" customHeight="1" x14ac:dyDescent="0.2">
      <c r="A1194" s="12"/>
      <c r="B1194" s="10"/>
      <c r="C1194" s="11"/>
      <c r="D1194" s="13"/>
      <c r="E1194" s="13"/>
      <c r="F1194" s="13"/>
      <c r="G1194" s="2"/>
      <c r="H1194" s="2"/>
      <c r="I1194" s="13"/>
      <c r="J1194" s="13"/>
      <c r="K1194" s="13"/>
      <c r="L1194" s="14"/>
      <c r="M1194" s="4"/>
      <c r="N1194" s="2"/>
      <c r="O1194" s="4"/>
      <c r="P1194" s="2"/>
      <c r="Q1194" s="2"/>
      <c r="R1194" s="4"/>
      <c r="S1194" s="2"/>
      <c r="T1194" s="2"/>
      <c r="U1194" s="1"/>
      <c r="V1194" s="2"/>
      <c r="W1194" s="2"/>
      <c r="X1194" s="2"/>
      <c r="Y1194" s="2"/>
      <c r="Z1194" s="2"/>
    </row>
    <row r="1195" spans="1:26" ht="15.75" customHeight="1" x14ac:dyDescent="0.2">
      <c r="A1195" s="12"/>
      <c r="B1195" s="10"/>
      <c r="C1195" s="11"/>
      <c r="D1195" s="13"/>
      <c r="E1195" s="13"/>
      <c r="F1195" s="13"/>
      <c r="G1195" s="2"/>
      <c r="H1195" s="2"/>
      <c r="I1195" s="13"/>
      <c r="J1195" s="13"/>
      <c r="K1195" s="13"/>
      <c r="L1195" s="14"/>
      <c r="M1195" s="4"/>
      <c r="N1195" s="2"/>
      <c r="O1195" s="4"/>
      <c r="P1195" s="2"/>
      <c r="Q1195" s="2"/>
      <c r="R1195" s="4"/>
      <c r="S1195" s="2"/>
      <c r="T1195" s="2"/>
      <c r="U1195" s="1"/>
      <c r="V1195" s="2"/>
      <c r="W1195" s="2"/>
      <c r="X1195" s="2"/>
      <c r="Y1195" s="2"/>
      <c r="Z1195" s="2"/>
    </row>
    <row r="1196" spans="1:26" ht="15.75" customHeight="1" x14ac:dyDescent="0.2">
      <c r="A1196" s="12"/>
      <c r="B1196" s="10"/>
      <c r="C1196" s="11"/>
      <c r="D1196" s="13"/>
      <c r="E1196" s="13"/>
      <c r="F1196" s="13"/>
      <c r="G1196" s="2"/>
      <c r="H1196" s="2"/>
      <c r="I1196" s="13"/>
      <c r="J1196" s="13"/>
      <c r="K1196" s="13"/>
      <c r="L1196" s="14"/>
      <c r="M1196" s="4"/>
      <c r="N1196" s="2"/>
      <c r="O1196" s="4"/>
      <c r="P1196" s="2"/>
      <c r="Q1196" s="2"/>
      <c r="R1196" s="4"/>
      <c r="S1196" s="2"/>
      <c r="T1196" s="2"/>
      <c r="U1196" s="1"/>
      <c r="V1196" s="2"/>
      <c r="W1196" s="2"/>
      <c r="X1196" s="2"/>
      <c r="Y1196" s="2"/>
      <c r="Z1196" s="2"/>
    </row>
    <row r="1197" spans="1:26" ht="15.75" customHeight="1" x14ac:dyDescent="0.2">
      <c r="A1197" s="12"/>
      <c r="B1197" s="10"/>
      <c r="C1197" s="11"/>
      <c r="D1197" s="13"/>
      <c r="E1197" s="13"/>
      <c r="F1197" s="13"/>
      <c r="G1197" s="2"/>
      <c r="H1197" s="2"/>
      <c r="I1197" s="13"/>
      <c r="J1197" s="13"/>
      <c r="K1197" s="13"/>
      <c r="L1197" s="14"/>
      <c r="M1197" s="4"/>
      <c r="N1197" s="2"/>
      <c r="O1197" s="4"/>
      <c r="P1197" s="2"/>
      <c r="Q1197" s="2"/>
      <c r="R1197" s="4"/>
      <c r="S1197" s="2"/>
      <c r="T1197" s="2"/>
      <c r="U1197" s="1"/>
      <c r="V1197" s="2"/>
      <c r="W1197" s="2"/>
      <c r="X1197" s="2"/>
      <c r="Y1197" s="2"/>
      <c r="Z1197" s="2"/>
    </row>
    <row r="1198" spans="1:26" ht="15.75" customHeight="1" x14ac:dyDescent="0.2">
      <c r="A1198" s="12"/>
      <c r="B1198" s="10"/>
      <c r="C1198" s="11"/>
      <c r="D1198" s="13"/>
      <c r="E1198" s="13"/>
      <c r="F1198" s="13"/>
      <c r="G1198" s="2"/>
      <c r="H1198" s="2"/>
      <c r="I1198" s="13"/>
      <c r="J1198" s="13"/>
      <c r="K1198" s="13"/>
      <c r="L1198" s="14"/>
      <c r="M1198" s="4"/>
      <c r="N1198" s="2"/>
      <c r="O1198" s="4"/>
      <c r="P1198" s="2"/>
      <c r="Q1198" s="2"/>
      <c r="R1198" s="4"/>
      <c r="S1198" s="2"/>
      <c r="T1198" s="2"/>
      <c r="U1198" s="1"/>
      <c r="V1198" s="2"/>
      <c r="W1198" s="2"/>
      <c r="X1198" s="2"/>
      <c r="Y1198" s="2"/>
      <c r="Z1198" s="2"/>
    </row>
    <row r="1199" spans="1:26" ht="15.75" customHeight="1" x14ac:dyDescent="0.2">
      <c r="A1199" s="12"/>
      <c r="B1199" s="10"/>
      <c r="C1199" s="11"/>
      <c r="D1199" s="13"/>
      <c r="E1199" s="13"/>
      <c r="F1199" s="13"/>
      <c r="G1199" s="2"/>
      <c r="H1199" s="2"/>
      <c r="I1199" s="13"/>
      <c r="J1199" s="13"/>
      <c r="K1199" s="13"/>
      <c r="L1199" s="14"/>
      <c r="M1199" s="4"/>
      <c r="N1199" s="2"/>
      <c r="O1199" s="4"/>
      <c r="P1199" s="2"/>
      <c r="Q1199" s="2"/>
      <c r="R1199" s="4"/>
      <c r="S1199" s="2"/>
      <c r="T1199" s="2"/>
      <c r="U1199" s="1"/>
      <c r="V1199" s="2"/>
      <c r="W1199" s="2"/>
      <c r="X1199" s="2"/>
      <c r="Y1199" s="2"/>
      <c r="Z1199" s="2"/>
    </row>
    <row r="1200" spans="1:26" ht="15.75" customHeight="1" x14ac:dyDescent="0.2">
      <c r="A1200" s="12"/>
      <c r="B1200" s="10"/>
      <c r="C1200" s="11"/>
      <c r="D1200" s="13"/>
      <c r="E1200" s="13"/>
      <c r="F1200" s="13"/>
      <c r="G1200" s="2"/>
      <c r="H1200" s="2"/>
      <c r="I1200" s="13"/>
      <c r="J1200" s="13"/>
      <c r="K1200" s="13"/>
      <c r="L1200" s="14"/>
      <c r="M1200" s="4"/>
      <c r="N1200" s="2"/>
      <c r="O1200" s="4"/>
      <c r="P1200" s="2"/>
      <c r="Q1200" s="2"/>
      <c r="R1200" s="4"/>
      <c r="S1200" s="2"/>
      <c r="T1200" s="2"/>
      <c r="U1200" s="1"/>
      <c r="V1200" s="2"/>
      <c r="W1200" s="2"/>
      <c r="X1200" s="2"/>
      <c r="Y1200" s="2"/>
      <c r="Z1200" s="2"/>
    </row>
    <row r="1201" spans="1:26" ht="15.75" customHeight="1" x14ac:dyDescent="0.2">
      <c r="A1201" s="12"/>
      <c r="B1201" s="10"/>
      <c r="C1201" s="11"/>
      <c r="D1201" s="13"/>
      <c r="E1201" s="13"/>
      <c r="F1201" s="13"/>
      <c r="G1201" s="2"/>
      <c r="H1201" s="2"/>
      <c r="I1201" s="13"/>
      <c r="J1201" s="13"/>
      <c r="K1201" s="13"/>
      <c r="L1201" s="14"/>
      <c r="M1201" s="4"/>
      <c r="N1201" s="2"/>
      <c r="O1201" s="4"/>
      <c r="P1201" s="2"/>
      <c r="Q1201" s="2"/>
      <c r="R1201" s="4"/>
      <c r="S1201" s="2"/>
      <c r="T1201" s="2"/>
      <c r="U1201" s="1"/>
      <c r="V1201" s="2"/>
      <c r="W1201" s="2"/>
      <c r="X1201" s="2"/>
      <c r="Y1201" s="2"/>
      <c r="Z1201" s="2"/>
    </row>
    <row r="1202" spans="1:26" ht="15.75" customHeight="1" x14ac:dyDescent="0.2">
      <c r="A1202" s="12"/>
      <c r="B1202" s="10"/>
      <c r="C1202" s="11"/>
      <c r="D1202" s="13"/>
      <c r="E1202" s="13"/>
      <c r="F1202" s="13"/>
      <c r="G1202" s="2"/>
      <c r="H1202" s="2"/>
      <c r="I1202" s="13"/>
      <c r="J1202" s="13"/>
      <c r="K1202" s="13"/>
      <c r="L1202" s="14"/>
      <c r="M1202" s="4"/>
      <c r="N1202" s="2"/>
      <c r="O1202" s="4"/>
      <c r="P1202" s="2"/>
      <c r="Q1202" s="2"/>
      <c r="R1202" s="4"/>
      <c r="S1202" s="2"/>
      <c r="T1202" s="2"/>
      <c r="U1202" s="1"/>
      <c r="V1202" s="2"/>
      <c r="W1202" s="2"/>
      <c r="X1202" s="2"/>
      <c r="Y1202" s="2"/>
      <c r="Z1202" s="2"/>
    </row>
    <row r="1203" spans="1:26" ht="15.75" customHeight="1" x14ac:dyDescent="0.2">
      <c r="A1203" s="12"/>
      <c r="B1203" s="10"/>
      <c r="C1203" s="11"/>
      <c r="D1203" s="13"/>
      <c r="E1203" s="13"/>
      <c r="F1203" s="13"/>
      <c r="G1203" s="2"/>
      <c r="H1203" s="2"/>
      <c r="I1203" s="13"/>
      <c r="J1203" s="13"/>
      <c r="K1203" s="13"/>
      <c r="L1203" s="14"/>
      <c r="M1203" s="4"/>
      <c r="N1203" s="2"/>
      <c r="O1203" s="4"/>
      <c r="P1203" s="2"/>
      <c r="Q1203" s="2"/>
      <c r="R1203" s="4"/>
      <c r="S1203" s="2"/>
      <c r="T1203" s="2"/>
      <c r="U1203" s="1"/>
      <c r="V1203" s="2"/>
      <c r="W1203" s="2"/>
      <c r="X1203" s="2"/>
      <c r="Y1203" s="2"/>
      <c r="Z1203" s="2"/>
    </row>
    <row r="1204" spans="1:26" ht="15.75" customHeight="1" x14ac:dyDescent="0.2">
      <c r="A1204" s="12"/>
      <c r="B1204" s="10"/>
      <c r="C1204" s="11"/>
      <c r="D1204" s="13"/>
      <c r="E1204" s="13"/>
      <c r="F1204" s="13"/>
      <c r="G1204" s="2"/>
      <c r="H1204" s="2"/>
      <c r="I1204" s="13"/>
      <c r="J1204" s="13"/>
      <c r="K1204" s="13"/>
      <c r="L1204" s="14"/>
      <c r="M1204" s="4"/>
      <c r="N1204" s="2"/>
      <c r="O1204" s="4"/>
      <c r="P1204" s="2"/>
      <c r="Q1204" s="2"/>
      <c r="R1204" s="4"/>
      <c r="S1204" s="2"/>
      <c r="T1204" s="2"/>
      <c r="U1204" s="1"/>
      <c r="V1204" s="2"/>
      <c r="W1204" s="2"/>
      <c r="X1204" s="2"/>
      <c r="Y1204" s="2"/>
      <c r="Z1204" s="2"/>
    </row>
    <row r="1205" spans="1:26" ht="15.75" customHeight="1" x14ac:dyDescent="0.2">
      <c r="A1205" s="12"/>
      <c r="B1205" s="10"/>
      <c r="C1205" s="11"/>
      <c r="D1205" s="13"/>
      <c r="E1205" s="13"/>
      <c r="F1205" s="13"/>
      <c r="G1205" s="2"/>
      <c r="H1205" s="2"/>
      <c r="I1205" s="13"/>
      <c r="J1205" s="13"/>
      <c r="K1205" s="13"/>
      <c r="L1205" s="14"/>
      <c r="M1205" s="4"/>
      <c r="N1205" s="2"/>
      <c r="O1205" s="4"/>
      <c r="P1205" s="2"/>
      <c r="Q1205" s="2"/>
      <c r="R1205" s="4"/>
      <c r="S1205" s="2"/>
      <c r="T1205" s="2"/>
      <c r="U1205" s="1"/>
      <c r="V1205" s="2"/>
      <c r="W1205" s="2"/>
      <c r="X1205" s="2"/>
      <c r="Y1205" s="2"/>
      <c r="Z1205" s="2"/>
    </row>
    <row r="1206" spans="1:26" ht="15.75" customHeight="1" x14ac:dyDescent="0.2">
      <c r="A1206" s="12"/>
      <c r="B1206" s="10"/>
      <c r="C1206" s="11"/>
      <c r="D1206" s="13"/>
      <c r="E1206" s="13"/>
      <c r="F1206" s="13"/>
      <c r="G1206" s="2"/>
      <c r="H1206" s="2"/>
      <c r="I1206" s="13"/>
      <c r="J1206" s="13"/>
      <c r="K1206" s="13"/>
      <c r="L1206" s="14"/>
      <c r="M1206" s="4"/>
      <c r="N1206" s="2"/>
      <c r="O1206" s="4"/>
      <c r="P1206" s="2"/>
      <c r="Q1206" s="2"/>
      <c r="R1206" s="4"/>
      <c r="S1206" s="2"/>
      <c r="T1206" s="2"/>
      <c r="U1206" s="1"/>
      <c r="V1206" s="2"/>
      <c r="W1206" s="2"/>
      <c r="X1206" s="2"/>
      <c r="Y1206" s="2"/>
      <c r="Z1206" s="2"/>
    </row>
    <row r="1207" spans="1:26" ht="15.75" customHeight="1" x14ac:dyDescent="0.2">
      <c r="A1207" s="12"/>
      <c r="B1207" s="10"/>
      <c r="C1207" s="11"/>
      <c r="D1207" s="13"/>
      <c r="E1207" s="13"/>
      <c r="F1207" s="13"/>
      <c r="G1207" s="2"/>
      <c r="H1207" s="2"/>
      <c r="I1207" s="13"/>
      <c r="J1207" s="13"/>
      <c r="K1207" s="13"/>
      <c r="L1207" s="14"/>
      <c r="M1207" s="4"/>
      <c r="N1207" s="2"/>
      <c r="O1207" s="4"/>
      <c r="P1207" s="2"/>
      <c r="Q1207" s="2"/>
      <c r="R1207" s="4"/>
      <c r="S1207" s="2"/>
      <c r="T1207" s="2"/>
      <c r="U1207" s="1"/>
      <c r="V1207" s="2"/>
      <c r="W1207" s="2"/>
      <c r="X1207" s="2"/>
      <c r="Y1207" s="2"/>
      <c r="Z1207" s="2"/>
    </row>
  </sheetData>
  <mergeCells count="11">
    <mergeCell ref="A102:C102"/>
    <mergeCell ref="A117:C117"/>
    <mergeCell ref="I117:K117"/>
    <mergeCell ref="A219:B219"/>
    <mergeCell ref="A3:C3"/>
    <mergeCell ref="I3:K3"/>
    <mergeCell ref="A42:C42"/>
    <mergeCell ref="I42:K42"/>
    <mergeCell ref="A66:C66"/>
    <mergeCell ref="I66:K66"/>
    <mergeCell ref="I102:K102"/>
  </mergeCells>
  <conditionalFormatting sqref="L1:L1207">
    <cfRule type="cellIs" dxfId="85" priority="7" operator="between">
      <formula>"25%"</formula>
      <formula>"30%"</formula>
    </cfRule>
    <cfRule type="cellIs" dxfId="84" priority="6" operator="lessThan">
      <formula>"25%"</formula>
    </cfRule>
    <cfRule type="cellIs" dxfId="83" priority="5" operator="greaterThan">
      <formula>"30%"</formula>
    </cfRule>
  </conditionalFormatting>
  <conditionalFormatting sqref="L212:L219">
    <cfRule type="cellIs" dxfId="82" priority="1" operator="between">
      <formula>"20%"</formula>
      <formula>"25%"</formula>
    </cfRule>
    <cfRule type="cellIs" dxfId="81" priority="3" operator="between">
      <formula>"20.01%"</formula>
      <formula>"25%"</formula>
    </cfRule>
    <cfRule type="cellIs" dxfId="80" priority="2" operator="lessThanOrEqual">
      <formula>"20%"</formula>
    </cfRule>
    <cfRule type="cellIs" dxfId="79" priority="4" operator="greater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68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128</v>
      </c>
      <c r="B3" s="89"/>
      <c r="C3" s="89"/>
      <c r="D3" s="2"/>
      <c r="E3" s="7" t="s">
        <v>58</v>
      </c>
      <c r="F3" s="8">
        <v>46121</v>
      </c>
      <c r="G3" s="2"/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3</v>
      </c>
      <c r="B6" s="10" t="s">
        <v>15</v>
      </c>
      <c r="C6" s="11" t="s">
        <v>56</v>
      </c>
      <c r="D6" s="13">
        <v>14000</v>
      </c>
      <c r="E6" s="13">
        <f t="shared" ref="E6:E18" si="0">A6*D6</f>
        <v>42000</v>
      </c>
      <c r="F6" s="13">
        <f t="shared" ref="F6:F17" si="1">E6*1.105</f>
        <v>46410</v>
      </c>
      <c r="G6" s="2"/>
      <c r="H6" s="2"/>
      <c r="I6" s="13">
        <v>10000</v>
      </c>
      <c r="J6" s="13">
        <f t="shared" ref="J6:J18" si="2">I6*A6</f>
        <v>30000</v>
      </c>
      <c r="K6" s="13">
        <f t="shared" ref="K6:K18" si="3">F6-J6</f>
        <v>16410</v>
      </c>
      <c r="L6" s="14">
        <f t="shared" ref="L6:L18" si="4">IFERROR(K6/E6, 0)</f>
        <v>0.39071428571428574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2</v>
      </c>
      <c r="B7" s="10" t="s">
        <v>23</v>
      </c>
      <c r="C7" s="11" t="s">
        <v>31</v>
      </c>
      <c r="D7" s="13">
        <v>18000</v>
      </c>
      <c r="E7" s="13">
        <f t="shared" si="0"/>
        <v>36000</v>
      </c>
      <c r="F7" s="13">
        <f t="shared" si="1"/>
        <v>39780</v>
      </c>
      <c r="G7" s="2"/>
      <c r="H7" s="2"/>
      <c r="I7" s="13">
        <v>15000</v>
      </c>
      <c r="J7" s="13">
        <f t="shared" si="2"/>
        <v>30000</v>
      </c>
      <c r="K7" s="13">
        <f t="shared" si="3"/>
        <v>9780</v>
      </c>
      <c r="L7" s="14">
        <f t="shared" si="4"/>
        <v>0.27166666666666667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4</v>
      </c>
      <c r="B8" s="10" t="s">
        <v>15</v>
      </c>
      <c r="C8" s="11" t="s">
        <v>167</v>
      </c>
      <c r="D8" s="13">
        <v>16000</v>
      </c>
      <c r="E8" s="13">
        <f t="shared" si="0"/>
        <v>64000</v>
      </c>
      <c r="F8" s="13">
        <f t="shared" si="1"/>
        <v>70720</v>
      </c>
      <c r="G8" s="2"/>
      <c r="H8" s="2"/>
      <c r="I8" s="13">
        <v>10000</v>
      </c>
      <c r="J8" s="13">
        <f t="shared" si="2"/>
        <v>40000</v>
      </c>
      <c r="K8" s="13">
        <f t="shared" si="3"/>
        <v>30720</v>
      </c>
      <c r="L8" s="14">
        <f t="shared" si="4"/>
        <v>0.48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2</v>
      </c>
      <c r="B9" s="10" t="s">
        <v>23</v>
      </c>
      <c r="C9" s="11" t="s">
        <v>82</v>
      </c>
      <c r="D9" s="13">
        <v>28000</v>
      </c>
      <c r="E9" s="13">
        <f t="shared" si="0"/>
        <v>56000</v>
      </c>
      <c r="F9" s="13">
        <f t="shared" si="1"/>
        <v>61880</v>
      </c>
      <c r="G9" s="2"/>
      <c r="H9" s="2"/>
      <c r="I9" s="13">
        <v>25000</v>
      </c>
      <c r="J9" s="13">
        <f t="shared" si="2"/>
        <v>50000</v>
      </c>
      <c r="K9" s="13">
        <f t="shared" si="3"/>
        <v>11880</v>
      </c>
      <c r="L9" s="14">
        <f t="shared" si="4"/>
        <v>0.21214285714285713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2</v>
      </c>
      <c r="B10" s="10" t="s">
        <v>15</v>
      </c>
      <c r="C10" s="11" t="s">
        <v>16</v>
      </c>
      <c r="D10" s="13">
        <v>13000</v>
      </c>
      <c r="E10" s="13">
        <f t="shared" si="0"/>
        <v>26000</v>
      </c>
      <c r="F10" s="13">
        <f t="shared" si="1"/>
        <v>28730</v>
      </c>
      <c r="G10" s="7" t="s">
        <v>37</v>
      </c>
      <c r="H10" s="2"/>
      <c r="I10" s="13">
        <v>8000</v>
      </c>
      <c r="J10" s="13">
        <f t="shared" si="2"/>
        <v>16000</v>
      </c>
      <c r="K10" s="13">
        <f t="shared" si="3"/>
        <v>12730</v>
      </c>
      <c r="L10" s="14">
        <f t="shared" si="4"/>
        <v>0.48961538461538462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2</v>
      </c>
      <c r="B11" s="10" t="s">
        <v>15</v>
      </c>
      <c r="C11" s="11" t="s">
        <v>129</v>
      </c>
      <c r="D11" s="13">
        <v>16000</v>
      </c>
      <c r="E11" s="13">
        <f t="shared" si="0"/>
        <v>32000</v>
      </c>
      <c r="F11" s="13">
        <f t="shared" si="1"/>
        <v>35360</v>
      </c>
      <c r="G11" s="2"/>
      <c r="H11" s="2"/>
      <c r="I11" s="13">
        <v>11000</v>
      </c>
      <c r="J11" s="13">
        <f t="shared" si="2"/>
        <v>22000</v>
      </c>
      <c r="K11" s="13">
        <f t="shared" si="3"/>
        <v>13360</v>
      </c>
      <c r="L11" s="14">
        <f t="shared" si="4"/>
        <v>0.41749999999999998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2</v>
      </c>
      <c r="B12" s="10" t="s">
        <v>23</v>
      </c>
      <c r="C12" s="11" t="s">
        <v>35</v>
      </c>
      <c r="D12" s="13">
        <v>17000</v>
      </c>
      <c r="E12" s="13">
        <f t="shared" si="0"/>
        <v>34000</v>
      </c>
      <c r="F12" s="13">
        <f t="shared" si="1"/>
        <v>37570</v>
      </c>
      <c r="G12" s="2"/>
      <c r="H12" s="2"/>
      <c r="I12" s="13">
        <v>14000</v>
      </c>
      <c r="J12" s="13">
        <f t="shared" si="2"/>
        <v>28000</v>
      </c>
      <c r="K12" s="13">
        <f t="shared" si="3"/>
        <v>9570</v>
      </c>
      <c r="L12" s="14">
        <f t="shared" si="4"/>
        <v>0.28147058823529414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4</v>
      </c>
      <c r="B13" s="10" t="s">
        <v>23</v>
      </c>
      <c r="C13" s="11" t="s">
        <v>130</v>
      </c>
      <c r="D13" s="13">
        <v>11000</v>
      </c>
      <c r="E13" s="13">
        <f t="shared" si="0"/>
        <v>44000</v>
      </c>
      <c r="F13" s="13">
        <f t="shared" si="1"/>
        <v>48620</v>
      </c>
      <c r="G13" s="2"/>
      <c r="H13" s="2"/>
      <c r="I13" s="13">
        <v>7000</v>
      </c>
      <c r="J13" s="13">
        <f t="shared" si="2"/>
        <v>28000</v>
      </c>
      <c r="K13" s="13">
        <f t="shared" si="3"/>
        <v>20620</v>
      </c>
      <c r="L13" s="14">
        <f t="shared" si="4"/>
        <v>0.46863636363636363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8</v>
      </c>
      <c r="B14" s="10" t="s">
        <v>15</v>
      </c>
      <c r="C14" s="11" t="s">
        <v>135</v>
      </c>
      <c r="D14" s="13">
        <v>15000</v>
      </c>
      <c r="E14" s="13">
        <f t="shared" si="0"/>
        <v>120000</v>
      </c>
      <c r="F14" s="13">
        <f t="shared" si="1"/>
        <v>132600</v>
      </c>
      <c r="G14" s="2"/>
      <c r="H14" s="2"/>
      <c r="I14" s="13">
        <v>11500</v>
      </c>
      <c r="J14" s="13">
        <f t="shared" si="2"/>
        <v>92000</v>
      </c>
      <c r="K14" s="13">
        <f t="shared" si="3"/>
        <v>40600</v>
      </c>
      <c r="L14" s="14">
        <f t="shared" si="4"/>
        <v>0.33833333333333332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1</v>
      </c>
      <c r="B15" s="10" t="s">
        <v>23</v>
      </c>
      <c r="C15" s="34" t="s">
        <v>73</v>
      </c>
      <c r="D15" s="13">
        <v>12000</v>
      </c>
      <c r="E15" s="13">
        <f t="shared" si="0"/>
        <v>12000</v>
      </c>
      <c r="F15" s="13">
        <f t="shared" si="1"/>
        <v>13260</v>
      </c>
      <c r="G15" s="2"/>
      <c r="H15" s="2"/>
      <c r="I15" s="13">
        <v>8000</v>
      </c>
      <c r="J15" s="13">
        <f t="shared" si="2"/>
        <v>8000</v>
      </c>
      <c r="K15" s="13">
        <f t="shared" si="3"/>
        <v>5260</v>
      </c>
      <c r="L15" s="14">
        <f t="shared" si="4"/>
        <v>0.43833333333333335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23</v>
      </c>
      <c r="C16" s="11" t="s">
        <v>20</v>
      </c>
      <c r="D16" s="13">
        <v>16000</v>
      </c>
      <c r="E16" s="13">
        <f t="shared" si="0"/>
        <v>16000</v>
      </c>
      <c r="F16" s="13">
        <f t="shared" si="1"/>
        <v>17680</v>
      </c>
      <c r="G16" s="2"/>
      <c r="H16" s="2"/>
      <c r="I16" s="13">
        <v>13000</v>
      </c>
      <c r="J16" s="13">
        <f t="shared" si="2"/>
        <v>13000</v>
      </c>
      <c r="K16" s="13">
        <f t="shared" si="3"/>
        <v>4680</v>
      </c>
      <c r="L16" s="14">
        <f t="shared" si="4"/>
        <v>0.29249999999999998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3</v>
      </c>
      <c r="B17" s="10" t="s">
        <v>23</v>
      </c>
      <c r="C17" s="11" t="s">
        <v>67</v>
      </c>
      <c r="D17" s="13">
        <v>20000</v>
      </c>
      <c r="E17" s="13">
        <f t="shared" si="0"/>
        <v>60000</v>
      </c>
      <c r="F17" s="13">
        <f t="shared" si="1"/>
        <v>66300</v>
      </c>
      <c r="G17" s="2"/>
      <c r="H17" s="2"/>
      <c r="I17" s="13">
        <v>13000</v>
      </c>
      <c r="J17" s="13">
        <f t="shared" si="2"/>
        <v>39000</v>
      </c>
      <c r="K17" s="13">
        <f t="shared" si="3"/>
        <v>27300</v>
      </c>
      <c r="L17" s="14">
        <f t="shared" si="4"/>
        <v>0.45500000000000002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0.5</v>
      </c>
      <c r="B18" s="10" t="s">
        <v>23</v>
      </c>
      <c r="C18" s="11" t="s">
        <v>188</v>
      </c>
      <c r="D18" s="13">
        <v>50000</v>
      </c>
      <c r="E18" s="13">
        <f t="shared" si="0"/>
        <v>25000</v>
      </c>
      <c r="F18" s="13">
        <f>E18*1.21</f>
        <v>30250</v>
      </c>
      <c r="G18" s="2"/>
      <c r="H18" s="2"/>
      <c r="I18" s="13">
        <v>50000</v>
      </c>
      <c r="J18" s="13">
        <f t="shared" si="2"/>
        <v>25000</v>
      </c>
      <c r="K18" s="13">
        <f t="shared" si="3"/>
        <v>5250</v>
      </c>
      <c r="L18" s="14">
        <f t="shared" si="4"/>
        <v>0.21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5"/>
      <c r="B19" s="2"/>
      <c r="C19" s="4"/>
      <c r="D19" s="2"/>
      <c r="E19" s="2"/>
      <c r="F19" s="2"/>
      <c r="G19" s="2"/>
      <c r="H19" s="2"/>
      <c r="I19" s="2"/>
      <c r="J19" s="2"/>
      <c r="K19" s="2"/>
      <c r="L19" s="3"/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"/>
      <c r="B20" s="2"/>
      <c r="C20" s="4"/>
      <c r="D20" s="2"/>
      <c r="E20" s="13">
        <f t="shared" ref="E20:F20" si="5">SUM(E6:E18)</f>
        <v>567000</v>
      </c>
      <c r="F20" s="13">
        <f t="shared" si="5"/>
        <v>629160</v>
      </c>
      <c r="G20" s="2"/>
      <c r="H20" s="2"/>
      <c r="I20" s="2"/>
      <c r="J20" s="2"/>
      <c r="K20" s="13">
        <f>SUM(K6:K18)</f>
        <v>208160</v>
      </c>
      <c r="L20" s="14">
        <f>K20/F20</f>
        <v>0.33085383686184755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"/>
      <c r="B21" s="2"/>
      <c r="C21" s="4"/>
      <c r="D21" s="2"/>
      <c r="E21" s="2"/>
      <c r="F21" s="2"/>
      <c r="G21" s="2"/>
      <c r="H21" s="2"/>
      <c r="I21" s="2"/>
      <c r="J21" s="2"/>
      <c r="K21" s="2"/>
      <c r="L21" s="3"/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"/>
      <c r="B22" s="2"/>
      <c r="C22" s="4"/>
      <c r="D22" s="2"/>
      <c r="E22" s="2"/>
      <c r="F22" s="2"/>
      <c r="G22" s="2"/>
      <c r="H22" s="2"/>
      <c r="I22" s="2"/>
      <c r="J22" s="2"/>
      <c r="K22" s="2"/>
      <c r="L22" s="3"/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"/>
      <c r="B23" s="2"/>
      <c r="C23" s="4"/>
      <c r="D23" s="2"/>
      <c r="E23" s="2"/>
      <c r="F23" s="2"/>
      <c r="G23" s="2"/>
      <c r="H23" s="2"/>
      <c r="I23" s="2"/>
      <c r="J23" s="2"/>
      <c r="K23" s="2"/>
      <c r="L23" s="3"/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88" t="s">
        <v>160</v>
      </c>
      <c r="B26" s="89"/>
      <c r="C26" s="89"/>
      <c r="D26" s="2"/>
      <c r="E26" s="7" t="s">
        <v>189</v>
      </c>
      <c r="F26" s="8">
        <v>46121</v>
      </c>
      <c r="G26" s="2"/>
      <c r="H26" s="2"/>
      <c r="I26" s="9" t="s">
        <v>2</v>
      </c>
      <c r="J26" s="9"/>
      <c r="K26" s="9"/>
      <c r="L26" s="3"/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"/>
      <c r="B27" s="2"/>
      <c r="C27" s="5"/>
      <c r="D27" s="2"/>
      <c r="E27" s="2"/>
      <c r="F27" s="2"/>
      <c r="G27" s="2"/>
      <c r="H27" s="2"/>
      <c r="I27" s="2"/>
      <c r="J27" s="2"/>
      <c r="K27" s="2"/>
      <c r="L27" s="3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6" t="s">
        <v>3</v>
      </c>
      <c r="B28" s="10" t="s">
        <v>4</v>
      </c>
      <c r="C28" s="11" t="s">
        <v>5</v>
      </c>
      <c r="D28" s="10" t="s">
        <v>6</v>
      </c>
      <c r="E28" s="10" t="s">
        <v>7</v>
      </c>
      <c r="F28" s="10" t="s">
        <v>8</v>
      </c>
      <c r="G28" s="2"/>
      <c r="H28" s="2"/>
      <c r="I28" s="10" t="s">
        <v>9</v>
      </c>
      <c r="J28" s="10" t="s">
        <v>7</v>
      </c>
      <c r="K28" s="10" t="s">
        <v>10</v>
      </c>
      <c r="L28" s="3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4</v>
      </c>
      <c r="B29" s="10" t="s">
        <v>23</v>
      </c>
      <c r="C29" s="11" t="s">
        <v>62</v>
      </c>
      <c r="D29" s="13">
        <v>40000</v>
      </c>
      <c r="E29" s="13">
        <f t="shared" ref="E29:E38" si="6">A29*D29</f>
        <v>160000</v>
      </c>
      <c r="F29" s="13">
        <f t="shared" ref="F29:F38" si="7">E29*1.105</f>
        <v>176800</v>
      </c>
      <c r="G29" s="2"/>
      <c r="H29" s="2"/>
      <c r="I29" s="13">
        <v>36000</v>
      </c>
      <c r="J29" s="13">
        <f t="shared" ref="J29:J38" si="8">I29*A29</f>
        <v>144000</v>
      </c>
      <c r="K29" s="13">
        <f t="shared" ref="K29:K38" si="9">F29-J29</f>
        <v>32800</v>
      </c>
      <c r="L29" s="14">
        <f t="shared" ref="L29:L38" si="10">IFERROR(K29/E29, 0)</f>
        <v>0.20499999999999999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4</v>
      </c>
      <c r="B30" s="10" t="s">
        <v>23</v>
      </c>
      <c r="C30" s="11" t="s">
        <v>26</v>
      </c>
      <c r="D30" s="13">
        <v>26000</v>
      </c>
      <c r="E30" s="13">
        <f t="shared" si="6"/>
        <v>104000</v>
      </c>
      <c r="F30" s="13">
        <f t="shared" si="7"/>
        <v>114920</v>
      </c>
      <c r="G30" s="2"/>
      <c r="H30" s="2"/>
      <c r="I30" s="13">
        <v>24000</v>
      </c>
      <c r="J30" s="13">
        <f t="shared" si="8"/>
        <v>96000</v>
      </c>
      <c r="K30" s="13">
        <f t="shared" si="9"/>
        <v>18920</v>
      </c>
      <c r="L30" s="14">
        <f t="shared" si="10"/>
        <v>0.18192307692307691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2</v>
      </c>
      <c r="B31" s="10" t="s">
        <v>86</v>
      </c>
      <c r="C31" s="11" t="s">
        <v>190</v>
      </c>
      <c r="D31" s="13">
        <v>60000</v>
      </c>
      <c r="E31" s="13">
        <f t="shared" si="6"/>
        <v>120000</v>
      </c>
      <c r="F31" s="13">
        <f t="shared" si="7"/>
        <v>132600</v>
      </c>
      <c r="G31" s="7"/>
      <c r="H31" s="2"/>
      <c r="I31" s="13">
        <v>20000</v>
      </c>
      <c r="J31" s="13">
        <f t="shared" si="8"/>
        <v>40000</v>
      </c>
      <c r="K31" s="13">
        <f t="shared" si="9"/>
        <v>92600</v>
      </c>
      <c r="L31" s="18">
        <f t="shared" si="10"/>
        <v>0.77166666666666661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2</v>
      </c>
      <c r="B32" s="10" t="s">
        <v>86</v>
      </c>
      <c r="C32" s="11" t="s">
        <v>49</v>
      </c>
      <c r="D32" s="13">
        <v>25000</v>
      </c>
      <c r="E32" s="13">
        <f t="shared" si="6"/>
        <v>50000</v>
      </c>
      <c r="F32" s="13">
        <f t="shared" si="7"/>
        <v>55250</v>
      </c>
      <c r="G32" s="2"/>
      <c r="H32" s="2"/>
      <c r="I32" s="13">
        <f>17000</f>
        <v>17000</v>
      </c>
      <c r="J32" s="13">
        <f t="shared" si="8"/>
        <v>34000</v>
      </c>
      <c r="K32" s="13">
        <f t="shared" si="9"/>
        <v>21250</v>
      </c>
      <c r="L32" s="14">
        <f t="shared" si="10"/>
        <v>0.42499999999999999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3</v>
      </c>
      <c r="B33" s="10" t="s">
        <v>86</v>
      </c>
      <c r="C33" s="11" t="s">
        <v>191</v>
      </c>
      <c r="D33" s="13">
        <v>45000</v>
      </c>
      <c r="E33" s="13">
        <f t="shared" si="6"/>
        <v>135000</v>
      </c>
      <c r="F33" s="13">
        <f t="shared" si="7"/>
        <v>149175</v>
      </c>
      <c r="G33" s="7"/>
      <c r="H33" s="2"/>
      <c r="I33" s="13">
        <f>88000/3</f>
        <v>29333.333333333332</v>
      </c>
      <c r="J33" s="13">
        <f t="shared" si="8"/>
        <v>88000</v>
      </c>
      <c r="K33" s="13">
        <f t="shared" si="9"/>
        <v>61175</v>
      </c>
      <c r="L33" s="14">
        <f t="shared" si="10"/>
        <v>0.45314814814814813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1</v>
      </c>
      <c r="B34" s="10" t="s">
        <v>23</v>
      </c>
      <c r="C34" s="11" t="s">
        <v>62</v>
      </c>
      <c r="D34" s="13">
        <v>40000</v>
      </c>
      <c r="E34" s="13">
        <f t="shared" si="6"/>
        <v>40000</v>
      </c>
      <c r="F34" s="13">
        <f t="shared" si="7"/>
        <v>44200</v>
      </c>
      <c r="G34" s="7" t="s">
        <v>15</v>
      </c>
      <c r="H34" s="2"/>
      <c r="I34" s="2"/>
      <c r="J34" s="13">
        <f t="shared" si="8"/>
        <v>0</v>
      </c>
      <c r="K34" s="13">
        <f t="shared" si="9"/>
        <v>44200</v>
      </c>
      <c r="L34" s="14">
        <f t="shared" si="10"/>
        <v>1.105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1</v>
      </c>
      <c r="B35" s="10" t="s">
        <v>23</v>
      </c>
      <c r="C35" s="11" t="s">
        <v>26</v>
      </c>
      <c r="D35" s="13">
        <v>26000</v>
      </c>
      <c r="E35" s="13">
        <f t="shared" si="6"/>
        <v>26000</v>
      </c>
      <c r="F35" s="13">
        <f t="shared" si="7"/>
        <v>28730</v>
      </c>
      <c r="G35" s="7" t="s">
        <v>15</v>
      </c>
      <c r="H35" s="2"/>
      <c r="I35" s="2"/>
      <c r="J35" s="13">
        <f t="shared" si="8"/>
        <v>0</v>
      </c>
      <c r="K35" s="13">
        <f t="shared" si="9"/>
        <v>28730</v>
      </c>
      <c r="L35" s="14">
        <f t="shared" si="10"/>
        <v>1.105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</v>
      </c>
      <c r="B36" s="10" t="s">
        <v>23</v>
      </c>
      <c r="C36" s="11" t="s">
        <v>190</v>
      </c>
      <c r="D36" s="13">
        <v>60000</v>
      </c>
      <c r="E36" s="13">
        <f t="shared" si="6"/>
        <v>60000</v>
      </c>
      <c r="F36" s="13">
        <f t="shared" si="7"/>
        <v>66300</v>
      </c>
      <c r="G36" s="7" t="s">
        <v>15</v>
      </c>
      <c r="H36" s="2"/>
      <c r="I36" s="2"/>
      <c r="J36" s="13">
        <f t="shared" si="8"/>
        <v>0</v>
      </c>
      <c r="K36" s="13">
        <f t="shared" si="9"/>
        <v>66300</v>
      </c>
      <c r="L36" s="14">
        <f t="shared" si="10"/>
        <v>1.105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1</v>
      </c>
      <c r="B37" s="10" t="s">
        <v>23</v>
      </c>
      <c r="C37" s="11" t="s">
        <v>49</v>
      </c>
      <c r="D37" s="13">
        <v>25000</v>
      </c>
      <c r="E37" s="13">
        <f t="shared" si="6"/>
        <v>25000</v>
      </c>
      <c r="F37" s="13">
        <f t="shared" si="7"/>
        <v>27625</v>
      </c>
      <c r="G37" s="7" t="s">
        <v>15</v>
      </c>
      <c r="H37" s="2"/>
      <c r="I37" s="2"/>
      <c r="J37" s="13">
        <f t="shared" si="8"/>
        <v>0</v>
      </c>
      <c r="K37" s="13">
        <f t="shared" si="9"/>
        <v>27625</v>
      </c>
      <c r="L37" s="14">
        <f t="shared" si="10"/>
        <v>1.105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1</v>
      </c>
      <c r="B38" s="10" t="s">
        <v>23</v>
      </c>
      <c r="C38" s="11" t="s">
        <v>74</v>
      </c>
      <c r="D38" s="13">
        <v>45000</v>
      </c>
      <c r="E38" s="13">
        <f t="shared" si="6"/>
        <v>45000</v>
      </c>
      <c r="F38" s="13">
        <f t="shared" si="7"/>
        <v>49725</v>
      </c>
      <c r="G38" s="7" t="s">
        <v>15</v>
      </c>
      <c r="H38" s="2"/>
      <c r="I38" s="2"/>
      <c r="J38" s="13">
        <f t="shared" si="8"/>
        <v>0</v>
      </c>
      <c r="K38" s="13">
        <f t="shared" si="9"/>
        <v>49725</v>
      </c>
      <c r="L38" s="14">
        <f t="shared" si="10"/>
        <v>1.105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"/>
      <c r="B39" s="2"/>
      <c r="C39" s="4"/>
      <c r="D39" s="2"/>
      <c r="E39" s="2"/>
      <c r="F39" s="13"/>
      <c r="G39" s="2"/>
      <c r="H39" s="2"/>
      <c r="I39" s="2"/>
      <c r="J39" s="2"/>
      <c r="K39" s="2"/>
      <c r="L39" s="3"/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"/>
      <c r="B40" s="2"/>
      <c r="C40" s="4"/>
      <c r="D40" s="2"/>
      <c r="E40" s="13">
        <f t="shared" ref="E40:F40" si="11">SUM(E29:E38)</f>
        <v>765000</v>
      </c>
      <c r="F40" s="13">
        <f t="shared" si="11"/>
        <v>845325</v>
      </c>
      <c r="G40" s="2"/>
      <c r="H40" s="2"/>
      <c r="I40" s="2"/>
      <c r="J40" s="2"/>
      <c r="K40" s="13">
        <f>SUM(K29:K38)</f>
        <v>443325</v>
      </c>
      <c r="L40" s="14">
        <f>K40/F40</f>
        <v>0.52444326146748288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88" t="s">
        <v>0</v>
      </c>
      <c r="B43" s="89"/>
      <c r="C43" s="89"/>
      <c r="D43" s="2"/>
      <c r="E43" s="7" t="s">
        <v>179</v>
      </c>
      <c r="F43" s="8">
        <v>46121</v>
      </c>
      <c r="G43" s="2"/>
      <c r="H43" s="2"/>
      <c r="I43" s="91" t="s">
        <v>2</v>
      </c>
      <c r="J43" s="89"/>
      <c r="K43" s="89"/>
      <c r="L43" s="3"/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"/>
      <c r="B44" s="2"/>
      <c r="C44" s="5"/>
      <c r="D44" s="2"/>
      <c r="E44" s="2"/>
      <c r="F44" s="2"/>
      <c r="G44" s="2"/>
      <c r="H44" s="2"/>
      <c r="I44" s="2"/>
      <c r="J44" s="2"/>
      <c r="K44" s="2"/>
      <c r="L44" s="3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6" t="s">
        <v>3</v>
      </c>
      <c r="B45" s="10" t="s">
        <v>4</v>
      </c>
      <c r="C45" s="11" t="s">
        <v>5</v>
      </c>
      <c r="D45" s="10" t="s">
        <v>6</v>
      </c>
      <c r="E45" s="10" t="s">
        <v>7</v>
      </c>
      <c r="F45" s="10" t="s">
        <v>8</v>
      </c>
      <c r="G45" s="2"/>
      <c r="H45" s="2"/>
      <c r="I45" s="10" t="s">
        <v>9</v>
      </c>
      <c r="J45" s="10" t="s">
        <v>7</v>
      </c>
      <c r="K45" s="10" t="s">
        <v>10</v>
      </c>
      <c r="L45" s="3"/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1</v>
      </c>
      <c r="B46" s="10" t="s">
        <v>15</v>
      </c>
      <c r="C46" s="11" t="s">
        <v>154</v>
      </c>
      <c r="D46" s="13">
        <v>25000</v>
      </c>
      <c r="E46" s="13">
        <f t="shared" ref="E46:E47" si="12">A46*D46</f>
        <v>25000</v>
      </c>
      <c r="F46" s="13">
        <f t="shared" ref="F46:F47" si="13">E46*1.105</f>
        <v>27625</v>
      </c>
      <c r="G46" s="2"/>
      <c r="H46" s="2"/>
      <c r="I46" s="13">
        <v>20000</v>
      </c>
      <c r="J46" s="13">
        <f t="shared" ref="J46:J47" si="14">I46*A46</f>
        <v>20000</v>
      </c>
      <c r="K46" s="13">
        <f t="shared" ref="K46:K47" si="15">F46-J46</f>
        <v>7625</v>
      </c>
      <c r="L46" s="14">
        <f t="shared" ref="L46:L47" si="16">IFERROR(K46/E46, 0)</f>
        <v>0.30499999999999999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0.5</v>
      </c>
      <c r="B47" s="10" t="s">
        <v>23</v>
      </c>
      <c r="C47" s="11" t="s">
        <v>192</v>
      </c>
      <c r="D47" s="13">
        <v>28000</v>
      </c>
      <c r="E47" s="13">
        <f t="shared" si="12"/>
        <v>14000</v>
      </c>
      <c r="F47" s="13">
        <f t="shared" si="13"/>
        <v>15470</v>
      </c>
      <c r="G47" s="2"/>
      <c r="H47" s="2"/>
      <c r="I47" s="13">
        <v>24000</v>
      </c>
      <c r="J47" s="13">
        <f t="shared" si="14"/>
        <v>12000</v>
      </c>
      <c r="K47" s="13">
        <f t="shared" si="15"/>
        <v>3470</v>
      </c>
      <c r="L47" s="14">
        <f t="shared" si="16"/>
        <v>0.24785714285714286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"/>
      <c r="B48" s="2"/>
      <c r="C48" s="4"/>
      <c r="D48" s="2"/>
      <c r="E48" s="2"/>
      <c r="F48" s="2"/>
      <c r="G48" s="2"/>
      <c r="H48" s="2"/>
      <c r="I48" s="2"/>
      <c r="J48" s="2"/>
      <c r="K48" s="2"/>
      <c r="L48" s="3"/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B49" s="40"/>
      <c r="C49" s="40"/>
      <c r="D49" s="2"/>
      <c r="E49" s="13">
        <f t="shared" ref="E49:F49" si="17">SUM(E46:E47)</f>
        <v>39000</v>
      </c>
      <c r="F49" s="13">
        <f t="shared" si="17"/>
        <v>43095</v>
      </c>
      <c r="G49" s="2"/>
      <c r="H49" s="2"/>
      <c r="I49" s="2"/>
      <c r="J49" s="2"/>
      <c r="K49" s="13">
        <f>SUM(K46:K47)</f>
        <v>11095</v>
      </c>
      <c r="L49" s="14">
        <f>K49/F49</f>
        <v>0.25745446107437059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0"/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/>
      <c r="B51" s="10"/>
      <c r="C51" s="11"/>
      <c r="D51" s="13"/>
      <c r="E51" s="13"/>
      <c r="F51" s="13"/>
      <c r="G51" s="2"/>
      <c r="H51" s="2"/>
      <c r="I51" s="13"/>
      <c r="J51" s="13"/>
      <c r="K51" s="13"/>
      <c r="L51" s="14"/>
      <c r="M51" s="4"/>
      <c r="N51" s="2"/>
      <c r="O51" s="4"/>
      <c r="P51" s="2"/>
      <c r="Q51" s="2"/>
      <c r="R51" s="4"/>
      <c r="S51" s="2"/>
      <c r="T51" s="2"/>
      <c r="U51" s="1"/>
      <c r="V51" s="2"/>
      <c r="W51" s="2"/>
      <c r="X51" s="2"/>
      <c r="Y51" s="2"/>
      <c r="Z51" s="2"/>
    </row>
    <row r="52" spans="1:26" ht="15.75" customHeight="1" x14ac:dyDescent="0.2">
      <c r="A52" s="6" t="s">
        <v>193</v>
      </c>
      <c r="B52" s="1"/>
      <c r="C52" s="1"/>
      <c r="D52" s="22" t="s">
        <v>194</v>
      </c>
      <c r="E52" s="8">
        <v>46273</v>
      </c>
      <c r="F52" s="24" t="s">
        <v>37</v>
      </c>
      <c r="G52" s="2"/>
      <c r="H52" s="2"/>
      <c r="I52" s="2"/>
      <c r="J52" s="2"/>
      <c r="K52" s="2"/>
      <c r="L52" s="3"/>
      <c r="M52" s="4"/>
      <c r="N52" s="2"/>
      <c r="O52" s="4"/>
      <c r="P52" s="2"/>
      <c r="Q52" s="2"/>
      <c r="R52" s="4"/>
      <c r="S52" s="2"/>
      <c r="T52" s="2"/>
      <c r="U52" s="1"/>
      <c r="V52" s="2"/>
      <c r="W52" s="2"/>
      <c r="X52" s="2"/>
      <c r="Y52" s="2"/>
      <c r="Z52" s="2"/>
    </row>
    <row r="53" spans="1:26" ht="15.75" customHeight="1" x14ac:dyDescent="0.2">
      <c r="A53" s="4"/>
      <c r="B53" s="2"/>
      <c r="C53" s="4"/>
      <c r="D53" s="2"/>
      <c r="E53" s="2"/>
      <c r="F53" s="2"/>
      <c r="G53" s="2"/>
      <c r="H53" s="2"/>
      <c r="I53" s="2"/>
      <c r="J53" s="2"/>
      <c r="K53" s="2"/>
      <c r="L53" s="3"/>
      <c r="M53" s="4"/>
      <c r="N53" s="2"/>
      <c r="O53" s="4"/>
      <c r="P53" s="2"/>
      <c r="Q53" s="2"/>
      <c r="R53" s="4"/>
      <c r="S53" s="2"/>
      <c r="T53" s="2"/>
      <c r="U53" s="1"/>
      <c r="V53" s="2"/>
      <c r="W53" s="2"/>
      <c r="X53" s="2"/>
      <c r="Y53" s="2"/>
      <c r="Z53" s="2"/>
    </row>
    <row r="54" spans="1:26" ht="15.75" customHeight="1" x14ac:dyDescent="0.2">
      <c r="A54" s="6" t="s">
        <v>3</v>
      </c>
      <c r="B54" s="10" t="s">
        <v>4</v>
      </c>
      <c r="C54" s="11" t="s">
        <v>5</v>
      </c>
      <c r="D54" s="10" t="s">
        <v>6</v>
      </c>
      <c r="E54" s="10" t="s">
        <v>7</v>
      </c>
      <c r="F54" s="2"/>
      <c r="G54" s="2"/>
      <c r="H54" s="2"/>
      <c r="I54" s="10" t="s">
        <v>6</v>
      </c>
      <c r="J54" s="10" t="s">
        <v>7</v>
      </c>
      <c r="K54" s="10" t="s">
        <v>10</v>
      </c>
      <c r="L54" s="3"/>
      <c r="M54" s="4"/>
      <c r="N54" s="2"/>
      <c r="O54" s="4"/>
      <c r="P54" s="2"/>
      <c r="Q54" s="2"/>
      <c r="R54" s="4"/>
      <c r="S54" s="2"/>
      <c r="T54" s="2"/>
      <c r="U54" s="1"/>
      <c r="V54" s="2"/>
      <c r="W54" s="2"/>
      <c r="X54" s="2"/>
      <c r="Y54" s="2"/>
      <c r="Z54" s="2"/>
    </row>
    <row r="55" spans="1:26" ht="15.75" customHeight="1" x14ac:dyDescent="0.2">
      <c r="A55" s="12">
        <v>2</v>
      </c>
      <c r="B55" s="10" t="s">
        <v>21</v>
      </c>
      <c r="C55" s="11" t="s">
        <v>195</v>
      </c>
      <c r="D55" s="13">
        <v>3500</v>
      </c>
      <c r="E55" s="13">
        <f t="shared" ref="E55:E62" si="18">A55*D55</f>
        <v>7000</v>
      </c>
      <c r="F55" s="2"/>
      <c r="G55" s="2"/>
      <c r="H55" s="2"/>
      <c r="I55" s="13">
        <v>2000</v>
      </c>
      <c r="J55" s="13">
        <f t="shared" ref="J55:J62" si="19">I55*A55</f>
        <v>4000</v>
      </c>
      <c r="K55" s="13">
        <f t="shared" ref="K55:K62" si="20">E55-J55</f>
        <v>3000</v>
      </c>
      <c r="L55" s="14">
        <f t="shared" ref="L55:L62" si="21">K55/E55</f>
        <v>0.42857142857142855</v>
      </c>
      <c r="M55" s="4"/>
      <c r="N55" s="2"/>
      <c r="O55" s="4"/>
      <c r="P55" s="2"/>
      <c r="Q55" s="2"/>
      <c r="R55" s="4"/>
      <c r="S55" s="2"/>
      <c r="T55" s="2"/>
      <c r="U55" s="1"/>
      <c r="V55" s="2"/>
      <c r="W55" s="2"/>
      <c r="X55" s="2"/>
      <c r="Y55" s="2"/>
      <c r="Z55" s="2"/>
    </row>
    <row r="56" spans="1:26" ht="15.75" customHeight="1" x14ac:dyDescent="0.2">
      <c r="A56" s="12">
        <v>1</v>
      </c>
      <c r="B56" s="10" t="s">
        <v>23</v>
      </c>
      <c r="C56" s="11" t="s">
        <v>99</v>
      </c>
      <c r="D56" s="13">
        <v>10000</v>
      </c>
      <c r="E56" s="13">
        <f t="shared" si="18"/>
        <v>10000</v>
      </c>
      <c r="F56" s="2"/>
      <c r="G56" s="2"/>
      <c r="H56" s="2"/>
      <c r="I56" s="13">
        <v>6000</v>
      </c>
      <c r="J56" s="13">
        <f t="shared" si="19"/>
        <v>6000</v>
      </c>
      <c r="K56" s="13">
        <f t="shared" si="20"/>
        <v>4000</v>
      </c>
      <c r="L56" s="14">
        <f t="shared" si="21"/>
        <v>0.4</v>
      </c>
      <c r="M56" s="4"/>
      <c r="N56" s="2"/>
      <c r="O56" s="4"/>
      <c r="P56" s="2"/>
      <c r="Q56" s="2"/>
      <c r="R56" s="4"/>
      <c r="S56" s="2"/>
      <c r="T56" s="2"/>
      <c r="U56" s="1"/>
      <c r="V56" s="2"/>
      <c r="W56" s="2"/>
      <c r="X56" s="2"/>
      <c r="Y56" s="2"/>
      <c r="Z56" s="2"/>
    </row>
    <row r="57" spans="1:26" ht="15.75" customHeight="1" x14ac:dyDescent="0.2">
      <c r="A57" s="12">
        <v>3</v>
      </c>
      <c r="B57" s="10" t="s">
        <v>23</v>
      </c>
      <c r="C57" s="11" t="s">
        <v>14</v>
      </c>
      <c r="D57" s="13">
        <v>18000</v>
      </c>
      <c r="E57" s="13">
        <f t="shared" si="18"/>
        <v>54000</v>
      </c>
      <c r="F57" s="2"/>
      <c r="G57" s="2"/>
      <c r="H57" s="2"/>
      <c r="I57" s="13">
        <v>15000</v>
      </c>
      <c r="J57" s="13">
        <f t="shared" si="19"/>
        <v>45000</v>
      </c>
      <c r="K57" s="13">
        <f t="shared" si="20"/>
        <v>9000</v>
      </c>
      <c r="L57" s="14">
        <f t="shared" si="21"/>
        <v>0.16666666666666666</v>
      </c>
      <c r="M57" s="4"/>
      <c r="N57" s="2"/>
      <c r="O57" s="4"/>
      <c r="P57" s="2"/>
      <c r="Q57" s="2"/>
      <c r="R57" s="4"/>
      <c r="S57" s="2"/>
      <c r="T57" s="2"/>
      <c r="U57" s="1"/>
      <c r="V57" s="2"/>
      <c r="W57" s="2"/>
      <c r="X57" s="2"/>
      <c r="Y57" s="2"/>
      <c r="Z57" s="2"/>
    </row>
    <row r="58" spans="1:26" ht="15.75" customHeight="1" x14ac:dyDescent="0.2">
      <c r="A58" s="12">
        <v>2</v>
      </c>
      <c r="B58" s="10" t="s">
        <v>15</v>
      </c>
      <c r="C58" s="11" t="s">
        <v>167</v>
      </c>
      <c r="D58" s="13">
        <v>14000</v>
      </c>
      <c r="E58" s="13">
        <f t="shared" si="18"/>
        <v>28000</v>
      </c>
      <c r="F58" s="2"/>
      <c r="G58" s="2"/>
      <c r="H58" s="2"/>
      <c r="I58" s="13">
        <v>10000</v>
      </c>
      <c r="J58" s="13">
        <f t="shared" si="19"/>
        <v>20000</v>
      </c>
      <c r="K58" s="13">
        <f t="shared" si="20"/>
        <v>8000</v>
      </c>
      <c r="L58" s="14">
        <f t="shared" si="21"/>
        <v>0.2857142857142857</v>
      </c>
      <c r="M58" s="4"/>
      <c r="N58" s="2"/>
      <c r="O58" s="4"/>
      <c r="P58" s="2"/>
      <c r="Q58" s="2"/>
      <c r="R58" s="4"/>
      <c r="S58" s="2"/>
      <c r="T58" s="2"/>
      <c r="U58" s="1"/>
      <c r="V58" s="2"/>
      <c r="W58" s="2"/>
      <c r="X58" s="2"/>
      <c r="Y58" s="2"/>
      <c r="Z58" s="2"/>
    </row>
    <row r="59" spans="1:26" ht="15.75" customHeight="1" x14ac:dyDescent="0.2">
      <c r="A59" s="12">
        <v>4</v>
      </c>
      <c r="B59" s="10" t="s">
        <v>15</v>
      </c>
      <c r="C59" s="11" t="s">
        <v>16</v>
      </c>
      <c r="D59" s="13">
        <v>13000</v>
      </c>
      <c r="E59" s="13">
        <f t="shared" si="18"/>
        <v>52000</v>
      </c>
      <c r="F59" s="2"/>
      <c r="G59" s="2"/>
      <c r="H59" s="2"/>
      <c r="I59" s="13">
        <v>8000</v>
      </c>
      <c r="J59" s="13">
        <f t="shared" si="19"/>
        <v>32000</v>
      </c>
      <c r="K59" s="13">
        <f t="shared" si="20"/>
        <v>20000</v>
      </c>
      <c r="L59" s="14">
        <f t="shared" si="21"/>
        <v>0.38461538461538464</v>
      </c>
      <c r="M59" s="4"/>
      <c r="N59" s="2"/>
      <c r="O59" s="4"/>
      <c r="P59" s="2"/>
      <c r="Q59" s="2"/>
      <c r="R59" s="4"/>
      <c r="S59" s="2"/>
      <c r="T59" s="2"/>
      <c r="U59" s="1"/>
      <c r="V59" s="2"/>
      <c r="W59" s="2"/>
      <c r="X59" s="2"/>
      <c r="Y59" s="2"/>
      <c r="Z59" s="2"/>
    </row>
    <row r="60" spans="1:26" ht="15.75" customHeight="1" x14ac:dyDescent="0.2">
      <c r="A60" s="12">
        <v>2</v>
      </c>
      <c r="B60" s="10" t="s">
        <v>15</v>
      </c>
      <c r="C60" s="11" t="s">
        <v>77</v>
      </c>
      <c r="D60" s="13">
        <v>25000</v>
      </c>
      <c r="E60" s="13">
        <f t="shared" si="18"/>
        <v>50000</v>
      </c>
      <c r="F60" s="2"/>
      <c r="G60" s="2"/>
      <c r="H60" s="2"/>
      <c r="I60" s="13">
        <v>20000</v>
      </c>
      <c r="J60" s="13">
        <f t="shared" si="19"/>
        <v>40000</v>
      </c>
      <c r="K60" s="13">
        <f t="shared" si="20"/>
        <v>10000</v>
      </c>
      <c r="L60" s="14">
        <f t="shared" si="21"/>
        <v>0.2</v>
      </c>
      <c r="M60" s="4"/>
      <c r="N60" s="2"/>
      <c r="O60" s="4"/>
      <c r="P60" s="2"/>
      <c r="Q60" s="2"/>
      <c r="R60" s="4"/>
      <c r="S60" s="2"/>
      <c r="T60" s="2"/>
      <c r="U60" s="1"/>
      <c r="V60" s="2"/>
      <c r="W60" s="2"/>
      <c r="X60" s="2"/>
      <c r="Y60" s="2"/>
      <c r="Z60" s="2"/>
    </row>
    <row r="61" spans="1:26" ht="15.75" customHeight="1" x14ac:dyDescent="0.2">
      <c r="A61" s="12">
        <v>1</v>
      </c>
      <c r="B61" s="10" t="s">
        <v>15</v>
      </c>
      <c r="C61" s="11" t="s">
        <v>196</v>
      </c>
      <c r="D61" s="13">
        <v>20000</v>
      </c>
      <c r="E61" s="13">
        <f t="shared" si="18"/>
        <v>20000</v>
      </c>
      <c r="F61" s="2"/>
      <c r="G61" s="2"/>
      <c r="H61" s="2"/>
      <c r="I61" s="13">
        <v>15000</v>
      </c>
      <c r="J61" s="13">
        <f t="shared" si="19"/>
        <v>15000</v>
      </c>
      <c r="K61" s="13">
        <f t="shared" si="20"/>
        <v>5000</v>
      </c>
      <c r="L61" s="14">
        <f t="shared" si="21"/>
        <v>0.25</v>
      </c>
      <c r="M61" s="4"/>
      <c r="N61" s="2"/>
      <c r="O61" s="4"/>
      <c r="P61" s="2"/>
      <c r="Q61" s="2"/>
      <c r="R61" s="4"/>
      <c r="S61" s="2"/>
      <c r="T61" s="2"/>
      <c r="U61" s="1"/>
      <c r="V61" s="2"/>
      <c r="W61" s="2"/>
      <c r="X61" s="2"/>
      <c r="Y61" s="2"/>
      <c r="Z61" s="2"/>
    </row>
    <row r="62" spans="1:26" ht="15.75" customHeight="1" x14ac:dyDescent="0.2">
      <c r="A62" s="12">
        <v>6</v>
      </c>
      <c r="B62" s="10" t="s">
        <v>15</v>
      </c>
      <c r="C62" s="11" t="s">
        <v>141</v>
      </c>
      <c r="D62" s="13">
        <v>14000</v>
      </c>
      <c r="E62" s="13">
        <f t="shared" si="18"/>
        <v>84000</v>
      </c>
      <c r="F62" s="2"/>
      <c r="G62" s="2"/>
      <c r="H62" s="2"/>
      <c r="I62" s="13">
        <v>10000</v>
      </c>
      <c r="J62" s="13">
        <f t="shared" si="19"/>
        <v>60000</v>
      </c>
      <c r="K62" s="13">
        <f t="shared" si="20"/>
        <v>24000</v>
      </c>
      <c r="L62" s="14">
        <f t="shared" si="21"/>
        <v>0.2857142857142857</v>
      </c>
      <c r="M62" s="4"/>
      <c r="N62" s="2"/>
      <c r="O62" s="4"/>
      <c r="P62" s="2"/>
      <c r="Q62" s="2"/>
      <c r="R62" s="4"/>
      <c r="S62" s="2"/>
      <c r="T62" s="2"/>
      <c r="U62" s="1"/>
      <c r="V62" s="2"/>
      <c r="W62" s="2"/>
      <c r="X62" s="2"/>
      <c r="Y62" s="2"/>
      <c r="Z62" s="2"/>
    </row>
    <row r="63" spans="1:26" ht="15.75" customHeight="1" x14ac:dyDescent="0.2">
      <c r="A63" s="1"/>
      <c r="B63" s="2"/>
      <c r="C63" s="4"/>
      <c r="D63" s="2"/>
      <c r="E63" s="2"/>
      <c r="F63" s="2"/>
      <c r="G63" s="4"/>
      <c r="H63" s="2"/>
      <c r="I63" s="2"/>
      <c r="J63" s="2"/>
      <c r="K63" s="2"/>
      <c r="L63" s="3"/>
      <c r="M63" s="4"/>
      <c r="N63" s="2"/>
      <c r="O63" s="4"/>
      <c r="P63" s="2"/>
      <c r="Q63" s="2"/>
      <c r="R63" s="4"/>
      <c r="S63" s="2"/>
      <c r="T63" s="2"/>
      <c r="U63" s="1"/>
      <c r="V63" s="2"/>
      <c r="W63" s="2"/>
      <c r="X63" s="2"/>
      <c r="Y63" s="2"/>
      <c r="Z63" s="2"/>
    </row>
    <row r="64" spans="1:26" ht="15.75" customHeight="1" x14ac:dyDescent="0.2">
      <c r="A64" s="1"/>
      <c r="B64" s="2"/>
      <c r="C64" s="4"/>
      <c r="D64" s="2"/>
      <c r="E64" s="2"/>
      <c r="F64" s="2"/>
      <c r="G64" s="4"/>
      <c r="H64" s="2"/>
      <c r="I64" s="2"/>
      <c r="J64" s="2"/>
      <c r="K64" s="2"/>
      <c r="L64" s="3"/>
      <c r="M64" s="4"/>
      <c r="N64" s="2"/>
      <c r="O64" s="4"/>
      <c r="P64" s="2"/>
      <c r="Q64" s="2"/>
      <c r="R64" s="4"/>
      <c r="S64" s="2"/>
      <c r="T64" s="2"/>
      <c r="U64" s="1"/>
      <c r="V64" s="2"/>
      <c r="W64" s="2"/>
      <c r="X64" s="2"/>
      <c r="Y64" s="2"/>
      <c r="Z64" s="2"/>
    </row>
    <row r="65" spans="1:26" ht="15.75" customHeight="1" x14ac:dyDescent="0.2">
      <c r="A65" s="1"/>
      <c r="B65" s="2"/>
      <c r="C65" s="4"/>
      <c r="D65" s="2"/>
      <c r="E65" s="13">
        <f>SUM(E55:E62)</f>
        <v>305000</v>
      </c>
      <c r="F65" s="2"/>
      <c r="G65" s="2"/>
      <c r="H65" s="2"/>
      <c r="I65" s="2"/>
      <c r="J65" s="2"/>
      <c r="K65" s="13">
        <f>SUM(K55:K62)</f>
        <v>83000</v>
      </c>
      <c r="L65" s="14">
        <f>K65/E65</f>
        <v>0.27213114754098361</v>
      </c>
      <c r="M65" s="4"/>
      <c r="N65" s="2"/>
      <c r="O65" s="4"/>
      <c r="P65" s="2"/>
      <c r="Q65" s="2"/>
      <c r="R65" s="4"/>
      <c r="S65" s="2"/>
      <c r="T65" s="2"/>
      <c r="U65" s="1"/>
      <c r="V65" s="2"/>
      <c r="W65" s="2"/>
      <c r="X65" s="2"/>
      <c r="Y65" s="2"/>
      <c r="Z65" s="2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1"/>
      <c r="N66" s="2"/>
      <c r="O66" s="4"/>
      <c r="P66" s="2"/>
      <c r="Q66" s="2"/>
      <c r="R66" s="4"/>
      <c r="S66" s="2"/>
      <c r="T66" s="2"/>
      <c r="U66" s="1"/>
      <c r="V66" s="2"/>
      <c r="W66" s="2"/>
      <c r="X66" s="2"/>
      <c r="Y66" s="2"/>
      <c r="Z66" s="2"/>
    </row>
    <row r="67" spans="1:26" ht="15.75" customHeight="1" x14ac:dyDescent="0.2">
      <c r="A67" s="12"/>
      <c r="B67" s="10"/>
      <c r="C67" s="11"/>
      <c r="D67" s="13"/>
      <c r="E67" s="13"/>
      <c r="F67" s="13"/>
      <c r="G67" s="2"/>
      <c r="H67" s="2"/>
      <c r="I67" s="13"/>
      <c r="J67" s="13"/>
      <c r="K67" s="13"/>
      <c r="L67" s="14"/>
      <c r="M67" s="4"/>
      <c r="N67" s="2"/>
      <c r="O67" s="4"/>
      <c r="P67" s="2"/>
      <c r="Q67" s="2"/>
      <c r="R67" s="4"/>
      <c r="S67" s="2"/>
      <c r="T67" s="2"/>
      <c r="U67" s="1"/>
      <c r="V67" s="2"/>
      <c r="W67" s="2"/>
      <c r="X67" s="2"/>
      <c r="Y67" s="2"/>
      <c r="Z67" s="2"/>
    </row>
    <row r="68" spans="1:26" ht="15.75" customHeight="1" x14ac:dyDescent="0.2">
      <c r="A68" s="12"/>
      <c r="B68" s="10"/>
      <c r="C68" s="11"/>
      <c r="D68" s="13"/>
      <c r="E68" s="13"/>
      <c r="F68" s="13"/>
      <c r="G68" s="2"/>
      <c r="H68" s="2"/>
      <c r="I68" s="13"/>
      <c r="J68" s="13"/>
      <c r="K68" s="13"/>
      <c r="L68" s="14"/>
      <c r="M68" s="4"/>
      <c r="N68" s="2"/>
      <c r="O68" s="4"/>
      <c r="P68" s="2"/>
      <c r="Q68" s="2"/>
      <c r="R68" s="4"/>
      <c r="S68" s="2"/>
      <c r="T68" s="2"/>
      <c r="U68" s="1"/>
      <c r="V68" s="2"/>
      <c r="W68" s="2"/>
      <c r="X68" s="2"/>
      <c r="Y68" s="2"/>
      <c r="Z68" s="2"/>
    </row>
    <row r="69" spans="1:26" ht="15.75" customHeight="1" x14ac:dyDescent="0.2">
      <c r="A69" s="12"/>
      <c r="B69" s="10"/>
      <c r="C69" s="11"/>
      <c r="D69" s="13"/>
      <c r="E69" s="13"/>
      <c r="F69" s="13"/>
      <c r="G69" s="2"/>
      <c r="H69" s="2"/>
      <c r="I69" s="13"/>
      <c r="J69" s="13"/>
      <c r="K69" s="13"/>
      <c r="L69" s="14"/>
      <c r="M69" s="4"/>
      <c r="N69" s="2"/>
      <c r="O69" s="4"/>
      <c r="P69" s="2"/>
      <c r="Q69" s="2"/>
      <c r="R69" s="4"/>
      <c r="S69" s="2"/>
      <c r="T69" s="2"/>
      <c r="U69" s="1"/>
      <c r="V69" s="2"/>
      <c r="W69" s="2"/>
      <c r="X69" s="2"/>
      <c r="Y69" s="2"/>
      <c r="Z69" s="2"/>
    </row>
    <row r="70" spans="1:26" ht="15.75" customHeight="1" x14ac:dyDescent="0.2">
      <c r="A70" s="12"/>
      <c r="B70" s="10"/>
      <c r="C70" s="11"/>
      <c r="D70" s="13"/>
      <c r="E70" s="13"/>
      <c r="F70" s="13"/>
      <c r="G70" s="2"/>
      <c r="H70" s="2"/>
      <c r="I70" s="13"/>
      <c r="J70" s="13"/>
      <c r="K70" s="13"/>
      <c r="L70" s="14"/>
      <c r="M70" s="4"/>
      <c r="N70" s="2"/>
      <c r="O70" s="4"/>
      <c r="P70" s="2"/>
      <c r="Q70" s="2"/>
      <c r="R70" s="4"/>
      <c r="S70" s="2"/>
      <c r="T70" s="2"/>
      <c r="U70" s="1"/>
      <c r="V70" s="2"/>
      <c r="W70" s="2"/>
      <c r="X70" s="2"/>
      <c r="Y70" s="2"/>
      <c r="Z70" s="2"/>
    </row>
    <row r="71" spans="1:26" ht="15.75" customHeight="1" x14ac:dyDescent="0.2">
      <c r="A71" s="12"/>
      <c r="B71" s="10"/>
      <c r="C71" s="11"/>
      <c r="D71" s="13"/>
      <c r="E71" s="13"/>
      <c r="F71" s="13"/>
      <c r="G71" s="2"/>
      <c r="H71" s="2"/>
      <c r="I71" s="13"/>
      <c r="J71" s="13"/>
      <c r="K71" s="13"/>
      <c r="L71" s="14"/>
      <c r="M71" s="4"/>
      <c r="N71" s="2"/>
      <c r="O71" s="4"/>
      <c r="P71" s="2"/>
      <c r="Q71" s="2"/>
      <c r="R71" s="4"/>
      <c r="S71" s="2"/>
      <c r="T71" s="2"/>
      <c r="U71" s="1"/>
      <c r="V71" s="2"/>
      <c r="W71" s="2"/>
      <c r="X71" s="2"/>
      <c r="Y71" s="2"/>
      <c r="Z71" s="2"/>
    </row>
    <row r="72" spans="1:26" ht="15.75" customHeight="1" x14ac:dyDescent="0.2">
      <c r="A72" s="12"/>
      <c r="B72" s="10"/>
      <c r="C72" s="11"/>
      <c r="D72" s="13"/>
      <c r="E72" s="13"/>
      <c r="F72" s="13"/>
      <c r="G72" s="2"/>
      <c r="H72" s="2"/>
      <c r="I72" s="13"/>
      <c r="J72" s="13"/>
      <c r="K72" s="13"/>
      <c r="L72" s="14"/>
      <c r="M72" s="4"/>
      <c r="N72" s="2"/>
      <c r="O72" s="4"/>
      <c r="P72" s="2"/>
      <c r="Q72" s="2"/>
      <c r="R72" s="4"/>
      <c r="S72" s="2"/>
      <c r="T72" s="2"/>
      <c r="U72" s="1"/>
      <c r="V72" s="2"/>
      <c r="W72" s="2"/>
      <c r="X72" s="2"/>
      <c r="Y72" s="2"/>
      <c r="Z72" s="2"/>
    </row>
    <row r="73" spans="1:26" ht="25.5" customHeight="1" x14ac:dyDescent="0.25">
      <c r="A73" s="26" t="s">
        <v>101</v>
      </c>
      <c r="B73" s="27">
        <f>E65+F49+F40+F20</f>
        <v>1822580</v>
      </c>
      <c r="C73" s="4"/>
      <c r="D73" s="4"/>
      <c r="E73" s="4"/>
      <c r="F73" s="4"/>
      <c r="G73" s="4"/>
      <c r="H73" s="4"/>
      <c r="I73" s="4"/>
      <c r="J73" s="4"/>
      <c r="K73" s="4"/>
      <c r="L73" s="28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2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7" customHeight="1" x14ac:dyDescent="0.25">
      <c r="A75" s="26" t="s">
        <v>102</v>
      </c>
      <c r="B75" s="27">
        <f>K65+K49+K40+K20</f>
        <v>745580</v>
      </c>
      <c r="C75" s="4"/>
      <c r="D75" s="4"/>
      <c r="E75" s="4"/>
      <c r="F75" s="4"/>
      <c r="G75" s="4"/>
      <c r="H75" s="4"/>
      <c r="I75" s="4"/>
      <c r="J75" s="4"/>
      <c r="K75" s="4"/>
      <c r="L75" s="28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28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28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6.25" customHeight="1" x14ac:dyDescent="0.25">
      <c r="A78" s="26" t="s">
        <v>103</v>
      </c>
      <c r="B78" s="29">
        <f>B75/B73</f>
        <v>0.40907943684227854</v>
      </c>
      <c r="C78" s="4"/>
      <c r="D78" s="4"/>
      <c r="E78" s="4"/>
      <c r="F78" s="4"/>
      <c r="G78" s="4"/>
      <c r="H78" s="4"/>
      <c r="I78" s="4"/>
      <c r="J78" s="4"/>
      <c r="K78" s="4"/>
      <c r="L78" s="28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28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90" t="s">
        <v>104</v>
      </c>
      <c r="B80" s="89"/>
      <c r="C80" s="4"/>
      <c r="D80" s="4"/>
      <c r="E80" s="4"/>
      <c r="F80" s="4"/>
      <c r="G80" s="4"/>
      <c r="H80" s="4"/>
      <c r="I80" s="4"/>
      <c r="J80" s="4"/>
      <c r="K80" s="4"/>
      <c r="L80" s="28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/>
      <c r="B81" s="10"/>
      <c r="C81" s="11"/>
      <c r="D81" s="13"/>
      <c r="E81" s="13"/>
      <c r="F81" s="13"/>
      <c r="G81" s="2"/>
      <c r="H81" s="2"/>
      <c r="I81" s="13"/>
      <c r="J81" s="13"/>
      <c r="K81" s="13"/>
      <c r="L81" s="14"/>
      <c r="M81" s="4"/>
      <c r="N81" s="2"/>
      <c r="O81" s="4"/>
      <c r="P81" s="2"/>
      <c r="Q81" s="2"/>
      <c r="R81" s="4"/>
      <c r="S81" s="2"/>
      <c r="T81" s="2"/>
      <c r="U81" s="1"/>
      <c r="V81" s="2"/>
      <c r="W81" s="2"/>
      <c r="X81" s="2"/>
      <c r="Y81" s="2"/>
      <c r="Z81" s="2"/>
    </row>
    <row r="82" spans="1:26" ht="15.75" customHeight="1" x14ac:dyDescent="0.2">
      <c r="A82" s="12"/>
      <c r="B82" s="10"/>
      <c r="C82" s="11"/>
      <c r="D82" s="13"/>
      <c r="E82" s="13"/>
      <c r="F82" s="13"/>
      <c r="G82" s="2"/>
      <c r="H82" s="2"/>
      <c r="I82" s="13"/>
      <c r="J82" s="13"/>
      <c r="K82" s="13"/>
      <c r="L82" s="14"/>
      <c r="M82" s="4"/>
      <c r="N82" s="2"/>
      <c r="O82" s="4"/>
      <c r="P82" s="2"/>
      <c r="Q82" s="2"/>
      <c r="R82" s="4"/>
      <c r="S82" s="2"/>
      <c r="T82" s="2"/>
      <c r="U82" s="1"/>
      <c r="V82" s="2"/>
      <c r="W82" s="2"/>
      <c r="X82" s="2"/>
      <c r="Y82" s="2"/>
      <c r="Z82" s="2"/>
    </row>
    <row r="83" spans="1:26" ht="15.75" customHeight="1" x14ac:dyDescent="0.2">
      <c r="A83" s="12"/>
      <c r="B83" s="10"/>
      <c r="C83" s="11"/>
      <c r="D83" s="13"/>
      <c r="E83" s="13"/>
      <c r="F83" s="13"/>
      <c r="G83" s="2"/>
      <c r="H83" s="2"/>
      <c r="I83" s="13"/>
      <c r="J83" s="13"/>
      <c r="K83" s="13"/>
      <c r="L83" s="14"/>
      <c r="M83" s="4"/>
      <c r="N83" s="2"/>
      <c r="O83" s="4"/>
      <c r="P83" s="2"/>
      <c r="Q83" s="2"/>
      <c r="R83" s="4"/>
      <c r="S83" s="2"/>
      <c r="T83" s="2"/>
      <c r="U83" s="1"/>
      <c r="V83" s="2"/>
      <c r="W83" s="2"/>
      <c r="X83" s="2"/>
      <c r="Y83" s="2"/>
      <c r="Z83" s="2"/>
    </row>
    <row r="84" spans="1:26" ht="15.75" customHeight="1" x14ac:dyDescent="0.2">
      <c r="A84" s="12"/>
      <c r="B84" s="10"/>
      <c r="C84" s="11"/>
      <c r="D84" s="13"/>
      <c r="E84" s="13"/>
      <c r="F84" s="13"/>
      <c r="G84" s="2"/>
      <c r="H84" s="2"/>
      <c r="I84" s="13"/>
      <c r="J84" s="13"/>
      <c r="K84" s="13"/>
      <c r="L84" s="14"/>
      <c r="M84" s="4"/>
      <c r="N84" s="2"/>
      <c r="O84" s="4"/>
      <c r="P84" s="2"/>
      <c r="Q84" s="2"/>
      <c r="R84" s="4"/>
      <c r="S84" s="2"/>
      <c r="T84" s="2"/>
      <c r="U84" s="1"/>
      <c r="V84" s="2"/>
      <c r="W84" s="2"/>
      <c r="X84" s="2"/>
      <c r="Y84" s="2"/>
      <c r="Z84" s="2"/>
    </row>
    <row r="85" spans="1:26" ht="15.75" customHeight="1" x14ac:dyDescent="0.2">
      <c r="A85" s="12"/>
      <c r="B85" s="10"/>
      <c r="C85" s="11"/>
      <c r="D85" s="13"/>
      <c r="E85" s="13"/>
      <c r="F85" s="13"/>
      <c r="G85" s="2"/>
      <c r="H85" s="2"/>
      <c r="I85" s="13"/>
      <c r="J85" s="13"/>
      <c r="K85" s="13"/>
      <c r="L85" s="14"/>
      <c r="M85" s="4"/>
      <c r="N85" s="2"/>
      <c r="O85" s="4"/>
      <c r="P85" s="2"/>
      <c r="Q85" s="2"/>
      <c r="R85" s="4"/>
      <c r="S85" s="2"/>
      <c r="T85" s="2"/>
      <c r="U85" s="1"/>
      <c r="V85" s="2"/>
      <c r="W85" s="2"/>
      <c r="X85" s="2"/>
      <c r="Y85" s="2"/>
      <c r="Z85" s="2"/>
    </row>
    <row r="86" spans="1:26" ht="15.75" customHeight="1" x14ac:dyDescent="0.2">
      <c r="A86" s="12"/>
      <c r="B86" s="10"/>
      <c r="C86" s="11"/>
      <c r="D86" s="13"/>
      <c r="E86" s="13"/>
      <c r="F86" s="13"/>
      <c r="G86" s="2"/>
      <c r="H86" s="2"/>
      <c r="I86" s="13"/>
      <c r="J86" s="13"/>
      <c r="K86" s="13"/>
      <c r="L86" s="14"/>
      <c r="M86" s="4"/>
      <c r="N86" s="2"/>
      <c r="O86" s="4"/>
      <c r="P86" s="2"/>
      <c r="Q86" s="2"/>
      <c r="R86" s="4"/>
      <c r="S86" s="2"/>
      <c r="T86" s="2"/>
      <c r="U86" s="1"/>
      <c r="V86" s="2"/>
      <c r="W86" s="2"/>
      <c r="X86" s="2"/>
      <c r="Y86" s="2"/>
      <c r="Z86" s="2"/>
    </row>
    <row r="87" spans="1:26" ht="15.75" customHeight="1" x14ac:dyDescent="0.2">
      <c r="A87" s="12"/>
      <c r="B87" s="10"/>
      <c r="C87" s="11"/>
      <c r="D87" s="13"/>
      <c r="E87" s="13"/>
      <c r="F87" s="13"/>
      <c r="G87" s="2"/>
      <c r="H87" s="2"/>
      <c r="I87" s="13"/>
      <c r="J87" s="13"/>
      <c r="K87" s="13"/>
      <c r="L87" s="14"/>
      <c r="M87" s="4"/>
      <c r="N87" s="2"/>
      <c r="O87" s="4"/>
      <c r="P87" s="2"/>
      <c r="Q87" s="2"/>
      <c r="R87" s="4"/>
      <c r="S87" s="2"/>
      <c r="T87" s="2"/>
      <c r="U87" s="1"/>
      <c r="V87" s="2"/>
      <c r="W87" s="2"/>
      <c r="X87" s="2"/>
      <c r="Y87" s="2"/>
      <c r="Z87" s="2"/>
    </row>
    <row r="88" spans="1:26" ht="15.75" customHeight="1" x14ac:dyDescent="0.2">
      <c r="A88" s="12"/>
      <c r="B88" s="10"/>
      <c r="C88" s="11"/>
      <c r="D88" s="13"/>
      <c r="E88" s="13"/>
      <c r="F88" s="13"/>
      <c r="G88" s="2"/>
      <c r="H88" s="2"/>
      <c r="I88" s="13"/>
      <c r="J88" s="13"/>
      <c r="K88" s="13"/>
      <c r="L88" s="14"/>
      <c r="M88" s="4"/>
      <c r="N88" s="2"/>
      <c r="O88" s="4"/>
      <c r="P88" s="2"/>
      <c r="Q88" s="2"/>
      <c r="R88" s="4"/>
      <c r="S88" s="2"/>
      <c r="T88" s="2"/>
      <c r="U88" s="1"/>
      <c r="V88" s="2"/>
      <c r="W88" s="2"/>
      <c r="X88" s="2"/>
      <c r="Y88" s="2"/>
      <c r="Z88" s="2"/>
    </row>
    <row r="89" spans="1:26" ht="15.75" customHeight="1" x14ac:dyDescent="0.2">
      <c r="A89" s="12"/>
      <c r="B89" s="10"/>
      <c r="C89" s="11"/>
      <c r="D89" s="13"/>
      <c r="E89" s="13"/>
      <c r="F89" s="13"/>
      <c r="G89" s="2"/>
      <c r="H89" s="2"/>
      <c r="I89" s="13"/>
      <c r="J89" s="13"/>
      <c r="K89" s="13"/>
      <c r="L89" s="14"/>
      <c r="M89" s="4"/>
      <c r="N89" s="2"/>
      <c r="O89" s="4"/>
      <c r="P89" s="2"/>
      <c r="Q89" s="2"/>
      <c r="R89" s="4"/>
      <c r="S89" s="2"/>
      <c r="T89" s="2"/>
      <c r="U89" s="1"/>
      <c r="V89" s="2"/>
      <c r="W89" s="2"/>
      <c r="X89" s="2"/>
      <c r="Y89" s="2"/>
      <c r="Z89" s="2"/>
    </row>
    <row r="90" spans="1:26" ht="15.75" customHeight="1" x14ac:dyDescent="0.2">
      <c r="A90" s="12"/>
      <c r="B90" s="10"/>
      <c r="C90" s="11"/>
      <c r="D90" s="13"/>
      <c r="E90" s="13"/>
      <c r="F90" s="13"/>
      <c r="G90" s="2"/>
      <c r="H90" s="2"/>
      <c r="I90" s="13"/>
      <c r="J90" s="13"/>
      <c r="K90" s="13"/>
      <c r="L90" s="14"/>
      <c r="M90" s="4"/>
      <c r="N90" s="2"/>
      <c r="O90" s="4"/>
      <c r="P90" s="2"/>
      <c r="Q90" s="2"/>
      <c r="R90" s="4"/>
      <c r="S90" s="2"/>
      <c r="T90" s="2"/>
      <c r="U90" s="1"/>
      <c r="V90" s="2"/>
      <c r="W90" s="2"/>
      <c r="X90" s="2"/>
      <c r="Y90" s="2"/>
      <c r="Z90" s="2"/>
    </row>
    <row r="91" spans="1:26" ht="15.75" customHeight="1" x14ac:dyDescent="0.2">
      <c r="A91" s="12"/>
      <c r="B91" s="10"/>
      <c r="C91" s="11"/>
      <c r="D91" s="13"/>
      <c r="E91" s="13"/>
      <c r="F91" s="13"/>
      <c r="G91" s="2"/>
      <c r="H91" s="2"/>
      <c r="I91" s="13"/>
      <c r="J91" s="13"/>
      <c r="K91" s="13"/>
      <c r="L91" s="14"/>
      <c r="M91" s="4"/>
      <c r="N91" s="2"/>
      <c r="O91" s="4"/>
      <c r="P91" s="2"/>
      <c r="Q91" s="2"/>
      <c r="R91" s="4"/>
      <c r="S91" s="2"/>
      <c r="T91" s="2"/>
      <c r="U91" s="1"/>
      <c r="V91" s="2"/>
      <c r="W91" s="2"/>
      <c r="X91" s="2"/>
      <c r="Y91" s="2"/>
      <c r="Z91" s="2"/>
    </row>
    <row r="92" spans="1:26" ht="15.75" customHeight="1" x14ac:dyDescent="0.2">
      <c r="A92" s="12"/>
      <c r="B92" s="10"/>
      <c r="C92" s="11"/>
      <c r="D92" s="13"/>
      <c r="E92" s="13"/>
      <c r="F92" s="13"/>
      <c r="G92" s="2"/>
      <c r="H92" s="2"/>
      <c r="I92" s="13"/>
      <c r="J92" s="13"/>
      <c r="K92" s="13"/>
      <c r="L92" s="14"/>
      <c r="M92" s="4"/>
      <c r="N92" s="2"/>
      <c r="O92" s="4"/>
      <c r="P92" s="2"/>
      <c r="Q92" s="2"/>
      <c r="R92" s="4"/>
      <c r="S92" s="2"/>
      <c r="T92" s="2"/>
      <c r="U92" s="1"/>
      <c r="V92" s="2"/>
      <c r="W92" s="2"/>
      <c r="X92" s="2"/>
      <c r="Y92" s="2"/>
      <c r="Z92" s="2"/>
    </row>
    <row r="93" spans="1:26" ht="15.75" customHeight="1" x14ac:dyDescent="0.2">
      <c r="A93" s="12"/>
      <c r="B93" s="10"/>
      <c r="C93" s="11"/>
      <c r="D93" s="13"/>
      <c r="E93" s="13"/>
      <c r="F93" s="13"/>
      <c r="G93" s="2"/>
      <c r="H93" s="2"/>
      <c r="I93" s="13"/>
      <c r="J93" s="13"/>
      <c r="K93" s="13"/>
      <c r="L93" s="14"/>
      <c r="M93" s="4"/>
      <c r="N93" s="2"/>
      <c r="O93" s="4"/>
      <c r="P93" s="2"/>
      <c r="Q93" s="2"/>
      <c r="R93" s="4"/>
      <c r="S93" s="2"/>
      <c r="T93" s="2"/>
      <c r="U93" s="1"/>
      <c r="V93" s="2"/>
      <c r="W93" s="2"/>
      <c r="X93" s="2"/>
      <c r="Y93" s="2"/>
      <c r="Z93" s="2"/>
    </row>
    <row r="94" spans="1:26" ht="15.75" customHeight="1" x14ac:dyDescent="0.2">
      <c r="A94" s="12"/>
      <c r="B94" s="10"/>
      <c r="C94" s="11"/>
      <c r="D94" s="13"/>
      <c r="E94" s="13"/>
      <c r="F94" s="13"/>
      <c r="G94" s="2"/>
      <c r="H94" s="2"/>
      <c r="I94" s="13"/>
      <c r="J94" s="13"/>
      <c r="K94" s="13"/>
      <c r="L94" s="14"/>
      <c r="M94" s="4"/>
      <c r="N94" s="2"/>
      <c r="O94" s="4"/>
      <c r="P94" s="2"/>
      <c r="Q94" s="2"/>
      <c r="R94" s="4"/>
      <c r="S94" s="2"/>
      <c r="T94" s="2"/>
      <c r="U94" s="1"/>
      <c r="V94" s="2"/>
      <c r="W94" s="2"/>
      <c r="X94" s="2"/>
      <c r="Y94" s="2"/>
      <c r="Z94" s="2"/>
    </row>
    <row r="95" spans="1:26" ht="15.75" customHeight="1" x14ac:dyDescent="0.2">
      <c r="A95" s="12"/>
      <c r="B95" s="10"/>
      <c r="C95" s="11"/>
      <c r="D95" s="13"/>
      <c r="E95" s="13"/>
      <c r="F95" s="13"/>
      <c r="G95" s="2"/>
      <c r="H95" s="2"/>
      <c r="I95" s="13"/>
      <c r="J95" s="13"/>
      <c r="K95" s="13"/>
      <c r="L95" s="14"/>
      <c r="M95" s="4"/>
      <c r="N95" s="2"/>
      <c r="O95" s="4"/>
      <c r="P95" s="2"/>
      <c r="Q95" s="2"/>
      <c r="R95" s="4"/>
      <c r="S95" s="2"/>
      <c r="T95" s="2"/>
      <c r="U95" s="1"/>
      <c r="V95" s="2"/>
      <c r="W95" s="2"/>
      <c r="X95" s="2"/>
      <c r="Y95" s="2"/>
      <c r="Z95" s="2"/>
    </row>
    <row r="96" spans="1:26" ht="15.75" customHeight="1" x14ac:dyDescent="0.2">
      <c r="A96" s="12"/>
      <c r="B96" s="10"/>
      <c r="C96" s="11"/>
      <c r="D96" s="13"/>
      <c r="E96" s="13"/>
      <c r="F96" s="13"/>
      <c r="G96" s="2"/>
      <c r="H96" s="2"/>
      <c r="I96" s="13"/>
      <c r="J96" s="13"/>
      <c r="K96" s="13"/>
      <c r="L96" s="14"/>
      <c r="M96" s="4"/>
      <c r="N96" s="2"/>
      <c r="O96" s="4"/>
      <c r="P96" s="2"/>
      <c r="Q96" s="2"/>
      <c r="R96" s="4"/>
      <c r="S96" s="2"/>
      <c r="T96" s="2"/>
      <c r="U96" s="1"/>
      <c r="V96" s="2"/>
      <c r="W96" s="2"/>
      <c r="X96" s="2"/>
      <c r="Y96" s="2"/>
      <c r="Z96" s="2"/>
    </row>
    <row r="97" spans="1:26" ht="15.75" customHeight="1" x14ac:dyDescent="0.2">
      <c r="A97" s="12"/>
      <c r="B97" s="10"/>
      <c r="C97" s="11"/>
      <c r="D97" s="13"/>
      <c r="E97" s="13"/>
      <c r="F97" s="13"/>
      <c r="G97" s="2"/>
      <c r="H97" s="2"/>
      <c r="I97" s="13"/>
      <c r="J97" s="13"/>
      <c r="K97" s="13"/>
      <c r="L97" s="14"/>
      <c r="M97" s="4"/>
      <c r="N97" s="2"/>
      <c r="O97" s="4"/>
      <c r="P97" s="2"/>
      <c r="Q97" s="2"/>
      <c r="R97" s="4"/>
      <c r="S97" s="2"/>
      <c r="T97" s="2"/>
      <c r="U97" s="1"/>
      <c r="V97" s="2"/>
      <c r="W97" s="2"/>
      <c r="X97" s="2"/>
      <c r="Y97" s="2"/>
      <c r="Z97" s="2"/>
    </row>
    <row r="98" spans="1:26" ht="15.75" customHeight="1" x14ac:dyDescent="0.2">
      <c r="A98" s="12"/>
      <c r="B98" s="10"/>
      <c r="C98" s="11"/>
      <c r="D98" s="13"/>
      <c r="E98" s="13"/>
      <c r="F98" s="13"/>
      <c r="G98" s="2"/>
      <c r="H98" s="2"/>
      <c r="I98" s="13"/>
      <c r="J98" s="13"/>
      <c r="K98" s="13"/>
      <c r="L98" s="14"/>
      <c r="M98" s="4"/>
      <c r="N98" s="2"/>
      <c r="O98" s="4"/>
      <c r="P98" s="2"/>
      <c r="Q98" s="2"/>
      <c r="R98" s="4"/>
      <c r="S98" s="2"/>
      <c r="T98" s="2"/>
      <c r="U98" s="1"/>
      <c r="V98" s="2"/>
      <c r="W98" s="2"/>
      <c r="X98" s="2"/>
      <c r="Y98" s="2"/>
      <c r="Z98" s="2"/>
    </row>
    <row r="99" spans="1:26" ht="15.75" customHeight="1" x14ac:dyDescent="0.2">
      <c r="A99" s="12"/>
      <c r="B99" s="10"/>
      <c r="C99" s="11"/>
      <c r="D99" s="13"/>
      <c r="E99" s="13"/>
      <c r="F99" s="13"/>
      <c r="G99" s="2"/>
      <c r="H99" s="2"/>
      <c r="I99" s="13"/>
      <c r="J99" s="13"/>
      <c r="K99" s="13"/>
      <c r="L99" s="14"/>
      <c r="M99" s="4"/>
      <c r="N99" s="2"/>
      <c r="O99" s="4"/>
      <c r="P99" s="2"/>
      <c r="Q99" s="2"/>
      <c r="R99" s="4"/>
      <c r="S99" s="2"/>
      <c r="T99" s="2"/>
      <c r="U99" s="1"/>
      <c r="V99" s="2"/>
      <c r="W99" s="2"/>
      <c r="X99" s="2"/>
      <c r="Y99" s="2"/>
      <c r="Z99" s="2"/>
    </row>
    <row r="100" spans="1:26" ht="15.75" customHeight="1" x14ac:dyDescent="0.2">
      <c r="A100" s="12"/>
      <c r="B100" s="10"/>
      <c r="C100" s="11"/>
      <c r="D100" s="13"/>
      <c r="E100" s="13"/>
      <c r="F100" s="13"/>
      <c r="G100" s="2"/>
      <c r="H100" s="2"/>
      <c r="I100" s="13"/>
      <c r="J100" s="13"/>
      <c r="K100" s="13"/>
      <c r="L100" s="14"/>
      <c r="M100" s="4"/>
      <c r="N100" s="2"/>
      <c r="O100" s="4"/>
      <c r="P100" s="2"/>
      <c r="Q100" s="2"/>
      <c r="R100" s="4"/>
      <c r="S100" s="2"/>
      <c r="T100" s="2"/>
      <c r="U100" s="1"/>
      <c r="V100" s="2"/>
      <c r="W100" s="2"/>
      <c r="X100" s="2"/>
      <c r="Y100" s="2"/>
      <c r="Z100" s="2"/>
    </row>
    <row r="101" spans="1:26" ht="15.75" customHeight="1" x14ac:dyDescent="0.2">
      <c r="A101" s="12"/>
      <c r="B101" s="10"/>
      <c r="C101" s="11"/>
      <c r="D101" s="13"/>
      <c r="E101" s="13"/>
      <c r="F101" s="13"/>
      <c r="G101" s="2"/>
      <c r="H101" s="2"/>
      <c r="I101" s="13"/>
      <c r="J101" s="13"/>
      <c r="K101" s="13"/>
      <c r="L101" s="14"/>
      <c r="M101" s="4"/>
      <c r="N101" s="2"/>
      <c r="O101" s="4"/>
      <c r="P101" s="2"/>
      <c r="Q101" s="2"/>
      <c r="R101" s="4"/>
      <c r="S101" s="2"/>
      <c r="T101" s="2"/>
      <c r="U101" s="1"/>
      <c r="V101" s="2"/>
      <c r="W101" s="2"/>
      <c r="X101" s="2"/>
      <c r="Y101" s="2"/>
      <c r="Z101" s="2"/>
    </row>
    <row r="102" spans="1:26" ht="15.75" customHeight="1" x14ac:dyDescent="0.2">
      <c r="A102" s="12"/>
      <c r="B102" s="10"/>
      <c r="C102" s="11"/>
      <c r="D102" s="13"/>
      <c r="E102" s="13"/>
      <c r="F102" s="13"/>
      <c r="G102" s="2"/>
      <c r="H102" s="2"/>
      <c r="I102" s="13"/>
      <c r="J102" s="13"/>
      <c r="K102" s="13"/>
      <c r="L102" s="14"/>
      <c r="M102" s="4"/>
      <c r="N102" s="2"/>
      <c r="O102" s="4"/>
      <c r="P102" s="2"/>
      <c r="Q102" s="2"/>
      <c r="R102" s="4"/>
      <c r="S102" s="2"/>
      <c r="T102" s="2"/>
      <c r="U102" s="1"/>
      <c r="V102" s="2"/>
      <c r="W102" s="2"/>
      <c r="X102" s="2"/>
      <c r="Y102" s="2"/>
      <c r="Z102" s="2"/>
    </row>
    <row r="103" spans="1:26" ht="15.75" customHeight="1" x14ac:dyDescent="0.2">
      <c r="A103" s="12"/>
      <c r="B103" s="10"/>
      <c r="C103" s="11"/>
      <c r="D103" s="13"/>
      <c r="E103" s="13"/>
      <c r="F103" s="13"/>
      <c r="G103" s="2"/>
      <c r="H103" s="2"/>
      <c r="I103" s="13"/>
      <c r="J103" s="13"/>
      <c r="K103" s="13"/>
      <c r="L103" s="14"/>
      <c r="M103" s="4"/>
      <c r="N103" s="2"/>
      <c r="O103" s="4"/>
      <c r="P103" s="2"/>
      <c r="Q103" s="2"/>
      <c r="R103" s="4"/>
      <c r="S103" s="2"/>
      <c r="T103" s="2"/>
      <c r="U103" s="1"/>
      <c r="V103" s="2"/>
      <c r="W103" s="2"/>
      <c r="X103" s="2"/>
      <c r="Y103" s="2"/>
      <c r="Z103" s="2"/>
    </row>
    <row r="104" spans="1:26" ht="15.75" customHeight="1" x14ac:dyDescent="0.2">
      <c r="A104" s="12"/>
      <c r="B104" s="10"/>
      <c r="C104" s="11"/>
      <c r="D104" s="13"/>
      <c r="E104" s="13"/>
      <c r="F104" s="13"/>
      <c r="G104" s="2"/>
      <c r="H104" s="2"/>
      <c r="I104" s="13"/>
      <c r="J104" s="13"/>
      <c r="K104" s="13"/>
      <c r="L104" s="14"/>
      <c r="M104" s="4"/>
      <c r="N104" s="2"/>
      <c r="O104" s="4"/>
      <c r="P104" s="2"/>
      <c r="Q104" s="2"/>
      <c r="R104" s="4"/>
      <c r="S104" s="2"/>
      <c r="T104" s="2"/>
      <c r="U104" s="1"/>
      <c r="V104" s="2"/>
      <c r="W104" s="2"/>
      <c r="X104" s="2"/>
      <c r="Y104" s="2"/>
      <c r="Z104" s="2"/>
    </row>
    <row r="105" spans="1:26" ht="15.75" customHeight="1" x14ac:dyDescent="0.2">
      <c r="A105" s="12"/>
      <c r="B105" s="10"/>
      <c r="C105" s="11"/>
      <c r="D105" s="13"/>
      <c r="E105" s="13"/>
      <c r="F105" s="13"/>
      <c r="G105" s="2"/>
      <c r="H105" s="2"/>
      <c r="I105" s="13"/>
      <c r="J105" s="13"/>
      <c r="K105" s="13"/>
      <c r="L105" s="14"/>
      <c r="M105" s="4"/>
      <c r="N105" s="2"/>
      <c r="O105" s="4"/>
      <c r="P105" s="2"/>
      <c r="Q105" s="2"/>
      <c r="R105" s="4"/>
      <c r="S105" s="2"/>
      <c r="T105" s="2"/>
      <c r="U105" s="1"/>
      <c r="V105" s="2"/>
      <c r="W105" s="2"/>
      <c r="X105" s="2"/>
      <c r="Y105" s="2"/>
      <c r="Z105" s="2"/>
    </row>
    <row r="106" spans="1:26" ht="15.75" customHeight="1" x14ac:dyDescent="0.2">
      <c r="A106" s="12"/>
      <c r="B106" s="10"/>
      <c r="C106" s="11"/>
      <c r="D106" s="13"/>
      <c r="E106" s="13"/>
      <c r="F106" s="13"/>
      <c r="G106" s="2"/>
      <c r="H106" s="2"/>
      <c r="I106" s="13"/>
      <c r="J106" s="13"/>
      <c r="K106" s="13"/>
      <c r="L106" s="14"/>
      <c r="M106" s="4"/>
      <c r="N106" s="2"/>
      <c r="O106" s="4"/>
      <c r="P106" s="2"/>
      <c r="Q106" s="2"/>
      <c r="R106" s="4"/>
      <c r="S106" s="2"/>
      <c r="T106" s="2"/>
      <c r="U106" s="1"/>
      <c r="V106" s="2"/>
      <c r="W106" s="2"/>
      <c r="X106" s="2"/>
      <c r="Y106" s="2"/>
      <c r="Z106" s="2"/>
    </row>
    <row r="107" spans="1:26" ht="15.75" customHeight="1" x14ac:dyDescent="0.2">
      <c r="A107" s="12"/>
      <c r="B107" s="10"/>
      <c r="C107" s="11"/>
      <c r="D107" s="13"/>
      <c r="E107" s="13"/>
      <c r="F107" s="13"/>
      <c r="G107" s="2"/>
      <c r="H107" s="2"/>
      <c r="I107" s="13"/>
      <c r="J107" s="13"/>
      <c r="K107" s="13"/>
      <c r="L107" s="14"/>
      <c r="M107" s="4"/>
      <c r="N107" s="2"/>
      <c r="O107" s="4"/>
      <c r="P107" s="2"/>
      <c r="Q107" s="2"/>
      <c r="R107" s="4"/>
      <c r="S107" s="2"/>
      <c r="T107" s="2"/>
      <c r="U107" s="1"/>
      <c r="V107" s="2"/>
      <c r="W107" s="2"/>
      <c r="X107" s="2"/>
      <c r="Y107" s="2"/>
      <c r="Z107" s="2"/>
    </row>
    <row r="108" spans="1:26" ht="15.75" customHeight="1" x14ac:dyDescent="0.2">
      <c r="A108" s="12"/>
      <c r="B108" s="10"/>
      <c r="C108" s="11"/>
      <c r="D108" s="13"/>
      <c r="E108" s="13"/>
      <c r="F108" s="13"/>
      <c r="G108" s="2"/>
      <c r="H108" s="2"/>
      <c r="I108" s="13"/>
      <c r="J108" s="13"/>
      <c r="K108" s="13"/>
      <c r="L108" s="14"/>
      <c r="M108" s="4"/>
      <c r="N108" s="2"/>
      <c r="O108" s="4"/>
      <c r="P108" s="2"/>
      <c r="Q108" s="2"/>
      <c r="R108" s="4"/>
      <c r="S108" s="2"/>
      <c r="T108" s="2"/>
      <c r="U108" s="1"/>
      <c r="V108" s="2"/>
      <c r="W108" s="2"/>
      <c r="X108" s="2"/>
      <c r="Y108" s="2"/>
      <c r="Z108" s="2"/>
    </row>
    <row r="109" spans="1:26" ht="15.75" customHeight="1" x14ac:dyDescent="0.2">
      <c r="A109" s="12"/>
      <c r="B109" s="10"/>
      <c r="C109" s="11"/>
      <c r="D109" s="13"/>
      <c r="E109" s="13"/>
      <c r="F109" s="13"/>
      <c r="G109" s="2"/>
      <c r="H109" s="2"/>
      <c r="I109" s="13"/>
      <c r="J109" s="13"/>
      <c r="K109" s="13"/>
      <c r="L109" s="14"/>
      <c r="M109" s="4"/>
      <c r="N109" s="2"/>
      <c r="O109" s="4"/>
      <c r="P109" s="2"/>
      <c r="Q109" s="2"/>
      <c r="R109" s="4"/>
      <c r="S109" s="2"/>
      <c r="T109" s="2"/>
      <c r="U109" s="1"/>
      <c r="V109" s="2"/>
      <c r="W109" s="2"/>
      <c r="X109" s="2"/>
      <c r="Y109" s="2"/>
      <c r="Z109" s="2"/>
    </row>
    <row r="110" spans="1:26" ht="15.75" customHeight="1" x14ac:dyDescent="0.2">
      <c r="A110" s="12"/>
      <c r="B110" s="10"/>
      <c r="C110" s="11"/>
      <c r="D110" s="13"/>
      <c r="E110" s="13"/>
      <c r="F110" s="13"/>
      <c r="G110" s="2"/>
      <c r="H110" s="2"/>
      <c r="I110" s="13"/>
      <c r="J110" s="13"/>
      <c r="K110" s="13"/>
      <c r="L110" s="14"/>
      <c r="M110" s="4"/>
      <c r="N110" s="2"/>
      <c r="O110" s="4"/>
      <c r="P110" s="2"/>
      <c r="Q110" s="2"/>
      <c r="R110" s="4"/>
      <c r="S110" s="2"/>
      <c r="T110" s="2"/>
      <c r="U110" s="1"/>
      <c r="V110" s="2"/>
      <c r="W110" s="2"/>
      <c r="X110" s="2"/>
      <c r="Y110" s="2"/>
      <c r="Z110" s="2"/>
    </row>
    <row r="111" spans="1:26" ht="15.75" customHeight="1" x14ac:dyDescent="0.2">
      <c r="A111" s="12"/>
      <c r="B111" s="10"/>
      <c r="C111" s="11"/>
      <c r="D111" s="13"/>
      <c r="E111" s="13"/>
      <c r="F111" s="13"/>
      <c r="G111" s="2"/>
      <c r="H111" s="2"/>
      <c r="I111" s="13"/>
      <c r="J111" s="13"/>
      <c r="K111" s="13"/>
      <c r="L111" s="14"/>
      <c r="M111" s="4"/>
      <c r="N111" s="2"/>
      <c r="O111" s="4"/>
      <c r="P111" s="2"/>
      <c r="Q111" s="2"/>
      <c r="R111" s="4"/>
      <c r="S111" s="2"/>
      <c r="T111" s="2"/>
      <c r="U111" s="1"/>
      <c r="V111" s="2"/>
      <c r="W111" s="2"/>
      <c r="X111" s="2"/>
      <c r="Y111" s="2"/>
      <c r="Z111" s="2"/>
    </row>
    <row r="112" spans="1:26" ht="15.75" customHeight="1" x14ac:dyDescent="0.2">
      <c r="A112" s="12"/>
      <c r="B112" s="10"/>
      <c r="C112" s="11"/>
      <c r="D112" s="13"/>
      <c r="E112" s="13"/>
      <c r="F112" s="13"/>
      <c r="G112" s="2"/>
      <c r="H112" s="2"/>
      <c r="I112" s="13"/>
      <c r="J112" s="13"/>
      <c r="K112" s="13"/>
      <c r="L112" s="14"/>
      <c r="M112" s="4"/>
      <c r="N112" s="2"/>
      <c r="O112" s="4"/>
      <c r="P112" s="2"/>
      <c r="Q112" s="2"/>
      <c r="R112" s="4"/>
      <c r="S112" s="2"/>
      <c r="T112" s="2"/>
      <c r="U112" s="1"/>
      <c r="V112" s="2"/>
      <c r="W112" s="2"/>
      <c r="X112" s="2"/>
      <c r="Y112" s="2"/>
      <c r="Z112" s="2"/>
    </row>
    <row r="113" spans="1:26" ht="15.75" customHeight="1" x14ac:dyDescent="0.2">
      <c r="A113" s="12"/>
      <c r="B113" s="10"/>
      <c r="C113" s="11"/>
      <c r="D113" s="13"/>
      <c r="E113" s="13"/>
      <c r="F113" s="13"/>
      <c r="G113" s="2"/>
      <c r="H113" s="2"/>
      <c r="I113" s="13"/>
      <c r="J113" s="13"/>
      <c r="K113" s="13"/>
      <c r="L113" s="14"/>
      <c r="M113" s="4"/>
      <c r="N113" s="2"/>
      <c r="O113" s="4"/>
      <c r="P113" s="2"/>
      <c r="Q113" s="2"/>
      <c r="R113" s="4"/>
      <c r="S113" s="2"/>
      <c r="T113" s="2"/>
      <c r="U113" s="1"/>
      <c r="V113" s="2"/>
      <c r="W113" s="2"/>
      <c r="X113" s="2"/>
      <c r="Y113" s="2"/>
      <c r="Z113" s="2"/>
    </row>
    <row r="114" spans="1:26" ht="15.75" customHeight="1" x14ac:dyDescent="0.2">
      <c r="A114" s="12"/>
      <c r="B114" s="10"/>
      <c r="C114" s="11"/>
      <c r="D114" s="13"/>
      <c r="E114" s="13"/>
      <c r="F114" s="13"/>
      <c r="G114" s="2"/>
      <c r="H114" s="2"/>
      <c r="I114" s="13"/>
      <c r="J114" s="13"/>
      <c r="K114" s="13"/>
      <c r="L114" s="14"/>
      <c r="M114" s="4"/>
      <c r="N114" s="2"/>
      <c r="O114" s="4"/>
      <c r="P114" s="2"/>
      <c r="Q114" s="2"/>
      <c r="R114" s="4"/>
      <c r="S114" s="2"/>
      <c r="T114" s="2"/>
      <c r="U114" s="1"/>
      <c r="V114" s="2"/>
      <c r="W114" s="2"/>
      <c r="X114" s="2"/>
      <c r="Y114" s="2"/>
      <c r="Z114" s="2"/>
    </row>
    <row r="115" spans="1:26" ht="15.75" customHeight="1" x14ac:dyDescent="0.2">
      <c r="A115" s="12"/>
      <c r="B115" s="10"/>
      <c r="C115" s="11"/>
      <c r="D115" s="13"/>
      <c r="E115" s="13"/>
      <c r="F115" s="13"/>
      <c r="G115" s="2"/>
      <c r="H115" s="2"/>
      <c r="I115" s="13"/>
      <c r="J115" s="13"/>
      <c r="K115" s="13"/>
      <c r="L115" s="14"/>
      <c r="M115" s="4"/>
      <c r="N115" s="2"/>
      <c r="O115" s="4"/>
      <c r="P115" s="2"/>
      <c r="Q115" s="2"/>
      <c r="R115" s="4"/>
      <c r="S115" s="2"/>
      <c r="T115" s="2"/>
      <c r="U115" s="1"/>
      <c r="V115" s="2"/>
      <c r="W115" s="2"/>
      <c r="X115" s="2"/>
      <c r="Y115" s="2"/>
      <c r="Z115" s="2"/>
    </row>
    <row r="116" spans="1:26" ht="15.75" customHeight="1" x14ac:dyDescent="0.2">
      <c r="A116" s="12"/>
      <c r="B116" s="10"/>
      <c r="C116" s="11"/>
      <c r="D116" s="13"/>
      <c r="E116" s="13"/>
      <c r="F116" s="13"/>
      <c r="G116" s="2"/>
      <c r="H116" s="2"/>
      <c r="I116" s="13"/>
      <c r="J116" s="13"/>
      <c r="K116" s="13"/>
      <c r="L116" s="14"/>
      <c r="M116" s="4"/>
      <c r="N116" s="2"/>
      <c r="O116" s="4"/>
      <c r="P116" s="2"/>
      <c r="Q116" s="2"/>
      <c r="R116" s="4"/>
      <c r="S116" s="2"/>
      <c r="T116" s="2"/>
      <c r="U116" s="1"/>
      <c r="V116" s="2"/>
      <c r="W116" s="2"/>
      <c r="X116" s="2"/>
      <c r="Y116" s="2"/>
      <c r="Z116" s="2"/>
    </row>
    <row r="117" spans="1:26" ht="15.75" customHeight="1" x14ac:dyDescent="0.2">
      <c r="A117" s="12"/>
      <c r="B117" s="10"/>
      <c r="C117" s="11"/>
      <c r="D117" s="13"/>
      <c r="E117" s="13"/>
      <c r="F117" s="13"/>
      <c r="G117" s="2"/>
      <c r="H117" s="2"/>
      <c r="I117" s="13"/>
      <c r="J117" s="13"/>
      <c r="K117" s="13"/>
      <c r="L117" s="14"/>
      <c r="M117" s="4"/>
      <c r="N117" s="2"/>
      <c r="O117" s="4"/>
      <c r="P117" s="2"/>
      <c r="Q117" s="2"/>
      <c r="R117" s="4"/>
      <c r="S117" s="2"/>
      <c r="T117" s="2"/>
      <c r="U117" s="1"/>
      <c r="V117" s="2"/>
      <c r="W117" s="2"/>
      <c r="X117" s="2"/>
      <c r="Y117" s="2"/>
      <c r="Z117" s="2"/>
    </row>
    <row r="118" spans="1:26" ht="15.75" customHeight="1" x14ac:dyDescent="0.2">
      <c r="A118" s="12"/>
      <c r="B118" s="10"/>
      <c r="C118" s="11"/>
      <c r="D118" s="13"/>
      <c r="E118" s="13"/>
      <c r="F118" s="13"/>
      <c r="G118" s="2"/>
      <c r="H118" s="2"/>
      <c r="I118" s="13"/>
      <c r="J118" s="13"/>
      <c r="K118" s="13"/>
      <c r="L118" s="14"/>
      <c r="M118" s="4"/>
      <c r="N118" s="2"/>
      <c r="O118" s="4"/>
      <c r="P118" s="2"/>
      <c r="Q118" s="2"/>
      <c r="R118" s="4"/>
      <c r="S118" s="2"/>
      <c r="T118" s="2"/>
      <c r="U118" s="1"/>
      <c r="V118" s="2"/>
      <c r="W118" s="2"/>
      <c r="X118" s="2"/>
      <c r="Y118" s="2"/>
      <c r="Z118" s="2"/>
    </row>
    <row r="119" spans="1:26" ht="15.75" customHeight="1" x14ac:dyDescent="0.2">
      <c r="A119" s="12"/>
      <c r="B119" s="10"/>
      <c r="C119" s="11"/>
      <c r="D119" s="13"/>
      <c r="E119" s="13"/>
      <c r="F119" s="13"/>
      <c r="G119" s="2"/>
      <c r="H119" s="2"/>
      <c r="I119" s="13"/>
      <c r="J119" s="13"/>
      <c r="K119" s="13"/>
      <c r="L119" s="14"/>
      <c r="M119" s="4"/>
      <c r="N119" s="2"/>
      <c r="O119" s="4"/>
      <c r="P119" s="2"/>
      <c r="Q119" s="2"/>
      <c r="R119" s="4"/>
      <c r="S119" s="2"/>
      <c r="T119" s="2"/>
      <c r="U119" s="1"/>
      <c r="V119" s="2"/>
      <c r="W119" s="2"/>
      <c r="X119" s="2"/>
      <c r="Y119" s="2"/>
      <c r="Z119" s="2"/>
    </row>
    <row r="120" spans="1:26" ht="15.75" customHeight="1" x14ac:dyDescent="0.2">
      <c r="A120" s="12"/>
      <c r="B120" s="10"/>
      <c r="C120" s="11"/>
      <c r="D120" s="13"/>
      <c r="E120" s="13"/>
      <c r="F120" s="13"/>
      <c r="G120" s="2"/>
      <c r="H120" s="2"/>
      <c r="I120" s="13"/>
      <c r="J120" s="13"/>
      <c r="K120" s="13"/>
      <c r="L120" s="14"/>
      <c r="M120" s="4"/>
      <c r="N120" s="2"/>
      <c r="O120" s="4"/>
      <c r="P120" s="2"/>
      <c r="Q120" s="2"/>
      <c r="R120" s="4"/>
      <c r="S120" s="2"/>
      <c r="T120" s="2"/>
      <c r="U120" s="1"/>
      <c r="V120" s="2"/>
      <c r="W120" s="2"/>
      <c r="X120" s="2"/>
      <c r="Y120" s="2"/>
      <c r="Z120" s="2"/>
    </row>
    <row r="121" spans="1:26" ht="15.75" customHeight="1" x14ac:dyDescent="0.2">
      <c r="A121" s="12"/>
      <c r="B121" s="10"/>
      <c r="C121" s="11"/>
      <c r="D121" s="13"/>
      <c r="E121" s="13"/>
      <c r="F121" s="13"/>
      <c r="G121" s="2"/>
      <c r="H121" s="2"/>
      <c r="I121" s="13"/>
      <c r="J121" s="13"/>
      <c r="K121" s="13"/>
      <c r="L121" s="14"/>
      <c r="M121" s="4"/>
      <c r="N121" s="2"/>
      <c r="O121" s="4"/>
      <c r="P121" s="2"/>
      <c r="Q121" s="2"/>
      <c r="R121" s="4"/>
      <c r="S121" s="2"/>
      <c r="T121" s="2"/>
      <c r="U121" s="1"/>
      <c r="V121" s="2"/>
      <c r="W121" s="2"/>
      <c r="X121" s="2"/>
      <c r="Y121" s="2"/>
      <c r="Z121" s="2"/>
    </row>
    <row r="122" spans="1:26" ht="15.75" customHeight="1" x14ac:dyDescent="0.2">
      <c r="A122" s="12"/>
      <c r="B122" s="10"/>
      <c r="C122" s="11"/>
      <c r="D122" s="13"/>
      <c r="E122" s="13"/>
      <c r="F122" s="13"/>
      <c r="G122" s="2"/>
      <c r="H122" s="2"/>
      <c r="I122" s="13"/>
      <c r="J122" s="13"/>
      <c r="K122" s="13"/>
      <c r="L122" s="14"/>
      <c r="M122" s="4"/>
      <c r="N122" s="2"/>
      <c r="O122" s="4"/>
      <c r="P122" s="2"/>
      <c r="Q122" s="2"/>
      <c r="R122" s="4"/>
      <c r="S122" s="2"/>
      <c r="T122" s="2"/>
      <c r="U122" s="1"/>
      <c r="V122" s="2"/>
      <c r="W122" s="2"/>
      <c r="X122" s="2"/>
      <c r="Y122" s="2"/>
      <c r="Z122" s="2"/>
    </row>
    <row r="123" spans="1:26" ht="15.75" customHeight="1" x14ac:dyDescent="0.2">
      <c r="A123" s="12"/>
      <c r="B123" s="10"/>
      <c r="C123" s="11"/>
      <c r="D123" s="13"/>
      <c r="E123" s="13"/>
      <c r="F123" s="13"/>
      <c r="G123" s="2"/>
      <c r="H123" s="2"/>
      <c r="I123" s="13"/>
      <c r="J123" s="13"/>
      <c r="K123" s="13"/>
      <c r="L123" s="14"/>
      <c r="M123" s="4"/>
      <c r="N123" s="2"/>
      <c r="O123" s="4"/>
      <c r="P123" s="2"/>
      <c r="Q123" s="2"/>
      <c r="R123" s="4"/>
      <c r="S123" s="2"/>
      <c r="T123" s="2"/>
      <c r="U123" s="1"/>
      <c r="V123" s="2"/>
      <c r="W123" s="2"/>
      <c r="X123" s="2"/>
      <c r="Y123" s="2"/>
      <c r="Z123" s="2"/>
    </row>
    <row r="124" spans="1:26" ht="15.75" customHeight="1" x14ac:dyDescent="0.2">
      <c r="A124" s="12"/>
      <c r="B124" s="10"/>
      <c r="C124" s="11"/>
      <c r="D124" s="13"/>
      <c r="E124" s="13"/>
      <c r="F124" s="13"/>
      <c r="G124" s="2"/>
      <c r="H124" s="2"/>
      <c r="I124" s="13"/>
      <c r="J124" s="13"/>
      <c r="K124" s="13"/>
      <c r="L124" s="14"/>
      <c r="M124" s="4"/>
      <c r="N124" s="2"/>
      <c r="O124" s="4"/>
      <c r="P124" s="2"/>
      <c r="Q124" s="2"/>
      <c r="R124" s="4"/>
      <c r="S124" s="2"/>
      <c r="T124" s="2"/>
      <c r="U124" s="1"/>
      <c r="V124" s="2"/>
      <c r="W124" s="2"/>
      <c r="X124" s="2"/>
      <c r="Y124" s="2"/>
      <c r="Z124" s="2"/>
    </row>
    <row r="125" spans="1:26" ht="15.75" customHeight="1" x14ac:dyDescent="0.2">
      <c r="A125" s="12"/>
      <c r="B125" s="10"/>
      <c r="C125" s="11"/>
      <c r="D125" s="13"/>
      <c r="E125" s="13"/>
      <c r="F125" s="13"/>
      <c r="G125" s="2"/>
      <c r="H125" s="2"/>
      <c r="I125" s="13"/>
      <c r="J125" s="13"/>
      <c r="K125" s="13"/>
      <c r="L125" s="14"/>
      <c r="M125" s="4"/>
      <c r="N125" s="2"/>
      <c r="O125" s="4"/>
      <c r="P125" s="2"/>
      <c r="Q125" s="2"/>
      <c r="R125" s="4"/>
      <c r="S125" s="2"/>
      <c r="T125" s="2"/>
      <c r="U125" s="1"/>
      <c r="V125" s="2"/>
      <c r="W125" s="2"/>
      <c r="X125" s="2"/>
      <c r="Y125" s="2"/>
      <c r="Z125" s="2"/>
    </row>
    <row r="126" spans="1:26" ht="15.75" customHeight="1" x14ac:dyDescent="0.2">
      <c r="A126" s="12"/>
      <c r="B126" s="10"/>
      <c r="C126" s="11"/>
      <c r="D126" s="13"/>
      <c r="E126" s="13"/>
      <c r="F126" s="13"/>
      <c r="G126" s="2"/>
      <c r="H126" s="2"/>
      <c r="I126" s="13"/>
      <c r="J126" s="13"/>
      <c r="K126" s="13"/>
      <c r="L126" s="14"/>
      <c r="M126" s="4"/>
      <c r="N126" s="2"/>
      <c r="O126" s="4"/>
      <c r="P126" s="2"/>
      <c r="Q126" s="2"/>
      <c r="R126" s="4"/>
      <c r="S126" s="2"/>
      <c r="T126" s="2"/>
      <c r="U126" s="1"/>
      <c r="V126" s="2"/>
      <c r="W126" s="2"/>
      <c r="X126" s="2"/>
      <c r="Y126" s="2"/>
      <c r="Z126" s="2"/>
    </row>
    <row r="127" spans="1:26" ht="15.75" customHeight="1" x14ac:dyDescent="0.2">
      <c r="A127" s="12"/>
      <c r="B127" s="10"/>
      <c r="C127" s="11"/>
      <c r="D127" s="13"/>
      <c r="E127" s="13"/>
      <c r="F127" s="13"/>
      <c r="G127" s="2"/>
      <c r="H127" s="2"/>
      <c r="I127" s="13"/>
      <c r="J127" s="13"/>
      <c r="K127" s="13"/>
      <c r="L127" s="14"/>
      <c r="M127" s="4"/>
      <c r="N127" s="2"/>
      <c r="O127" s="4"/>
      <c r="P127" s="2"/>
      <c r="Q127" s="2"/>
      <c r="R127" s="4"/>
      <c r="S127" s="2"/>
      <c r="T127" s="2"/>
      <c r="U127" s="1"/>
      <c r="V127" s="2"/>
      <c r="W127" s="2"/>
      <c r="X127" s="2"/>
      <c r="Y127" s="2"/>
      <c r="Z127" s="2"/>
    </row>
    <row r="128" spans="1:26" ht="15.75" customHeight="1" x14ac:dyDescent="0.2">
      <c r="A128" s="12"/>
      <c r="B128" s="10"/>
      <c r="C128" s="11"/>
      <c r="D128" s="13"/>
      <c r="E128" s="13"/>
      <c r="F128" s="13"/>
      <c r="G128" s="2"/>
      <c r="H128" s="2"/>
      <c r="I128" s="13"/>
      <c r="J128" s="13"/>
      <c r="K128" s="13"/>
      <c r="L128" s="14"/>
      <c r="M128" s="4"/>
      <c r="N128" s="2"/>
      <c r="O128" s="4"/>
      <c r="P128" s="2"/>
      <c r="Q128" s="2"/>
      <c r="R128" s="4"/>
      <c r="S128" s="2"/>
      <c r="T128" s="2"/>
      <c r="U128" s="1"/>
      <c r="V128" s="2"/>
      <c r="W128" s="2"/>
      <c r="X128" s="2"/>
      <c r="Y128" s="2"/>
      <c r="Z128" s="2"/>
    </row>
    <row r="129" spans="1:26" ht="15.75" customHeight="1" x14ac:dyDescent="0.2">
      <c r="A129" s="12"/>
      <c r="B129" s="10"/>
      <c r="C129" s="11"/>
      <c r="D129" s="13"/>
      <c r="E129" s="13"/>
      <c r="F129" s="13"/>
      <c r="G129" s="2"/>
      <c r="H129" s="2"/>
      <c r="I129" s="13"/>
      <c r="J129" s="13"/>
      <c r="K129" s="13"/>
      <c r="L129" s="14"/>
      <c r="M129" s="4"/>
      <c r="N129" s="2"/>
      <c r="O129" s="4"/>
      <c r="P129" s="2"/>
      <c r="Q129" s="2"/>
      <c r="R129" s="4"/>
      <c r="S129" s="2"/>
      <c r="T129" s="2"/>
      <c r="U129" s="1"/>
      <c r="V129" s="2"/>
      <c r="W129" s="2"/>
      <c r="X129" s="2"/>
      <c r="Y129" s="2"/>
      <c r="Z129" s="2"/>
    </row>
    <row r="130" spans="1:26" ht="15.75" customHeight="1" x14ac:dyDescent="0.2">
      <c r="A130" s="12"/>
      <c r="B130" s="10"/>
      <c r="C130" s="11"/>
      <c r="D130" s="13"/>
      <c r="E130" s="13"/>
      <c r="F130" s="13"/>
      <c r="G130" s="2"/>
      <c r="H130" s="2"/>
      <c r="I130" s="13"/>
      <c r="J130" s="13"/>
      <c r="K130" s="13"/>
      <c r="L130" s="14"/>
      <c r="M130" s="4"/>
      <c r="N130" s="2"/>
      <c r="O130" s="4"/>
      <c r="P130" s="2"/>
      <c r="Q130" s="2"/>
      <c r="R130" s="4"/>
      <c r="S130" s="2"/>
      <c r="T130" s="2"/>
      <c r="U130" s="1"/>
      <c r="V130" s="2"/>
      <c r="W130" s="2"/>
      <c r="X130" s="2"/>
      <c r="Y130" s="2"/>
      <c r="Z130" s="2"/>
    </row>
    <row r="131" spans="1:26" ht="15.75" customHeight="1" x14ac:dyDescent="0.2">
      <c r="A131" s="12"/>
      <c r="B131" s="10"/>
      <c r="C131" s="11"/>
      <c r="D131" s="13"/>
      <c r="E131" s="13"/>
      <c r="F131" s="13"/>
      <c r="G131" s="2"/>
      <c r="H131" s="2"/>
      <c r="I131" s="13"/>
      <c r="J131" s="13"/>
      <c r="K131" s="13"/>
      <c r="L131" s="14"/>
      <c r="M131" s="4"/>
      <c r="N131" s="2"/>
      <c r="O131" s="4"/>
      <c r="P131" s="2"/>
      <c r="Q131" s="2"/>
      <c r="R131" s="4"/>
      <c r="S131" s="2"/>
      <c r="T131" s="2"/>
      <c r="U131" s="1"/>
      <c r="V131" s="2"/>
      <c r="W131" s="2"/>
      <c r="X131" s="2"/>
      <c r="Y131" s="2"/>
      <c r="Z131" s="2"/>
    </row>
    <row r="132" spans="1:26" ht="15.75" customHeight="1" x14ac:dyDescent="0.2">
      <c r="A132" s="12"/>
      <c r="B132" s="10"/>
      <c r="C132" s="11"/>
      <c r="D132" s="13"/>
      <c r="E132" s="13"/>
      <c r="F132" s="13"/>
      <c r="G132" s="2"/>
      <c r="H132" s="2"/>
      <c r="I132" s="13"/>
      <c r="J132" s="13"/>
      <c r="K132" s="13"/>
      <c r="L132" s="14"/>
      <c r="M132" s="4"/>
      <c r="N132" s="2"/>
      <c r="O132" s="4"/>
      <c r="P132" s="2"/>
      <c r="Q132" s="2"/>
      <c r="R132" s="4"/>
      <c r="S132" s="2"/>
      <c r="T132" s="2"/>
      <c r="U132" s="1"/>
      <c r="V132" s="2"/>
      <c r="W132" s="2"/>
      <c r="X132" s="2"/>
      <c r="Y132" s="2"/>
      <c r="Z132" s="2"/>
    </row>
    <row r="133" spans="1:26" ht="15.75" customHeight="1" x14ac:dyDescent="0.2">
      <c r="A133" s="12"/>
      <c r="B133" s="10"/>
      <c r="C133" s="11"/>
      <c r="D133" s="13"/>
      <c r="E133" s="13"/>
      <c r="F133" s="13"/>
      <c r="G133" s="2"/>
      <c r="H133" s="2"/>
      <c r="I133" s="13"/>
      <c r="J133" s="13"/>
      <c r="K133" s="13"/>
      <c r="L133" s="14"/>
      <c r="M133" s="4"/>
      <c r="N133" s="2"/>
      <c r="O133" s="4"/>
      <c r="P133" s="2"/>
      <c r="Q133" s="2"/>
      <c r="R133" s="4"/>
      <c r="S133" s="2"/>
      <c r="T133" s="2"/>
      <c r="U133" s="1"/>
      <c r="V133" s="2"/>
      <c r="W133" s="2"/>
      <c r="X133" s="2"/>
      <c r="Y133" s="2"/>
      <c r="Z133" s="2"/>
    </row>
    <row r="134" spans="1:26" ht="15.75" customHeight="1" x14ac:dyDescent="0.2">
      <c r="A134" s="12"/>
      <c r="B134" s="10"/>
      <c r="C134" s="11"/>
      <c r="D134" s="13"/>
      <c r="E134" s="13"/>
      <c r="F134" s="13"/>
      <c r="G134" s="2"/>
      <c r="H134" s="2"/>
      <c r="I134" s="13"/>
      <c r="J134" s="13"/>
      <c r="K134" s="13"/>
      <c r="L134" s="14"/>
      <c r="M134" s="4"/>
      <c r="N134" s="2"/>
      <c r="O134" s="4"/>
      <c r="P134" s="2"/>
      <c r="Q134" s="2"/>
      <c r="R134" s="4"/>
      <c r="S134" s="2"/>
      <c r="T134" s="2"/>
      <c r="U134" s="1"/>
      <c r="V134" s="2"/>
      <c r="W134" s="2"/>
      <c r="X134" s="2"/>
      <c r="Y134" s="2"/>
      <c r="Z134" s="2"/>
    </row>
    <row r="135" spans="1:26" ht="15.75" customHeight="1" x14ac:dyDescent="0.2">
      <c r="A135" s="12"/>
      <c r="B135" s="10"/>
      <c r="C135" s="11"/>
      <c r="D135" s="13"/>
      <c r="E135" s="13"/>
      <c r="F135" s="13"/>
      <c r="G135" s="2"/>
      <c r="H135" s="2"/>
      <c r="I135" s="13"/>
      <c r="J135" s="13"/>
      <c r="K135" s="13"/>
      <c r="L135" s="14"/>
      <c r="M135" s="4"/>
      <c r="N135" s="2"/>
      <c r="O135" s="4"/>
      <c r="P135" s="2"/>
      <c r="Q135" s="2"/>
      <c r="R135" s="4"/>
      <c r="S135" s="2"/>
      <c r="T135" s="2"/>
      <c r="U135" s="1"/>
      <c r="V135" s="2"/>
      <c r="W135" s="2"/>
      <c r="X135" s="2"/>
      <c r="Y135" s="2"/>
      <c r="Z135" s="2"/>
    </row>
    <row r="136" spans="1:26" ht="15.75" customHeight="1" x14ac:dyDescent="0.2">
      <c r="A136" s="12"/>
      <c r="B136" s="10"/>
      <c r="C136" s="11"/>
      <c r="D136" s="13"/>
      <c r="E136" s="13"/>
      <c r="F136" s="13"/>
      <c r="G136" s="2"/>
      <c r="H136" s="2"/>
      <c r="I136" s="13"/>
      <c r="J136" s="13"/>
      <c r="K136" s="13"/>
      <c r="L136" s="14"/>
      <c r="M136" s="4"/>
      <c r="N136" s="2"/>
      <c r="O136" s="4"/>
      <c r="P136" s="2"/>
      <c r="Q136" s="2"/>
      <c r="R136" s="4"/>
      <c r="S136" s="2"/>
      <c r="T136" s="2"/>
      <c r="U136" s="1"/>
      <c r="V136" s="2"/>
      <c r="W136" s="2"/>
      <c r="X136" s="2"/>
      <c r="Y136" s="2"/>
      <c r="Z136" s="2"/>
    </row>
    <row r="137" spans="1:26" ht="15.75" customHeight="1" x14ac:dyDescent="0.2">
      <c r="A137" s="12"/>
      <c r="B137" s="10"/>
      <c r="C137" s="11"/>
      <c r="D137" s="13"/>
      <c r="E137" s="13"/>
      <c r="F137" s="13"/>
      <c r="G137" s="2"/>
      <c r="H137" s="2"/>
      <c r="I137" s="13"/>
      <c r="J137" s="13"/>
      <c r="K137" s="13"/>
      <c r="L137" s="14"/>
      <c r="M137" s="4"/>
      <c r="N137" s="2"/>
      <c r="O137" s="4"/>
      <c r="P137" s="2"/>
      <c r="Q137" s="2"/>
      <c r="R137" s="4"/>
      <c r="S137" s="2"/>
      <c r="T137" s="2"/>
      <c r="U137" s="1"/>
      <c r="V137" s="2"/>
      <c r="W137" s="2"/>
      <c r="X137" s="2"/>
      <c r="Y137" s="2"/>
      <c r="Z137" s="2"/>
    </row>
    <row r="138" spans="1:26" ht="15.75" customHeight="1" x14ac:dyDescent="0.2">
      <c r="A138" s="12"/>
      <c r="B138" s="10"/>
      <c r="C138" s="11"/>
      <c r="D138" s="13"/>
      <c r="E138" s="13"/>
      <c r="F138" s="13"/>
      <c r="G138" s="2"/>
      <c r="H138" s="2"/>
      <c r="I138" s="13"/>
      <c r="J138" s="13"/>
      <c r="K138" s="13"/>
      <c r="L138" s="14"/>
      <c r="M138" s="4"/>
      <c r="N138" s="2"/>
      <c r="O138" s="4"/>
      <c r="P138" s="2"/>
      <c r="Q138" s="2"/>
      <c r="R138" s="4"/>
      <c r="S138" s="2"/>
      <c r="T138" s="2"/>
      <c r="U138" s="1"/>
      <c r="V138" s="2"/>
      <c r="W138" s="2"/>
      <c r="X138" s="2"/>
      <c r="Y138" s="2"/>
      <c r="Z138" s="2"/>
    </row>
    <row r="139" spans="1:26" ht="15.75" customHeight="1" x14ac:dyDescent="0.2">
      <c r="A139" s="12"/>
      <c r="B139" s="10"/>
      <c r="C139" s="11"/>
      <c r="D139" s="13"/>
      <c r="E139" s="13"/>
      <c r="F139" s="13"/>
      <c r="G139" s="2"/>
      <c r="H139" s="2"/>
      <c r="I139" s="13"/>
      <c r="J139" s="13"/>
      <c r="K139" s="13"/>
      <c r="L139" s="14"/>
      <c r="M139" s="4"/>
      <c r="N139" s="2"/>
      <c r="O139" s="4"/>
      <c r="P139" s="2"/>
      <c r="Q139" s="2"/>
      <c r="R139" s="4"/>
      <c r="S139" s="2"/>
      <c r="T139" s="2"/>
      <c r="U139" s="1"/>
      <c r="V139" s="2"/>
      <c r="W139" s="2"/>
      <c r="X139" s="2"/>
      <c r="Y139" s="2"/>
      <c r="Z139" s="2"/>
    </row>
    <row r="140" spans="1:26" ht="15.75" customHeight="1" x14ac:dyDescent="0.2">
      <c r="A140" s="12"/>
      <c r="B140" s="10"/>
      <c r="C140" s="11"/>
      <c r="D140" s="13"/>
      <c r="E140" s="13"/>
      <c r="F140" s="13"/>
      <c r="G140" s="2"/>
      <c r="H140" s="2"/>
      <c r="I140" s="13"/>
      <c r="J140" s="13"/>
      <c r="K140" s="13"/>
      <c r="L140" s="14"/>
      <c r="M140" s="4"/>
      <c r="N140" s="2"/>
      <c r="O140" s="4"/>
      <c r="P140" s="2"/>
      <c r="Q140" s="2"/>
      <c r="R140" s="4"/>
      <c r="S140" s="2"/>
      <c r="T140" s="2"/>
      <c r="U140" s="1"/>
      <c r="V140" s="2"/>
      <c r="W140" s="2"/>
      <c r="X140" s="2"/>
      <c r="Y140" s="2"/>
      <c r="Z140" s="2"/>
    </row>
    <row r="141" spans="1:26" ht="15.75" customHeight="1" x14ac:dyDescent="0.2">
      <c r="A141" s="12"/>
      <c r="B141" s="10"/>
      <c r="C141" s="11"/>
      <c r="D141" s="13"/>
      <c r="E141" s="13"/>
      <c r="F141" s="13"/>
      <c r="G141" s="2"/>
      <c r="H141" s="2"/>
      <c r="I141" s="13"/>
      <c r="J141" s="13"/>
      <c r="K141" s="13"/>
      <c r="L141" s="14"/>
      <c r="M141" s="4"/>
      <c r="N141" s="2"/>
      <c r="O141" s="4"/>
      <c r="P141" s="2"/>
      <c r="Q141" s="2"/>
      <c r="R141" s="4"/>
      <c r="S141" s="2"/>
      <c r="T141" s="2"/>
      <c r="U141" s="1"/>
      <c r="V141" s="2"/>
      <c r="W141" s="2"/>
      <c r="X141" s="2"/>
      <c r="Y141" s="2"/>
      <c r="Z141" s="2"/>
    </row>
    <row r="142" spans="1:26" ht="15.75" customHeight="1" x14ac:dyDescent="0.2">
      <c r="A142" s="12"/>
      <c r="B142" s="10"/>
      <c r="C142" s="11"/>
      <c r="D142" s="13"/>
      <c r="E142" s="13"/>
      <c r="F142" s="13"/>
      <c r="G142" s="2"/>
      <c r="H142" s="2"/>
      <c r="I142" s="13"/>
      <c r="J142" s="13"/>
      <c r="K142" s="13"/>
      <c r="L142" s="14"/>
      <c r="M142" s="4"/>
      <c r="N142" s="2"/>
      <c r="O142" s="4"/>
      <c r="P142" s="2"/>
      <c r="Q142" s="2"/>
      <c r="R142" s="4"/>
      <c r="S142" s="2"/>
      <c r="T142" s="2"/>
      <c r="U142" s="1"/>
      <c r="V142" s="2"/>
      <c r="W142" s="2"/>
      <c r="X142" s="2"/>
      <c r="Y142" s="2"/>
      <c r="Z142" s="2"/>
    </row>
    <row r="143" spans="1:26" ht="15.75" customHeight="1" x14ac:dyDescent="0.2">
      <c r="A143" s="12"/>
      <c r="B143" s="10"/>
      <c r="C143" s="11"/>
      <c r="D143" s="13"/>
      <c r="E143" s="13"/>
      <c r="F143" s="13"/>
      <c r="G143" s="2"/>
      <c r="H143" s="2"/>
      <c r="I143" s="13"/>
      <c r="J143" s="13"/>
      <c r="K143" s="13"/>
      <c r="L143" s="14"/>
      <c r="M143" s="4"/>
      <c r="N143" s="2"/>
      <c r="O143" s="4"/>
      <c r="P143" s="2"/>
      <c r="Q143" s="2"/>
      <c r="R143" s="4"/>
      <c r="S143" s="2"/>
      <c r="T143" s="2"/>
      <c r="U143" s="1"/>
      <c r="V143" s="2"/>
      <c r="W143" s="2"/>
      <c r="X143" s="2"/>
      <c r="Y143" s="2"/>
      <c r="Z143" s="2"/>
    </row>
    <row r="144" spans="1:26" ht="15.75" customHeight="1" x14ac:dyDescent="0.2">
      <c r="A144" s="12"/>
      <c r="B144" s="10"/>
      <c r="C144" s="11"/>
      <c r="D144" s="13"/>
      <c r="E144" s="13"/>
      <c r="F144" s="13"/>
      <c r="G144" s="2"/>
      <c r="H144" s="2"/>
      <c r="I144" s="13"/>
      <c r="J144" s="13"/>
      <c r="K144" s="13"/>
      <c r="L144" s="14"/>
      <c r="M144" s="4"/>
      <c r="N144" s="2"/>
      <c r="O144" s="4"/>
      <c r="P144" s="2"/>
      <c r="Q144" s="2"/>
      <c r="R144" s="4"/>
      <c r="S144" s="2"/>
      <c r="T144" s="2"/>
      <c r="U144" s="1"/>
      <c r="V144" s="2"/>
      <c r="W144" s="2"/>
      <c r="X144" s="2"/>
      <c r="Y144" s="2"/>
      <c r="Z144" s="2"/>
    </row>
    <row r="145" spans="1:26" ht="15.75" customHeight="1" x14ac:dyDescent="0.2">
      <c r="A145" s="12"/>
      <c r="B145" s="10"/>
      <c r="C145" s="11"/>
      <c r="D145" s="13"/>
      <c r="E145" s="13"/>
      <c r="F145" s="13"/>
      <c r="G145" s="2"/>
      <c r="H145" s="2"/>
      <c r="I145" s="13"/>
      <c r="J145" s="13"/>
      <c r="K145" s="13"/>
      <c r="L145" s="14"/>
      <c r="M145" s="4"/>
      <c r="N145" s="2"/>
      <c r="O145" s="4"/>
      <c r="P145" s="2"/>
      <c r="Q145" s="2"/>
      <c r="R145" s="4"/>
      <c r="S145" s="2"/>
      <c r="T145" s="2"/>
      <c r="U145" s="1"/>
      <c r="V145" s="2"/>
      <c r="W145" s="2"/>
      <c r="X145" s="2"/>
      <c r="Y145" s="2"/>
      <c r="Z145" s="2"/>
    </row>
    <row r="146" spans="1:26" ht="15.75" customHeight="1" x14ac:dyDescent="0.2">
      <c r="A146" s="12"/>
      <c r="B146" s="10"/>
      <c r="C146" s="11"/>
      <c r="D146" s="13"/>
      <c r="E146" s="13"/>
      <c r="F146" s="13"/>
      <c r="G146" s="2"/>
      <c r="H146" s="2"/>
      <c r="I146" s="13"/>
      <c r="J146" s="13"/>
      <c r="K146" s="13"/>
      <c r="L146" s="14"/>
      <c r="M146" s="4"/>
      <c r="N146" s="2"/>
      <c r="O146" s="4"/>
      <c r="P146" s="2"/>
      <c r="Q146" s="2"/>
      <c r="R146" s="4"/>
      <c r="S146" s="2"/>
      <c r="T146" s="2"/>
      <c r="U146" s="1"/>
      <c r="V146" s="2"/>
      <c r="W146" s="2"/>
      <c r="X146" s="2"/>
      <c r="Y146" s="2"/>
      <c r="Z146" s="2"/>
    </row>
    <row r="147" spans="1:26" ht="15.75" customHeight="1" x14ac:dyDescent="0.2">
      <c r="A147" s="12"/>
      <c r="B147" s="10"/>
      <c r="C147" s="11"/>
      <c r="D147" s="13"/>
      <c r="E147" s="13"/>
      <c r="F147" s="13"/>
      <c r="G147" s="2"/>
      <c r="H147" s="2"/>
      <c r="I147" s="13"/>
      <c r="J147" s="13"/>
      <c r="K147" s="13"/>
      <c r="L147" s="14"/>
      <c r="M147" s="4"/>
      <c r="N147" s="2"/>
      <c r="O147" s="4"/>
      <c r="P147" s="2"/>
      <c r="Q147" s="2"/>
      <c r="R147" s="4"/>
      <c r="S147" s="2"/>
      <c r="T147" s="2"/>
      <c r="U147" s="1"/>
      <c r="V147" s="2"/>
      <c r="W147" s="2"/>
      <c r="X147" s="2"/>
      <c r="Y147" s="2"/>
      <c r="Z147" s="2"/>
    </row>
    <row r="148" spans="1:26" ht="15.75" customHeight="1" x14ac:dyDescent="0.2">
      <c r="A148" s="12"/>
      <c r="B148" s="10"/>
      <c r="C148" s="11"/>
      <c r="D148" s="13"/>
      <c r="E148" s="13"/>
      <c r="F148" s="13"/>
      <c r="G148" s="2"/>
      <c r="H148" s="2"/>
      <c r="I148" s="13"/>
      <c r="J148" s="13"/>
      <c r="K148" s="13"/>
      <c r="L148" s="14"/>
      <c r="M148" s="4"/>
      <c r="N148" s="2"/>
      <c r="O148" s="4"/>
      <c r="P148" s="2"/>
      <c r="Q148" s="2"/>
      <c r="R148" s="4"/>
      <c r="S148" s="2"/>
      <c r="T148" s="2"/>
      <c r="U148" s="1"/>
      <c r="V148" s="2"/>
      <c r="W148" s="2"/>
      <c r="X148" s="2"/>
      <c r="Y148" s="2"/>
      <c r="Z148" s="2"/>
    </row>
    <row r="149" spans="1:26" ht="15.75" customHeight="1" x14ac:dyDescent="0.2">
      <c r="A149" s="12"/>
      <c r="B149" s="10"/>
      <c r="C149" s="11"/>
      <c r="D149" s="13"/>
      <c r="E149" s="13"/>
      <c r="F149" s="13"/>
      <c r="G149" s="2"/>
      <c r="H149" s="2"/>
      <c r="I149" s="13"/>
      <c r="J149" s="13"/>
      <c r="K149" s="13"/>
      <c r="L149" s="14"/>
      <c r="M149" s="4"/>
      <c r="N149" s="2"/>
      <c r="O149" s="4"/>
      <c r="P149" s="2"/>
      <c r="Q149" s="2"/>
      <c r="R149" s="4"/>
      <c r="S149" s="2"/>
      <c r="T149" s="2"/>
      <c r="U149" s="1"/>
      <c r="V149" s="2"/>
      <c r="W149" s="2"/>
      <c r="X149" s="2"/>
      <c r="Y149" s="2"/>
      <c r="Z149" s="2"/>
    </row>
    <row r="150" spans="1:26" ht="15.75" customHeight="1" x14ac:dyDescent="0.2">
      <c r="A150" s="12"/>
      <c r="B150" s="10"/>
      <c r="C150" s="11"/>
      <c r="D150" s="13"/>
      <c r="E150" s="13"/>
      <c r="F150" s="13"/>
      <c r="G150" s="2"/>
      <c r="H150" s="2"/>
      <c r="I150" s="13"/>
      <c r="J150" s="13"/>
      <c r="K150" s="13"/>
      <c r="L150" s="14"/>
      <c r="M150" s="4"/>
      <c r="N150" s="2"/>
      <c r="O150" s="4"/>
      <c r="P150" s="2"/>
      <c r="Q150" s="2"/>
      <c r="R150" s="4"/>
      <c r="S150" s="2"/>
      <c r="T150" s="2"/>
      <c r="U150" s="1"/>
      <c r="V150" s="2"/>
      <c r="W150" s="2"/>
      <c r="X150" s="2"/>
      <c r="Y150" s="2"/>
      <c r="Z150" s="2"/>
    </row>
    <row r="151" spans="1:26" ht="15.75" customHeight="1" x14ac:dyDescent="0.2">
      <c r="A151" s="12"/>
      <c r="B151" s="10"/>
      <c r="C151" s="11"/>
      <c r="D151" s="13"/>
      <c r="E151" s="13"/>
      <c r="F151" s="13"/>
      <c r="G151" s="2"/>
      <c r="H151" s="2"/>
      <c r="I151" s="13"/>
      <c r="J151" s="13"/>
      <c r="K151" s="13"/>
      <c r="L151" s="14"/>
      <c r="M151" s="4"/>
      <c r="N151" s="2"/>
      <c r="O151" s="4"/>
      <c r="P151" s="2"/>
      <c r="Q151" s="2"/>
      <c r="R151" s="4"/>
      <c r="S151" s="2"/>
      <c r="T151" s="2"/>
      <c r="U151" s="1"/>
      <c r="V151" s="2"/>
      <c r="W151" s="2"/>
      <c r="X151" s="2"/>
      <c r="Y151" s="2"/>
      <c r="Z151" s="2"/>
    </row>
    <row r="152" spans="1:26" ht="15.75" customHeight="1" x14ac:dyDescent="0.2">
      <c r="A152" s="12"/>
      <c r="B152" s="10"/>
      <c r="C152" s="11"/>
      <c r="D152" s="13"/>
      <c r="E152" s="13"/>
      <c r="F152" s="13"/>
      <c r="G152" s="2"/>
      <c r="H152" s="2"/>
      <c r="I152" s="13"/>
      <c r="J152" s="13"/>
      <c r="K152" s="13"/>
      <c r="L152" s="14"/>
      <c r="M152" s="4"/>
      <c r="N152" s="2"/>
      <c r="O152" s="4"/>
      <c r="P152" s="2"/>
      <c r="Q152" s="2"/>
      <c r="R152" s="4"/>
      <c r="S152" s="2"/>
      <c r="T152" s="2"/>
      <c r="U152" s="1"/>
      <c r="V152" s="2"/>
      <c r="W152" s="2"/>
      <c r="X152" s="2"/>
      <c r="Y152" s="2"/>
      <c r="Z152" s="2"/>
    </row>
    <row r="153" spans="1:26" ht="15.75" customHeight="1" x14ac:dyDescent="0.2">
      <c r="A153" s="12"/>
      <c r="B153" s="10"/>
      <c r="C153" s="11"/>
      <c r="D153" s="13"/>
      <c r="E153" s="13"/>
      <c r="F153" s="13"/>
      <c r="G153" s="2"/>
      <c r="H153" s="2"/>
      <c r="I153" s="13"/>
      <c r="J153" s="13"/>
      <c r="K153" s="13"/>
      <c r="L153" s="14"/>
      <c r="M153" s="4"/>
      <c r="N153" s="2"/>
      <c r="O153" s="4"/>
      <c r="P153" s="2"/>
      <c r="Q153" s="2"/>
      <c r="R153" s="4"/>
      <c r="S153" s="2"/>
      <c r="T153" s="2"/>
      <c r="U153" s="1"/>
      <c r="V153" s="2"/>
      <c r="W153" s="2"/>
      <c r="X153" s="2"/>
      <c r="Y153" s="2"/>
      <c r="Z153" s="2"/>
    </row>
    <row r="154" spans="1:26" ht="15.75" customHeight="1" x14ac:dyDescent="0.2">
      <c r="A154" s="12"/>
      <c r="B154" s="10"/>
      <c r="C154" s="11"/>
      <c r="D154" s="13"/>
      <c r="E154" s="13"/>
      <c r="F154" s="13"/>
      <c r="G154" s="2"/>
      <c r="H154" s="2"/>
      <c r="I154" s="13"/>
      <c r="J154" s="13"/>
      <c r="K154" s="13"/>
      <c r="L154" s="14"/>
      <c r="M154" s="4"/>
      <c r="N154" s="2"/>
      <c r="O154" s="4"/>
      <c r="P154" s="2"/>
      <c r="Q154" s="2"/>
      <c r="R154" s="4"/>
      <c r="S154" s="2"/>
      <c r="T154" s="2"/>
      <c r="U154" s="1"/>
      <c r="V154" s="2"/>
      <c r="W154" s="2"/>
      <c r="X154" s="2"/>
      <c r="Y154" s="2"/>
      <c r="Z154" s="2"/>
    </row>
    <row r="155" spans="1:26" ht="15.75" customHeight="1" x14ac:dyDescent="0.2">
      <c r="A155" s="12"/>
      <c r="B155" s="10"/>
      <c r="C155" s="11"/>
      <c r="D155" s="13"/>
      <c r="E155" s="13"/>
      <c r="F155" s="13"/>
      <c r="G155" s="2"/>
      <c r="H155" s="2"/>
      <c r="I155" s="13"/>
      <c r="J155" s="13"/>
      <c r="K155" s="13"/>
      <c r="L155" s="14"/>
      <c r="M155" s="4"/>
      <c r="N155" s="2"/>
      <c r="O155" s="4"/>
      <c r="P155" s="2"/>
      <c r="Q155" s="2"/>
      <c r="R155" s="4"/>
      <c r="S155" s="2"/>
      <c r="T155" s="2"/>
      <c r="U155" s="1"/>
      <c r="V155" s="2"/>
      <c r="W155" s="2"/>
      <c r="X155" s="2"/>
      <c r="Y155" s="2"/>
      <c r="Z155" s="2"/>
    </row>
    <row r="156" spans="1:26" ht="15.75" customHeight="1" x14ac:dyDescent="0.2">
      <c r="A156" s="12"/>
      <c r="B156" s="10"/>
      <c r="C156" s="11"/>
      <c r="D156" s="13"/>
      <c r="E156" s="13"/>
      <c r="F156" s="13"/>
      <c r="G156" s="2"/>
      <c r="H156" s="2"/>
      <c r="I156" s="13"/>
      <c r="J156" s="13"/>
      <c r="K156" s="13"/>
      <c r="L156" s="14"/>
      <c r="M156" s="4"/>
      <c r="N156" s="2"/>
      <c r="O156" s="4"/>
      <c r="P156" s="2"/>
      <c r="Q156" s="2"/>
      <c r="R156" s="4"/>
      <c r="S156" s="2"/>
      <c r="T156" s="2"/>
      <c r="U156" s="1"/>
      <c r="V156" s="2"/>
      <c r="W156" s="2"/>
      <c r="X156" s="2"/>
      <c r="Y156" s="2"/>
      <c r="Z156" s="2"/>
    </row>
    <row r="157" spans="1:26" ht="15.75" customHeight="1" x14ac:dyDescent="0.2">
      <c r="A157" s="12"/>
      <c r="B157" s="10"/>
      <c r="C157" s="11"/>
      <c r="D157" s="13"/>
      <c r="E157" s="13"/>
      <c r="F157" s="13"/>
      <c r="G157" s="2"/>
      <c r="H157" s="2"/>
      <c r="I157" s="13"/>
      <c r="J157" s="13"/>
      <c r="K157" s="13"/>
      <c r="L157" s="14"/>
      <c r="M157" s="4"/>
      <c r="N157" s="2"/>
      <c r="O157" s="4"/>
      <c r="P157" s="2"/>
      <c r="Q157" s="2"/>
      <c r="R157" s="4"/>
      <c r="S157" s="2"/>
      <c r="T157" s="2"/>
      <c r="U157" s="1"/>
      <c r="V157" s="2"/>
      <c r="W157" s="2"/>
      <c r="X157" s="2"/>
      <c r="Y157" s="2"/>
      <c r="Z157" s="2"/>
    </row>
    <row r="158" spans="1:26" ht="15.75" customHeight="1" x14ac:dyDescent="0.2">
      <c r="A158" s="12"/>
      <c r="B158" s="10"/>
      <c r="C158" s="11"/>
      <c r="D158" s="13"/>
      <c r="E158" s="13"/>
      <c r="F158" s="13"/>
      <c r="G158" s="2"/>
      <c r="H158" s="2"/>
      <c r="I158" s="13"/>
      <c r="J158" s="13"/>
      <c r="K158" s="13"/>
      <c r="L158" s="14"/>
      <c r="M158" s="4"/>
      <c r="N158" s="2"/>
      <c r="O158" s="4"/>
      <c r="P158" s="2"/>
      <c r="Q158" s="2"/>
      <c r="R158" s="4"/>
      <c r="S158" s="2"/>
      <c r="T158" s="2"/>
      <c r="U158" s="1"/>
      <c r="V158" s="2"/>
      <c r="W158" s="2"/>
      <c r="X158" s="2"/>
      <c r="Y158" s="2"/>
      <c r="Z158" s="2"/>
    </row>
    <row r="159" spans="1:26" ht="15.75" customHeight="1" x14ac:dyDescent="0.2">
      <c r="A159" s="12"/>
      <c r="B159" s="10"/>
      <c r="C159" s="11"/>
      <c r="D159" s="13"/>
      <c r="E159" s="13"/>
      <c r="F159" s="13"/>
      <c r="G159" s="2"/>
      <c r="H159" s="2"/>
      <c r="I159" s="13"/>
      <c r="J159" s="13"/>
      <c r="K159" s="13"/>
      <c r="L159" s="14"/>
      <c r="M159" s="4"/>
      <c r="N159" s="2"/>
      <c r="O159" s="4"/>
      <c r="P159" s="2"/>
      <c r="Q159" s="2"/>
      <c r="R159" s="4"/>
      <c r="S159" s="2"/>
      <c r="T159" s="2"/>
      <c r="U159" s="1"/>
      <c r="V159" s="2"/>
      <c r="W159" s="2"/>
      <c r="X159" s="2"/>
      <c r="Y159" s="2"/>
      <c r="Z159" s="2"/>
    </row>
    <row r="160" spans="1:26" ht="15.75" customHeight="1" x14ac:dyDescent="0.2">
      <c r="A160" s="12"/>
      <c r="B160" s="10"/>
      <c r="C160" s="11"/>
      <c r="D160" s="13"/>
      <c r="E160" s="13"/>
      <c r="F160" s="13"/>
      <c r="G160" s="2"/>
      <c r="H160" s="2"/>
      <c r="I160" s="13"/>
      <c r="J160" s="13"/>
      <c r="K160" s="13"/>
      <c r="L160" s="14"/>
      <c r="M160" s="4"/>
      <c r="N160" s="2"/>
      <c r="O160" s="4"/>
      <c r="P160" s="2"/>
      <c r="Q160" s="2"/>
      <c r="R160" s="4"/>
      <c r="S160" s="2"/>
      <c r="T160" s="2"/>
      <c r="U160" s="1"/>
      <c r="V160" s="2"/>
      <c r="W160" s="2"/>
      <c r="X160" s="2"/>
      <c r="Y160" s="2"/>
      <c r="Z160" s="2"/>
    </row>
    <row r="161" spans="1:26" ht="15.75" customHeight="1" x14ac:dyDescent="0.2">
      <c r="A161" s="12"/>
      <c r="B161" s="10"/>
      <c r="C161" s="11"/>
      <c r="D161" s="13"/>
      <c r="E161" s="13"/>
      <c r="F161" s="13"/>
      <c r="G161" s="2"/>
      <c r="H161" s="2"/>
      <c r="I161" s="13"/>
      <c r="J161" s="13"/>
      <c r="K161" s="13"/>
      <c r="L161" s="14"/>
      <c r="M161" s="4"/>
      <c r="N161" s="2"/>
      <c r="O161" s="4"/>
      <c r="P161" s="2"/>
      <c r="Q161" s="2"/>
      <c r="R161" s="4"/>
      <c r="S161" s="2"/>
      <c r="T161" s="2"/>
      <c r="U161" s="1"/>
      <c r="V161" s="2"/>
      <c r="W161" s="2"/>
      <c r="X161" s="2"/>
      <c r="Y161" s="2"/>
      <c r="Z161" s="2"/>
    </row>
    <row r="162" spans="1:26" ht="15.75" customHeight="1" x14ac:dyDescent="0.2">
      <c r="A162" s="12"/>
      <c r="B162" s="10"/>
      <c r="C162" s="11"/>
      <c r="D162" s="13"/>
      <c r="E162" s="13"/>
      <c r="F162" s="13"/>
      <c r="G162" s="2"/>
      <c r="H162" s="2"/>
      <c r="I162" s="13"/>
      <c r="J162" s="13"/>
      <c r="K162" s="13"/>
      <c r="L162" s="14"/>
      <c r="M162" s="4"/>
      <c r="N162" s="2"/>
      <c r="O162" s="4"/>
      <c r="P162" s="2"/>
      <c r="Q162" s="2"/>
      <c r="R162" s="4"/>
      <c r="S162" s="2"/>
      <c r="T162" s="2"/>
      <c r="U162" s="1"/>
      <c r="V162" s="2"/>
      <c r="W162" s="2"/>
      <c r="X162" s="2"/>
      <c r="Y162" s="2"/>
      <c r="Z162" s="2"/>
    </row>
    <row r="163" spans="1:26" ht="15.75" customHeight="1" x14ac:dyDescent="0.2">
      <c r="A163" s="12"/>
      <c r="B163" s="10"/>
      <c r="C163" s="11"/>
      <c r="D163" s="13"/>
      <c r="E163" s="13"/>
      <c r="F163" s="13"/>
      <c r="G163" s="2"/>
      <c r="H163" s="2"/>
      <c r="I163" s="13"/>
      <c r="J163" s="13"/>
      <c r="K163" s="13"/>
      <c r="L163" s="14"/>
      <c r="M163" s="4"/>
      <c r="N163" s="2"/>
      <c r="O163" s="4"/>
      <c r="P163" s="2"/>
      <c r="Q163" s="2"/>
      <c r="R163" s="4"/>
      <c r="S163" s="2"/>
      <c r="T163" s="2"/>
      <c r="U163" s="1"/>
      <c r="V163" s="2"/>
      <c r="W163" s="2"/>
      <c r="X163" s="2"/>
      <c r="Y163" s="2"/>
      <c r="Z163" s="2"/>
    </row>
    <row r="164" spans="1:26" ht="15.75" customHeight="1" x14ac:dyDescent="0.2">
      <c r="A164" s="12"/>
      <c r="B164" s="10"/>
      <c r="C164" s="11"/>
      <c r="D164" s="13"/>
      <c r="E164" s="13"/>
      <c r="F164" s="13"/>
      <c r="G164" s="2"/>
      <c r="H164" s="2"/>
      <c r="I164" s="13"/>
      <c r="J164" s="13"/>
      <c r="K164" s="13"/>
      <c r="L164" s="14"/>
      <c r="M164" s="4"/>
      <c r="N164" s="2"/>
      <c r="O164" s="4"/>
      <c r="P164" s="2"/>
      <c r="Q164" s="2"/>
      <c r="R164" s="4"/>
      <c r="S164" s="2"/>
      <c r="T164" s="2"/>
      <c r="U164" s="1"/>
      <c r="V164" s="2"/>
      <c r="W164" s="2"/>
      <c r="X164" s="2"/>
      <c r="Y164" s="2"/>
      <c r="Z164" s="2"/>
    </row>
    <row r="165" spans="1:26" ht="15.75" customHeight="1" x14ac:dyDescent="0.2">
      <c r="A165" s="12"/>
      <c r="B165" s="10"/>
      <c r="C165" s="11"/>
      <c r="D165" s="13"/>
      <c r="E165" s="13"/>
      <c r="F165" s="13"/>
      <c r="G165" s="2"/>
      <c r="H165" s="2"/>
      <c r="I165" s="13"/>
      <c r="J165" s="13"/>
      <c r="K165" s="13"/>
      <c r="L165" s="14"/>
      <c r="M165" s="4"/>
      <c r="N165" s="2"/>
      <c r="O165" s="4"/>
      <c r="P165" s="2"/>
      <c r="Q165" s="2"/>
      <c r="R165" s="4"/>
      <c r="S165" s="2"/>
      <c r="T165" s="2"/>
      <c r="U165" s="1"/>
      <c r="V165" s="2"/>
      <c r="W165" s="2"/>
      <c r="X165" s="2"/>
      <c r="Y165" s="2"/>
      <c r="Z165" s="2"/>
    </row>
    <row r="166" spans="1:26" ht="15.75" customHeight="1" x14ac:dyDescent="0.2">
      <c r="A166" s="12"/>
      <c r="B166" s="10"/>
      <c r="C166" s="11"/>
      <c r="D166" s="13"/>
      <c r="E166" s="13"/>
      <c r="F166" s="13"/>
      <c r="G166" s="2"/>
      <c r="H166" s="2"/>
      <c r="I166" s="13"/>
      <c r="J166" s="13"/>
      <c r="K166" s="13"/>
      <c r="L166" s="14"/>
      <c r="M166" s="4"/>
      <c r="N166" s="2"/>
      <c r="O166" s="4"/>
      <c r="P166" s="2"/>
      <c r="Q166" s="2"/>
      <c r="R166" s="4"/>
      <c r="S166" s="2"/>
      <c r="T166" s="2"/>
      <c r="U166" s="1"/>
      <c r="V166" s="2"/>
      <c r="W166" s="2"/>
      <c r="X166" s="2"/>
      <c r="Y166" s="2"/>
      <c r="Z166" s="2"/>
    </row>
    <row r="167" spans="1:26" ht="15.75" customHeight="1" x14ac:dyDescent="0.2">
      <c r="A167" s="12"/>
      <c r="B167" s="10"/>
      <c r="C167" s="11"/>
      <c r="D167" s="13"/>
      <c r="E167" s="13"/>
      <c r="F167" s="13"/>
      <c r="G167" s="2"/>
      <c r="H167" s="2"/>
      <c r="I167" s="13"/>
      <c r="J167" s="13"/>
      <c r="K167" s="13"/>
      <c r="L167" s="14"/>
      <c r="M167" s="4"/>
      <c r="N167" s="2"/>
      <c r="O167" s="4"/>
      <c r="P167" s="2"/>
      <c r="Q167" s="2"/>
      <c r="R167" s="4"/>
      <c r="S167" s="2"/>
      <c r="T167" s="2"/>
      <c r="U167" s="1"/>
      <c r="V167" s="2"/>
      <c r="W167" s="2"/>
      <c r="X167" s="2"/>
      <c r="Y167" s="2"/>
      <c r="Z167" s="2"/>
    </row>
    <row r="168" spans="1:26" ht="15.75" customHeight="1" x14ac:dyDescent="0.2">
      <c r="A168" s="12"/>
      <c r="B168" s="10"/>
      <c r="C168" s="11"/>
      <c r="D168" s="13"/>
      <c r="E168" s="13"/>
      <c r="F168" s="13"/>
      <c r="G168" s="2"/>
      <c r="H168" s="2"/>
      <c r="I168" s="13"/>
      <c r="J168" s="13"/>
      <c r="K168" s="13"/>
      <c r="L168" s="14"/>
      <c r="M168" s="4"/>
      <c r="N168" s="2"/>
      <c r="O168" s="4"/>
      <c r="P168" s="2"/>
      <c r="Q168" s="2"/>
      <c r="R168" s="4"/>
      <c r="S168" s="2"/>
      <c r="T168" s="2"/>
      <c r="U168" s="1"/>
      <c r="V168" s="2"/>
      <c r="W168" s="2"/>
      <c r="X168" s="2"/>
      <c r="Y168" s="2"/>
      <c r="Z168" s="2"/>
    </row>
    <row r="169" spans="1:26" ht="15.75" customHeight="1" x14ac:dyDescent="0.2">
      <c r="A169" s="12"/>
      <c r="B169" s="10"/>
      <c r="C169" s="11"/>
      <c r="D169" s="13"/>
      <c r="E169" s="13"/>
      <c r="F169" s="13"/>
      <c r="G169" s="2"/>
      <c r="H169" s="2"/>
      <c r="I169" s="13"/>
      <c r="J169" s="13"/>
      <c r="K169" s="13"/>
      <c r="L169" s="14"/>
      <c r="M169" s="4"/>
      <c r="N169" s="2"/>
      <c r="O169" s="4"/>
      <c r="P169" s="2"/>
      <c r="Q169" s="2"/>
      <c r="R169" s="4"/>
      <c r="S169" s="2"/>
      <c r="T169" s="2"/>
      <c r="U169" s="1"/>
      <c r="V169" s="2"/>
      <c r="W169" s="2"/>
      <c r="X169" s="2"/>
      <c r="Y169" s="2"/>
      <c r="Z169" s="2"/>
    </row>
    <row r="170" spans="1:26" ht="15.75" customHeight="1" x14ac:dyDescent="0.2">
      <c r="A170" s="12"/>
      <c r="B170" s="10"/>
      <c r="C170" s="11"/>
      <c r="D170" s="13"/>
      <c r="E170" s="13"/>
      <c r="F170" s="13"/>
      <c r="G170" s="2"/>
      <c r="H170" s="2"/>
      <c r="I170" s="13"/>
      <c r="J170" s="13"/>
      <c r="K170" s="13"/>
      <c r="L170" s="14"/>
      <c r="M170" s="4"/>
      <c r="N170" s="2"/>
      <c r="O170" s="4"/>
      <c r="P170" s="2"/>
      <c r="Q170" s="2"/>
      <c r="R170" s="4"/>
      <c r="S170" s="2"/>
      <c r="T170" s="2"/>
      <c r="U170" s="1"/>
      <c r="V170" s="2"/>
      <c r="W170" s="2"/>
      <c r="X170" s="2"/>
      <c r="Y170" s="2"/>
      <c r="Z170" s="2"/>
    </row>
    <row r="171" spans="1:26" ht="15.75" customHeight="1" x14ac:dyDescent="0.2">
      <c r="A171" s="12"/>
      <c r="B171" s="10"/>
      <c r="C171" s="11"/>
      <c r="D171" s="13"/>
      <c r="E171" s="13"/>
      <c r="F171" s="13"/>
      <c r="G171" s="2"/>
      <c r="H171" s="2"/>
      <c r="I171" s="13"/>
      <c r="J171" s="13"/>
      <c r="K171" s="13"/>
      <c r="L171" s="14"/>
      <c r="M171" s="4"/>
      <c r="N171" s="2"/>
      <c r="O171" s="4"/>
      <c r="P171" s="2"/>
      <c r="Q171" s="2"/>
      <c r="R171" s="4"/>
      <c r="S171" s="2"/>
      <c r="T171" s="2"/>
      <c r="U171" s="1"/>
      <c r="V171" s="2"/>
      <c r="W171" s="2"/>
      <c r="X171" s="2"/>
      <c r="Y171" s="2"/>
      <c r="Z171" s="2"/>
    </row>
    <row r="172" spans="1:26" ht="15.75" customHeight="1" x14ac:dyDescent="0.2">
      <c r="A172" s="12"/>
      <c r="B172" s="10"/>
      <c r="C172" s="11"/>
      <c r="D172" s="13"/>
      <c r="E172" s="13"/>
      <c r="F172" s="13"/>
      <c r="G172" s="2"/>
      <c r="H172" s="2"/>
      <c r="I172" s="13"/>
      <c r="J172" s="13"/>
      <c r="K172" s="13"/>
      <c r="L172" s="14"/>
      <c r="M172" s="4"/>
      <c r="N172" s="2"/>
      <c r="O172" s="4"/>
      <c r="P172" s="2"/>
      <c r="Q172" s="2"/>
      <c r="R172" s="4"/>
      <c r="S172" s="2"/>
      <c r="T172" s="2"/>
      <c r="U172" s="1"/>
      <c r="V172" s="2"/>
      <c r="W172" s="2"/>
      <c r="X172" s="2"/>
      <c r="Y172" s="2"/>
      <c r="Z172" s="2"/>
    </row>
    <row r="173" spans="1:26" ht="15.75" customHeight="1" x14ac:dyDescent="0.2">
      <c r="A173" s="12"/>
      <c r="B173" s="10"/>
      <c r="C173" s="11"/>
      <c r="D173" s="13"/>
      <c r="E173" s="13"/>
      <c r="F173" s="13"/>
      <c r="G173" s="2"/>
      <c r="H173" s="2"/>
      <c r="I173" s="13"/>
      <c r="J173" s="13"/>
      <c r="K173" s="13"/>
      <c r="L173" s="14"/>
      <c r="M173" s="4"/>
      <c r="N173" s="2"/>
      <c r="O173" s="4"/>
      <c r="P173" s="2"/>
      <c r="Q173" s="2"/>
      <c r="R173" s="4"/>
      <c r="S173" s="2"/>
      <c r="T173" s="2"/>
      <c r="U173" s="1"/>
      <c r="V173" s="2"/>
      <c r="W173" s="2"/>
      <c r="X173" s="2"/>
      <c r="Y173" s="2"/>
      <c r="Z173" s="2"/>
    </row>
    <row r="174" spans="1:26" ht="15.75" customHeight="1" x14ac:dyDescent="0.2">
      <c r="A174" s="12"/>
      <c r="B174" s="10"/>
      <c r="C174" s="11"/>
      <c r="D174" s="13"/>
      <c r="E174" s="13"/>
      <c r="F174" s="13"/>
      <c r="G174" s="2"/>
      <c r="H174" s="2"/>
      <c r="I174" s="13"/>
      <c r="J174" s="13"/>
      <c r="K174" s="13"/>
      <c r="L174" s="14"/>
      <c r="M174" s="4"/>
      <c r="N174" s="2"/>
      <c r="O174" s="4"/>
      <c r="P174" s="2"/>
      <c r="Q174" s="2"/>
      <c r="R174" s="4"/>
      <c r="S174" s="2"/>
      <c r="T174" s="2"/>
      <c r="U174" s="1"/>
      <c r="V174" s="2"/>
      <c r="W174" s="2"/>
      <c r="X174" s="2"/>
      <c r="Y174" s="2"/>
      <c r="Z174" s="2"/>
    </row>
    <row r="175" spans="1:26" ht="15.75" customHeight="1" x14ac:dyDescent="0.2">
      <c r="A175" s="12"/>
      <c r="B175" s="10"/>
      <c r="C175" s="11"/>
      <c r="D175" s="13"/>
      <c r="E175" s="13"/>
      <c r="F175" s="13"/>
      <c r="G175" s="2"/>
      <c r="H175" s="2"/>
      <c r="I175" s="13"/>
      <c r="J175" s="13"/>
      <c r="K175" s="13"/>
      <c r="L175" s="14"/>
      <c r="M175" s="4"/>
      <c r="N175" s="2"/>
      <c r="O175" s="4"/>
      <c r="P175" s="2"/>
      <c r="Q175" s="2"/>
      <c r="R175" s="4"/>
      <c r="S175" s="2"/>
      <c r="T175" s="2"/>
      <c r="U175" s="1"/>
      <c r="V175" s="2"/>
      <c r="W175" s="2"/>
      <c r="X175" s="2"/>
      <c r="Y175" s="2"/>
      <c r="Z175" s="2"/>
    </row>
    <row r="176" spans="1:26" ht="15.75" customHeight="1" x14ac:dyDescent="0.2">
      <c r="A176" s="12"/>
      <c r="B176" s="10"/>
      <c r="C176" s="11"/>
      <c r="D176" s="13"/>
      <c r="E176" s="13"/>
      <c r="F176" s="13"/>
      <c r="G176" s="2"/>
      <c r="H176" s="2"/>
      <c r="I176" s="13"/>
      <c r="J176" s="13"/>
      <c r="K176" s="13"/>
      <c r="L176" s="14"/>
      <c r="M176" s="4"/>
      <c r="N176" s="2"/>
      <c r="O176" s="4"/>
      <c r="P176" s="2"/>
      <c r="Q176" s="2"/>
      <c r="R176" s="4"/>
      <c r="S176" s="2"/>
      <c r="T176" s="2"/>
      <c r="U176" s="1"/>
      <c r="V176" s="2"/>
      <c r="W176" s="2"/>
      <c r="X176" s="2"/>
      <c r="Y176" s="2"/>
      <c r="Z176" s="2"/>
    </row>
    <row r="177" spans="1:26" ht="15.75" customHeight="1" x14ac:dyDescent="0.2">
      <c r="A177" s="12"/>
      <c r="B177" s="10"/>
      <c r="C177" s="11"/>
      <c r="D177" s="13"/>
      <c r="E177" s="13"/>
      <c r="F177" s="13"/>
      <c r="G177" s="2"/>
      <c r="H177" s="2"/>
      <c r="I177" s="13"/>
      <c r="J177" s="13"/>
      <c r="K177" s="13"/>
      <c r="L177" s="14"/>
      <c r="M177" s="4"/>
      <c r="N177" s="2"/>
      <c r="O177" s="4"/>
      <c r="P177" s="2"/>
      <c r="Q177" s="2"/>
      <c r="R177" s="4"/>
      <c r="S177" s="2"/>
      <c r="T177" s="2"/>
      <c r="U177" s="1"/>
      <c r="V177" s="2"/>
      <c r="W177" s="2"/>
      <c r="X177" s="2"/>
      <c r="Y177" s="2"/>
      <c r="Z177" s="2"/>
    </row>
    <row r="178" spans="1:26" ht="15.75" customHeight="1" x14ac:dyDescent="0.2">
      <c r="A178" s="12"/>
      <c r="B178" s="10"/>
      <c r="C178" s="11"/>
      <c r="D178" s="13"/>
      <c r="E178" s="13"/>
      <c r="F178" s="13"/>
      <c r="G178" s="2"/>
      <c r="H178" s="2"/>
      <c r="I178" s="13"/>
      <c r="J178" s="13"/>
      <c r="K178" s="13"/>
      <c r="L178" s="14"/>
      <c r="M178" s="4"/>
      <c r="N178" s="2"/>
      <c r="O178" s="4"/>
      <c r="P178" s="2"/>
      <c r="Q178" s="2"/>
      <c r="R178" s="4"/>
      <c r="S178" s="2"/>
      <c r="T178" s="2"/>
      <c r="U178" s="1"/>
      <c r="V178" s="2"/>
      <c r="W178" s="2"/>
      <c r="X178" s="2"/>
      <c r="Y178" s="2"/>
      <c r="Z178" s="2"/>
    </row>
    <row r="179" spans="1:26" ht="15.75" customHeight="1" x14ac:dyDescent="0.2">
      <c r="A179" s="12"/>
      <c r="B179" s="10"/>
      <c r="C179" s="11"/>
      <c r="D179" s="13"/>
      <c r="E179" s="13"/>
      <c r="F179" s="13"/>
      <c r="G179" s="2"/>
      <c r="H179" s="2"/>
      <c r="I179" s="13"/>
      <c r="J179" s="13"/>
      <c r="K179" s="13"/>
      <c r="L179" s="14"/>
      <c r="M179" s="4"/>
      <c r="N179" s="2"/>
      <c r="O179" s="4"/>
      <c r="P179" s="2"/>
      <c r="Q179" s="2"/>
      <c r="R179" s="4"/>
      <c r="S179" s="2"/>
      <c r="T179" s="2"/>
      <c r="U179" s="1"/>
      <c r="V179" s="2"/>
      <c r="W179" s="2"/>
      <c r="X179" s="2"/>
      <c r="Y179" s="2"/>
      <c r="Z179" s="2"/>
    </row>
    <row r="180" spans="1:26" ht="15.75" customHeight="1" x14ac:dyDescent="0.2">
      <c r="A180" s="12"/>
      <c r="B180" s="10"/>
      <c r="C180" s="11"/>
      <c r="D180" s="13"/>
      <c r="E180" s="13"/>
      <c r="F180" s="13"/>
      <c r="G180" s="2"/>
      <c r="H180" s="2"/>
      <c r="I180" s="13"/>
      <c r="J180" s="13"/>
      <c r="K180" s="13"/>
      <c r="L180" s="14"/>
      <c r="M180" s="4"/>
      <c r="N180" s="2"/>
      <c r="O180" s="4"/>
      <c r="P180" s="2"/>
      <c r="Q180" s="2"/>
      <c r="R180" s="4"/>
      <c r="S180" s="2"/>
      <c r="T180" s="2"/>
      <c r="U180" s="1"/>
      <c r="V180" s="2"/>
      <c r="W180" s="2"/>
      <c r="X180" s="2"/>
      <c r="Y180" s="2"/>
      <c r="Z180" s="2"/>
    </row>
    <row r="181" spans="1:26" ht="15.75" customHeight="1" x14ac:dyDescent="0.2">
      <c r="A181" s="12"/>
      <c r="B181" s="10"/>
      <c r="C181" s="11"/>
      <c r="D181" s="13"/>
      <c r="E181" s="13"/>
      <c r="F181" s="13"/>
      <c r="G181" s="2"/>
      <c r="H181" s="2"/>
      <c r="I181" s="13"/>
      <c r="J181" s="13"/>
      <c r="K181" s="13"/>
      <c r="L181" s="14"/>
      <c r="M181" s="4"/>
      <c r="N181" s="2"/>
      <c r="O181" s="4"/>
      <c r="P181" s="2"/>
      <c r="Q181" s="2"/>
      <c r="R181" s="4"/>
      <c r="S181" s="2"/>
      <c r="T181" s="2"/>
      <c r="U181" s="1"/>
      <c r="V181" s="2"/>
      <c r="W181" s="2"/>
      <c r="X181" s="2"/>
      <c r="Y181" s="2"/>
      <c r="Z181" s="2"/>
    </row>
    <row r="182" spans="1:26" ht="15.75" customHeight="1" x14ac:dyDescent="0.2">
      <c r="A182" s="12"/>
      <c r="B182" s="10"/>
      <c r="C182" s="11"/>
      <c r="D182" s="13"/>
      <c r="E182" s="13"/>
      <c r="F182" s="13"/>
      <c r="G182" s="2"/>
      <c r="H182" s="2"/>
      <c r="I182" s="13"/>
      <c r="J182" s="13"/>
      <c r="K182" s="13"/>
      <c r="L182" s="14"/>
      <c r="M182" s="4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ht="15.75" customHeight="1" x14ac:dyDescent="0.2">
      <c r="A183" s="12"/>
      <c r="B183" s="10"/>
      <c r="C183" s="11"/>
      <c r="D183" s="13"/>
      <c r="E183" s="13"/>
      <c r="F183" s="13"/>
      <c r="G183" s="2"/>
      <c r="H183" s="2"/>
      <c r="I183" s="13"/>
      <c r="J183" s="13"/>
      <c r="K183" s="13"/>
      <c r="L183" s="14"/>
      <c r="M183" s="4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ht="15.75" customHeight="1" x14ac:dyDescent="0.2">
      <c r="A184" s="12"/>
      <c r="B184" s="10"/>
      <c r="C184" s="11"/>
      <c r="D184" s="13"/>
      <c r="E184" s="13"/>
      <c r="F184" s="13"/>
      <c r="G184" s="2"/>
      <c r="H184" s="2"/>
      <c r="I184" s="13"/>
      <c r="J184" s="13"/>
      <c r="K184" s="13"/>
      <c r="L184" s="14"/>
      <c r="M184" s="4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ht="15.75" customHeight="1" x14ac:dyDescent="0.2">
      <c r="A185" s="12"/>
      <c r="B185" s="10"/>
      <c r="C185" s="11"/>
      <c r="D185" s="13"/>
      <c r="E185" s="13"/>
      <c r="F185" s="13"/>
      <c r="G185" s="2"/>
      <c r="H185" s="2"/>
      <c r="I185" s="13"/>
      <c r="J185" s="13"/>
      <c r="K185" s="13"/>
      <c r="L185" s="14"/>
      <c r="M185" s="4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ht="15.75" customHeight="1" x14ac:dyDescent="0.2">
      <c r="A186" s="12"/>
      <c r="B186" s="10"/>
      <c r="C186" s="11"/>
      <c r="D186" s="13"/>
      <c r="E186" s="13"/>
      <c r="F186" s="13"/>
      <c r="G186" s="2"/>
      <c r="H186" s="2"/>
      <c r="I186" s="13"/>
      <c r="J186" s="13"/>
      <c r="K186" s="13"/>
      <c r="L186" s="14"/>
      <c r="M186" s="4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ht="15.75" customHeight="1" x14ac:dyDescent="0.2">
      <c r="A187" s="12"/>
      <c r="B187" s="10"/>
      <c r="C187" s="11"/>
      <c r="D187" s="13"/>
      <c r="E187" s="13"/>
      <c r="F187" s="13"/>
      <c r="G187" s="2"/>
      <c r="H187" s="2"/>
      <c r="I187" s="13"/>
      <c r="J187" s="13"/>
      <c r="K187" s="13"/>
      <c r="L187" s="14"/>
      <c r="M187" s="4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ht="15.75" customHeight="1" x14ac:dyDescent="0.2">
      <c r="A188" s="12"/>
      <c r="B188" s="10"/>
      <c r="C188" s="11"/>
      <c r="D188" s="13"/>
      <c r="E188" s="13"/>
      <c r="F188" s="13"/>
      <c r="G188" s="2"/>
      <c r="H188" s="2"/>
      <c r="I188" s="13"/>
      <c r="J188" s="13"/>
      <c r="K188" s="13"/>
      <c r="L188" s="14"/>
      <c r="M188" s="4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ht="15.75" customHeight="1" x14ac:dyDescent="0.2">
      <c r="A189" s="12"/>
      <c r="B189" s="10"/>
      <c r="C189" s="11"/>
      <c r="D189" s="13"/>
      <c r="E189" s="13"/>
      <c r="F189" s="13"/>
      <c r="G189" s="2"/>
      <c r="H189" s="2"/>
      <c r="I189" s="13"/>
      <c r="J189" s="13"/>
      <c r="K189" s="13"/>
      <c r="L189" s="14"/>
      <c r="M189" s="4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ht="15.75" customHeight="1" x14ac:dyDescent="0.2">
      <c r="A190" s="12"/>
      <c r="B190" s="10"/>
      <c r="C190" s="11"/>
      <c r="D190" s="13"/>
      <c r="E190" s="13"/>
      <c r="F190" s="13"/>
      <c r="G190" s="2"/>
      <c r="H190" s="2"/>
      <c r="I190" s="13"/>
      <c r="J190" s="13"/>
      <c r="K190" s="13"/>
      <c r="L190" s="14"/>
      <c r="M190" s="4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ht="15.75" customHeight="1" x14ac:dyDescent="0.2">
      <c r="A191" s="12"/>
      <c r="B191" s="10"/>
      <c r="C191" s="11"/>
      <c r="D191" s="13"/>
      <c r="E191" s="13"/>
      <c r="F191" s="13"/>
      <c r="G191" s="2"/>
      <c r="H191" s="2"/>
      <c r="I191" s="13"/>
      <c r="J191" s="13"/>
      <c r="K191" s="13"/>
      <c r="L191" s="14"/>
      <c r="M191" s="4"/>
      <c r="N191" s="2"/>
      <c r="O191" s="4"/>
      <c r="P191" s="2"/>
      <c r="Q191" s="2"/>
      <c r="R191" s="4"/>
      <c r="S191" s="2"/>
      <c r="T191" s="2"/>
      <c r="U191" s="1"/>
      <c r="V191" s="2"/>
      <c r="W191" s="2"/>
      <c r="X191" s="2"/>
      <c r="Y191" s="2"/>
      <c r="Z191" s="2"/>
    </row>
    <row r="192" spans="1:26" ht="15.75" customHeight="1" x14ac:dyDescent="0.2">
      <c r="A192" s="12"/>
      <c r="B192" s="10"/>
      <c r="C192" s="11"/>
      <c r="D192" s="13"/>
      <c r="E192" s="13"/>
      <c r="F192" s="13"/>
      <c r="G192" s="2"/>
      <c r="H192" s="2"/>
      <c r="I192" s="13"/>
      <c r="J192" s="13"/>
      <c r="K192" s="13"/>
      <c r="L192" s="14"/>
      <c r="M192" s="4"/>
      <c r="N192" s="2"/>
      <c r="O192" s="4"/>
      <c r="P192" s="2"/>
      <c r="Q192" s="2"/>
      <c r="R192" s="4"/>
      <c r="S192" s="2"/>
      <c r="T192" s="2"/>
      <c r="U192" s="1"/>
      <c r="V192" s="2"/>
      <c r="W192" s="2"/>
      <c r="X192" s="2"/>
      <c r="Y192" s="2"/>
      <c r="Z192" s="2"/>
    </row>
    <row r="193" spans="1:26" ht="15.75" customHeight="1" x14ac:dyDescent="0.2">
      <c r="A193" s="12"/>
      <c r="B193" s="10"/>
      <c r="C193" s="11"/>
      <c r="D193" s="13"/>
      <c r="E193" s="13"/>
      <c r="F193" s="13"/>
      <c r="G193" s="2"/>
      <c r="H193" s="2"/>
      <c r="I193" s="13"/>
      <c r="J193" s="13"/>
      <c r="K193" s="13"/>
      <c r="L193" s="14"/>
      <c r="M193" s="4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ht="15.75" customHeight="1" x14ac:dyDescent="0.2">
      <c r="A194" s="12"/>
      <c r="B194" s="10"/>
      <c r="C194" s="11"/>
      <c r="D194" s="13"/>
      <c r="E194" s="13"/>
      <c r="F194" s="13"/>
      <c r="G194" s="2"/>
      <c r="H194" s="2"/>
      <c r="I194" s="13"/>
      <c r="J194" s="13"/>
      <c r="K194" s="13"/>
      <c r="L194" s="14"/>
      <c r="M194" s="4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ht="15.75" customHeight="1" x14ac:dyDescent="0.2">
      <c r="A195" s="12"/>
      <c r="B195" s="10"/>
      <c r="C195" s="11"/>
      <c r="D195" s="13"/>
      <c r="E195" s="13"/>
      <c r="F195" s="13"/>
      <c r="G195" s="2"/>
      <c r="H195" s="2"/>
      <c r="I195" s="13"/>
      <c r="J195" s="13"/>
      <c r="K195" s="13"/>
      <c r="L195" s="14"/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A196" s="12"/>
      <c r="B196" s="10"/>
      <c r="C196" s="11"/>
      <c r="D196" s="13"/>
      <c r="E196" s="13"/>
      <c r="F196" s="13"/>
      <c r="G196" s="2"/>
      <c r="H196" s="2"/>
      <c r="I196" s="13"/>
      <c r="J196" s="13"/>
      <c r="K196" s="13"/>
      <c r="L196" s="14"/>
      <c r="M196" s="4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ht="15.75" customHeight="1" x14ac:dyDescent="0.2">
      <c r="A197" s="12"/>
      <c r="B197" s="10"/>
      <c r="C197" s="11"/>
      <c r="D197" s="13"/>
      <c r="E197" s="13"/>
      <c r="F197" s="13"/>
      <c r="G197" s="2"/>
      <c r="H197" s="2"/>
      <c r="I197" s="13"/>
      <c r="J197" s="13"/>
      <c r="K197" s="13"/>
      <c r="L197" s="14"/>
      <c r="M197" s="4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ht="15.75" customHeight="1" x14ac:dyDescent="0.2">
      <c r="A198" s="12"/>
      <c r="B198" s="10"/>
      <c r="C198" s="11"/>
      <c r="D198" s="13"/>
      <c r="E198" s="13"/>
      <c r="F198" s="13"/>
      <c r="G198" s="2"/>
      <c r="H198" s="2"/>
      <c r="I198" s="13"/>
      <c r="J198" s="13"/>
      <c r="K198" s="13"/>
      <c r="L198" s="14"/>
      <c r="M198" s="4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ht="15.75" customHeight="1" x14ac:dyDescent="0.2">
      <c r="A199" s="12"/>
      <c r="B199" s="10"/>
      <c r="C199" s="11"/>
      <c r="D199" s="13"/>
      <c r="E199" s="13"/>
      <c r="F199" s="13"/>
      <c r="G199" s="2"/>
      <c r="H199" s="2"/>
      <c r="I199" s="13"/>
      <c r="J199" s="13"/>
      <c r="K199" s="13"/>
      <c r="L199" s="14"/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ht="15.75" customHeight="1" x14ac:dyDescent="0.2">
      <c r="A200" s="12"/>
      <c r="B200" s="10"/>
      <c r="C200" s="11"/>
      <c r="D200" s="13"/>
      <c r="E200" s="13"/>
      <c r="F200" s="13"/>
      <c r="G200" s="2"/>
      <c r="H200" s="2"/>
      <c r="I200" s="13"/>
      <c r="J200" s="13"/>
      <c r="K200" s="13"/>
      <c r="L200" s="14"/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2"/>
      <c r="B201" s="10"/>
      <c r="C201" s="11"/>
      <c r="D201" s="13"/>
      <c r="E201" s="13"/>
      <c r="F201" s="13"/>
      <c r="G201" s="2"/>
      <c r="H201" s="2"/>
      <c r="I201" s="13"/>
      <c r="J201" s="13"/>
      <c r="K201" s="13"/>
      <c r="L201" s="14"/>
      <c r="M201" s="4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ht="15.75" customHeight="1" x14ac:dyDescent="0.2">
      <c r="A202" s="12"/>
      <c r="B202" s="10"/>
      <c r="C202" s="11"/>
      <c r="D202" s="13"/>
      <c r="E202" s="13"/>
      <c r="F202" s="13"/>
      <c r="G202" s="2"/>
      <c r="H202" s="2"/>
      <c r="I202" s="13"/>
      <c r="J202" s="13"/>
      <c r="K202" s="13"/>
      <c r="L202" s="14"/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A203" s="12"/>
      <c r="B203" s="10"/>
      <c r="C203" s="11"/>
      <c r="D203" s="13"/>
      <c r="E203" s="13"/>
      <c r="F203" s="13"/>
      <c r="G203" s="2"/>
      <c r="H203" s="2"/>
      <c r="I203" s="13"/>
      <c r="J203" s="13"/>
      <c r="K203" s="13"/>
      <c r="L203" s="14"/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12"/>
      <c r="B204" s="10"/>
      <c r="C204" s="11"/>
      <c r="D204" s="13"/>
      <c r="E204" s="13"/>
      <c r="F204" s="13"/>
      <c r="G204" s="2"/>
      <c r="H204" s="2"/>
      <c r="I204" s="13"/>
      <c r="J204" s="13"/>
      <c r="K204" s="13"/>
      <c r="L204" s="14"/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2"/>
      <c r="B205" s="10"/>
      <c r="C205" s="11"/>
      <c r="D205" s="13"/>
      <c r="E205" s="13"/>
      <c r="F205" s="13"/>
      <c r="G205" s="2"/>
      <c r="H205" s="2"/>
      <c r="I205" s="13"/>
      <c r="J205" s="13"/>
      <c r="K205" s="13"/>
      <c r="L205" s="14"/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/>
      <c r="B206" s="10"/>
      <c r="C206" s="11"/>
      <c r="D206" s="13"/>
      <c r="E206" s="13"/>
      <c r="F206" s="13"/>
      <c r="G206" s="2"/>
      <c r="H206" s="2"/>
      <c r="I206" s="13"/>
      <c r="J206" s="13"/>
      <c r="K206" s="13"/>
      <c r="L206" s="14"/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/>
      <c r="B207" s="10"/>
      <c r="C207" s="11"/>
      <c r="D207" s="13"/>
      <c r="E207" s="13"/>
      <c r="F207" s="13"/>
      <c r="G207" s="2"/>
      <c r="H207" s="2"/>
      <c r="I207" s="13"/>
      <c r="J207" s="13"/>
      <c r="K207" s="13"/>
      <c r="L207" s="14"/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2"/>
      <c r="B208" s="10"/>
      <c r="C208" s="11"/>
      <c r="D208" s="13"/>
      <c r="E208" s="13"/>
      <c r="F208" s="13"/>
      <c r="G208" s="2"/>
      <c r="H208" s="2"/>
      <c r="I208" s="13"/>
      <c r="J208" s="13"/>
      <c r="K208" s="13"/>
      <c r="L208" s="14"/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2"/>
      <c r="B209" s="10"/>
      <c r="C209" s="11"/>
      <c r="D209" s="13"/>
      <c r="E209" s="13"/>
      <c r="F209" s="13"/>
      <c r="G209" s="2"/>
      <c r="H209" s="2"/>
      <c r="I209" s="13"/>
      <c r="J209" s="13"/>
      <c r="K209" s="13"/>
      <c r="L209" s="14"/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2"/>
      <c r="B210" s="10"/>
      <c r="C210" s="11"/>
      <c r="D210" s="13"/>
      <c r="E210" s="13"/>
      <c r="F210" s="13"/>
      <c r="G210" s="2"/>
      <c r="H210" s="2"/>
      <c r="I210" s="13"/>
      <c r="J210" s="13"/>
      <c r="K210" s="13"/>
      <c r="L210" s="14"/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2"/>
      <c r="B211" s="10"/>
      <c r="C211" s="11"/>
      <c r="D211" s="13"/>
      <c r="E211" s="13"/>
      <c r="F211" s="13"/>
      <c r="G211" s="2"/>
      <c r="H211" s="2"/>
      <c r="I211" s="13"/>
      <c r="J211" s="13"/>
      <c r="K211" s="13"/>
      <c r="L211" s="14"/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15.75" customHeight="1" x14ac:dyDescent="0.2">
      <c r="A212" s="12"/>
      <c r="B212" s="10"/>
      <c r="C212" s="11"/>
      <c r="D212" s="13"/>
      <c r="E212" s="13"/>
      <c r="F212" s="13"/>
      <c r="G212" s="2"/>
      <c r="H212" s="2"/>
      <c r="I212" s="13"/>
      <c r="J212" s="13"/>
      <c r="K212" s="13"/>
      <c r="L212" s="14"/>
      <c r="M212" s="4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ht="15.75" customHeight="1" x14ac:dyDescent="0.2">
      <c r="A213" s="12"/>
      <c r="B213" s="10"/>
      <c r="C213" s="11"/>
      <c r="D213" s="13"/>
      <c r="E213" s="13"/>
      <c r="F213" s="13"/>
      <c r="G213" s="2"/>
      <c r="H213" s="2"/>
      <c r="I213" s="13"/>
      <c r="J213" s="13"/>
      <c r="K213" s="13"/>
      <c r="L213" s="14"/>
      <c r="M213" s="4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ht="15.75" customHeight="1" x14ac:dyDescent="0.2">
      <c r="A214" s="12"/>
      <c r="B214" s="10"/>
      <c r="C214" s="11"/>
      <c r="D214" s="13"/>
      <c r="E214" s="13"/>
      <c r="F214" s="13"/>
      <c r="G214" s="2"/>
      <c r="H214" s="2"/>
      <c r="I214" s="13"/>
      <c r="J214" s="13"/>
      <c r="K214" s="13"/>
      <c r="L214" s="14"/>
      <c r="M214" s="4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ht="15.75" customHeight="1" x14ac:dyDescent="0.2">
      <c r="A215" s="12"/>
      <c r="B215" s="10"/>
      <c r="C215" s="11"/>
      <c r="D215" s="13"/>
      <c r="E215" s="13"/>
      <c r="F215" s="13"/>
      <c r="G215" s="2"/>
      <c r="H215" s="2"/>
      <c r="I215" s="13"/>
      <c r="J215" s="13"/>
      <c r="K215" s="13"/>
      <c r="L215" s="14"/>
      <c r="M215" s="4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ht="15.75" customHeight="1" x14ac:dyDescent="0.2">
      <c r="A216" s="12"/>
      <c r="B216" s="10"/>
      <c r="C216" s="11"/>
      <c r="D216" s="13"/>
      <c r="E216" s="13"/>
      <c r="F216" s="13"/>
      <c r="G216" s="2"/>
      <c r="H216" s="2"/>
      <c r="I216" s="13"/>
      <c r="J216" s="13"/>
      <c r="K216" s="13"/>
      <c r="L216" s="14"/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ht="15.75" customHeight="1" x14ac:dyDescent="0.2">
      <c r="A217" s="12"/>
      <c r="B217" s="10"/>
      <c r="C217" s="11"/>
      <c r="D217" s="13"/>
      <c r="E217" s="13"/>
      <c r="F217" s="13"/>
      <c r="G217" s="2"/>
      <c r="H217" s="2"/>
      <c r="I217" s="13"/>
      <c r="J217" s="13"/>
      <c r="K217" s="13"/>
      <c r="L217" s="14"/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2"/>
      <c r="B218" s="10"/>
      <c r="C218" s="11"/>
      <c r="D218" s="13"/>
      <c r="E218" s="13"/>
      <c r="F218" s="13"/>
      <c r="G218" s="2"/>
      <c r="H218" s="2"/>
      <c r="I218" s="13"/>
      <c r="J218" s="13"/>
      <c r="K218" s="13"/>
      <c r="L218" s="14"/>
      <c r="M218" s="4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ht="15.75" customHeight="1" x14ac:dyDescent="0.2">
      <c r="A219" s="12"/>
      <c r="B219" s="10"/>
      <c r="C219" s="11"/>
      <c r="D219" s="13"/>
      <c r="E219" s="13"/>
      <c r="F219" s="13"/>
      <c r="G219" s="2"/>
      <c r="H219" s="2"/>
      <c r="I219" s="13"/>
      <c r="J219" s="13"/>
      <c r="K219" s="13"/>
      <c r="L219" s="14"/>
      <c r="M219" s="4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ht="15.75" customHeight="1" x14ac:dyDescent="0.2">
      <c r="A220" s="12"/>
      <c r="B220" s="10"/>
      <c r="C220" s="11"/>
      <c r="D220" s="13"/>
      <c r="E220" s="13"/>
      <c r="F220" s="13"/>
      <c r="G220" s="2"/>
      <c r="H220" s="2"/>
      <c r="I220" s="13"/>
      <c r="J220" s="13"/>
      <c r="K220" s="13"/>
      <c r="L220" s="14"/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2"/>
      <c r="B221" s="10"/>
      <c r="C221" s="11"/>
      <c r="D221" s="13"/>
      <c r="E221" s="13"/>
      <c r="F221" s="13"/>
      <c r="G221" s="2"/>
      <c r="H221" s="2"/>
      <c r="I221" s="13"/>
      <c r="J221" s="13"/>
      <c r="K221" s="13"/>
      <c r="L221" s="14"/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2"/>
      <c r="B222" s="10"/>
      <c r="C222" s="11"/>
      <c r="D222" s="13"/>
      <c r="E222" s="13"/>
      <c r="F222" s="13"/>
      <c r="G222" s="2"/>
      <c r="H222" s="2"/>
      <c r="I222" s="13"/>
      <c r="J222" s="13"/>
      <c r="K222" s="13"/>
      <c r="L222" s="14"/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2"/>
      <c r="B223" s="10"/>
      <c r="C223" s="11"/>
      <c r="D223" s="13"/>
      <c r="E223" s="13"/>
      <c r="F223" s="13"/>
      <c r="G223" s="2"/>
      <c r="H223" s="2"/>
      <c r="I223" s="13"/>
      <c r="J223" s="13"/>
      <c r="K223" s="13"/>
      <c r="L223" s="14"/>
      <c r="M223" s="4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ht="15.75" customHeight="1" x14ac:dyDescent="0.2">
      <c r="A224" s="12"/>
      <c r="B224" s="10"/>
      <c r="C224" s="11"/>
      <c r="D224" s="13"/>
      <c r="E224" s="13"/>
      <c r="F224" s="13"/>
      <c r="G224" s="2"/>
      <c r="H224" s="2"/>
      <c r="I224" s="13"/>
      <c r="J224" s="13"/>
      <c r="K224" s="13"/>
      <c r="L224" s="14"/>
      <c r="M224" s="4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ht="15.75" customHeight="1" x14ac:dyDescent="0.2">
      <c r="A225" s="12"/>
      <c r="B225" s="10"/>
      <c r="C225" s="11"/>
      <c r="D225" s="13"/>
      <c r="E225" s="13"/>
      <c r="F225" s="13"/>
      <c r="G225" s="2"/>
      <c r="H225" s="2"/>
      <c r="I225" s="13"/>
      <c r="J225" s="13"/>
      <c r="K225" s="13"/>
      <c r="L225" s="14"/>
      <c r="M225" s="4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ht="15.75" customHeight="1" x14ac:dyDescent="0.2">
      <c r="A226" s="12"/>
      <c r="B226" s="10"/>
      <c r="C226" s="11"/>
      <c r="D226" s="13"/>
      <c r="E226" s="13"/>
      <c r="F226" s="13"/>
      <c r="G226" s="2"/>
      <c r="H226" s="2"/>
      <c r="I226" s="13"/>
      <c r="J226" s="13"/>
      <c r="K226" s="13"/>
      <c r="L226" s="14"/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A227" s="12"/>
      <c r="B227" s="10"/>
      <c r="C227" s="11"/>
      <c r="D227" s="13"/>
      <c r="E227" s="13"/>
      <c r="F227" s="13"/>
      <c r="G227" s="2"/>
      <c r="H227" s="2"/>
      <c r="I227" s="13"/>
      <c r="J227" s="13"/>
      <c r="K227" s="13"/>
      <c r="L227" s="14"/>
      <c r="M227" s="4"/>
      <c r="N227" s="2"/>
      <c r="O227" s="4"/>
      <c r="P227" s="2"/>
      <c r="Q227" s="2"/>
      <c r="R227" s="4"/>
      <c r="S227" s="2"/>
      <c r="T227" s="2"/>
      <c r="U227" s="1"/>
      <c r="V227" s="2"/>
      <c r="W227" s="2"/>
      <c r="X227" s="2"/>
      <c r="Y227" s="2"/>
      <c r="Z227" s="2"/>
    </row>
    <row r="228" spans="1:26" ht="15.75" customHeight="1" x14ac:dyDescent="0.2">
      <c r="A228" s="12"/>
      <c r="B228" s="10"/>
      <c r="C228" s="11"/>
      <c r="D228" s="13"/>
      <c r="E228" s="13"/>
      <c r="F228" s="13"/>
      <c r="G228" s="2"/>
      <c r="H228" s="2"/>
      <c r="I228" s="13"/>
      <c r="J228" s="13"/>
      <c r="K228" s="13"/>
      <c r="L228" s="14"/>
      <c r="M228" s="4"/>
      <c r="N228" s="2"/>
      <c r="O228" s="4"/>
      <c r="P228" s="2"/>
      <c r="Q228" s="2"/>
      <c r="R228" s="4"/>
      <c r="S228" s="2"/>
      <c r="T228" s="2"/>
      <c r="U228" s="1"/>
      <c r="V228" s="2"/>
      <c r="W228" s="2"/>
      <c r="X228" s="2"/>
      <c r="Y228" s="2"/>
      <c r="Z228" s="2"/>
    </row>
    <row r="229" spans="1:26" ht="15.75" customHeight="1" x14ac:dyDescent="0.2">
      <c r="A229" s="12"/>
      <c r="B229" s="10"/>
      <c r="C229" s="11"/>
      <c r="D229" s="13"/>
      <c r="E229" s="13"/>
      <c r="F229" s="13"/>
      <c r="G229" s="2"/>
      <c r="H229" s="2"/>
      <c r="I229" s="13"/>
      <c r="J229" s="13"/>
      <c r="K229" s="13"/>
      <c r="L229" s="14"/>
      <c r="M229" s="4"/>
      <c r="N229" s="2"/>
      <c r="O229" s="4"/>
      <c r="P229" s="2"/>
      <c r="Q229" s="2"/>
      <c r="R229" s="4"/>
      <c r="S229" s="2"/>
      <c r="T229" s="2"/>
      <c r="U229" s="1"/>
      <c r="V229" s="2"/>
      <c r="W229" s="2"/>
      <c r="X229" s="2"/>
      <c r="Y229" s="2"/>
      <c r="Z229" s="2"/>
    </row>
    <row r="230" spans="1:26" ht="15.75" customHeight="1" x14ac:dyDescent="0.2">
      <c r="A230" s="12"/>
      <c r="B230" s="10"/>
      <c r="C230" s="11"/>
      <c r="D230" s="13"/>
      <c r="E230" s="13"/>
      <c r="F230" s="13"/>
      <c r="G230" s="2"/>
      <c r="H230" s="2"/>
      <c r="I230" s="13"/>
      <c r="J230" s="13"/>
      <c r="K230" s="13"/>
      <c r="L230" s="14"/>
      <c r="M230" s="4"/>
      <c r="N230" s="2"/>
      <c r="O230" s="4"/>
      <c r="P230" s="2"/>
      <c r="Q230" s="2"/>
      <c r="R230" s="4"/>
      <c r="S230" s="2"/>
      <c r="T230" s="2"/>
      <c r="U230" s="1"/>
      <c r="V230" s="2"/>
      <c r="W230" s="2"/>
      <c r="X230" s="2"/>
      <c r="Y230" s="2"/>
      <c r="Z230" s="2"/>
    </row>
    <row r="231" spans="1:26" ht="15.75" customHeight="1" x14ac:dyDescent="0.2">
      <c r="A231" s="12"/>
      <c r="B231" s="10"/>
      <c r="C231" s="11"/>
      <c r="D231" s="13"/>
      <c r="E231" s="13"/>
      <c r="F231" s="13"/>
      <c r="G231" s="2"/>
      <c r="H231" s="2"/>
      <c r="I231" s="13"/>
      <c r="J231" s="13"/>
      <c r="K231" s="13"/>
      <c r="L231" s="14"/>
      <c r="M231" s="4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5.75" customHeight="1" x14ac:dyDescent="0.2">
      <c r="A232" s="12"/>
      <c r="B232" s="10"/>
      <c r="C232" s="11"/>
      <c r="D232" s="13"/>
      <c r="E232" s="13"/>
      <c r="F232" s="13"/>
      <c r="G232" s="2"/>
      <c r="H232" s="2"/>
      <c r="I232" s="13"/>
      <c r="J232" s="13"/>
      <c r="K232" s="13"/>
      <c r="L232" s="14"/>
      <c r="M232" s="4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2"/>
      <c r="B233" s="10"/>
      <c r="C233" s="11"/>
      <c r="D233" s="13"/>
      <c r="E233" s="13"/>
      <c r="F233" s="13"/>
      <c r="G233" s="2"/>
      <c r="H233" s="2"/>
      <c r="I233" s="13"/>
      <c r="J233" s="13"/>
      <c r="K233" s="13"/>
      <c r="L233" s="14"/>
      <c r="M233" s="4"/>
      <c r="N233" s="2"/>
      <c r="O233" s="4"/>
      <c r="P233" s="2"/>
      <c r="Q233" s="2"/>
      <c r="R233" s="4"/>
      <c r="S233" s="2"/>
      <c r="T233" s="2"/>
      <c r="U233" s="1"/>
      <c r="V233" s="2"/>
      <c r="W233" s="2"/>
      <c r="X233" s="2"/>
      <c r="Y233" s="2"/>
      <c r="Z233" s="2"/>
    </row>
    <row r="234" spans="1:26" ht="15.75" customHeight="1" x14ac:dyDescent="0.2">
      <c r="A234" s="12"/>
      <c r="B234" s="10"/>
      <c r="C234" s="11"/>
      <c r="D234" s="13"/>
      <c r="E234" s="13"/>
      <c r="F234" s="13"/>
      <c r="G234" s="2"/>
      <c r="H234" s="2"/>
      <c r="I234" s="13"/>
      <c r="J234" s="13"/>
      <c r="K234" s="13"/>
      <c r="L234" s="14"/>
      <c r="M234" s="4"/>
      <c r="N234" s="2"/>
      <c r="O234" s="4"/>
      <c r="P234" s="2"/>
      <c r="Q234" s="2"/>
      <c r="R234" s="4"/>
      <c r="S234" s="2"/>
      <c r="T234" s="2"/>
      <c r="U234" s="1"/>
      <c r="V234" s="2"/>
      <c r="W234" s="2"/>
      <c r="X234" s="2"/>
      <c r="Y234" s="2"/>
      <c r="Z234" s="2"/>
    </row>
    <row r="235" spans="1:26" ht="15.75" customHeight="1" x14ac:dyDescent="0.2">
      <c r="A235" s="12"/>
      <c r="B235" s="10"/>
      <c r="C235" s="11"/>
      <c r="D235" s="13"/>
      <c r="E235" s="13"/>
      <c r="F235" s="13"/>
      <c r="G235" s="2"/>
      <c r="H235" s="2"/>
      <c r="I235" s="13"/>
      <c r="J235" s="13"/>
      <c r="K235" s="13"/>
      <c r="L235" s="14"/>
      <c r="M235" s="4"/>
      <c r="N235" s="2"/>
      <c r="O235" s="4"/>
      <c r="P235" s="2"/>
      <c r="Q235" s="2"/>
      <c r="R235" s="4"/>
      <c r="S235" s="2"/>
      <c r="T235" s="2"/>
      <c r="U235" s="1"/>
      <c r="V235" s="2"/>
      <c r="W235" s="2"/>
      <c r="X235" s="2"/>
      <c r="Y235" s="2"/>
      <c r="Z235" s="2"/>
    </row>
    <row r="236" spans="1:26" ht="15.75" customHeight="1" x14ac:dyDescent="0.2">
      <c r="A236" s="12"/>
      <c r="B236" s="10"/>
      <c r="C236" s="11"/>
      <c r="D236" s="13"/>
      <c r="E236" s="13"/>
      <c r="F236" s="13"/>
      <c r="G236" s="2"/>
      <c r="H236" s="2"/>
      <c r="I236" s="13"/>
      <c r="J236" s="13"/>
      <c r="K236" s="13"/>
      <c r="L236" s="14"/>
      <c r="M236" s="4"/>
      <c r="N236" s="2"/>
      <c r="O236" s="4"/>
      <c r="P236" s="2"/>
      <c r="Q236" s="2"/>
      <c r="R236" s="4"/>
      <c r="S236" s="2"/>
      <c r="T236" s="2"/>
      <c r="U236" s="1"/>
      <c r="V236" s="2"/>
      <c r="W236" s="2"/>
      <c r="X236" s="2"/>
      <c r="Y236" s="2"/>
      <c r="Z236" s="2"/>
    </row>
    <row r="237" spans="1:26" ht="15.75" customHeight="1" x14ac:dyDescent="0.2">
      <c r="A237" s="12"/>
      <c r="B237" s="10"/>
      <c r="C237" s="11"/>
      <c r="D237" s="13"/>
      <c r="E237" s="13"/>
      <c r="F237" s="13"/>
      <c r="G237" s="2"/>
      <c r="H237" s="2"/>
      <c r="I237" s="13"/>
      <c r="J237" s="13"/>
      <c r="K237" s="13"/>
      <c r="L237" s="14"/>
      <c r="M237" s="4"/>
      <c r="N237" s="2"/>
      <c r="O237" s="4"/>
      <c r="P237" s="2"/>
      <c r="Q237" s="2"/>
      <c r="R237" s="4"/>
      <c r="S237" s="2"/>
      <c r="T237" s="2"/>
      <c r="U237" s="1"/>
      <c r="V237" s="2"/>
      <c r="W237" s="2"/>
      <c r="X237" s="2"/>
      <c r="Y237" s="2"/>
      <c r="Z237" s="2"/>
    </row>
    <row r="238" spans="1:26" ht="15.75" customHeight="1" x14ac:dyDescent="0.2">
      <c r="A238" s="12"/>
      <c r="B238" s="10"/>
      <c r="C238" s="11"/>
      <c r="D238" s="13"/>
      <c r="E238" s="13"/>
      <c r="F238" s="13"/>
      <c r="G238" s="2"/>
      <c r="H238" s="2"/>
      <c r="I238" s="13"/>
      <c r="J238" s="13"/>
      <c r="K238" s="13"/>
      <c r="L238" s="14"/>
      <c r="M238" s="4"/>
      <c r="N238" s="2"/>
      <c r="O238" s="4"/>
      <c r="P238" s="2"/>
      <c r="Q238" s="2"/>
      <c r="R238" s="4"/>
      <c r="S238" s="2"/>
      <c r="T238" s="2"/>
      <c r="U238" s="1"/>
      <c r="V238" s="2"/>
      <c r="W238" s="2"/>
      <c r="X238" s="2"/>
      <c r="Y238" s="2"/>
      <c r="Z238" s="2"/>
    </row>
    <row r="239" spans="1:26" ht="15.75" customHeight="1" x14ac:dyDescent="0.2">
      <c r="A239" s="12"/>
      <c r="B239" s="10"/>
      <c r="C239" s="11"/>
      <c r="D239" s="13"/>
      <c r="E239" s="13"/>
      <c r="F239" s="13"/>
      <c r="G239" s="2"/>
      <c r="H239" s="2"/>
      <c r="I239" s="13"/>
      <c r="J239" s="13"/>
      <c r="K239" s="13"/>
      <c r="L239" s="14"/>
      <c r="M239" s="4"/>
      <c r="N239" s="2"/>
      <c r="O239" s="4"/>
      <c r="P239" s="2"/>
      <c r="Q239" s="2"/>
      <c r="R239" s="4"/>
      <c r="S239" s="2"/>
      <c r="T239" s="2"/>
      <c r="U239" s="1"/>
      <c r="V239" s="2"/>
      <c r="W239" s="2"/>
      <c r="X239" s="2"/>
      <c r="Y239" s="2"/>
      <c r="Z239" s="2"/>
    </row>
    <row r="240" spans="1:26" ht="15.75" customHeight="1" x14ac:dyDescent="0.2">
      <c r="A240" s="12"/>
      <c r="B240" s="10"/>
      <c r="C240" s="11"/>
      <c r="D240" s="13"/>
      <c r="E240" s="13"/>
      <c r="F240" s="13"/>
      <c r="G240" s="2"/>
      <c r="H240" s="2"/>
      <c r="I240" s="13"/>
      <c r="J240" s="13"/>
      <c r="K240" s="13"/>
      <c r="L240" s="14"/>
      <c r="M240" s="4"/>
      <c r="N240" s="2"/>
      <c r="O240" s="4"/>
      <c r="P240" s="2"/>
      <c r="Q240" s="2"/>
      <c r="R240" s="4"/>
      <c r="S240" s="2"/>
      <c r="T240" s="2"/>
      <c r="U240" s="1"/>
      <c r="V240" s="2"/>
      <c r="W240" s="2"/>
      <c r="X240" s="2"/>
      <c r="Y240" s="2"/>
      <c r="Z240" s="2"/>
    </row>
    <row r="241" spans="1:26" ht="15.75" customHeight="1" x14ac:dyDescent="0.2">
      <c r="A241" s="12"/>
      <c r="B241" s="10"/>
      <c r="C241" s="11"/>
      <c r="D241" s="13"/>
      <c r="E241" s="13"/>
      <c r="F241" s="13"/>
      <c r="G241" s="2"/>
      <c r="H241" s="2"/>
      <c r="I241" s="13"/>
      <c r="J241" s="13"/>
      <c r="K241" s="13"/>
      <c r="L241" s="14"/>
      <c r="M241" s="4"/>
      <c r="N241" s="2"/>
      <c r="O241" s="4"/>
      <c r="P241" s="2"/>
      <c r="Q241" s="2"/>
      <c r="R241" s="4"/>
      <c r="S241" s="2"/>
      <c r="T241" s="2"/>
      <c r="U241" s="1"/>
      <c r="V241" s="2"/>
      <c r="W241" s="2"/>
      <c r="X241" s="2"/>
      <c r="Y241" s="2"/>
      <c r="Z241" s="2"/>
    </row>
    <row r="242" spans="1:26" ht="15.75" customHeight="1" x14ac:dyDescent="0.2">
      <c r="A242" s="12"/>
      <c r="B242" s="10"/>
      <c r="C242" s="11"/>
      <c r="D242" s="13"/>
      <c r="E242" s="13"/>
      <c r="F242" s="13"/>
      <c r="G242" s="2"/>
      <c r="H242" s="2"/>
      <c r="I242" s="13"/>
      <c r="J242" s="13"/>
      <c r="K242" s="13"/>
      <c r="L242" s="14"/>
      <c r="M242" s="4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2"/>
      <c r="B243" s="10"/>
      <c r="C243" s="11"/>
      <c r="D243" s="13"/>
      <c r="E243" s="13"/>
      <c r="F243" s="13"/>
      <c r="G243" s="2"/>
      <c r="H243" s="2"/>
      <c r="I243" s="13"/>
      <c r="J243" s="13"/>
      <c r="K243" s="13"/>
      <c r="L243" s="14"/>
      <c r="M243" s="4"/>
      <c r="N243" s="2"/>
      <c r="O243" s="4"/>
      <c r="P243" s="2"/>
      <c r="Q243" s="2"/>
      <c r="R243" s="4"/>
      <c r="S243" s="2"/>
      <c r="T243" s="2"/>
      <c r="U243" s="1"/>
      <c r="V243" s="2"/>
      <c r="W243" s="2"/>
      <c r="X243" s="2"/>
      <c r="Y243" s="2"/>
      <c r="Z243" s="2"/>
    </row>
    <row r="244" spans="1:26" ht="15.75" customHeight="1" x14ac:dyDescent="0.2">
      <c r="A244" s="12"/>
      <c r="B244" s="10"/>
      <c r="C244" s="11"/>
      <c r="D244" s="13"/>
      <c r="E244" s="13"/>
      <c r="F244" s="13"/>
      <c r="G244" s="2"/>
      <c r="H244" s="2"/>
      <c r="I244" s="13"/>
      <c r="J244" s="13"/>
      <c r="K244" s="13"/>
      <c r="L244" s="14"/>
      <c r="M244" s="4"/>
      <c r="N244" s="2"/>
      <c r="O244" s="4"/>
      <c r="P244" s="2"/>
      <c r="Q244" s="2"/>
      <c r="R244" s="4"/>
      <c r="S244" s="2"/>
      <c r="T244" s="2"/>
      <c r="U244" s="1"/>
      <c r="V244" s="2"/>
      <c r="W244" s="2"/>
      <c r="X244" s="2"/>
      <c r="Y244" s="2"/>
      <c r="Z244" s="2"/>
    </row>
    <row r="245" spans="1:26" ht="15.75" customHeight="1" x14ac:dyDescent="0.2">
      <c r="A245" s="12"/>
      <c r="B245" s="10"/>
      <c r="C245" s="11"/>
      <c r="D245" s="13"/>
      <c r="E245" s="13"/>
      <c r="F245" s="13"/>
      <c r="G245" s="2"/>
      <c r="H245" s="2"/>
      <c r="I245" s="13"/>
      <c r="J245" s="13"/>
      <c r="K245" s="13"/>
      <c r="L245" s="14"/>
      <c r="M245" s="4"/>
      <c r="N245" s="2"/>
      <c r="O245" s="4"/>
      <c r="P245" s="2"/>
      <c r="Q245" s="2"/>
      <c r="R245" s="4"/>
      <c r="S245" s="2"/>
      <c r="T245" s="2"/>
      <c r="U245" s="1"/>
      <c r="V245" s="2"/>
      <c r="W245" s="2"/>
      <c r="X245" s="2"/>
      <c r="Y245" s="2"/>
      <c r="Z245" s="2"/>
    </row>
    <row r="246" spans="1:26" ht="15.75" customHeight="1" x14ac:dyDescent="0.2">
      <c r="A246" s="12"/>
      <c r="B246" s="10"/>
      <c r="C246" s="11"/>
      <c r="D246" s="13"/>
      <c r="E246" s="13"/>
      <c r="F246" s="13"/>
      <c r="G246" s="2"/>
      <c r="H246" s="2"/>
      <c r="I246" s="13"/>
      <c r="J246" s="13"/>
      <c r="K246" s="13"/>
      <c r="L246" s="14"/>
      <c r="M246" s="4"/>
      <c r="N246" s="2"/>
      <c r="O246" s="4"/>
      <c r="P246" s="2"/>
      <c r="Q246" s="2"/>
      <c r="R246" s="4"/>
      <c r="S246" s="2"/>
      <c r="T246" s="2"/>
      <c r="U246" s="1"/>
      <c r="V246" s="2"/>
      <c r="W246" s="2"/>
      <c r="X246" s="2"/>
      <c r="Y246" s="2"/>
      <c r="Z246" s="2"/>
    </row>
    <row r="247" spans="1:26" ht="15.75" customHeight="1" x14ac:dyDescent="0.2">
      <c r="A247" s="12"/>
      <c r="B247" s="10"/>
      <c r="C247" s="11"/>
      <c r="D247" s="13"/>
      <c r="E247" s="13"/>
      <c r="F247" s="13"/>
      <c r="G247" s="2"/>
      <c r="H247" s="2"/>
      <c r="I247" s="13"/>
      <c r="J247" s="13"/>
      <c r="K247" s="13"/>
      <c r="L247" s="14"/>
      <c r="M247" s="4"/>
      <c r="N247" s="2"/>
      <c r="O247" s="4"/>
      <c r="P247" s="2"/>
      <c r="Q247" s="2"/>
      <c r="R247" s="4"/>
      <c r="S247" s="2"/>
      <c r="T247" s="2"/>
      <c r="U247" s="1"/>
      <c r="V247" s="2"/>
      <c r="W247" s="2"/>
      <c r="X247" s="2"/>
      <c r="Y247" s="2"/>
      <c r="Z247" s="2"/>
    </row>
    <row r="248" spans="1:26" ht="15.75" customHeight="1" x14ac:dyDescent="0.2">
      <c r="A248" s="12"/>
      <c r="B248" s="10"/>
      <c r="C248" s="11"/>
      <c r="D248" s="13"/>
      <c r="E248" s="13"/>
      <c r="F248" s="13"/>
      <c r="G248" s="2"/>
      <c r="H248" s="2"/>
      <c r="I248" s="13"/>
      <c r="J248" s="13"/>
      <c r="K248" s="13"/>
      <c r="L248" s="14"/>
      <c r="M248" s="4"/>
      <c r="N248" s="2"/>
      <c r="O248" s="4"/>
      <c r="P248" s="2"/>
      <c r="Q248" s="2"/>
      <c r="R248" s="4"/>
      <c r="S248" s="2"/>
      <c r="T248" s="2"/>
      <c r="U248" s="1"/>
      <c r="V248" s="2"/>
      <c r="W248" s="2"/>
      <c r="X248" s="2"/>
      <c r="Y248" s="2"/>
      <c r="Z248" s="2"/>
    </row>
    <row r="249" spans="1:26" ht="15.75" customHeight="1" x14ac:dyDescent="0.2">
      <c r="A249" s="12"/>
      <c r="B249" s="10"/>
      <c r="C249" s="11"/>
      <c r="D249" s="13"/>
      <c r="E249" s="13"/>
      <c r="F249" s="13"/>
      <c r="G249" s="2"/>
      <c r="H249" s="2"/>
      <c r="I249" s="13"/>
      <c r="J249" s="13"/>
      <c r="K249" s="13"/>
      <c r="L249" s="14"/>
      <c r="M249" s="4"/>
      <c r="N249" s="2"/>
      <c r="O249" s="4"/>
      <c r="P249" s="2"/>
      <c r="Q249" s="2"/>
      <c r="R249" s="4"/>
      <c r="S249" s="2"/>
      <c r="T249" s="2"/>
      <c r="U249" s="1"/>
      <c r="V249" s="2"/>
      <c r="W249" s="2"/>
      <c r="X249" s="2"/>
      <c r="Y249" s="2"/>
      <c r="Z249" s="2"/>
    </row>
    <row r="250" spans="1:26" ht="15.75" customHeight="1" x14ac:dyDescent="0.2">
      <c r="A250" s="12"/>
      <c r="B250" s="10"/>
      <c r="C250" s="11"/>
      <c r="D250" s="13"/>
      <c r="E250" s="13"/>
      <c r="F250" s="13"/>
      <c r="G250" s="2"/>
      <c r="H250" s="2"/>
      <c r="I250" s="13"/>
      <c r="J250" s="13"/>
      <c r="K250" s="13"/>
      <c r="L250" s="14"/>
      <c r="M250" s="4"/>
      <c r="N250" s="2"/>
      <c r="O250" s="4"/>
      <c r="P250" s="2"/>
      <c r="Q250" s="2"/>
      <c r="R250" s="4"/>
      <c r="S250" s="2"/>
      <c r="T250" s="2"/>
      <c r="U250" s="1"/>
      <c r="V250" s="2"/>
      <c r="W250" s="2"/>
      <c r="X250" s="2"/>
      <c r="Y250" s="2"/>
      <c r="Z250" s="2"/>
    </row>
    <row r="251" spans="1:26" ht="15.75" customHeight="1" x14ac:dyDescent="0.2">
      <c r="A251" s="12"/>
      <c r="B251" s="10"/>
      <c r="C251" s="11"/>
      <c r="D251" s="13"/>
      <c r="E251" s="13"/>
      <c r="F251" s="13"/>
      <c r="G251" s="2"/>
      <c r="H251" s="2"/>
      <c r="I251" s="13"/>
      <c r="J251" s="13"/>
      <c r="K251" s="13"/>
      <c r="L251" s="14"/>
      <c r="M251" s="4"/>
      <c r="N251" s="2"/>
      <c r="O251" s="4"/>
      <c r="P251" s="2"/>
      <c r="Q251" s="2"/>
      <c r="R251" s="4"/>
      <c r="S251" s="2"/>
      <c r="T251" s="2"/>
      <c r="U251" s="1"/>
      <c r="V251" s="2"/>
      <c r="W251" s="2"/>
      <c r="X251" s="2"/>
      <c r="Y251" s="2"/>
      <c r="Z251" s="2"/>
    </row>
    <row r="252" spans="1:26" ht="15.75" customHeight="1" x14ac:dyDescent="0.2">
      <c r="A252" s="12"/>
      <c r="B252" s="10"/>
      <c r="C252" s="11"/>
      <c r="D252" s="13"/>
      <c r="E252" s="13"/>
      <c r="F252" s="13"/>
      <c r="G252" s="2"/>
      <c r="H252" s="2"/>
      <c r="I252" s="13"/>
      <c r="J252" s="13"/>
      <c r="K252" s="13"/>
      <c r="L252" s="14"/>
      <c r="M252" s="4"/>
      <c r="N252" s="2"/>
      <c r="O252" s="4"/>
      <c r="P252" s="2"/>
      <c r="Q252" s="2"/>
      <c r="R252" s="4"/>
      <c r="S252" s="2"/>
      <c r="T252" s="2"/>
      <c r="U252" s="1"/>
      <c r="V252" s="2"/>
      <c r="W252" s="2"/>
      <c r="X252" s="2"/>
      <c r="Y252" s="2"/>
      <c r="Z252" s="2"/>
    </row>
    <row r="253" spans="1:26" ht="15.75" customHeight="1" x14ac:dyDescent="0.2">
      <c r="A253" s="12"/>
      <c r="B253" s="10"/>
      <c r="C253" s="11"/>
      <c r="D253" s="13"/>
      <c r="E253" s="13"/>
      <c r="F253" s="13"/>
      <c r="G253" s="2"/>
      <c r="H253" s="2"/>
      <c r="I253" s="13"/>
      <c r="J253" s="13"/>
      <c r="K253" s="13"/>
      <c r="L253" s="14"/>
      <c r="M253" s="4"/>
      <c r="N253" s="2"/>
      <c r="O253" s="4"/>
      <c r="P253" s="2"/>
      <c r="Q253" s="2"/>
      <c r="R253" s="4"/>
      <c r="S253" s="2"/>
      <c r="T253" s="2"/>
      <c r="U253" s="1"/>
      <c r="V253" s="2"/>
      <c r="W253" s="2"/>
      <c r="X253" s="2"/>
      <c r="Y253" s="2"/>
      <c r="Z253" s="2"/>
    </row>
    <row r="254" spans="1:26" ht="15.75" customHeight="1" x14ac:dyDescent="0.2">
      <c r="A254" s="12"/>
      <c r="B254" s="10"/>
      <c r="C254" s="11"/>
      <c r="D254" s="13"/>
      <c r="E254" s="13"/>
      <c r="F254" s="13"/>
      <c r="G254" s="2"/>
      <c r="H254" s="2"/>
      <c r="I254" s="13"/>
      <c r="J254" s="13"/>
      <c r="K254" s="13"/>
      <c r="L254" s="14"/>
      <c r="M254" s="4"/>
      <c r="N254" s="2"/>
      <c r="O254" s="4"/>
      <c r="P254" s="2"/>
      <c r="Q254" s="2"/>
      <c r="R254" s="4"/>
      <c r="S254" s="2"/>
      <c r="T254" s="2"/>
      <c r="U254" s="1"/>
      <c r="V254" s="2"/>
      <c r="W254" s="2"/>
      <c r="X254" s="2"/>
      <c r="Y254" s="2"/>
      <c r="Z254" s="2"/>
    </row>
    <row r="255" spans="1:26" ht="15.75" customHeight="1" x14ac:dyDescent="0.2">
      <c r="A255" s="12"/>
      <c r="B255" s="10"/>
      <c r="C255" s="11"/>
      <c r="D255" s="13"/>
      <c r="E255" s="13"/>
      <c r="F255" s="13"/>
      <c r="G255" s="2"/>
      <c r="H255" s="2"/>
      <c r="I255" s="13"/>
      <c r="J255" s="13"/>
      <c r="K255" s="13"/>
      <c r="L255" s="14"/>
      <c r="M255" s="4"/>
      <c r="N255" s="2"/>
      <c r="O255" s="4"/>
      <c r="P255" s="2"/>
      <c r="Q255" s="2"/>
      <c r="R255" s="4"/>
      <c r="S255" s="2"/>
      <c r="T255" s="2"/>
      <c r="U255" s="1"/>
      <c r="V255" s="2"/>
      <c r="W255" s="2"/>
      <c r="X255" s="2"/>
      <c r="Y255" s="2"/>
      <c r="Z255" s="2"/>
    </row>
    <row r="256" spans="1:26" ht="15.75" customHeight="1" x14ac:dyDescent="0.2">
      <c r="A256" s="12"/>
      <c r="B256" s="10"/>
      <c r="C256" s="11"/>
      <c r="D256" s="13"/>
      <c r="E256" s="13"/>
      <c r="F256" s="13"/>
      <c r="G256" s="2"/>
      <c r="H256" s="2"/>
      <c r="I256" s="13"/>
      <c r="J256" s="13"/>
      <c r="K256" s="13"/>
      <c r="L256" s="14"/>
      <c r="M256" s="4"/>
      <c r="N256" s="2"/>
      <c r="O256" s="4"/>
      <c r="P256" s="2"/>
      <c r="Q256" s="2"/>
      <c r="R256" s="4"/>
      <c r="S256" s="2"/>
      <c r="T256" s="2"/>
      <c r="U256" s="1"/>
      <c r="V256" s="2"/>
      <c r="W256" s="2"/>
      <c r="X256" s="2"/>
      <c r="Y256" s="2"/>
      <c r="Z256" s="2"/>
    </row>
    <row r="257" spans="1:26" ht="15.75" customHeight="1" x14ac:dyDescent="0.2">
      <c r="A257" s="12"/>
      <c r="B257" s="10"/>
      <c r="C257" s="11"/>
      <c r="D257" s="13"/>
      <c r="E257" s="13"/>
      <c r="F257" s="13"/>
      <c r="G257" s="2"/>
      <c r="H257" s="2"/>
      <c r="I257" s="13"/>
      <c r="J257" s="13"/>
      <c r="K257" s="13"/>
      <c r="L257" s="14"/>
      <c r="M257" s="4"/>
      <c r="N257" s="2"/>
      <c r="O257" s="4"/>
      <c r="P257" s="2"/>
      <c r="Q257" s="2"/>
      <c r="R257" s="4"/>
      <c r="S257" s="2"/>
      <c r="T257" s="2"/>
      <c r="U257" s="1"/>
      <c r="V257" s="2"/>
      <c r="W257" s="2"/>
      <c r="X257" s="2"/>
      <c r="Y257" s="2"/>
      <c r="Z257" s="2"/>
    </row>
    <row r="258" spans="1:26" ht="15.75" customHeight="1" x14ac:dyDescent="0.2">
      <c r="A258" s="12"/>
      <c r="B258" s="10"/>
      <c r="C258" s="11"/>
      <c r="D258" s="13"/>
      <c r="E258" s="13"/>
      <c r="F258" s="13"/>
      <c r="G258" s="2"/>
      <c r="H258" s="2"/>
      <c r="I258" s="13"/>
      <c r="J258" s="13"/>
      <c r="K258" s="13"/>
      <c r="L258" s="14"/>
      <c r="M258" s="4"/>
      <c r="N258" s="2"/>
      <c r="O258" s="4"/>
      <c r="P258" s="2"/>
      <c r="Q258" s="2"/>
      <c r="R258" s="4"/>
      <c r="S258" s="2"/>
      <c r="T258" s="2"/>
      <c r="U258" s="1"/>
      <c r="V258" s="2"/>
      <c r="W258" s="2"/>
      <c r="X258" s="2"/>
      <c r="Y258" s="2"/>
      <c r="Z258" s="2"/>
    </row>
    <row r="259" spans="1:26" ht="15.75" customHeight="1" x14ac:dyDescent="0.2">
      <c r="A259" s="12"/>
      <c r="B259" s="10"/>
      <c r="C259" s="11"/>
      <c r="D259" s="13"/>
      <c r="E259" s="13"/>
      <c r="F259" s="13"/>
      <c r="G259" s="2"/>
      <c r="H259" s="2"/>
      <c r="I259" s="13"/>
      <c r="J259" s="13"/>
      <c r="K259" s="13"/>
      <c r="L259" s="14"/>
      <c r="M259" s="4"/>
      <c r="N259" s="2"/>
      <c r="O259" s="4"/>
      <c r="P259" s="2"/>
      <c r="Q259" s="2"/>
      <c r="R259" s="4"/>
      <c r="S259" s="2"/>
      <c r="T259" s="2"/>
      <c r="U259" s="1"/>
      <c r="V259" s="2"/>
      <c r="W259" s="2"/>
      <c r="X259" s="2"/>
      <c r="Y259" s="2"/>
      <c r="Z259" s="2"/>
    </row>
    <row r="260" spans="1:26" ht="15.75" customHeight="1" x14ac:dyDescent="0.2">
      <c r="A260" s="12"/>
      <c r="B260" s="10"/>
      <c r="C260" s="11"/>
      <c r="D260" s="13"/>
      <c r="E260" s="13"/>
      <c r="F260" s="13"/>
      <c r="G260" s="2"/>
      <c r="H260" s="2"/>
      <c r="I260" s="13"/>
      <c r="J260" s="13"/>
      <c r="K260" s="13"/>
      <c r="L260" s="14"/>
      <c r="M260" s="4"/>
      <c r="N260" s="2"/>
      <c r="O260" s="4"/>
      <c r="P260" s="2"/>
      <c r="Q260" s="2"/>
      <c r="R260" s="4"/>
      <c r="S260" s="2"/>
      <c r="T260" s="2"/>
      <c r="U260" s="1"/>
      <c r="V260" s="2"/>
      <c r="W260" s="2"/>
      <c r="X260" s="2"/>
      <c r="Y260" s="2"/>
      <c r="Z260" s="2"/>
    </row>
    <row r="261" spans="1:26" ht="15.75" customHeight="1" x14ac:dyDescent="0.2">
      <c r="A261" s="12"/>
      <c r="B261" s="10"/>
      <c r="C261" s="11"/>
      <c r="D261" s="13"/>
      <c r="E261" s="13"/>
      <c r="F261" s="13"/>
      <c r="G261" s="2"/>
      <c r="H261" s="2"/>
      <c r="I261" s="13"/>
      <c r="J261" s="13"/>
      <c r="K261" s="13"/>
      <c r="L261" s="14"/>
      <c r="M261" s="4"/>
      <c r="N261" s="2"/>
      <c r="O261" s="4"/>
      <c r="P261" s="2"/>
      <c r="Q261" s="2"/>
      <c r="R261" s="4"/>
      <c r="S261" s="2"/>
      <c r="T261" s="2"/>
      <c r="U261" s="1"/>
      <c r="V261" s="2"/>
      <c r="W261" s="2"/>
      <c r="X261" s="2"/>
      <c r="Y261" s="2"/>
      <c r="Z261" s="2"/>
    </row>
    <row r="262" spans="1:26" ht="15.75" customHeight="1" x14ac:dyDescent="0.2">
      <c r="A262" s="12"/>
      <c r="B262" s="10"/>
      <c r="C262" s="11"/>
      <c r="D262" s="13"/>
      <c r="E262" s="13"/>
      <c r="F262" s="13"/>
      <c r="G262" s="2"/>
      <c r="H262" s="2"/>
      <c r="I262" s="13"/>
      <c r="J262" s="13"/>
      <c r="K262" s="13"/>
      <c r="L262" s="14"/>
      <c r="M262" s="4"/>
      <c r="N262" s="2"/>
      <c r="O262" s="4"/>
      <c r="P262" s="2"/>
      <c r="Q262" s="2"/>
      <c r="R262" s="4"/>
      <c r="S262" s="2"/>
      <c r="T262" s="2"/>
      <c r="U262" s="1"/>
      <c r="V262" s="2"/>
      <c r="W262" s="2"/>
      <c r="X262" s="2"/>
      <c r="Y262" s="2"/>
      <c r="Z262" s="2"/>
    </row>
    <row r="263" spans="1:26" ht="15.75" customHeight="1" x14ac:dyDescent="0.2">
      <c r="A263" s="12"/>
      <c r="B263" s="10"/>
      <c r="C263" s="11"/>
      <c r="D263" s="13"/>
      <c r="E263" s="13"/>
      <c r="F263" s="13"/>
      <c r="G263" s="2"/>
      <c r="H263" s="2"/>
      <c r="I263" s="13"/>
      <c r="J263" s="13"/>
      <c r="K263" s="13"/>
      <c r="L263" s="14"/>
      <c r="M263" s="4"/>
      <c r="N263" s="2"/>
      <c r="O263" s="4"/>
      <c r="P263" s="2"/>
      <c r="Q263" s="2"/>
      <c r="R263" s="4"/>
      <c r="S263" s="2"/>
      <c r="T263" s="2"/>
      <c r="U263" s="1"/>
      <c r="V263" s="2"/>
      <c r="W263" s="2"/>
      <c r="X263" s="2"/>
      <c r="Y263" s="2"/>
      <c r="Z263" s="2"/>
    </row>
    <row r="264" spans="1:26" ht="15.75" customHeight="1" x14ac:dyDescent="0.2">
      <c r="A264" s="12"/>
      <c r="B264" s="10"/>
      <c r="C264" s="11"/>
      <c r="D264" s="13"/>
      <c r="E264" s="13"/>
      <c r="F264" s="13"/>
      <c r="G264" s="2"/>
      <c r="H264" s="2"/>
      <c r="I264" s="13"/>
      <c r="J264" s="13"/>
      <c r="K264" s="13"/>
      <c r="L264" s="14"/>
      <c r="M264" s="4"/>
      <c r="N264" s="2"/>
      <c r="O264" s="4"/>
      <c r="P264" s="2"/>
      <c r="Q264" s="2"/>
      <c r="R264" s="4"/>
      <c r="S264" s="2"/>
      <c r="T264" s="2"/>
      <c r="U264" s="1"/>
      <c r="V264" s="2"/>
      <c r="W264" s="2"/>
      <c r="X264" s="2"/>
      <c r="Y264" s="2"/>
      <c r="Z264" s="2"/>
    </row>
    <row r="265" spans="1:26" ht="15.75" customHeight="1" x14ac:dyDescent="0.2">
      <c r="A265" s="12"/>
      <c r="B265" s="10"/>
      <c r="C265" s="11"/>
      <c r="D265" s="13"/>
      <c r="E265" s="13"/>
      <c r="F265" s="13"/>
      <c r="G265" s="2"/>
      <c r="H265" s="2"/>
      <c r="I265" s="13"/>
      <c r="J265" s="13"/>
      <c r="K265" s="13"/>
      <c r="L265" s="14"/>
      <c r="M265" s="4"/>
      <c r="N265" s="2"/>
      <c r="O265" s="4"/>
      <c r="P265" s="2"/>
      <c r="Q265" s="2"/>
      <c r="R265" s="4"/>
      <c r="S265" s="2"/>
      <c r="T265" s="2"/>
      <c r="U265" s="1"/>
      <c r="V265" s="2"/>
      <c r="W265" s="2"/>
      <c r="X265" s="2"/>
      <c r="Y265" s="2"/>
      <c r="Z265" s="2"/>
    </row>
    <row r="266" spans="1:26" ht="15.75" customHeight="1" x14ac:dyDescent="0.2">
      <c r="A266" s="12"/>
      <c r="B266" s="10"/>
      <c r="C266" s="11"/>
      <c r="D266" s="13"/>
      <c r="E266" s="13"/>
      <c r="F266" s="13"/>
      <c r="G266" s="2"/>
      <c r="H266" s="2"/>
      <c r="I266" s="13"/>
      <c r="J266" s="13"/>
      <c r="K266" s="13"/>
      <c r="L266" s="14"/>
      <c r="M266" s="4"/>
      <c r="N266" s="2"/>
      <c r="O266" s="4"/>
      <c r="P266" s="2"/>
      <c r="Q266" s="2"/>
      <c r="R266" s="4"/>
      <c r="S266" s="2"/>
      <c r="T266" s="2"/>
      <c r="U266" s="1"/>
      <c r="V266" s="2"/>
      <c r="W266" s="2"/>
      <c r="X266" s="2"/>
      <c r="Y266" s="2"/>
      <c r="Z266" s="2"/>
    </row>
    <row r="267" spans="1:26" ht="15.75" customHeight="1" x14ac:dyDescent="0.2">
      <c r="A267" s="12"/>
      <c r="B267" s="10"/>
      <c r="C267" s="11"/>
      <c r="D267" s="13"/>
      <c r="E267" s="13"/>
      <c r="F267" s="13"/>
      <c r="G267" s="2"/>
      <c r="H267" s="2"/>
      <c r="I267" s="13"/>
      <c r="J267" s="13"/>
      <c r="K267" s="13"/>
      <c r="L267" s="14"/>
      <c r="M267" s="4"/>
      <c r="N267" s="2"/>
      <c r="O267" s="4"/>
      <c r="P267" s="2"/>
      <c r="Q267" s="2"/>
      <c r="R267" s="4"/>
      <c r="S267" s="2"/>
      <c r="T267" s="2"/>
      <c r="U267" s="1"/>
      <c r="V267" s="2"/>
      <c r="W267" s="2"/>
      <c r="X267" s="2"/>
      <c r="Y267" s="2"/>
      <c r="Z267" s="2"/>
    </row>
    <row r="268" spans="1:26" ht="15.75" customHeight="1" x14ac:dyDescent="0.2">
      <c r="A268" s="12"/>
      <c r="B268" s="10"/>
      <c r="C268" s="11"/>
      <c r="D268" s="13"/>
      <c r="E268" s="13"/>
      <c r="F268" s="13"/>
      <c r="G268" s="2"/>
      <c r="H268" s="2"/>
      <c r="I268" s="13"/>
      <c r="J268" s="13"/>
      <c r="K268" s="13"/>
      <c r="L268" s="14"/>
      <c r="M268" s="4"/>
      <c r="N268" s="2"/>
      <c r="O268" s="4"/>
      <c r="P268" s="2"/>
      <c r="Q268" s="2"/>
      <c r="R268" s="4"/>
      <c r="S268" s="2"/>
      <c r="T268" s="2"/>
      <c r="U268" s="1"/>
      <c r="V268" s="2"/>
      <c r="W268" s="2"/>
      <c r="X268" s="2"/>
      <c r="Y268" s="2"/>
      <c r="Z268" s="2"/>
    </row>
    <row r="269" spans="1:26" ht="15.75" customHeight="1" x14ac:dyDescent="0.2">
      <c r="A269" s="12"/>
      <c r="B269" s="10"/>
      <c r="C269" s="11"/>
      <c r="D269" s="13"/>
      <c r="E269" s="13"/>
      <c r="F269" s="13"/>
      <c r="G269" s="2"/>
      <c r="H269" s="2"/>
      <c r="I269" s="13"/>
      <c r="J269" s="13"/>
      <c r="K269" s="13"/>
      <c r="L269" s="14"/>
      <c r="M269" s="4"/>
      <c r="N269" s="2"/>
      <c r="O269" s="4"/>
      <c r="P269" s="2"/>
      <c r="Q269" s="2"/>
      <c r="R269" s="4"/>
      <c r="S269" s="2"/>
      <c r="T269" s="2"/>
      <c r="U269" s="1"/>
      <c r="V269" s="2"/>
      <c r="W269" s="2"/>
      <c r="X269" s="2"/>
      <c r="Y269" s="2"/>
      <c r="Z269" s="2"/>
    </row>
    <row r="270" spans="1:26" ht="15.75" customHeight="1" x14ac:dyDescent="0.2">
      <c r="A270" s="12"/>
      <c r="B270" s="10"/>
      <c r="C270" s="11"/>
      <c r="D270" s="13"/>
      <c r="E270" s="13"/>
      <c r="F270" s="13"/>
      <c r="G270" s="2"/>
      <c r="H270" s="2"/>
      <c r="I270" s="13"/>
      <c r="J270" s="13"/>
      <c r="K270" s="13"/>
      <c r="L270" s="14"/>
      <c r="M270" s="4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12"/>
      <c r="B271" s="10"/>
      <c r="C271" s="11"/>
      <c r="D271" s="13"/>
      <c r="E271" s="13"/>
      <c r="F271" s="13"/>
      <c r="G271" s="2"/>
      <c r="H271" s="2"/>
      <c r="I271" s="13"/>
      <c r="J271" s="13"/>
      <c r="K271" s="13"/>
      <c r="L271" s="14"/>
      <c r="M271" s="4"/>
      <c r="N271" s="2"/>
      <c r="O271" s="4"/>
      <c r="P271" s="2"/>
      <c r="Q271" s="2"/>
      <c r="R271" s="4"/>
      <c r="S271" s="2"/>
      <c r="T271" s="2"/>
      <c r="U271" s="1"/>
      <c r="V271" s="2"/>
      <c r="W271" s="2"/>
      <c r="X271" s="2"/>
      <c r="Y271" s="2"/>
      <c r="Z271" s="2"/>
    </row>
    <row r="272" spans="1:26" ht="15.75" customHeight="1" x14ac:dyDescent="0.2">
      <c r="A272" s="12"/>
      <c r="B272" s="10"/>
      <c r="C272" s="11"/>
      <c r="D272" s="13"/>
      <c r="E272" s="13"/>
      <c r="F272" s="13"/>
      <c r="G272" s="2"/>
      <c r="H272" s="2"/>
      <c r="I272" s="13"/>
      <c r="J272" s="13"/>
      <c r="K272" s="13"/>
      <c r="L272" s="14"/>
      <c r="M272" s="4"/>
      <c r="N272" s="2"/>
      <c r="O272" s="4"/>
      <c r="P272" s="2"/>
      <c r="Q272" s="2"/>
      <c r="R272" s="4"/>
      <c r="S272" s="2"/>
      <c r="T272" s="2"/>
      <c r="U272" s="1"/>
      <c r="V272" s="2"/>
      <c r="W272" s="2"/>
      <c r="X272" s="2"/>
      <c r="Y272" s="2"/>
      <c r="Z272" s="2"/>
    </row>
    <row r="273" spans="1:26" ht="15.75" customHeight="1" x14ac:dyDescent="0.2">
      <c r="A273" s="12"/>
      <c r="B273" s="10"/>
      <c r="C273" s="11"/>
      <c r="D273" s="13"/>
      <c r="E273" s="13"/>
      <c r="F273" s="13"/>
      <c r="G273" s="2"/>
      <c r="H273" s="2"/>
      <c r="I273" s="13"/>
      <c r="J273" s="13"/>
      <c r="K273" s="13"/>
      <c r="L273" s="14"/>
      <c r="M273" s="4"/>
      <c r="N273" s="2"/>
      <c r="O273" s="4"/>
      <c r="P273" s="2"/>
      <c r="Q273" s="2"/>
      <c r="R273" s="4"/>
      <c r="S273" s="2"/>
      <c r="T273" s="2"/>
      <c r="U273" s="1"/>
      <c r="V273" s="2"/>
      <c r="W273" s="2"/>
      <c r="X273" s="2"/>
      <c r="Y273" s="2"/>
      <c r="Z273" s="2"/>
    </row>
    <row r="274" spans="1:26" ht="15.75" customHeight="1" x14ac:dyDescent="0.2">
      <c r="A274" s="12"/>
      <c r="B274" s="10"/>
      <c r="C274" s="11"/>
      <c r="D274" s="13"/>
      <c r="E274" s="13"/>
      <c r="F274" s="13"/>
      <c r="G274" s="2"/>
      <c r="H274" s="2"/>
      <c r="I274" s="13"/>
      <c r="J274" s="13"/>
      <c r="K274" s="13"/>
      <c r="L274" s="14"/>
      <c r="M274" s="4"/>
      <c r="N274" s="2"/>
      <c r="O274" s="4"/>
      <c r="P274" s="2"/>
      <c r="Q274" s="2"/>
      <c r="R274" s="4"/>
      <c r="S274" s="2"/>
      <c r="T274" s="2"/>
      <c r="U274" s="1"/>
      <c r="V274" s="2"/>
      <c r="W274" s="2"/>
      <c r="X274" s="2"/>
      <c r="Y274" s="2"/>
      <c r="Z274" s="2"/>
    </row>
    <row r="275" spans="1:26" ht="15.75" customHeight="1" x14ac:dyDescent="0.2">
      <c r="A275" s="12"/>
      <c r="B275" s="10"/>
      <c r="C275" s="11"/>
      <c r="D275" s="13"/>
      <c r="E275" s="13"/>
      <c r="F275" s="13"/>
      <c r="G275" s="2"/>
      <c r="H275" s="2"/>
      <c r="I275" s="13"/>
      <c r="J275" s="13"/>
      <c r="K275" s="13"/>
      <c r="L275" s="14"/>
      <c r="M275" s="4"/>
      <c r="N275" s="2"/>
      <c r="O275" s="4"/>
      <c r="P275" s="2"/>
      <c r="Q275" s="2"/>
      <c r="R275" s="4"/>
      <c r="S275" s="2"/>
      <c r="T275" s="2"/>
      <c r="U275" s="1"/>
      <c r="V275" s="2"/>
      <c r="W275" s="2"/>
      <c r="X275" s="2"/>
      <c r="Y275" s="2"/>
      <c r="Z275" s="2"/>
    </row>
    <row r="276" spans="1:26" ht="15.75" customHeight="1" x14ac:dyDescent="0.2">
      <c r="A276" s="12"/>
      <c r="B276" s="10"/>
      <c r="C276" s="11"/>
      <c r="D276" s="13"/>
      <c r="E276" s="13"/>
      <c r="F276" s="13"/>
      <c r="G276" s="2"/>
      <c r="H276" s="2"/>
      <c r="I276" s="13"/>
      <c r="J276" s="13"/>
      <c r="K276" s="13"/>
      <c r="L276" s="14"/>
      <c r="M276" s="4"/>
      <c r="N276" s="2"/>
      <c r="O276" s="4"/>
      <c r="P276" s="2"/>
      <c r="Q276" s="2"/>
      <c r="R276" s="4"/>
      <c r="S276" s="2"/>
      <c r="T276" s="2"/>
      <c r="U276" s="1"/>
      <c r="V276" s="2"/>
      <c r="W276" s="2"/>
      <c r="X276" s="2"/>
      <c r="Y276" s="2"/>
      <c r="Z276" s="2"/>
    </row>
    <row r="277" spans="1:26" ht="15.75" customHeight="1" x14ac:dyDescent="0.2">
      <c r="A277" s="12"/>
      <c r="B277" s="10"/>
      <c r="C277" s="11"/>
      <c r="D277" s="13"/>
      <c r="E277" s="13"/>
      <c r="F277" s="13"/>
      <c r="G277" s="2"/>
      <c r="H277" s="2"/>
      <c r="I277" s="13"/>
      <c r="J277" s="13"/>
      <c r="K277" s="13"/>
      <c r="L277" s="14"/>
      <c r="M277" s="4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12"/>
      <c r="B278" s="10"/>
      <c r="C278" s="11"/>
      <c r="D278" s="13"/>
      <c r="E278" s="13"/>
      <c r="F278" s="13"/>
      <c r="G278" s="2"/>
      <c r="H278" s="2"/>
      <c r="I278" s="13"/>
      <c r="J278" s="13"/>
      <c r="K278" s="13"/>
      <c r="L278" s="14"/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2"/>
      <c r="B279" s="10"/>
      <c r="C279" s="11"/>
      <c r="D279" s="13"/>
      <c r="E279" s="13"/>
      <c r="F279" s="13"/>
      <c r="G279" s="2"/>
      <c r="H279" s="2"/>
      <c r="I279" s="13"/>
      <c r="J279" s="13"/>
      <c r="K279" s="13"/>
      <c r="L279" s="14"/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12"/>
      <c r="B280" s="10"/>
      <c r="C280" s="11"/>
      <c r="D280" s="13"/>
      <c r="E280" s="13"/>
      <c r="F280" s="13"/>
      <c r="G280" s="2"/>
      <c r="H280" s="2"/>
      <c r="I280" s="13"/>
      <c r="J280" s="13"/>
      <c r="K280" s="13"/>
      <c r="L280" s="14"/>
      <c r="M280" s="4"/>
      <c r="N280" s="2"/>
      <c r="O280" s="4"/>
      <c r="P280" s="2"/>
      <c r="Q280" s="2"/>
      <c r="R280" s="4"/>
      <c r="S280" s="2"/>
      <c r="T280" s="2"/>
      <c r="U280" s="1"/>
      <c r="V280" s="2"/>
      <c r="W280" s="2"/>
      <c r="X280" s="2"/>
      <c r="Y280" s="2"/>
      <c r="Z280" s="2"/>
    </row>
    <row r="281" spans="1:26" ht="15.75" customHeight="1" x14ac:dyDescent="0.2">
      <c r="A281" s="12"/>
      <c r="B281" s="10"/>
      <c r="C281" s="11"/>
      <c r="D281" s="13"/>
      <c r="E281" s="13"/>
      <c r="F281" s="13"/>
      <c r="G281" s="2"/>
      <c r="H281" s="2"/>
      <c r="I281" s="13"/>
      <c r="J281" s="13"/>
      <c r="K281" s="13"/>
      <c r="L281" s="14"/>
      <c r="M281" s="4"/>
      <c r="N281" s="2"/>
      <c r="O281" s="4"/>
      <c r="P281" s="2"/>
      <c r="Q281" s="2"/>
      <c r="R281" s="4"/>
      <c r="S281" s="2"/>
      <c r="T281" s="2"/>
      <c r="U281" s="1"/>
      <c r="V281" s="2"/>
      <c r="W281" s="2"/>
      <c r="X281" s="2"/>
      <c r="Y281" s="2"/>
      <c r="Z281" s="2"/>
    </row>
    <row r="282" spans="1:26" ht="15.75" customHeight="1" x14ac:dyDescent="0.2">
      <c r="A282" s="12"/>
      <c r="B282" s="10"/>
      <c r="C282" s="11"/>
      <c r="D282" s="13"/>
      <c r="E282" s="13"/>
      <c r="F282" s="13"/>
      <c r="G282" s="2"/>
      <c r="H282" s="2"/>
      <c r="I282" s="13"/>
      <c r="J282" s="13"/>
      <c r="K282" s="13"/>
      <c r="L282" s="14"/>
      <c r="M282" s="4"/>
      <c r="N282" s="2"/>
      <c r="O282" s="4"/>
      <c r="P282" s="2"/>
      <c r="Q282" s="2"/>
      <c r="R282" s="4"/>
      <c r="S282" s="2"/>
      <c r="T282" s="2"/>
      <c r="U282" s="1"/>
      <c r="V282" s="2"/>
      <c r="W282" s="2"/>
      <c r="X282" s="2"/>
      <c r="Y282" s="2"/>
      <c r="Z282" s="2"/>
    </row>
    <row r="283" spans="1:26" ht="15.75" customHeight="1" x14ac:dyDescent="0.2">
      <c r="A283" s="12"/>
      <c r="B283" s="10"/>
      <c r="C283" s="11"/>
      <c r="D283" s="13"/>
      <c r="E283" s="13"/>
      <c r="F283" s="13"/>
      <c r="G283" s="2"/>
      <c r="H283" s="2"/>
      <c r="I283" s="13"/>
      <c r="J283" s="13"/>
      <c r="K283" s="13"/>
      <c r="L283" s="14"/>
      <c r="M283" s="4"/>
      <c r="N283" s="2"/>
      <c r="O283" s="4"/>
      <c r="P283" s="2"/>
      <c r="Q283" s="2"/>
      <c r="R283" s="4"/>
      <c r="S283" s="2"/>
      <c r="T283" s="2"/>
      <c r="U283" s="1"/>
      <c r="V283" s="2"/>
      <c r="W283" s="2"/>
      <c r="X283" s="2"/>
      <c r="Y283" s="2"/>
      <c r="Z283" s="2"/>
    </row>
    <row r="284" spans="1:26" ht="15.75" customHeight="1" x14ac:dyDescent="0.2">
      <c r="A284" s="12"/>
      <c r="B284" s="10"/>
      <c r="C284" s="11"/>
      <c r="D284" s="13"/>
      <c r="E284" s="13"/>
      <c r="F284" s="13"/>
      <c r="G284" s="2"/>
      <c r="H284" s="2"/>
      <c r="I284" s="13"/>
      <c r="J284" s="13"/>
      <c r="K284" s="13"/>
      <c r="L284" s="14"/>
      <c r="M284" s="4"/>
      <c r="N284" s="2"/>
      <c r="O284" s="4"/>
      <c r="P284" s="2"/>
      <c r="Q284" s="2"/>
      <c r="R284" s="4"/>
      <c r="S284" s="2"/>
      <c r="T284" s="2"/>
      <c r="U284" s="1"/>
      <c r="V284" s="2"/>
      <c r="W284" s="2"/>
      <c r="X284" s="2"/>
      <c r="Y284" s="2"/>
      <c r="Z284" s="2"/>
    </row>
    <row r="285" spans="1:26" ht="15.75" customHeight="1" x14ac:dyDescent="0.2">
      <c r="A285" s="12"/>
      <c r="B285" s="10"/>
      <c r="C285" s="11"/>
      <c r="D285" s="13"/>
      <c r="E285" s="13"/>
      <c r="F285" s="13"/>
      <c r="G285" s="2"/>
      <c r="H285" s="2"/>
      <c r="I285" s="13"/>
      <c r="J285" s="13"/>
      <c r="K285" s="13"/>
      <c r="L285" s="14"/>
      <c r="M285" s="4"/>
      <c r="N285" s="2"/>
      <c r="O285" s="4"/>
      <c r="P285" s="2"/>
      <c r="Q285" s="2"/>
      <c r="R285" s="4"/>
      <c r="S285" s="2"/>
      <c r="T285" s="2"/>
      <c r="U285" s="1"/>
      <c r="V285" s="2"/>
      <c r="W285" s="2"/>
      <c r="X285" s="2"/>
      <c r="Y285" s="2"/>
      <c r="Z285" s="2"/>
    </row>
    <row r="286" spans="1:26" ht="15.75" customHeight="1" x14ac:dyDescent="0.2">
      <c r="A286" s="12"/>
      <c r="B286" s="10"/>
      <c r="C286" s="11"/>
      <c r="D286" s="13"/>
      <c r="E286" s="13"/>
      <c r="F286" s="13"/>
      <c r="G286" s="2"/>
      <c r="H286" s="2"/>
      <c r="I286" s="13"/>
      <c r="J286" s="13"/>
      <c r="K286" s="13"/>
      <c r="L286" s="14"/>
      <c r="M286" s="4"/>
      <c r="N286" s="2"/>
      <c r="O286" s="4"/>
      <c r="P286" s="2"/>
      <c r="Q286" s="2"/>
      <c r="R286" s="4"/>
      <c r="S286" s="2"/>
      <c r="T286" s="2"/>
      <c r="U286" s="1"/>
      <c r="V286" s="2"/>
      <c r="W286" s="2"/>
      <c r="X286" s="2"/>
      <c r="Y286" s="2"/>
      <c r="Z286" s="2"/>
    </row>
    <row r="287" spans="1:26" ht="15.75" customHeight="1" x14ac:dyDescent="0.2">
      <c r="A287" s="12"/>
      <c r="B287" s="10"/>
      <c r="C287" s="11"/>
      <c r="D287" s="13"/>
      <c r="E287" s="13"/>
      <c r="F287" s="13"/>
      <c r="G287" s="2"/>
      <c r="H287" s="2"/>
      <c r="I287" s="13"/>
      <c r="J287" s="13"/>
      <c r="K287" s="13"/>
      <c r="L287" s="14"/>
      <c r="M287" s="4"/>
      <c r="N287" s="2"/>
      <c r="O287" s="4"/>
      <c r="P287" s="2"/>
      <c r="Q287" s="2"/>
      <c r="R287" s="4"/>
      <c r="S287" s="2"/>
      <c r="T287" s="2"/>
      <c r="U287" s="1"/>
      <c r="V287" s="2"/>
      <c r="W287" s="2"/>
      <c r="X287" s="2"/>
      <c r="Y287" s="2"/>
      <c r="Z287" s="2"/>
    </row>
    <row r="288" spans="1:26" ht="15.75" customHeight="1" x14ac:dyDescent="0.2">
      <c r="A288" s="12"/>
      <c r="B288" s="10"/>
      <c r="C288" s="11"/>
      <c r="D288" s="13"/>
      <c r="E288" s="13"/>
      <c r="F288" s="13"/>
      <c r="G288" s="2"/>
      <c r="H288" s="2"/>
      <c r="I288" s="13"/>
      <c r="J288" s="13"/>
      <c r="K288" s="13"/>
      <c r="L288" s="14"/>
      <c r="M288" s="4"/>
      <c r="N288" s="2"/>
      <c r="O288" s="4"/>
      <c r="P288" s="2"/>
      <c r="Q288" s="2"/>
      <c r="R288" s="4"/>
      <c r="S288" s="2"/>
      <c r="T288" s="2"/>
      <c r="U288" s="1"/>
      <c r="V288" s="2"/>
      <c r="W288" s="2"/>
      <c r="X288" s="2"/>
      <c r="Y288" s="2"/>
      <c r="Z288" s="2"/>
    </row>
    <row r="289" spans="1:26" ht="15.75" customHeight="1" x14ac:dyDescent="0.2">
      <c r="A289" s="12"/>
      <c r="B289" s="10"/>
      <c r="C289" s="11"/>
      <c r="D289" s="13"/>
      <c r="E289" s="13"/>
      <c r="F289" s="13"/>
      <c r="G289" s="2"/>
      <c r="H289" s="2"/>
      <c r="I289" s="13"/>
      <c r="J289" s="13"/>
      <c r="K289" s="13"/>
      <c r="L289" s="14"/>
      <c r="M289" s="4"/>
      <c r="N289" s="2"/>
      <c r="O289" s="4"/>
      <c r="P289" s="2"/>
      <c r="Q289" s="2"/>
      <c r="R289" s="4"/>
      <c r="S289" s="2"/>
      <c r="T289" s="2"/>
      <c r="U289" s="1"/>
      <c r="V289" s="2"/>
      <c r="W289" s="2"/>
      <c r="X289" s="2"/>
      <c r="Y289" s="2"/>
      <c r="Z289" s="2"/>
    </row>
    <row r="290" spans="1:26" ht="15.75" customHeight="1" x14ac:dyDescent="0.2">
      <c r="A290" s="12"/>
      <c r="B290" s="10"/>
      <c r="C290" s="11"/>
      <c r="D290" s="13"/>
      <c r="E290" s="13"/>
      <c r="F290" s="13"/>
      <c r="G290" s="2"/>
      <c r="H290" s="2"/>
      <c r="I290" s="13"/>
      <c r="J290" s="13"/>
      <c r="K290" s="13"/>
      <c r="L290" s="14"/>
      <c r="M290" s="4"/>
      <c r="N290" s="2"/>
      <c r="O290" s="4"/>
      <c r="P290" s="2"/>
      <c r="Q290" s="2"/>
      <c r="R290" s="4"/>
      <c r="S290" s="2"/>
      <c r="T290" s="2"/>
      <c r="U290" s="1"/>
      <c r="V290" s="2"/>
      <c r="W290" s="2"/>
      <c r="X290" s="2"/>
      <c r="Y290" s="2"/>
      <c r="Z290" s="2"/>
    </row>
    <row r="291" spans="1:26" ht="15.75" customHeight="1" x14ac:dyDescent="0.2">
      <c r="A291" s="12"/>
      <c r="B291" s="10"/>
      <c r="C291" s="11"/>
      <c r="D291" s="13"/>
      <c r="E291" s="13"/>
      <c r="F291" s="13"/>
      <c r="G291" s="2"/>
      <c r="H291" s="2"/>
      <c r="I291" s="13"/>
      <c r="J291" s="13"/>
      <c r="K291" s="13"/>
      <c r="L291" s="14"/>
      <c r="M291" s="4"/>
      <c r="N291" s="2"/>
      <c r="O291" s="4"/>
      <c r="P291" s="2"/>
      <c r="Q291" s="2"/>
      <c r="R291" s="4"/>
      <c r="S291" s="2"/>
      <c r="T291" s="2"/>
      <c r="U291" s="1"/>
      <c r="V291" s="2"/>
      <c r="W291" s="2"/>
      <c r="X291" s="2"/>
      <c r="Y291" s="2"/>
      <c r="Z291" s="2"/>
    </row>
    <row r="292" spans="1:26" ht="15.75" customHeight="1" x14ac:dyDescent="0.2">
      <c r="A292" s="12"/>
      <c r="B292" s="10"/>
      <c r="C292" s="11"/>
      <c r="D292" s="13"/>
      <c r="E292" s="13"/>
      <c r="F292" s="13"/>
      <c r="G292" s="2"/>
      <c r="H292" s="2"/>
      <c r="I292" s="13"/>
      <c r="J292" s="13"/>
      <c r="K292" s="13"/>
      <c r="L292" s="14"/>
      <c r="M292" s="4"/>
      <c r="N292" s="2"/>
      <c r="O292" s="4"/>
      <c r="P292" s="2"/>
      <c r="Q292" s="2"/>
      <c r="R292" s="4"/>
      <c r="S292" s="2"/>
      <c r="T292" s="2"/>
      <c r="U292" s="1"/>
      <c r="V292" s="2"/>
      <c r="W292" s="2"/>
      <c r="X292" s="2"/>
      <c r="Y292" s="2"/>
      <c r="Z292" s="2"/>
    </row>
    <row r="293" spans="1:26" ht="15.75" customHeight="1" x14ac:dyDescent="0.2">
      <c r="A293" s="12"/>
      <c r="B293" s="10"/>
      <c r="C293" s="11"/>
      <c r="D293" s="13"/>
      <c r="E293" s="13"/>
      <c r="F293" s="13"/>
      <c r="G293" s="2"/>
      <c r="H293" s="2"/>
      <c r="I293" s="13"/>
      <c r="J293" s="13"/>
      <c r="K293" s="13"/>
      <c r="L293" s="14"/>
      <c r="M293" s="4"/>
      <c r="N293" s="2"/>
      <c r="O293" s="4"/>
      <c r="P293" s="2"/>
      <c r="Q293" s="2"/>
      <c r="R293" s="4"/>
      <c r="S293" s="2"/>
      <c r="T293" s="2"/>
      <c r="U293" s="1"/>
      <c r="V293" s="2"/>
      <c r="W293" s="2"/>
      <c r="X293" s="2"/>
      <c r="Y293" s="2"/>
      <c r="Z293" s="2"/>
    </row>
    <row r="294" spans="1:26" ht="15.75" customHeight="1" x14ac:dyDescent="0.2">
      <c r="A294" s="12"/>
      <c r="B294" s="10"/>
      <c r="C294" s="11"/>
      <c r="D294" s="13"/>
      <c r="E294" s="13"/>
      <c r="F294" s="13"/>
      <c r="G294" s="2"/>
      <c r="H294" s="2"/>
      <c r="I294" s="13"/>
      <c r="J294" s="13"/>
      <c r="K294" s="13"/>
      <c r="L294" s="14"/>
      <c r="M294" s="4"/>
      <c r="N294" s="2"/>
      <c r="O294" s="4"/>
      <c r="P294" s="2"/>
      <c r="Q294" s="2"/>
      <c r="R294" s="4"/>
      <c r="S294" s="2"/>
      <c r="T294" s="2"/>
      <c r="U294" s="1"/>
      <c r="V294" s="2"/>
      <c r="W294" s="2"/>
      <c r="X294" s="2"/>
      <c r="Y294" s="2"/>
      <c r="Z294" s="2"/>
    </row>
    <row r="295" spans="1:26" ht="15.75" customHeight="1" x14ac:dyDescent="0.2">
      <c r="A295" s="12"/>
      <c r="B295" s="10"/>
      <c r="C295" s="11"/>
      <c r="D295" s="13"/>
      <c r="E295" s="13"/>
      <c r="F295" s="13"/>
      <c r="G295" s="2"/>
      <c r="H295" s="2"/>
      <c r="I295" s="13"/>
      <c r="J295" s="13"/>
      <c r="K295" s="13"/>
      <c r="L295" s="14"/>
      <c r="M295" s="4"/>
      <c r="N295" s="2"/>
      <c r="O295" s="4"/>
      <c r="P295" s="2"/>
      <c r="Q295" s="2"/>
      <c r="R295" s="4"/>
      <c r="S295" s="2"/>
      <c r="T295" s="2"/>
      <c r="U295" s="1"/>
      <c r="V295" s="2"/>
      <c r="W295" s="2"/>
      <c r="X295" s="2"/>
      <c r="Y295" s="2"/>
      <c r="Z295" s="2"/>
    </row>
    <row r="296" spans="1:26" ht="15.75" customHeight="1" x14ac:dyDescent="0.2">
      <c r="A296" s="12"/>
      <c r="B296" s="10"/>
      <c r="C296" s="11"/>
      <c r="D296" s="13"/>
      <c r="E296" s="13"/>
      <c r="F296" s="13"/>
      <c r="G296" s="2"/>
      <c r="H296" s="2"/>
      <c r="I296" s="13"/>
      <c r="J296" s="13"/>
      <c r="K296" s="13"/>
      <c r="L296" s="14"/>
      <c r="M296" s="4"/>
      <c r="N296" s="2"/>
      <c r="O296" s="4"/>
      <c r="P296" s="2"/>
      <c r="Q296" s="2"/>
      <c r="R296" s="4"/>
      <c r="S296" s="2"/>
      <c r="T296" s="2"/>
      <c r="U296" s="1"/>
      <c r="V296" s="2"/>
      <c r="W296" s="2"/>
      <c r="X296" s="2"/>
      <c r="Y296" s="2"/>
      <c r="Z296" s="2"/>
    </row>
    <row r="297" spans="1:26" ht="15.75" customHeight="1" x14ac:dyDescent="0.2">
      <c r="A297" s="12"/>
      <c r="B297" s="10"/>
      <c r="C297" s="11"/>
      <c r="D297" s="13"/>
      <c r="E297" s="13"/>
      <c r="F297" s="13"/>
      <c r="G297" s="2"/>
      <c r="H297" s="2"/>
      <c r="I297" s="13"/>
      <c r="J297" s="13"/>
      <c r="K297" s="13"/>
      <c r="L297" s="14"/>
      <c r="M297" s="4"/>
      <c r="N297" s="2"/>
      <c r="O297" s="4"/>
      <c r="P297" s="2"/>
      <c r="Q297" s="2"/>
      <c r="R297" s="4"/>
      <c r="S297" s="2"/>
      <c r="T297" s="2"/>
      <c r="U297" s="1"/>
      <c r="V297" s="2"/>
      <c r="W297" s="2"/>
      <c r="X297" s="2"/>
      <c r="Y297" s="2"/>
      <c r="Z297" s="2"/>
    </row>
    <row r="298" spans="1:26" ht="15.75" customHeight="1" x14ac:dyDescent="0.2">
      <c r="A298" s="12"/>
      <c r="B298" s="10"/>
      <c r="C298" s="11"/>
      <c r="D298" s="13"/>
      <c r="E298" s="13"/>
      <c r="F298" s="13"/>
      <c r="G298" s="2"/>
      <c r="H298" s="2"/>
      <c r="I298" s="13"/>
      <c r="J298" s="13"/>
      <c r="K298" s="13"/>
      <c r="L298" s="14"/>
      <c r="M298" s="4"/>
      <c r="N298" s="2"/>
      <c r="O298" s="4"/>
      <c r="P298" s="2"/>
      <c r="Q298" s="2"/>
      <c r="R298" s="4"/>
      <c r="S298" s="2"/>
      <c r="T298" s="2"/>
      <c r="U298" s="1"/>
      <c r="V298" s="2"/>
      <c r="W298" s="2"/>
      <c r="X298" s="2"/>
      <c r="Y298" s="2"/>
      <c r="Z298" s="2"/>
    </row>
    <row r="299" spans="1:26" ht="15.75" customHeight="1" x14ac:dyDescent="0.2">
      <c r="A299" s="12"/>
      <c r="B299" s="10"/>
      <c r="C299" s="11"/>
      <c r="D299" s="13"/>
      <c r="E299" s="13"/>
      <c r="F299" s="13"/>
      <c r="G299" s="2"/>
      <c r="H299" s="2"/>
      <c r="I299" s="13"/>
      <c r="J299" s="13"/>
      <c r="K299" s="13"/>
      <c r="L299" s="14"/>
      <c r="M299" s="4"/>
      <c r="N299" s="2"/>
      <c r="O299" s="4"/>
      <c r="P299" s="2"/>
      <c r="Q299" s="2"/>
      <c r="R299" s="4"/>
      <c r="S299" s="2"/>
      <c r="T299" s="2"/>
      <c r="U299" s="1"/>
      <c r="V299" s="2"/>
      <c r="W299" s="2"/>
      <c r="X299" s="2"/>
      <c r="Y299" s="2"/>
      <c r="Z299" s="2"/>
    </row>
    <row r="300" spans="1:26" ht="15.75" customHeight="1" x14ac:dyDescent="0.2">
      <c r="A300" s="12"/>
      <c r="B300" s="10"/>
      <c r="C300" s="11"/>
      <c r="D300" s="13"/>
      <c r="E300" s="13"/>
      <c r="F300" s="13"/>
      <c r="G300" s="2"/>
      <c r="H300" s="2"/>
      <c r="I300" s="13"/>
      <c r="J300" s="13"/>
      <c r="K300" s="13"/>
      <c r="L300" s="14"/>
      <c r="M300" s="4"/>
      <c r="N300" s="2"/>
      <c r="O300" s="4"/>
      <c r="P300" s="2"/>
      <c r="Q300" s="2"/>
      <c r="R300" s="4"/>
      <c r="S300" s="2"/>
      <c r="T300" s="2"/>
      <c r="U300" s="1"/>
      <c r="V300" s="2"/>
      <c r="W300" s="2"/>
      <c r="X300" s="2"/>
      <c r="Y300" s="2"/>
      <c r="Z300" s="2"/>
    </row>
    <row r="301" spans="1:26" ht="15.75" customHeight="1" x14ac:dyDescent="0.2">
      <c r="A301" s="12"/>
      <c r="B301" s="10"/>
      <c r="C301" s="11"/>
      <c r="D301" s="13"/>
      <c r="E301" s="13"/>
      <c r="F301" s="13"/>
      <c r="G301" s="2"/>
      <c r="H301" s="2"/>
      <c r="I301" s="13"/>
      <c r="J301" s="13"/>
      <c r="K301" s="13"/>
      <c r="L301" s="14"/>
      <c r="M301" s="4"/>
      <c r="N301" s="2"/>
      <c r="O301" s="4"/>
      <c r="P301" s="2"/>
      <c r="Q301" s="2"/>
      <c r="R301" s="4"/>
      <c r="S301" s="2"/>
      <c r="T301" s="2"/>
      <c r="U301" s="1"/>
      <c r="V301" s="2"/>
      <c r="W301" s="2"/>
      <c r="X301" s="2"/>
      <c r="Y301" s="2"/>
      <c r="Z301" s="2"/>
    </row>
    <row r="302" spans="1:26" ht="15.75" customHeight="1" x14ac:dyDescent="0.2">
      <c r="A302" s="12"/>
      <c r="B302" s="10"/>
      <c r="C302" s="11"/>
      <c r="D302" s="13"/>
      <c r="E302" s="13"/>
      <c r="F302" s="13"/>
      <c r="G302" s="2"/>
      <c r="H302" s="2"/>
      <c r="I302" s="13"/>
      <c r="J302" s="13"/>
      <c r="K302" s="13"/>
      <c r="L302" s="14"/>
      <c r="M302" s="4"/>
      <c r="N302" s="2"/>
      <c r="O302" s="4"/>
      <c r="P302" s="2"/>
      <c r="Q302" s="2"/>
      <c r="R302" s="4"/>
      <c r="S302" s="2"/>
      <c r="T302" s="2"/>
      <c r="U302" s="1"/>
      <c r="V302" s="2"/>
      <c r="W302" s="2"/>
      <c r="X302" s="2"/>
      <c r="Y302" s="2"/>
      <c r="Z302" s="2"/>
    </row>
    <row r="303" spans="1:26" ht="15.75" customHeight="1" x14ac:dyDescent="0.2">
      <c r="A303" s="12"/>
      <c r="B303" s="10"/>
      <c r="C303" s="11"/>
      <c r="D303" s="13"/>
      <c r="E303" s="13"/>
      <c r="F303" s="13"/>
      <c r="G303" s="2"/>
      <c r="H303" s="2"/>
      <c r="I303" s="13"/>
      <c r="J303" s="13"/>
      <c r="K303" s="13"/>
      <c r="L303" s="14"/>
      <c r="M303" s="4"/>
      <c r="N303" s="2"/>
      <c r="O303" s="4"/>
      <c r="P303" s="2"/>
      <c r="Q303" s="2"/>
      <c r="R303" s="4"/>
      <c r="S303" s="2"/>
      <c r="T303" s="2"/>
      <c r="U303" s="1"/>
      <c r="V303" s="2"/>
      <c r="W303" s="2"/>
      <c r="X303" s="2"/>
      <c r="Y303" s="2"/>
      <c r="Z303" s="2"/>
    </row>
    <row r="304" spans="1:26" ht="15.75" customHeight="1" x14ac:dyDescent="0.2">
      <c r="A304" s="12"/>
      <c r="B304" s="10"/>
      <c r="C304" s="11"/>
      <c r="D304" s="13"/>
      <c r="E304" s="13"/>
      <c r="F304" s="13"/>
      <c r="G304" s="2"/>
      <c r="H304" s="2"/>
      <c r="I304" s="13"/>
      <c r="J304" s="13"/>
      <c r="K304" s="13"/>
      <c r="L304" s="14"/>
      <c r="M304" s="4"/>
      <c r="N304" s="2"/>
      <c r="O304" s="4"/>
      <c r="P304" s="2"/>
      <c r="Q304" s="2"/>
      <c r="R304" s="4"/>
      <c r="S304" s="2"/>
      <c r="T304" s="2"/>
      <c r="U304" s="1"/>
      <c r="V304" s="2"/>
      <c r="W304" s="2"/>
      <c r="X304" s="2"/>
      <c r="Y304" s="2"/>
      <c r="Z304" s="2"/>
    </row>
    <row r="305" spans="1:26" ht="15.75" customHeight="1" x14ac:dyDescent="0.2">
      <c r="A305" s="12"/>
      <c r="B305" s="10"/>
      <c r="C305" s="11"/>
      <c r="D305" s="13"/>
      <c r="E305" s="13"/>
      <c r="F305" s="13"/>
      <c r="G305" s="2"/>
      <c r="H305" s="2"/>
      <c r="I305" s="13"/>
      <c r="J305" s="13"/>
      <c r="K305" s="13"/>
      <c r="L305" s="14"/>
      <c r="M305" s="4"/>
      <c r="N305" s="2"/>
      <c r="O305" s="4"/>
      <c r="P305" s="2"/>
      <c r="Q305" s="2"/>
      <c r="R305" s="4"/>
      <c r="S305" s="2"/>
      <c r="T305" s="2"/>
      <c r="U305" s="1"/>
      <c r="V305" s="2"/>
      <c r="W305" s="2"/>
      <c r="X305" s="2"/>
      <c r="Y305" s="2"/>
      <c r="Z305" s="2"/>
    </row>
    <row r="306" spans="1:26" ht="15.75" customHeight="1" x14ac:dyDescent="0.2">
      <c r="A306" s="12"/>
      <c r="B306" s="10"/>
      <c r="C306" s="11"/>
      <c r="D306" s="13"/>
      <c r="E306" s="13"/>
      <c r="F306" s="13"/>
      <c r="G306" s="2"/>
      <c r="H306" s="2"/>
      <c r="I306" s="13"/>
      <c r="J306" s="13"/>
      <c r="K306" s="13"/>
      <c r="L306" s="14"/>
      <c r="M306" s="4"/>
      <c r="N306" s="2"/>
      <c r="O306" s="4"/>
      <c r="P306" s="2"/>
      <c r="Q306" s="2"/>
      <c r="R306" s="4"/>
      <c r="S306" s="2"/>
      <c r="T306" s="2"/>
      <c r="U306" s="1"/>
      <c r="V306" s="2"/>
      <c r="W306" s="2"/>
      <c r="X306" s="2"/>
      <c r="Y306" s="2"/>
      <c r="Z306" s="2"/>
    </row>
    <row r="307" spans="1:26" ht="15.75" customHeight="1" x14ac:dyDescent="0.2">
      <c r="A307" s="12"/>
      <c r="B307" s="10"/>
      <c r="C307" s="11"/>
      <c r="D307" s="13"/>
      <c r="E307" s="13"/>
      <c r="F307" s="13"/>
      <c r="G307" s="2"/>
      <c r="H307" s="2"/>
      <c r="I307" s="13"/>
      <c r="J307" s="13"/>
      <c r="K307" s="13"/>
      <c r="L307" s="14"/>
      <c r="M307" s="4"/>
      <c r="N307" s="2"/>
      <c r="O307" s="4"/>
      <c r="P307" s="2"/>
      <c r="Q307" s="2"/>
      <c r="R307" s="4"/>
      <c r="S307" s="2"/>
      <c r="T307" s="2"/>
      <c r="U307" s="1"/>
      <c r="V307" s="2"/>
      <c r="W307" s="2"/>
      <c r="X307" s="2"/>
      <c r="Y307" s="2"/>
      <c r="Z307" s="2"/>
    </row>
    <row r="308" spans="1:26" ht="15.75" customHeight="1" x14ac:dyDescent="0.2">
      <c r="A308" s="12"/>
      <c r="B308" s="10"/>
      <c r="C308" s="11"/>
      <c r="D308" s="13"/>
      <c r="E308" s="13"/>
      <c r="F308" s="13"/>
      <c r="G308" s="2"/>
      <c r="H308" s="2"/>
      <c r="I308" s="13"/>
      <c r="J308" s="13"/>
      <c r="K308" s="13"/>
      <c r="L308" s="14"/>
      <c r="M308" s="4"/>
      <c r="N308" s="2"/>
      <c r="O308" s="4"/>
      <c r="P308" s="2"/>
      <c r="Q308" s="2"/>
      <c r="R308" s="4"/>
      <c r="S308" s="2"/>
      <c r="T308" s="2"/>
      <c r="U308" s="1"/>
      <c r="V308" s="2"/>
      <c r="W308" s="2"/>
      <c r="X308" s="2"/>
      <c r="Y308" s="2"/>
      <c r="Z308" s="2"/>
    </row>
    <row r="309" spans="1:26" ht="15.75" customHeight="1" x14ac:dyDescent="0.2">
      <c r="A309" s="12"/>
      <c r="B309" s="10"/>
      <c r="C309" s="11"/>
      <c r="D309" s="13"/>
      <c r="E309" s="13"/>
      <c r="F309" s="13"/>
      <c r="G309" s="2"/>
      <c r="H309" s="2"/>
      <c r="I309" s="13"/>
      <c r="J309" s="13"/>
      <c r="K309" s="13"/>
      <c r="L309" s="14"/>
      <c r="M309" s="4"/>
      <c r="N309" s="2"/>
      <c r="O309" s="4"/>
      <c r="P309" s="2"/>
      <c r="Q309" s="2"/>
      <c r="R309" s="4"/>
      <c r="S309" s="2"/>
      <c r="T309" s="2"/>
      <c r="U309" s="1"/>
      <c r="V309" s="2"/>
      <c r="W309" s="2"/>
      <c r="X309" s="2"/>
      <c r="Y309" s="2"/>
      <c r="Z309" s="2"/>
    </row>
    <row r="310" spans="1:26" ht="15.75" customHeight="1" x14ac:dyDescent="0.2">
      <c r="A310" s="12"/>
      <c r="B310" s="10"/>
      <c r="C310" s="11"/>
      <c r="D310" s="13"/>
      <c r="E310" s="13"/>
      <c r="F310" s="13"/>
      <c r="G310" s="2"/>
      <c r="H310" s="2"/>
      <c r="I310" s="13"/>
      <c r="J310" s="13"/>
      <c r="K310" s="13"/>
      <c r="L310" s="14"/>
      <c r="M310" s="4"/>
      <c r="N310" s="2"/>
      <c r="O310" s="4"/>
      <c r="P310" s="2"/>
      <c r="Q310" s="2"/>
      <c r="R310" s="4"/>
      <c r="S310" s="2"/>
      <c r="T310" s="2"/>
      <c r="U310" s="1"/>
      <c r="V310" s="2"/>
      <c r="W310" s="2"/>
      <c r="X310" s="2"/>
      <c r="Y310" s="2"/>
      <c r="Z310" s="2"/>
    </row>
    <row r="311" spans="1:26" ht="15.75" customHeight="1" x14ac:dyDescent="0.2">
      <c r="A311" s="12"/>
      <c r="B311" s="10"/>
      <c r="C311" s="11"/>
      <c r="D311" s="13"/>
      <c r="E311" s="13"/>
      <c r="F311" s="13"/>
      <c r="G311" s="2"/>
      <c r="H311" s="2"/>
      <c r="I311" s="13"/>
      <c r="J311" s="13"/>
      <c r="K311" s="13"/>
      <c r="L311" s="14"/>
      <c r="M311" s="4"/>
      <c r="N311" s="2"/>
      <c r="O311" s="4"/>
      <c r="P311" s="2"/>
      <c r="Q311" s="2"/>
      <c r="R311" s="4"/>
      <c r="S311" s="2"/>
      <c r="T311" s="2"/>
      <c r="U311" s="1"/>
      <c r="V311" s="2"/>
      <c r="W311" s="2"/>
      <c r="X311" s="2"/>
      <c r="Y311" s="2"/>
      <c r="Z311" s="2"/>
    </row>
    <row r="312" spans="1:26" ht="15.75" customHeight="1" x14ac:dyDescent="0.2">
      <c r="A312" s="12"/>
      <c r="B312" s="10"/>
      <c r="C312" s="11"/>
      <c r="D312" s="13"/>
      <c r="E312" s="13"/>
      <c r="F312" s="13"/>
      <c r="G312" s="2"/>
      <c r="H312" s="2"/>
      <c r="I312" s="13"/>
      <c r="J312" s="13"/>
      <c r="K312" s="13"/>
      <c r="L312" s="14"/>
      <c r="M312" s="4"/>
      <c r="N312" s="2"/>
      <c r="O312" s="4"/>
      <c r="P312" s="2"/>
      <c r="Q312" s="2"/>
      <c r="R312" s="4"/>
      <c r="S312" s="2"/>
      <c r="T312" s="2"/>
      <c r="U312" s="1"/>
      <c r="V312" s="2"/>
      <c r="W312" s="2"/>
      <c r="X312" s="2"/>
      <c r="Y312" s="2"/>
      <c r="Z312" s="2"/>
    </row>
    <row r="313" spans="1:26" ht="15.75" customHeight="1" x14ac:dyDescent="0.2">
      <c r="A313" s="12"/>
      <c r="B313" s="10"/>
      <c r="C313" s="11"/>
      <c r="D313" s="13"/>
      <c r="E313" s="13"/>
      <c r="F313" s="13"/>
      <c r="G313" s="2"/>
      <c r="H313" s="2"/>
      <c r="I313" s="13"/>
      <c r="J313" s="13"/>
      <c r="K313" s="13"/>
      <c r="L313" s="14"/>
      <c r="M313" s="4"/>
      <c r="N313" s="2"/>
      <c r="O313" s="4"/>
      <c r="P313" s="2"/>
      <c r="Q313" s="2"/>
      <c r="R313" s="4"/>
      <c r="S313" s="2"/>
      <c r="T313" s="2"/>
      <c r="U313" s="1"/>
      <c r="V313" s="2"/>
      <c r="W313" s="2"/>
      <c r="X313" s="2"/>
      <c r="Y313" s="2"/>
      <c r="Z313" s="2"/>
    </row>
    <row r="314" spans="1:26" ht="15.75" customHeight="1" x14ac:dyDescent="0.2">
      <c r="A314" s="12"/>
      <c r="B314" s="10"/>
      <c r="C314" s="11"/>
      <c r="D314" s="13"/>
      <c r="E314" s="13"/>
      <c r="F314" s="13"/>
      <c r="G314" s="2"/>
      <c r="H314" s="2"/>
      <c r="I314" s="13"/>
      <c r="J314" s="13"/>
      <c r="K314" s="13"/>
      <c r="L314" s="14"/>
      <c r="M314" s="4"/>
      <c r="N314" s="2"/>
      <c r="O314" s="4"/>
      <c r="P314" s="2"/>
      <c r="Q314" s="2"/>
      <c r="R314" s="4"/>
      <c r="S314" s="2"/>
      <c r="T314" s="2"/>
      <c r="U314" s="1"/>
      <c r="V314" s="2"/>
      <c r="W314" s="2"/>
      <c r="X314" s="2"/>
      <c r="Y314" s="2"/>
      <c r="Z314" s="2"/>
    </row>
    <row r="315" spans="1:26" ht="15.75" customHeight="1" x14ac:dyDescent="0.2">
      <c r="A315" s="12"/>
      <c r="B315" s="10"/>
      <c r="C315" s="11"/>
      <c r="D315" s="13"/>
      <c r="E315" s="13"/>
      <c r="F315" s="13"/>
      <c r="G315" s="2"/>
      <c r="H315" s="2"/>
      <c r="I315" s="13"/>
      <c r="J315" s="13"/>
      <c r="K315" s="13"/>
      <c r="L315" s="14"/>
      <c r="M315" s="4"/>
      <c r="N315" s="2"/>
      <c r="O315" s="4"/>
      <c r="P315" s="2"/>
      <c r="Q315" s="2"/>
      <c r="R315" s="4"/>
      <c r="S315" s="2"/>
      <c r="T315" s="2"/>
      <c r="U315" s="1"/>
      <c r="V315" s="2"/>
      <c r="W315" s="2"/>
      <c r="X315" s="2"/>
      <c r="Y315" s="2"/>
      <c r="Z315" s="2"/>
    </row>
    <row r="316" spans="1:26" ht="15.75" customHeight="1" x14ac:dyDescent="0.2">
      <c r="A316" s="12"/>
      <c r="B316" s="10"/>
      <c r="C316" s="11"/>
      <c r="D316" s="13"/>
      <c r="E316" s="13"/>
      <c r="F316" s="13"/>
      <c r="G316" s="2"/>
      <c r="H316" s="2"/>
      <c r="I316" s="13"/>
      <c r="J316" s="13"/>
      <c r="K316" s="13"/>
      <c r="L316" s="14"/>
      <c r="M316" s="4"/>
      <c r="N316" s="2"/>
      <c r="O316" s="4"/>
      <c r="P316" s="2"/>
      <c r="Q316" s="2"/>
      <c r="R316" s="4"/>
      <c r="S316" s="2"/>
      <c r="T316" s="2"/>
      <c r="U316" s="1"/>
      <c r="V316" s="2"/>
      <c r="W316" s="2"/>
      <c r="X316" s="2"/>
      <c r="Y316" s="2"/>
      <c r="Z316" s="2"/>
    </row>
    <row r="317" spans="1:26" ht="15.75" customHeight="1" x14ac:dyDescent="0.2">
      <c r="A317" s="12"/>
      <c r="B317" s="10"/>
      <c r="C317" s="11"/>
      <c r="D317" s="13"/>
      <c r="E317" s="13"/>
      <c r="F317" s="13"/>
      <c r="G317" s="2"/>
      <c r="H317" s="2"/>
      <c r="I317" s="13"/>
      <c r="J317" s="13"/>
      <c r="K317" s="13"/>
      <c r="L317" s="14"/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A318" s="12"/>
      <c r="B318" s="10"/>
      <c r="C318" s="11"/>
      <c r="D318" s="13"/>
      <c r="E318" s="13"/>
      <c r="F318" s="13"/>
      <c r="G318" s="2"/>
      <c r="H318" s="2"/>
      <c r="I318" s="13"/>
      <c r="J318" s="13"/>
      <c r="K318" s="13"/>
      <c r="L318" s="14"/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12"/>
      <c r="B319" s="10"/>
      <c r="C319" s="11"/>
      <c r="D319" s="13"/>
      <c r="E319" s="13"/>
      <c r="F319" s="13"/>
      <c r="G319" s="2"/>
      <c r="H319" s="2"/>
      <c r="I319" s="13"/>
      <c r="J319" s="13"/>
      <c r="K319" s="13"/>
      <c r="L319" s="14"/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2"/>
      <c r="B320" s="10"/>
      <c r="C320" s="11"/>
      <c r="D320" s="13"/>
      <c r="E320" s="13"/>
      <c r="F320" s="13"/>
      <c r="G320" s="2"/>
      <c r="H320" s="2"/>
      <c r="I320" s="13"/>
      <c r="J320" s="13"/>
      <c r="K320" s="13"/>
      <c r="L320" s="14"/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2"/>
      <c r="B321" s="10"/>
      <c r="C321" s="11"/>
      <c r="D321" s="13"/>
      <c r="E321" s="13"/>
      <c r="F321" s="13"/>
      <c r="G321" s="2"/>
      <c r="H321" s="2"/>
      <c r="I321" s="13"/>
      <c r="J321" s="13"/>
      <c r="K321" s="13"/>
      <c r="L321" s="14"/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2"/>
      <c r="B322" s="10"/>
      <c r="C322" s="11"/>
      <c r="D322" s="13"/>
      <c r="E322" s="13"/>
      <c r="F322" s="13"/>
      <c r="G322" s="2"/>
      <c r="H322" s="2"/>
      <c r="I322" s="13"/>
      <c r="J322" s="13"/>
      <c r="K322" s="13"/>
      <c r="L322" s="14"/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2"/>
      <c r="B323" s="10"/>
      <c r="C323" s="11"/>
      <c r="D323" s="13"/>
      <c r="E323" s="13"/>
      <c r="F323" s="13"/>
      <c r="G323" s="2"/>
      <c r="H323" s="2"/>
      <c r="I323" s="13"/>
      <c r="J323" s="13"/>
      <c r="K323" s="13"/>
      <c r="L323" s="14"/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2"/>
      <c r="B324" s="10"/>
      <c r="C324" s="11"/>
      <c r="D324" s="13"/>
      <c r="E324" s="13"/>
      <c r="F324" s="13"/>
      <c r="G324" s="2"/>
      <c r="H324" s="2"/>
      <c r="I324" s="13"/>
      <c r="J324" s="13"/>
      <c r="K324" s="13"/>
      <c r="L324" s="14"/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2"/>
      <c r="B325" s="10"/>
      <c r="C325" s="11"/>
      <c r="D325" s="13"/>
      <c r="E325" s="13"/>
      <c r="F325" s="13"/>
      <c r="G325" s="2"/>
      <c r="H325" s="2"/>
      <c r="I325" s="13"/>
      <c r="J325" s="13"/>
      <c r="K325" s="13"/>
      <c r="L325" s="14"/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2"/>
      <c r="B326" s="10"/>
      <c r="C326" s="11"/>
      <c r="D326" s="13"/>
      <c r="E326" s="13"/>
      <c r="F326" s="13"/>
      <c r="G326" s="2"/>
      <c r="H326" s="2"/>
      <c r="I326" s="13"/>
      <c r="J326" s="13"/>
      <c r="K326" s="13"/>
      <c r="L326" s="14"/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2"/>
      <c r="B327" s="10"/>
      <c r="C327" s="11"/>
      <c r="D327" s="13"/>
      <c r="E327" s="13"/>
      <c r="F327" s="13"/>
      <c r="G327" s="2"/>
      <c r="H327" s="2"/>
      <c r="I327" s="13"/>
      <c r="J327" s="13"/>
      <c r="K327" s="13"/>
      <c r="L327" s="14"/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2"/>
      <c r="B328" s="10"/>
      <c r="C328" s="11"/>
      <c r="D328" s="13"/>
      <c r="E328" s="13"/>
      <c r="F328" s="13"/>
      <c r="G328" s="2"/>
      <c r="H328" s="2"/>
      <c r="I328" s="13"/>
      <c r="J328" s="13"/>
      <c r="K328" s="13"/>
      <c r="L328" s="14"/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2"/>
      <c r="B329" s="10"/>
      <c r="C329" s="11"/>
      <c r="D329" s="13"/>
      <c r="E329" s="13"/>
      <c r="F329" s="13"/>
      <c r="G329" s="2"/>
      <c r="H329" s="2"/>
      <c r="I329" s="13"/>
      <c r="J329" s="13"/>
      <c r="K329" s="13"/>
      <c r="L329" s="14"/>
      <c r="M329" s="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2"/>
      <c r="B330" s="10"/>
      <c r="C330" s="11"/>
      <c r="D330" s="13"/>
      <c r="E330" s="13"/>
      <c r="F330" s="13"/>
      <c r="G330" s="2"/>
      <c r="H330" s="2"/>
      <c r="I330" s="13"/>
      <c r="J330" s="13"/>
      <c r="K330" s="13"/>
      <c r="L330" s="14"/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2"/>
      <c r="B331" s="10"/>
      <c r="C331" s="11"/>
      <c r="D331" s="13"/>
      <c r="E331" s="13"/>
      <c r="F331" s="13"/>
      <c r="G331" s="2"/>
      <c r="H331" s="2"/>
      <c r="I331" s="13"/>
      <c r="J331" s="13"/>
      <c r="K331" s="13"/>
      <c r="L331" s="14"/>
      <c r="M331" s="4"/>
      <c r="N331" s="2"/>
      <c r="O331" s="4"/>
      <c r="P331" s="2"/>
      <c r="Q331" s="2"/>
      <c r="R331" s="4"/>
      <c r="S331" s="2"/>
      <c r="T331" s="2"/>
      <c r="U331" s="1"/>
      <c r="V331" s="2"/>
      <c r="W331" s="2"/>
      <c r="X331" s="2"/>
      <c r="Y331" s="2"/>
      <c r="Z331" s="2"/>
    </row>
    <row r="332" spans="1:26" ht="15.75" customHeight="1" x14ac:dyDescent="0.2">
      <c r="A332" s="12"/>
      <c r="B332" s="10"/>
      <c r="C332" s="11"/>
      <c r="D332" s="13"/>
      <c r="E332" s="13"/>
      <c r="F332" s="13"/>
      <c r="G332" s="2"/>
      <c r="H332" s="2"/>
      <c r="I332" s="13"/>
      <c r="J332" s="13"/>
      <c r="K332" s="13"/>
      <c r="L332" s="14"/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12"/>
      <c r="B333" s="10"/>
      <c r="C333" s="11"/>
      <c r="D333" s="13"/>
      <c r="E333" s="13"/>
      <c r="F333" s="13"/>
      <c r="G333" s="2"/>
      <c r="H333" s="2"/>
      <c r="I333" s="13"/>
      <c r="J333" s="13"/>
      <c r="K333" s="13"/>
      <c r="L333" s="14"/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A334" s="12"/>
      <c r="B334" s="10"/>
      <c r="C334" s="11"/>
      <c r="D334" s="13"/>
      <c r="E334" s="13"/>
      <c r="F334" s="13"/>
      <c r="G334" s="2"/>
      <c r="H334" s="2"/>
      <c r="I334" s="13"/>
      <c r="J334" s="13"/>
      <c r="K334" s="13"/>
      <c r="L334" s="14"/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12"/>
      <c r="B335" s="10"/>
      <c r="C335" s="11"/>
      <c r="D335" s="13"/>
      <c r="E335" s="13"/>
      <c r="F335" s="13"/>
      <c r="G335" s="2"/>
      <c r="H335" s="2"/>
      <c r="I335" s="13"/>
      <c r="J335" s="13"/>
      <c r="K335" s="13"/>
      <c r="L335" s="14"/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2"/>
      <c r="B336" s="10"/>
      <c r="C336" s="11"/>
      <c r="D336" s="13"/>
      <c r="E336" s="13"/>
      <c r="F336" s="13"/>
      <c r="G336" s="2"/>
      <c r="H336" s="2"/>
      <c r="I336" s="13"/>
      <c r="J336" s="13"/>
      <c r="K336" s="13"/>
      <c r="L336" s="14"/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2"/>
      <c r="B337" s="10"/>
      <c r="C337" s="11"/>
      <c r="D337" s="13"/>
      <c r="E337" s="13"/>
      <c r="F337" s="13"/>
      <c r="G337" s="2"/>
      <c r="H337" s="2"/>
      <c r="I337" s="13"/>
      <c r="J337" s="13"/>
      <c r="K337" s="13"/>
      <c r="L337" s="14"/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2"/>
      <c r="B338" s="10"/>
      <c r="C338" s="11"/>
      <c r="D338" s="13"/>
      <c r="E338" s="13"/>
      <c r="F338" s="13"/>
      <c r="G338" s="2"/>
      <c r="H338" s="2"/>
      <c r="I338" s="13"/>
      <c r="J338" s="13"/>
      <c r="K338" s="13"/>
      <c r="L338" s="14"/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2"/>
      <c r="B339" s="10"/>
      <c r="C339" s="11"/>
      <c r="D339" s="13"/>
      <c r="E339" s="13"/>
      <c r="F339" s="13"/>
      <c r="G339" s="2"/>
      <c r="H339" s="2"/>
      <c r="I339" s="13"/>
      <c r="J339" s="13"/>
      <c r="K339" s="13"/>
      <c r="L339" s="14"/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2"/>
      <c r="B340" s="10"/>
      <c r="C340" s="11"/>
      <c r="D340" s="13"/>
      <c r="E340" s="13"/>
      <c r="F340" s="13"/>
      <c r="G340" s="2"/>
      <c r="H340" s="2"/>
      <c r="I340" s="13"/>
      <c r="J340" s="13"/>
      <c r="K340" s="13"/>
      <c r="L340" s="14"/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2"/>
      <c r="B341" s="10"/>
      <c r="C341" s="11"/>
      <c r="D341" s="13"/>
      <c r="E341" s="13"/>
      <c r="F341" s="13"/>
      <c r="G341" s="2"/>
      <c r="H341" s="2"/>
      <c r="I341" s="13"/>
      <c r="J341" s="13"/>
      <c r="K341" s="13"/>
      <c r="L341" s="14"/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2"/>
      <c r="B342" s="10"/>
      <c r="C342" s="11"/>
      <c r="D342" s="13"/>
      <c r="E342" s="13"/>
      <c r="F342" s="13"/>
      <c r="G342" s="2"/>
      <c r="H342" s="2"/>
      <c r="I342" s="13"/>
      <c r="J342" s="13"/>
      <c r="K342" s="13"/>
      <c r="L342" s="14"/>
      <c r="M342" s="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2"/>
      <c r="B343" s="10"/>
      <c r="C343" s="11"/>
      <c r="D343" s="13"/>
      <c r="E343" s="13"/>
      <c r="F343" s="13"/>
      <c r="G343" s="2"/>
      <c r="H343" s="2"/>
      <c r="I343" s="13"/>
      <c r="J343" s="13"/>
      <c r="K343" s="13"/>
      <c r="L343" s="14"/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2"/>
      <c r="B344" s="10"/>
      <c r="C344" s="11"/>
      <c r="D344" s="13"/>
      <c r="E344" s="13"/>
      <c r="F344" s="13"/>
      <c r="G344" s="2"/>
      <c r="H344" s="2"/>
      <c r="I344" s="13"/>
      <c r="J344" s="13"/>
      <c r="K344" s="13"/>
      <c r="L344" s="14"/>
      <c r="M344" s="4"/>
      <c r="N344" s="2"/>
      <c r="O344" s="4"/>
      <c r="P344" s="2"/>
      <c r="Q344" s="2"/>
      <c r="R344" s="4"/>
      <c r="S344" s="2"/>
      <c r="T344" s="2"/>
      <c r="U344" s="1"/>
      <c r="V344" s="2"/>
      <c r="W344" s="2"/>
      <c r="X344" s="2"/>
      <c r="Y344" s="2"/>
      <c r="Z344" s="2"/>
    </row>
    <row r="345" spans="1:26" ht="15.75" customHeight="1" x14ac:dyDescent="0.2">
      <c r="A345" s="12"/>
      <c r="B345" s="10"/>
      <c r="C345" s="11"/>
      <c r="D345" s="13"/>
      <c r="E345" s="13"/>
      <c r="F345" s="13"/>
      <c r="G345" s="2"/>
      <c r="H345" s="2"/>
      <c r="I345" s="13"/>
      <c r="J345" s="13"/>
      <c r="K345" s="13"/>
      <c r="L345" s="14"/>
      <c r="M345" s="4"/>
      <c r="N345" s="2"/>
      <c r="O345" s="4"/>
      <c r="P345" s="2"/>
      <c r="Q345" s="2"/>
      <c r="R345" s="4"/>
      <c r="S345" s="2"/>
      <c r="T345" s="2"/>
      <c r="U345" s="1"/>
      <c r="V345" s="2"/>
      <c r="W345" s="2"/>
      <c r="X345" s="2"/>
      <c r="Y345" s="2"/>
      <c r="Z345" s="2"/>
    </row>
    <row r="346" spans="1:26" ht="15.75" customHeight="1" x14ac:dyDescent="0.2">
      <c r="A346" s="12"/>
      <c r="B346" s="10"/>
      <c r="C346" s="11"/>
      <c r="D346" s="13"/>
      <c r="E346" s="13"/>
      <c r="F346" s="13"/>
      <c r="G346" s="2"/>
      <c r="H346" s="2"/>
      <c r="I346" s="13"/>
      <c r="J346" s="13"/>
      <c r="K346" s="13"/>
      <c r="L346" s="14"/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A347" s="12"/>
      <c r="B347" s="10"/>
      <c r="C347" s="11"/>
      <c r="D347" s="13"/>
      <c r="E347" s="13"/>
      <c r="F347" s="13"/>
      <c r="G347" s="2"/>
      <c r="H347" s="2"/>
      <c r="I347" s="13"/>
      <c r="J347" s="13"/>
      <c r="K347" s="13"/>
      <c r="L347" s="14"/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A348" s="12"/>
      <c r="B348" s="10"/>
      <c r="C348" s="11"/>
      <c r="D348" s="13"/>
      <c r="E348" s="13"/>
      <c r="F348" s="13"/>
      <c r="G348" s="2"/>
      <c r="H348" s="2"/>
      <c r="I348" s="13"/>
      <c r="J348" s="13"/>
      <c r="K348" s="13"/>
      <c r="L348" s="14"/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2"/>
      <c r="B349" s="10"/>
      <c r="C349" s="11"/>
      <c r="D349" s="13"/>
      <c r="E349" s="13"/>
      <c r="F349" s="13"/>
      <c r="G349" s="2"/>
      <c r="H349" s="2"/>
      <c r="I349" s="13"/>
      <c r="J349" s="13"/>
      <c r="K349" s="13"/>
      <c r="L349" s="14"/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A350" s="12"/>
      <c r="B350" s="10"/>
      <c r="C350" s="11"/>
      <c r="D350" s="13"/>
      <c r="E350" s="13"/>
      <c r="F350" s="13"/>
      <c r="G350" s="2"/>
      <c r="H350" s="2"/>
      <c r="I350" s="13"/>
      <c r="J350" s="13"/>
      <c r="K350" s="13"/>
      <c r="L350" s="14"/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2"/>
      <c r="B351" s="10"/>
      <c r="C351" s="11"/>
      <c r="D351" s="13"/>
      <c r="E351" s="13"/>
      <c r="F351" s="13"/>
      <c r="G351" s="2"/>
      <c r="H351" s="2"/>
      <c r="I351" s="13"/>
      <c r="J351" s="13"/>
      <c r="K351" s="13"/>
      <c r="L351" s="14"/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2"/>
      <c r="B352" s="10"/>
      <c r="C352" s="11"/>
      <c r="D352" s="13"/>
      <c r="E352" s="13"/>
      <c r="F352" s="13"/>
      <c r="G352" s="2"/>
      <c r="H352" s="2"/>
      <c r="I352" s="13"/>
      <c r="J352" s="13"/>
      <c r="K352" s="13"/>
      <c r="L352" s="14"/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2"/>
      <c r="B353" s="10"/>
      <c r="C353" s="11"/>
      <c r="D353" s="13"/>
      <c r="E353" s="13"/>
      <c r="F353" s="13"/>
      <c r="G353" s="2"/>
      <c r="H353" s="2"/>
      <c r="I353" s="13"/>
      <c r="J353" s="13"/>
      <c r="K353" s="13"/>
      <c r="L353" s="14"/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2"/>
      <c r="B354" s="10"/>
      <c r="C354" s="11"/>
      <c r="D354" s="13"/>
      <c r="E354" s="13"/>
      <c r="F354" s="13"/>
      <c r="G354" s="2"/>
      <c r="H354" s="2"/>
      <c r="I354" s="13"/>
      <c r="J354" s="13"/>
      <c r="K354" s="13"/>
      <c r="L354" s="14"/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2"/>
      <c r="B355" s="10"/>
      <c r="C355" s="11"/>
      <c r="D355" s="13"/>
      <c r="E355" s="13"/>
      <c r="F355" s="13"/>
      <c r="G355" s="2"/>
      <c r="H355" s="2"/>
      <c r="I355" s="13"/>
      <c r="J355" s="13"/>
      <c r="K355" s="13"/>
      <c r="L355" s="14"/>
      <c r="M355" s="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2"/>
      <c r="B356" s="10"/>
      <c r="C356" s="11"/>
      <c r="D356" s="13"/>
      <c r="E356" s="13"/>
      <c r="F356" s="13"/>
      <c r="G356" s="2"/>
      <c r="H356" s="2"/>
      <c r="I356" s="13"/>
      <c r="J356" s="13"/>
      <c r="K356" s="13"/>
      <c r="L356" s="14"/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2"/>
      <c r="B357" s="10"/>
      <c r="C357" s="11"/>
      <c r="D357" s="13"/>
      <c r="E357" s="13"/>
      <c r="F357" s="13"/>
      <c r="G357" s="2"/>
      <c r="H357" s="2"/>
      <c r="I357" s="13"/>
      <c r="J357" s="13"/>
      <c r="K357" s="13"/>
      <c r="L357" s="14"/>
      <c r="M357" s="4"/>
      <c r="N357" s="2"/>
      <c r="O357" s="4"/>
      <c r="P357" s="2"/>
      <c r="Q357" s="2"/>
      <c r="R357" s="4"/>
      <c r="S357" s="2"/>
      <c r="T357" s="2"/>
      <c r="U357" s="1"/>
      <c r="V357" s="2"/>
      <c r="W357" s="2"/>
      <c r="X357" s="2"/>
      <c r="Y357" s="2"/>
      <c r="Z357" s="2"/>
    </row>
    <row r="358" spans="1:26" ht="15.75" customHeight="1" x14ac:dyDescent="0.2">
      <c r="A358" s="12"/>
      <c r="B358" s="10"/>
      <c r="C358" s="11"/>
      <c r="D358" s="13"/>
      <c r="E358" s="13"/>
      <c r="F358" s="13"/>
      <c r="G358" s="2"/>
      <c r="H358" s="2"/>
      <c r="I358" s="13"/>
      <c r="J358" s="13"/>
      <c r="K358" s="13"/>
      <c r="L358" s="14"/>
      <c r="M358" s="4"/>
      <c r="N358" s="2"/>
      <c r="O358" s="4"/>
      <c r="P358" s="2"/>
      <c r="Q358" s="2"/>
      <c r="R358" s="4"/>
      <c r="S358" s="2"/>
      <c r="T358" s="2"/>
      <c r="U358" s="1"/>
      <c r="V358" s="2"/>
      <c r="W358" s="2"/>
      <c r="X358" s="2"/>
      <c r="Y358" s="2"/>
      <c r="Z358" s="2"/>
    </row>
    <row r="359" spans="1:26" ht="15.75" customHeight="1" x14ac:dyDescent="0.2">
      <c r="A359" s="12"/>
      <c r="B359" s="10"/>
      <c r="C359" s="11"/>
      <c r="D359" s="13"/>
      <c r="E359" s="13"/>
      <c r="F359" s="13"/>
      <c r="G359" s="2"/>
      <c r="H359" s="2"/>
      <c r="I359" s="13"/>
      <c r="J359" s="13"/>
      <c r="K359" s="13"/>
      <c r="L359" s="14"/>
      <c r="M359" s="4"/>
      <c r="N359" s="2"/>
      <c r="O359" s="4"/>
      <c r="P359" s="2"/>
      <c r="Q359" s="2"/>
      <c r="R359" s="4"/>
      <c r="S359" s="2"/>
      <c r="T359" s="2"/>
      <c r="U359" s="1"/>
      <c r="V359" s="2"/>
      <c r="W359" s="2"/>
      <c r="X359" s="2"/>
      <c r="Y359" s="2"/>
      <c r="Z359" s="2"/>
    </row>
    <row r="360" spans="1:26" ht="15.75" customHeight="1" x14ac:dyDescent="0.2">
      <c r="A360" s="12"/>
      <c r="B360" s="10"/>
      <c r="C360" s="11"/>
      <c r="D360" s="13"/>
      <c r="E360" s="13"/>
      <c r="F360" s="13"/>
      <c r="G360" s="2"/>
      <c r="H360" s="2"/>
      <c r="I360" s="13"/>
      <c r="J360" s="13"/>
      <c r="K360" s="13"/>
      <c r="L360" s="14"/>
      <c r="M360" s="4"/>
      <c r="N360" s="2"/>
      <c r="O360" s="4"/>
      <c r="P360" s="2"/>
      <c r="Q360" s="2"/>
      <c r="R360" s="4"/>
      <c r="S360" s="2"/>
      <c r="T360" s="2"/>
      <c r="U360" s="1"/>
      <c r="V360" s="2"/>
      <c r="W360" s="2"/>
      <c r="X360" s="2"/>
      <c r="Y360" s="2"/>
      <c r="Z360" s="2"/>
    </row>
    <row r="361" spans="1:26" ht="15.75" customHeight="1" x14ac:dyDescent="0.2">
      <c r="A361" s="12"/>
      <c r="B361" s="10"/>
      <c r="C361" s="11"/>
      <c r="D361" s="13"/>
      <c r="E361" s="13"/>
      <c r="F361" s="13"/>
      <c r="G361" s="2"/>
      <c r="H361" s="2"/>
      <c r="I361" s="13"/>
      <c r="J361" s="13"/>
      <c r="K361" s="13"/>
      <c r="L361" s="14"/>
      <c r="M361" s="4"/>
      <c r="N361" s="2"/>
      <c r="O361" s="4"/>
      <c r="P361" s="2"/>
      <c r="Q361" s="2"/>
      <c r="R361" s="4"/>
      <c r="S361" s="2"/>
      <c r="T361" s="2"/>
      <c r="U361" s="1"/>
      <c r="V361" s="2"/>
      <c r="W361" s="2"/>
      <c r="X361" s="2"/>
      <c r="Y361" s="2"/>
      <c r="Z361" s="2"/>
    </row>
    <row r="362" spans="1:26" ht="15.75" customHeight="1" x14ac:dyDescent="0.2">
      <c r="A362" s="12"/>
      <c r="B362" s="10"/>
      <c r="C362" s="11"/>
      <c r="D362" s="13"/>
      <c r="E362" s="13"/>
      <c r="F362" s="13"/>
      <c r="G362" s="2"/>
      <c r="H362" s="2"/>
      <c r="I362" s="13"/>
      <c r="J362" s="13"/>
      <c r="K362" s="13"/>
      <c r="L362" s="14"/>
      <c r="M362" s="4"/>
      <c r="N362" s="2"/>
      <c r="O362" s="4"/>
      <c r="P362" s="2"/>
      <c r="Q362" s="2"/>
      <c r="R362" s="4"/>
      <c r="S362" s="2"/>
      <c r="T362" s="2"/>
      <c r="U362" s="1"/>
      <c r="V362" s="2"/>
      <c r="W362" s="2"/>
      <c r="X362" s="2"/>
      <c r="Y362" s="2"/>
      <c r="Z362" s="2"/>
    </row>
    <row r="363" spans="1:26" ht="15.75" customHeight="1" x14ac:dyDescent="0.2">
      <c r="A363" s="12"/>
      <c r="B363" s="10"/>
      <c r="C363" s="11"/>
      <c r="D363" s="13"/>
      <c r="E363" s="13"/>
      <c r="F363" s="13"/>
      <c r="G363" s="2"/>
      <c r="H363" s="2"/>
      <c r="I363" s="13"/>
      <c r="J363" s="13"/>
      <c r="K363" s="13"/>
      <c r="L363" s="14"/>
      <c r="M363" s="4"/>
      <c r="N363" s="2"/>
      <c r="O363" s="4"/>
      <c r="P363" s="2"/>
      <c r="Q363" s="2"/>
      <c r="R363" s="4"/>
      <c r="S363" s="2"/>
      <c r="T363" s="2"/>
      <c r="U363" s="1"/>
      <c r="V363" s="2"/>
      <c r="W363" s="2"/>
      <c r="X363" s="2"/>
      <c r="Y363" s="2"/>
      <c r="Z363" s="2"/>
    </row>
    <row r="364" spans="1:26" ht="15.75" customHeight="1" x14ac:dyDescent="0.2">
      <c r="A364" s="12"/>
      <c r="B364" s="10"/>
      <c r="C364" s="11"/>
      <c r="D364" s="13"/>
      <c r="E364" s="13"/>
      <c r="F364" s="13"/>
      <c r="G364" s="2"/>
      <c r="H364" s="2"/>
      <c r="I364" s="13"/>
      <c r="J364" s="13"/>
      <c r="K364" s="13"/>
      <c r="L364" s="14"/>
      <c r="M364" s="4"/>
      <c r="N364" s="2"/>
      <c r="O364" s="4"/>
      <c r="P364" s="2"/>
      <c r="Q364" s="2"/>
      <c r="R364" s="4"/>
      <c r="S364" s="2"/>
      <c r="T364" s="2"/>
      <c r="U364" s="1"/>
      <c r="V364" s="2"/>
      <c r="W364" s="2"/>
      <c r="X364" s="2"/>
      <c r="Y364" s="2"/>
      <c r="Z364" s="2"/>
    </row>
    <row r="365" spans="1:26" ht="15.75" customHeight="1" x14ac:dyDescent="0.2">
      <c r="A365" s="12"/>
      <c r="B365" s="10"/>
      <c r="C365" s="11"/>
      <c r="D365" s="13"/>
      <c r="E365" s="13"/>
      <c r="F365" s="13"/>
      <c r="G365" s="2"/>
      <c r="H365" s="2"/>
      <c r="I365" s="13"/>
      <c r="J365" s="13"/>
      <c r="K365" s="13"/>
      <c r="L365" s="14"/>
      <c r="M365" s="4"/>
      <c r="N365" s="2"/>
      <c r="O365" s="4"/>
      <c r="P365" s="2"/>
      <c r="Q365" s="2"/>
      <c r="R365" s="4"/>
      <c r="S365" s="2"/>
      <c r="T365" s="2"/>
      <c r="U365" s="1"/>
      <c r="V365" s="2"/>
      <c r="W365" s="2"/>
      <c r="X365" s="2"/>
      <c r="Y365" s="2"/>
      <c r="Z365" s="2"/>
    </row>
    <row r="366" spans="1:26" ht="15.75" customHeight="1" x14ac:dyDescent="0.2">
      <c r="A366" s="12"/>
      <c r="B366" s="10"/>
      <c r="C366" s="11"/>
      <c r="D366" s="13"/>
      <c r="E366" s="13"/>
      <c r="F366" s="13"/>
      <c r="G366" s="2"/>
      <c r="H366" s="2"/>
      <c r="I366" s="13"/>
      <c r="J366" s="13"/>
      <c r="K366" s="13"/>
      <c r="L366" s="14"/>
      <c r="M366" s="4"/>
      <c r="N366" s="2"/>
      <c r="O366" s="4"/>
      <c r="P366" s="2"/>
      <c r="Q366" s="2"/>
      <c r="R366" s="4"/>
      <c r="S366" s="2"/>
      <c r="T366" s="2"/>
      <c r="U366" s="1"/>
      <c r="V366" s="2"/>
      <c r="W366" s="2"/>
      <c r="X366" s="2"/>
      <c r="Y366" s="2"/>
      <c r="Z366" s="2"/>
    </row>
    <row r="367" spans="1:26" ht="15.75" customHeight="1" x14ac:dyDescent="0.2">
      <c r="A367" s="12"/>
      <c r="B367" s="10"/>
      <c r="C367" s="11"/>
      <c r="D367" s="13"/>
      <c r="E367" s="13"/>
      <c r="F367" s="13"/>
      <c r="G367" s="2"/>
      <c r="H367" s="2"/>
      <c r="I367" s="13"/>
      <c r="J367" s="13"/>
      <c r="K367" s="13"/>
      <c r="L367" s="14"/>
      <c r="M367" s="4"/>
      <c r="N367" s="2"/>
      <c r="O367" s="4"/>
      <c r="P367" s="2"/>
      <c r="Q367" s="2"/>
      <c r="R367" s="4"/>
      <c r="S367" s="2"/>
      <c r="T367" s="2"/>
      <c r="U367" s="1"/>
      <c r="V367" s="2"/>
      <c r="W367" s="2"/>
      <c r="X367" s="2"/>
      <c r="Y367" s="2"/>
      <c r="Z367" s="2"/>
    </row>
    <row r="368" spans="1:26" ht="15.75" customHeight="1" x14ac:dyDescent="0.2">
      <c r="A368" s="12"/>
      <c r="B368" s="10"/>
      <c r="C368" s="11"/>
      <c r="D368" s="13"/>
      <c r="E368" s="13"/>
      <c r="F368" s="13"/>
      <c r="G368" s="2"/>
      <c r="H368" s="2"/>
      <c r="I368" s="13"/>
      <c r="J368" s="13"/>
      <c r="K368" s="13"/>
      <c r="L368" s="14"/>
      <c r="M368" s="4"/>
      <c r="N368" s="2"/>
      <c r="O368" s="4"/>
      <c r="P368" s="2"/>
      <c r="Q368" s="2"/>
      <c r="R368" s="4"/>
      <c r="S368" s="2"/>
      <c r="T368" s="2"/>
      <c r="U368" s="1"/>
      <c r="V368" s="2"/>
      <c r="W368" s="2"/>
      <c r="X368" s="2"/>
      <c r="Y368" s="2"/>
      <c r="Z368" s="2"/>
    </row>
    <row r="369" spans="1:26" ht="15.75" customHeight="1" x14ac:dyDescent="0.2">
      <c r="A369" s="12"/>
      <c r="B369" s="10"/>
      <c r="C369" s="11"/>
      <c r="D369" s="13"/>
      <c r="E369" s="13"/>
      <c r="F369" s="13"/>
      <c r="G369" s="2"/>
      <c r="H369" s="2"/>
      <c r="I369" s="13"/>
      <c r="J369" s="13"/>
      <c r="K369" s="13"/>
      <c r="L369" s="14"/>
      <c r="M369" s="4"/>
      <c r="N369" s="2"/>
      <c r="O369" s="4"/>
      <c r="P369" s="2"/>
      <c r="Q369" s="2"/>
      <c r="R369" s="4"/>
      <c r="S369" s="2"/>
      <c r="T369" s="2"/>
      <c r="U369" s="1"/>
      <c r="V369" s="2"/>
      <c r="W369" s="2"/>
      <c r="X369" s="2"/>
      <c r="Y369" s="2"/>
      <c r="Z369" s="2"/>
    </row>
    <row r="370" spans="1:26" ht="15.75" customHeight="1" x14ac:dyDescent="0.2">
      <c r="A370" s="12"/>
      <c r="B370" s="10"/>
      <c r="C370" s="11"/>
      <c r="D370" s="13"/>
      <c r="E370" s="13"/>
      <c r="F370" s="13"/>
      <c r="G370" s="2"/>
      <c r="H370" s="2"/>
      <c r="I370" s="13"/>
      <c r="J370" s="13"/>
      <c r="K370" s="13"/>
      <c r="L370" s="14"/>
      <c r="M370" s="4"/>
      <c r="N370" s="2"/>
      <c r="O370" s="4"/>
      <c r="P370" s="2"/>
      <c r="Q370" s="2"/>
      <c r="R370" s="4"/>
      <c r="S370" s="2"/>
      <c r="T370" s="2"/>
      <c r="U370" s="1"/>
      <c r="V370" s="2"/>
      <c r="W370" s="2"/>
      <c r="X370" s="2"/>
      <c r="Y370" s="2"/>
      <c r="Z370" s="2"/>
    </row>
    <row r="371" spans="1:26" ht="15.75" customHeight="1" x14ac:dyDescent="0.2">
      <c r="A371" s="12"/>
      <c r="B371" s="10"/>
      <c r="C371" s="11"/>
      <c r="D371" s="13"/>
      <c r="E371" s="13"/>
      <c r="F371" s="13"/>
      <c r="G371" s="2"/>
      <c r="H371" s="2"/>
      <c r="I371" s="13"/>
      <c r="J371" s="13"/>
      <c r="K371" s="13"/>
      <c r="L371" s="14"/>
      <c r="M371" s="4"/>
      <c r="N371" s="2"/>
      <c r="O371" s="4"/>
      <c r="P371" s="2"/>
      <c r="Q371" s="2"/>
      <c r="R371" s="4"/>
      <c r="S371" s="2"/>
      <c r="T371" s="2"/>
      <c r="U371" s="1"/>
      <c r="V371" s="2"/>
      <c r="W371" s="2"/>
      <c r="X371" s="2"/>
      <c r="Y371" s="2"/>
      <c r="Z371" s="2"/>
    </row>
    <row r="372" spans="1:26" ht="15.75" customHeight="1" x14ac:dyDescent="0.2">
      <c r="A372" s="12"/>
      <c r="B372" s="10"/>
      <c r="C372" s="11"/>
      <c r="D372" s="13"/>
      <c r="E372" s="13"/>
      <c r="F372" s="13"/>
      <c r="G372" s="2"/>
      <c r="H372" s="2"/>
      <c r="I372" s="13"/>
      <c r="J372" s="13"/>
      <c r="K372" s="13"/>
      <c r="L372" s="14"/>
      <c r="M372" s="4"/>
      <c r="N372" s="2"/>
      <c r="O372" s="4"/>
      <c r="P372" s="2"/>
      <c r="Q372" s="2"/>
      <c r="R372" s="4"/>
      <c r="S372" s="2"/>
      <c r="T372" s="2"/>
      <c r="U372" s="1"/>
      <c r="V372" s="2"/>
      <c r="W372" s="2"/>
      <c r="X372" s="2"/>
      <c r="Y372" s="2"/>
      <c r="Z372" s="2"/>
    </row>
    <row r="373" spans="1:26" ht="15.75" customHeight="1" x14ac:dyDescent="0.2">
      <c r="A373" s="12"/>
      <c r="B373" s="10"/>
      <c r="C373" s="11"/>
      <c r="D373" s="13"/>
      <c r="E373" s="13"/>
      <c r="F373" s="13"/>
      <c r="G373" s="2"/>
      <c r="H373" s="2"/>
      <c r="I373" s="13"/>
      <c r="J373" s="13"/>
      <c r="K373" s="13"/>
      <c r="L373" s="14"/>
      <c r="M373" s="4"/>
      <c r="N373" s="2"/>
      <c r="O373" s="4"/>
      <c r="P373" s="2"/>
      <c r="Q373" s="2"/>
      <c r="R373" s="4"/>
      <c r="S373" s="2"/>
      <c r="T373" s="2"/>
      <c r="U373" s="1"/>
      <c r="V373" s="2"/>
      <c r="W373" s="2"/>
      <c r="X373" s="2"/>
      <c r="Y373" s="2"/>
      <c r="Z373" s="2"/>
    </row>
    <row r="374" spans="1:26" ht="15.75" customHeight="1" x14ac:dyDescent="0.2">
      <c r="A374" s="12"/>
      <c r="B374" s="10"/>
      <c r="C374" s="11"/>
      <c r="D374" s="13"/>
      <c r="E374" s="13"/>
      <c r="F374" s="13"/>
      <c r="G374" s="2"/>
      <c r="H374" s="2"/>
      <c r="I374" s="13"/>
      <c r="J374" s="13"/>
      <c r="K374" s="13"/>
      <c r="L374" s="14"/>
      <c r="M374" s="4"/>
      <c r="N374" s="2"/>
      <c r="O374" s="4"/>
      <c r="P374" s="2"/>
      <c r="Q374" s="2"/>
      <c r="R374" s="4"/>
      <c r="S374" s="2"/>
      <c r="T374" s="2"/>
      <c r="U374" s="1"/>
      <c r="V374" s="2"/>
      <c r="W374" s="2"/>
      <c r="X374" s="2"/>
      <c r="Y374" s="2"/>
      <c r="Z374" s="2"/>
    </row>
    <row r="375" spans="1:26" ht="15.75" customHeight="1" x14ac:dyDescent="0.2">
      <c r="A375" s="12"/>
      <c r="B375" s="10"/>
      <c r="C375" s="11"/>
      <c r="D375" s="13"/>
      <c r="E375" s="13"/>
      <c r="F375" s="13"/>
      <c r="G375" s="2"/>
      <c r="H375" s="2"/>
      <c r="I375" s="13"/>
      <c r="J375" s="13"/>
      <c r="K375" s="13"/>
      <c r="L375" s="14"/>
      <c r="M375" s="4"/>
      <c r="N375" s="2"/>
      <c r="O375" s="4"/>
      <c r="P375" s="2"/>
      <c r="Q375" s="2"/>
      <c r="R375" s="4"/>
      <c r="S375" s="2"/>
      <c r="T375" s="2"/>
      <c r="U375" s="1"/>
      <c r="V375" s="2"/>
      <c r="W375" s="2"/>
      <c r="X375" s="2"/>
      <c r="Y375" s="2"/>
      <c r="Z375" s="2"/>
    </row>
    <row r="376" spans="1:26" ht="15.75" customHeight="1" x14ac:dyDescent="0.2">
      <c r="A376" s="12"/>
      <c r="B376" s="10"/>
      <c r="C376" s="11"/>
      <c r="D376" s="13"/>
      <c r="E376" s="13"/>
      <c r="F376" s="13"/>
      <c r="G376" s="2"/>
      <c r="H376" s="2"/>
      <c r="I376" s="13"/>
      <c r="J376" s="13"/>
      <c r="K376" s="13"/>
      <c r="L376" s="14"/>
      <c r="M376" s="4"/>
      <c r="N376" s="2"/>
      <c r="O376" s="4"/>
      <c r="P376" s="2"/>
      <c r="Q376" s="2"/>
      <c r="R376" s="4"/>
      <c r="S376" s="2"/>
      <c r="T376" s="2"/>
      <c r="U376" s="1"/>
      <c r="V376" s="2"/>
      <c r="W376" s="2"/>
      <c r="X376" s="2"/>
      <c r="Y376" s="2"/>
      <c r="Z376" s="2"/>
    </row>
    <row r="377" spans="1:26" ht="15.75" customHeight="1" x14ac:dyDescent="0.2">
      <c r="A377" s="12"/>
      <c r="B377" s="10"/>
      <c r="C377" s="11"/>
      <c r="D377" s="13"/>
      <c r="E377" s="13"/>
      <c r="F377" s="13"/>
      <c r="G377" s="2"/>
      <c r="H377" s="2"/>
      <c r="I377" s="13"/>
      <c r="J377" s="13"/>
      <c r="K377" s="13"/>
      <c r="L377" s="14"/>
      <c r="M377" s="4"/>
      <c r="N377" s="2"/>
      <c r="O377" s="4"/>
      <c r="P377" s="2"/>
      <c r="Q377" s="2"/>
      <c r="R377" s="4"/>
      <c r="S377" s="2"/>
      <c r="T377" s="2"/>
      <c r="U377" s="1"/>
      <c r="V377" s="2"/>
      <c r="W377" s="2"/>
      <c r="X377" s="2"/>
      <c r="Y377" s="2"/>
      <c r="Z377" s="2"/>
    </row>
    <row r="378" spans="1:26" ht="15.75" customHeight="1" x14ac:dyDescent="0.2">
      <c r="A378" s="12"/>
      <c r="B378" s="10"/>
      <c r="C378" s="11"/>
      <c r="D378" s="13"/>
      <c r="E378" s="13"/>
      <c r="F378" s="13"/>
      <c r="G378" s="2"/>
      <c r="H378" s="2"/>
      <c r="I378" s="13"/>
      <c r="J378" s="13"/>
      <c r="K378" s="13"/>
      <c r="L378" s="14"/>
      <c r="M378" s="4"/>
      <c r="N378" s="2"/>
      <c r="O378" s="4"/>
      <c r="P378" s="2"/>
      <c r="Q378" s="2"/>
      <c r="R378" s="4"/>
      <c r="S378" s="2"/>
      <c r="T378" s="2"/>
      <c r="U378" s="1"/>
      <c r="V378" s="2"/>
      <c r="W378" s="2"/>
      <c r="X378" s="2"/>
      <c r="Y378" s="2"/>
      <c r="Z378" s="2"/>
    </row>
    <row r="379" spans="1:26" ht="15.75" customHeight="1" x14ac:dyDescent="0.2">
      <c r="A379" s="12"/>
      <c r="B379" s="10"/>
      <c r="C379" s="11"/>
      <c r="D379" s="13"/>
      <c r="E379" s="13"/>
      <c r="F379" s="13"/>
      <c r="G379" s="2"/>
      <c r="H379" s="2"/>
      <c r="I379" s="13"/>
      <c r="J379" s="13"/>
      <c r="K379" s="13"/>
      <c r="L379" s="14"/>
      <c r="M379" s="4"/>
      <c r="N379" s="2"/>
      <c r="O379" s="4"/>
      <c r="P379" s="2"/>
      <c r="Q379" s="2"/>
      <c r="R379" s="4"/>
      <c r="S379" s="2"/>
      <c r="T379" s="2"/>
      <c r="U379" s="1"/>
      <c r="V379" s="2"/>
      <c r="W379" s="2"/>
      <c r="X379" s="2"/>
      <c r="Y379" s="2"/>
      <c r="Z379" s="2"/>
    </row>
    <row r="380" spans="1:26" ht="15.75" customHeight="1" x14ac:dyDescent="0.2">
      <c r="A380" s="12"/>
      <c r="B380" s="10"/>
      <c r="C380" s="11"/>
      <c r="D380" s="13"/>
      <c r="E380" s="13"/>
      <c r="F380" s="13"/>
      <c r="G380" s="2"/>
      <c r="H380" s="2"/>
      <c r="I380" s="13"/>
      <c r="J380" s="13"/>
      <c r="K380" s="13"/>
      <c r="L380" s="14"/>
      <c r="M380" s="4"/>
      <c r="N380" s="2"/>
      <c r="O380" s="4"/>
      <c r="P380" s="2"/>
      <c r="Q380" s="2"/>
      <c r="R380" s="4"/>
      <c r="S380" s="2"/>
      <c r="T380" s="2"/>
      <c r="U380" s="1"/>
      <c r="V380" s="2"/>
      <c r="W380" s="2"/>
      <c r="X380" s="2"/>
      <c r="Y380" s="2"/>
      <c r="Z380" s="2"/>
    </row>
    <row r="381" spans="1:26" ht="15.75" customHeight="1" x14ac:dyDescent="0.2">
      <c r="A381" s="12"/>
      <c r="B381" s="10"/>
      <c r="C381" s="11"/>
      <c r="D381" s="13"/>
      <c r="E381" s="13"/>
      <c r="F381" s="13"/>
      <c r="G381" s="2"/>
      <c r="H381" s="2"/>
      <c r="I381" s="13"/>
      <c r="J381" s="13"/>
      <c r="K381" s="13"/>
      <c r="L381" s="14"/>
      <c r="M381" s="4"/>
      <c r="N381" s="2"/>
      <c r="O381" s="4"/>
      <c r="P381" s="2"/>
      <c r="Q381" s="2"/>
      <c r="R381" s="4"/>
      <c r="S381" s="2"/>
      <c r="T381" s="2"/>
      <c r="U381" s="1"/>
      <c r="V381" s="2"/>
      <c r="W381" s="2"/>
      <c r="X381" s="2"/>
      <c r="Y381" s="2"/>
      <c r="Z381" s="2"/>
    </row>
    <row r="382" spans="1:26" ht="15.75" customHeight="1" x14ac:dyDescent="0.2">
      <c r="A382" s="12"/>
      <c r="B382" s="10"/>
      <c r="C382" s="11"/>
      <c r="D382" s="13"/>
      <c r="E382" s="13"/>
      <c r="F382" s="13"/>
      <c r="G382" s="2"/>
      <c r="H382" s="2"/>
      <c r="I382" s="13"/>
      <c r="J382" s="13"/>
      <c r="K382" s="13"/>
      <c r="L382" s="14"/>
      <c r="M382" s="4"/>
      <c r="N382" s="2"/>
      <c r="O382" s="4"/>
      <c r="P382" s="2"/>
      <c r="Q382" s="2"/>
      <c r="R382" s="4"/>
      <c r="S382" s="2"/>
      <c r="T382" s="2"/>
      <c r="U382" s="1"/>
      <c r="V382" s="2"/>
      <c r="W382" s="2"/>
      <c r="X382" s="2"/>
      <c r="Y382" s="2"/>
      <c r="Z382" s="2"/>
    </row>
    <row r="383" spans="1:26" ht="15.75" customHeight="1" x14ac:dyDescent="0.2">
      <c r="A383" s="12"/>
      <c r="B383" s="10"/>
      <c r="C383" s="11"/>
      <c r="D383" s="13"/>
      <c r="E383" s="13"/>
      <c r="F383" s="13"/>
      <c r="G383" s="2"/>
      <c r="H383" s="2"/>
      <c r="I383" s="13"/>
      <c r="J383" s="13"/>
      <c r="K383" s="13"/>
      <c r="L383" s="14"/>
      <c r="M383" s="4"/>
      <c r="N383" s="2"/>
      <c r="O383" s="4"/>
      <c r="P383" s="2"/>
      <c r="Q383" s="2"/>
      <c r="R383" s="4"/>
      <c r="S383" s="2"/>
      <c r="T383" s="2"/>
      <c r="U383" s="1"/>
      <c r="V383" s="2"/>
      <c r="W383" s="2"/>
      <c r="X383" s="2"/>
      <c r="Y383" s="2"/>
      <c r="Z383" s="2"/>
    </row>
    <row r="384" spans="1:26" ht="15.75" customHeight="1" x14ac:dyDescent="0.2">
      <c r="A384" s="12"/>
      <c r="B384" s="10"/>
      <c r="C384" s="11"/>
      <c r="D384" s="13"/>
      <c r="E384" s="13"/>
      <c r="F384" s="13"/>
      <c r="G384" s="2"/>
      <c r="H384" s="2"/>
      <c r="I384" s="13"/>
      <c r="J384" s="13"/>
      <c r="K384" s="13"/>
      <c r="L384" s="14"/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A385" s="12"/>
      <c r="B385" s="10"/>
      <c r="C385" s="11"/>
      <c r="D385" s="13"/>
      <c r="E385" s="13"/>
      <c r="F385" s="13"/>
      <c r="G385" s="2"/>
      <c r="H385" s="2"/>
      <c r="I385" s="13"/>
      <c r="J385" s="13"/>
      <c r="K385" s="13"/>
      <c r="L385" s="14"/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12"/>
      <c r="B386" s="10"/>
      <c r="C386" s="11"/>
      <c r="D386" s="13"/>
      <c r="E386" s="13"/>
      <c r="F386" s="13"/>
      <c r="G386" s="2"/>
      <c r="H386" s="2"/>
      <c r="I386" s="13"/>
      <c r="J386" s="13"/>
      <c r="K386" s="13"/>
      <c r="L386" s="14"/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A387" s="12"/>
      <c r="B387" s="10"/>
      <c r="C387" s="11"/>
      <c r="D387" s="13"/>
      <c r="E387" s="13"/>
      <c r="F387" s="13"/>
      <c r="G387" s="2"/>
      <c r="H387" s="2"/>
      <c r="I387" s="13"/>
      <c r="J387" s="13"/>
      <c r="K387" s="13"/>
      <c r="L387" s="14"/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A388" s="12"/>
      <c r="B388" s="10"/>
      <c r="C388" s="11"/>
      <c r="D388" s="13"/>
      <c r="E388" s="13"/>
      <c r="F388" s="13"/>
      <c r="G388" s="2"/>
      <c r="H388" s="2"/>
      <c r="I388" s="13"/>
      <c r="J388" s="13"/>
      <c r="K388" s="13"/>
      <c r="L388" s="14"/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A389" s="12"/>
      <c r="B389" s="10"/>
      <c r="C389" s="11"/>
      <c r="D389" s="13"/>
      <c r="E389" s="13"/>
      <c r="F389" s="13"/>
      <c r="G389" s="2"/>
      <c r="H389" s="2"/>
      <c r="I389" s="13"/>
      <c r="J389" s="13"/>
      <c r="K389" s="13"/>
      <c r="L389" s="14"/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A390" s="12"/>
      <c r="B390" s="10"/>
      <c r="C390" s="11"/>
      <c r="D390" s="13"/>
      <c r="E390" s="13"/>
      <c r="F390" s="13"/>
      <c r="G390" s="2"/>
      <c r="H390" s="2"/>
      <c r="I390" s="13"/>
      <c r="J390" s="13"/>
      <c r="K390" s="13"/>
      <c r="L390" s="14"/>
      <c r="M390" s="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2"/>
      <c r="B391" s="10"/>
      <c r="C391" s="11"/>
      <c r="D391" s="13"/>
      <c r="E391" s="13"/>
      <c r="F391" s="13"/>
      <c r="G391" s="2"/>
      <c r="H391" s="2"/>
      <c r="I391" s="13"/>
      <c r="J391" s="13"/>
      <c r="K391" s="13"/>
      <c r="L391" s="14"/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A392" s="12"/>
      <c r="B392" s="10"/>
      <c r="C392" s="11"/>
      <c r="D392" s="13"/>
      <c r="E392" s="13"/>
      <c r="F392" s="13"/>
      <c r="G392" s="2"/>
      <c r="H392" s="2"/>
      <c r="I392" s="13"/>
      <c r="J392" s="13"/>
      <c r="K392" s="13"/>
      <c r="L392" s="14"/>
      <c r="M392" s="4"/>
      <c r="N392" s="2"/>
      <c r="O392" s="4"/>
      <c r="P392" s="2"/>
      <c r="Q392" s="2"/>
      <c r="R392" s="4"/>
      <c r="S392" s="2"/>
      <c r="T392" s="2"/>
      <c r="U392" s="1"/>
      <c r="V392" s="2"/>
      <c r="W392" s="2"/>
      <c r="X392" s="2"/>
      <c r="Y392" s="2"/>
      <c r="Z392" s="2"/>
    </row>
    <row r="393" spans="1:26" ht="15.75" customHeight="1" x14ac:dyDescent="0.2">
      <c r="A393" s="12"/>
      <c r="B393" s="10"/>
      <c r="C393" s="11"/>
      <c r="D393" s="13"/>
      <c r="E393" s="13"/>
      <c r="F393" s="13"/>
      <c r="G393" s="2"/>
      <c r="H393" s="2"/>
      <c r="I393" s="13"/>
      <c r="J393" s="13"/>
      <c r="K393" s="13"/>
      <c r="L393" s="14"/>
      <c r="M393" s="4"/>
      <c r="N393" s="2"/>
      <c r="O393" s="4"/>
      <c r="P393" s="2"/>
      <c r="Q393" s="2"/>
      <c r="R393" s="4"/>
      <c r="S393" s="2"/>
      <c r="T393" s="2"/>
      <c r="U393" s="1"/>
      <c r="V393" s="2"/>
      <c r="W393" s="2"/>
      <c r="X393" s="2"/>
      <c r="Y393" s="2"/>
      <c r="Z393" s="2"/>
    </row>
    <row r="394" spans="1:26" ht="15.75" customHeight="1" x14ac:dyDescent="0.2">
      <c r="A394" s="12"/>
      <c r="B394" s="10"/>
      <c r="C394" s="11"/>
      <c r="D394" s="13"/>
      <c r="E394" s="13"/>
      <c r="F394" s="13"/>
      <c r="G394" s="2"/>
      <c r="H394" s="2"/>
      <c r="I394" s="13"/>
      <c r="J394" s="13"/>
      <c r="K394" s="13"/>
      <c r="L394" s="14"/>
      <c r="M394" s="4"/>
      <c r="N394" s="2"/>
      <c r="O394" s="4"/>
      <c r="P394" s="2"/>
      <c r="Q394" s="2"/>
      <c r="R394" s="4"/>
      <c r="S394" s="2"/>
      <c r="T394" s="2"/>
      <c r="U394" s="1"/>
      <c r="V394" s="2"/>
      <c r="W394" s="2"/>
      <c r="X394" s="2"/>
      <c r="Y394" s="2"/>
      <c r="Z394" s="2"/>
    </row>
    <row r="395" spans="1:26" ht="15.75" customHeight="1" x14ac:dyDescent="0.2">
      <c r="A395" s="12"/>
      <c r="B395" s="10"/>
      <c r="C395" s="11"/>
      <c r="D395" s="13"/>
      <c r="E395" s="13"/>
      <c r="F395" s="13"/>
      <c r="G395" s="2"/>
      <c r="H395" s="2"/>
      <c r="I395" s="13"/>
      <c r="J395" s="13"/>
      <c r="K395" s="13"/>
      <c r="L395" s="14"/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A396" s="12"/>
      <c r="B396" s="10"/>
      <c r="C396" s="11"/>
      <c r="D396" s="13"/>
      <c r="E396" s="13"/>
      <c r="F396" s="13"/>
      <c r="G396" s="2"/>
      <c r="H396" s="2"/>
      <c r="I396" s="13"/>
      <c r="J396" s="13"/>
      <c r="K396" s="13"/>
      <c r="L396" s="14"/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12"/>
      <c r="B397" s="10"/>
      <c r="C397" s="11"/>
      <c r="D397" s="13"/>
      <c r="E397" s="13"/>
      <c r="F397" s="13"/>
      <c r="G397" s="2"/>
      <c r="H397" s="2"/>
      <c r="I397" s="13"/>
      <c r="J397" s="13"/>
      <c r="K397" s="13"/>
      <c r="L397" s="14"/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2"/>
      <c r="B398" s="10"/>
      <c r="C398" s="11"/>
      <c r="D398" s="13"/>
      <c r="E398" s="13"/>
      <c r="F398" s="13"/>
      <c r="G398" s="2"/>
      <c r="H398" s="2"/>
      <c r="I398" s="13"/>
      <c r="J398" s="13"/>
      <c r="K398" s="13"/>
      <c r="L398" s="14"/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2"/>
      <c r="B399" s="10"/>
      <c r="C399" s="11"/>
      <c r="D399" s="13"/>
      <c r="E399" s="13"/>
      <c r="F399" s="13"/>
      <c r="G399" s="2"/>
      <c r="H399" s="2"/>
      <c r="I399" s="13"/>
      <c r="J399" s="13"/>
      <c r="K399" s="13"/>
      <c r="L399" s="14"/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2"/>
      <c r="B400" s="10"/>
      <c r="C400" s="11"/>
      <c r="D400" s="13"/>
      <c r="E400" s="13"/>
      <c r="F400" s="13"/>
      <c r="G400" s="2"/>
      <c r="H400" s="2"/>
      <c r="I400" s="13"/>
      <c r="J400" s="13"/>
      <c r="K400" s="13"/>
      <c r="L400" s="14"/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2"/>
      <c r="B401" s="10"/>
      <c r="C401" s="11"/>
      <c r="D401" s="13"/>
      <c r="E401" s="13"/>
      <c r="F401" s="13"/>
      <c r="G401" s="2"/>
      <c r="H401" s="2"/>
      <c r="I401" s="13"/>
      <c r="J401" s="13"/>
      <c r="K401" s="13"/>
      <c r="L401" s="14"/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A402" s="12"/>
      <c r="B402" s="10"/>
      <c r="C402" s="11"/>
      <c r="D402" s="13"/>
      <c r="E402" s="13"/>
      <c r="F402" s="13"/>
      <c r="G402" s="2"/>
      <c r="H402" s="2"/>
      <c r="I402" s="13"/>
      <c r="J402" s="13"/>
      <c r="K402" s="13"/>
      <c r="L402" s="14"/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A403" s="12"/>
      <c r="B403" s="10"/>
      <c r="C403" s="11"/>
      <c r="D403" s="13"/>
      <c r="E403" s="13"/>
      <c r="F403" s="13"/>
      <c r="G403" s="2"/>
      <c r="H403" s="2"/>
      <c r="I403" s="13"/>
      <c r="J403" s="13"/>
      <c r="K403" s="13"/>
      <c r="L403" s="14"/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A404" s="12"/>
      <c r="B404" s="10"/>
      <c r="C404" s="11"/>
      <c r="D404" s="13"/>
      <c r="E404" s="13"/>
      <c r="F404" s="13"/>
      <c r="G404" s="2"/>
      <c r="H404" s="2"/>
      <c r="I404" s="13"/>
      <c r="J404" s="13"/>
      <c r="K404" s="13"/>
      <c r="L404" s="14"/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A405" s="12"/>
      <c r="B405" s="10"/>
      <c r="C405" s="11"/>
      <c r="D405" s="13"/>
      <c r="E405" s="13"/>
      <c r="F405" s="13"/>
      <c r="G405" s="2"/>
      <c r="H405" s="2"/>
      <c r="I405" s="13"/>
      <c r="J405" s="13"/>
      <c r="K405" s="13"/>
      <c r="L405" s="14"/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2"/>
      <c r="B406" s="10"/>
      <c r="C406" s="11"/>
      <c r="D406" s="13"/>
      <c r="E406" s="13"/>
      <c r="F406" s="13"/>
      <c r="G406" s="2"/>
      <c r="H406" s="2"/>
      <c r="I406" s="13"/>
      <c r="J406" s="13"/>
      <c r="K406" s="13"/>
      <c r="L406" s="14"/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A407" s="12"/>
      <c r="B407" s="10"/>
      <c r="C407" s="11"/>
      <c r="D407" s="13"/>
      <c r="E407" s="13"/>
      <c r="F407" s="13"/>
      <c r="G407" s="2"/>
      <c r="H407" s="2"/>
      <c r="I407" s="13"/>
      <c r="J407" s="13"/>
      <c r="K407" s="13"/>
      <c r="L407" s="14"/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2"/>
      <c r="B408" s="10"/>
      <c r="C408" s="11"/>
      <c r="D408" s="13"/>
      <c r="E408" s="13"/>
      <c r="F408" s="13"/>
      <c r="G408" s="2"/>
      <c r="H408" s="2"/>
      <c r="I408" s="13"/>
      <c r="J408" s="13"/>
      <c r="K408" s="13"/>
      <c r="L408" s="14"/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2"/>
      <c r="B409" s="10"/>
      <c r="C409" s="11"/>
      <c r="D409" s="13"/>
      <c r="E409" s="13"/>
      <c r="F409" s="13"/>
      <c r="G409" s="2"/>
      <c r="H409" s="2"/>
      <c r="I409" s="13"/>
      <c r="J409" s="13"/>
      <c r="K409" s="13"/>
      <c r="L409" s="14"/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2"/>
      <c r="B410" s="10"/>
      <c r="C410" s="11"/>
      <c r="D410" s="13"/>
      <c r="E410" s="13"/>
      <c r="F410" s="13"/>
      <c r="G410" s="2"/>
      <c r="H410" s="2"/>
      <c r="I410" s="13"/>
      <c r="J410" s="13"/>
      <c r="K410" s="13"/>
      <c r="L410" s="14"/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/>
      <c r="B411" s="10"/>
      <c r="C411" s="11"/>
      <c r="D411" s="13"/>
      <c r="E411" s="13"/>
      <c r="F411" s="13"/>
      <c r="G411" s="2"/>
      <c r="H411" s="2"/>
      <c r="I411" s="13"/>
      <c r="J411" s="13"/>
      <c r="K411" s="13"/>
      <c r="L411" s="14"/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/>
      <c r="B412" s="10"/>
      <c r="C412" s="11"/>
      <c r="D412" s="13"/>
      <c r="E412" s="13"/>
      <c r="F412" s="13"/>
      <c r="G412" s="2"/>
      <c r="H412" s="2"/>
      <c r="I412" s="13"/>
      <c r="J412" s="13"/>
      <c r="K412" s="13"/>
      <c r="L412" s="14"/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/>
      <c r="B413" s="10"/>
      <c r="C413" s="11"/>
      <c r="D413" s="13"/>
      <c r="E413" s="13"/>
      <c r="F413" s="13"/>
      <c r="G413" s="2"/>
      <c r="H413" s="2"/>
      <c r="I413" s="13"/>
      <c r="J413" s="13"/>
      <c r="K413" s="13"/>
      <c r="L413" s="14"/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/>
      <c r="B414" s="10"/>
      <c r="C414" s="11"/>
      <c r="D414" s="13"/>
      <c r="E414" s="13"/>
      <c r="F414" s="13"/>
      <c r="G414" s="2"/>
      <c r="H414" s="2"/>
      <c r="I414" s="13"/>
      <c r="J414" s="13"/>
      <c r="K414" s="13"/>
      <c r="L414" s="14"/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A415" s="12"/>
      <c r="B415" s="10"/>
      <c r="C415" s="11"/>
      <c r="D415" s="13"/>
      <c r="E415" s="13"/>
      <c r="F415" s="13"/>
      <c r="G415" s="2"/>
      <c r="H415" s="2"/>
      <c r="I415" s="13"/>
      <c r="J415" s="13"/>
      <c r="K415" s="13"/>
      <c r="L415" s="14"/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A416" s="12"/>
      <c r="B416" s="10"/>
      <c r="C416" s="11"/>
      <c r="D416" s="13"/>
      <c r="E416" s="13"/>
      <c r="F416" s="13"/>
      <c r="G416" s="2"/>
      <c r="H416" s="2"/>
      <c r="I416" s="13"/>
      <c r="J416" s="13"/>
      <c r="K416" s="13"/>
      <c r="L416" s="14"/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A417" s="12"/>
      <c r="B417" s="10"/>
      <c r="C417" s="11"/>
      <c r="D417" s="13"/>
      <c r="E417" s="13"/>
      <c r="F417" s="13"/>
      <c r="G417" s="2"/>
      <c r="H417" s="2"/>
      <c r="I417" s="13"/>
      <c r="J417" s="13"/>
      <c r="K417" s="13"/>
      <c r="L417" s="14"/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A418" s="12"/>
      <c r="B418" s="10"/>
      <c r="C418" s="11"/>
      <c r="D418" s="13"/>
      <c r="E418" s="13"/>
      <c r="F418" s="13"/>
      <c r="G418" s="2"/>
      <c r="H418" s="2"/>
      <c r="I418" s="13"/>
      <c r="J418" s="13"/>
      <c r="K418" s="13"/>
      <c r="L418" s="14"/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2"/>
      <c r="B419" s="10"/>
      <c r="C419" s="11"/>
      <c r="D419" s="13"/>
      <c r="E419" s="13"/>
      <c r="F419" s="13"/>
      <c r="G419" s="2"/>
      <c r="H419" s="2"/>
      <c r="I419" s="13"/>
      <c r="J419" s="13"/>
      <c r="K419" s="13"/>
      <c r="L419" s="14"/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12"/>
      <c r="B420" s="10"/>
      <c r="C420" s="11"/>
      <c r="D420" s="13"/>
      <c r="E420" s="13"/>
      <c r="F420" s="13"/>
      <c r="G420" s="2"/>
      <c r="H420" s="2"/>
      <c r="I420" s="13"/>
      <c r="J420" s="13"/>
      <c r="K420" s="13"/>
      <c r="L420" s="14"/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/>
      <c r="B421" s="10"/>
      <c r="C421" s="11"/>
      <c r="D421" s="13"/>
      <c r="E421" s="13"/>
      <c r="F421" s="13"/>
      <c r="G421" s="2"/>
      <c r="H421" s="2"/>
      <c r="I421" s="13"/>
      <c r="J421" s="13"/>
      <c r="K421" s="13"/>
      <c r="L421" s="14"/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2"/>
      <c r="B422" s="10"/>
      <c r="C422" s="11"/>
      <c r="D422" s="13"/>
      <c r="E422" s="13"/>
      <c r="F422" s="13"/>
      <c r="G422" s="2"/>
      <c r="H422" s="2"/>
      <c r="I422" s="13"/>
      <c r="J422" s="13"/>
      <c r="K422" s="13"/>
      <c r="L422" s="14"/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2"/>
      <c r="B423" s="10"/>
      <c r="C423" s="11"/>
      <c r="D423" s="13"/>
      <c r="E423" s="13"/>
      <c r="F423" s="13"/>
      <c r="G423" s="2"/>
      <c r="H423" s="2"/>
      <c r="I423" s="13"/>
      <c r="J423" s="13"/>
      <c r="K423" s="13"/>
      <c r="L423" s="14"/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2"/>
      <c r="B424" s="10"/>
      <c r="C424" s="11"/>
      <c r="D424" s="13"/>
      <c r="E424" s="13"/>
      <c r="F424" s="13"/>
      <c r="G424" s="2"/>
      <c r="H424" s="2"/>
      <c r="I424" s="13"/>
      <c r="J424" s="13"/>
      <c r="K424" s="13"/>
      <c r="L424" s="14"/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2"/>
      <c r="B425" s="10"/>
      <c r="C425" s="11"/>
      <c r="D425" s="13"/>
      <c r="E425" s="13"/>
      <c r="F425" s="13"/>
      <c r="G425" s="2"/>
      <c r="H425" s="2"/>
      <c r="I425" s="13"/>
      <c r="J425" s="13"/>
      <c r="K425" s="13"/>
      <c r="L425" s="14"/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2"/>
      <c r="B426" s="10"/>
      <c r="C426" s="11"/>
      <c r="D426" s="13"/>
      <c r="E426" s="13"/>
      <c r="F426" s="13"/>
      <c r="G426" s="2"/>
      <c r="H426" s="2"/>
      <c r="I426" s="13"/>
      <c r="J426" s="13"/>
      <c r="K426" s="13"/>
      <c r="L426" s="14"/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2"/>
      <c r="B427" s="10"/>
      <c r="C427" s="11"/>
      <c r="D427" s="13"/>
      <c r="E427" s="13"/>
      <c r="F427" s="13"/>
      <c r="G427" s="2"/>
      <c r="H427" s="2"/>
      <c r="I427" s="13"/>
      <c r="J427" s="13"/>
      <c r="K427" s="13"/>
      <c r="L427" s="14"/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/>
      <c r="B428" s="10"/>
      <c r="C428" s="11"/>
      <c r="D428" s="13"/>
      <c r="E428" s="13"/>
      <c r="F428" s="13"/>
      <c r="G428" s="2"/>
      <c r="H428" s="2"/>
      <c r="I428" s="13"/>
      <c r="J428" s="13"/>
      <c r="K428" s="13"/>
      <c r="L428" s="14"/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/>
      <c r="B429" s="10"/>
      <c r="C429" s="11"/>
      <c r="D429" s="13"/>
      <c r="E429" s="13"/>
      <c r="F429" s="13"/>
      <c r="G429" s="2"/>
      <c r="H429" s="2"/>
      <c r="I429" s="13"/>
      <c r="J429" s="13"/>
      <c r="K429" s="13"/>
      <c r="L429" s="14"/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/>
      <c r="B430" s="10"/>
      <c r="C430" s="11"/>
      <c r="D430" s="13"/>
      <c r="E430" s="13"/>
      <c r="F430" s="13"/>
      <c r="G430" s="2"/>
      <c r="H430" s="2"/>
      <c r="I430" s="13"/>
      <c r="J430" s="13"/>
      <c r="K430" s="13"/>
      <c r="L430" s="14"/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/>
      <c r="B431" s="10"/>
      <c r="C431" s="11"/>
      <c r="D431" s="13"/>
      <c r="E431" s="13"/>
      <c r="F431" s="13"/>
      <c r="G431" s="2"/>
      <c r="H431" s="2"/>
      <c r="I431" s="13"/>
      <c r="J431" s="13"/>
      <c r="K431" s="13"/>
      <c r="L431" s="14"/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/>
      <c r="B432" s="10"/>
      <c r="C432" s="11"/>
      <c r="D432" s="13"/>
      <c r="E432" s="13"/>
      <c r="F432" s="13"/>
      <c r="G432" s="2"/>
      <c r="H432" s="2"/>
      <c r="I432" s="13"/>
      <c r="J432" s="13"/>
      <c r="K432" s="13"/>
      <c r="L432" s="14"/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/>
      <c r="B433" s="10"/>
      <c r="C433" s="11"/>
      <c r="D433" s="13"/>
      <c r="E433" s="13"/>
      <c r="F433" s="13"/>
      <c r="G433" s="2"/>
      <c r="H433" s="2"/>
      <c r="I433" s="13"/>
      <c r="J433" s="13"/>
      <c r="K433" s="13"/>
      <c r="L433" s="14"/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2"/>
      <c r="B434" s="10"/>
      <c r="C434" s="11"/>
      <c r="D434" s="13"/>
      <c r="E434" s="13"/>
      <c r="F434" s="13"/>
      <c r="G434" s="2"/>
      <c r="H434" s="2"/>
      <c r="I434" s="13"/>
      <c r="J434" s="13"/>
      <c r="K434" s="13"/>
      <c r="L434" s="14"/>
      <c r="M434" s="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2"/>
      <c r="B435" s="10"/>
      <c r="C435" s="11"/>
      <c r="D435" s="13"/>
      <c r="E435" s="13"/>
      <c r="F435" s="13"/>
      <c r="G435" s="2"/>
      <c r="H435" s="2"/>
      <c r="I435" s="13"/>
      <c r="J435" s="13"/>
      <c r="K435" s="13"/>
      <c r="L435" s="14"/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2"/>
      <c r="B436" s="10"/>
      <c r="C436" s="11"/>
      <c r="D436" s="13"/>
      <c r="E436" s="13"/>
      <c r="F436" s="13"/>
      <c r="G436" s="2"/>
      <c r="H436" s="2"/>
      <c r="I436" s="13"/>
      <c r="J436" s="13"/>
      <c r="K436" s="13"/>
      <c r="L436" s="14"/>
      <c r="M436" s="4"/>
      <c r="N436" s="2"/>
      <c r="O436" s="4"/>
      <c r="P436" s="2"/>
      <c r="Q436" s="2"/>
      <c r="R436" s="4"/>
      <c r="S436" s="2"/>
      <c r="T436" s="2"/>
      <c r="U436" s="1"/>
      <c r="V436" s="2"/>
      <c r="W436" s="2"/>
      <c r="X436" s="2"/>
      <c r="Y436" s="2"/>
      <c r="Z436" s="2"/>
    </row>
    <row r="437" spans="1:26" ht="15.75" customHeight="1" x14ac:dyDescent="0.2">
      <c r="A437" s="12"/>
      <c r="B437" s="10"/>
      <c r="C437" s="11"/>
      <c r="D437" s="13"/>
      <c r="E437" s="13"/>
      <c r="F437" s="13"/>
      <c r="G437" s="2"/>
      <c r="H437" s="2"/>
      <c r="I437" s="13"/>
      <c r="J437" s="13"/>
      <c r="K437" s="13"/>
      <c r="L437" s="14"/>
      <c r="M437" s="4"/>
      <c r="N437" s="2"/>
      <c r="O437" s="4"/>
      <c r="P437" s="2"/>
      <c r="Q437" s="2"/>
      <c r="R437" s="4"/>
      <c r="S437" s="2"/>
      <c r="T437" s="2"/>
      <c r="U437" s="1"/>
      <c r="V437" s="2"/>
      <c r="W437" s="2"/>
      <c r="X437" s="2"/>
      <c r="Y437" s="2"/>
      <c r="Z437" s="2"/>
    </row>
    <row r="438" spans="1:26" ht="15.75" customHeight="1" x14ac:dyDescent="0.2">
      <c r="A438" s="12"/>
      <c r="B438" s="10"/>
      <c r="C438" s="11"/>
      <c r="D438" s="13"/>
      <c r="E438" s="13"/>
      <c r="F438" s="13"/>
      <c r="G438" s="2"/>
      <c r="H438" s="2"/>
      <c r="I438" s="13"/>
      <c r="J438" s="13"/>
      <c r="K438" s="13"/>
      <c r="L438" s="14"/>
      <c r="M438" s="4"/>
      <c r="N438" s="2"/>
      <c r="O438" s="4"/>
      <c r="P438" s="2"/>
      <c r="Q438" s="2"/>
      <c r="R438" s="4"/>
      <c r="S438" s="2"/>
      <c r="T438" s="2"/>
      <c r="U438" s="1"/>
      <c r="V438" s="2"/>
      <c r="W438" s="2"/>
      <c r="X438" s="2"/>
      <c r="Y438" s="2"/>
      <c r="Z438" s="2"/>
    </row>
    <row r="439" spans="1:26" ht="15.75" customHeight="1" x14ac:dyDescent="0.2">
      <c r="A439" s="12"/>
      <c r="B439" s="10"/>
      <c r="C439" s="11"/>
      <c r="D439" s="13"/>
      <c r="E439" s="13"/>
      <c r="F439" s="13"/>
      <c r="G439" s="2"/>
      <c r="H439" s="2"/>
      <c r="I439" s="13"/>
      <c r="J439" s="13"/>
      <c r="K439" s="13"/>
      <c r="L439" s="14"/>
      <c r="M439" s="4"/>
      <c r="N439" s="2"/>
      <c r="O439" s="4"/>
      <c r="P439" s="2"/>
      <c r="Q439" s="2"/>
      <c r="R439" s="4"/>
      <c r="S439" s="2"/>
      <c r="T439" s="2"/>
      <c r="U439" s="1"/>
      <c r="V439" s="2"/>
      <c r="W439" s="2"/>
      <c r="X439" s="2"/>
      <c r="Y439" s="2"/>
      <c r="Z439" s="2"/>
    </row>
    <row r="440" spans="1:26" ht="15.75" customHeight="1" x14ac:dyDescent="0.2">
      <c r="A440" s="12"/>
      <c r="B440" s="10"/>
      <c r="C440" s="11"/>
      <c r="D440" s="13"/>
      <c r="E440" s="13"/>
      <c r="F440" s="13"/>
      <c r="G440" s="2"/>
      <c r="H440" s="2"/>
      <c r="I440" s="13"/>
      <c r="J440" s="13"/>
      <c r="K440" s="13"/>
      <c r="L440" s="14"/>
      <c r="M440" s="4"/>
      <c r="N440" s="2"/>
      <c r="O440" s="4"/>
      <c r="P440" s="2"/>
      <c r="Q440" s="2"/>
      <c r="R440" s="4"/>
      <c r="S440" s="2"/>
      <c r="T440" s="2"/>
      <c r="U440" s="1"/>
      <c r="V440" s="2"/>
      <c r="W440" s="2"/>
      <c r="X440" s="2"/>
      <c r="Y440" s="2"/>
      <c r="Z440" s="2"/>
    </row>
    <row r="441" spans="1:26" ht="15.75" customHeight="1" x14ac:dyDescent="0.2">
      <c r="A441" s="12"/>
      <c r="B441" s="10"/>
      <c r="C441" s="11"/>
      <c r="D441" s="13"/>
      <c r="E441" s="13"/>
      <c r="F441" s="13"/>
      <c r="G441" s="2"/>
      <c r="H441" s="2"/>
      <c r="I441" s="13"/>
      <c r="J441" s="13"/>
      <c r="K441" s="13"/>
      <c r="L441" s="14"/>
      <c r="M441" s="4"/>
      <c r="N441" s="2"/>
      <c r="O441" s="4"/>
      <c r="P441" s="2"/>
      <c r="Q441" s="2"/>
      <c r="R441" s="4"/>
      <c r="S441" s="2"/>
      <c r="T441" s="2"/>
      <c r="U441" s="1"/>
      <c r="V441" s="2"/>
      <c r="W441" s="2"/>
      <c r="X441" s="2"/>
      <c r="Y441" s="2"/>
      <c r="Z441" s="2"/>
    </row>
    <row r="442" spans="1:26" ht="15.75" customHeight="1" x14ac:dyDescent="0.2">
      <c r="A442" s="12"/>
      <c r="B442" s="10"/>
      <c r="C442" s="11"/>
      <c r="D442" s="13"/>
      <c r="E442" s="13"/>
      <c r="F442" s="13"/>
      <c r="G442" s="2"/>
      <c r="H442" s="2"/>
      <c r="I442" s="13"/>
      <c r="J442" s="13"/>
      <c r="K442" s="13"/>
      <c r="L442" s="14"/>
      <c r="M442" s="4"/>
      <c r="N442" s="2"/>
      <c r="O442" s="4"/>
      <c r="P442" s="2"/>
      <c r="Q442" s="2"/>
      <c r="R442" s="4"/>
      <c r="S442" s="2"/>
      <c r="T442" s="2"/>
      <c r="U442" s="1"/>
      <c r="V442" s="2"/>
      <c r="W442" s="2"/>
      <c r="X442" s="2"/>
      <c r="Y442" s="2"/>
      <c r="Z442" s="2"/>
    </row>
    <row r="443" spans="1:26" ht="15.75" customHeight="1" x14ac:dyDescent="0.2">
      <c r="A443" s="12"/>
      <c r="B443" s="10"/>
      <c r="C443" s="11"/>
      <c r="D443" s="13"/>
      <c r="E443" s="13"/>
      <c r="F443" s="13"/>
      <c r="G443" s="2"/>
      <c r="H443" s="2"/>
      <c r="I443" s="13"/>
      <c r="J443" s="13"/>
      <c r="K443" s="13"/>
      <c r="L443" s="14"/>
      <c r="M443" s="4"/>
      <c r="N443" s="2"/>
      <c r="O443" s="4"/>
      <c r="P443" s="2"/>
      <c r="Q443" s="2"/>
      <c r="R443" s="4"/>
      <c r="S443" s="2"/>
      <c r="T443" s="2"/>
      <c r="U443" s="1"/>
      <c r="V443" s="2"/>
      <c r="W443" s="2"/>
      <c r="X443" s="2"/>
      <c r="Y443" s="2"/>
      <c r="Z443" s="2"/>
    </row>
    <row r="444" spans="1:26" ht="15.75" customHeight="1" x14ac:dyDescent="0.2">
      <c r="A444" s="12"/>
      <c r="B444" s="10"/>
      <c r="C444" s="11"/>
      <c r="D444" s="13"/>
      <c r="E444" s="13"/>
      <c r="F444" s="13"/>
      <c r="G444" s="2"/>
      <c r="H444" s="2"/>
      <c r="I444" s="13"/>
      <c r="J444" s="13"/>
      <c r="K444" s="13"/>
      <c r="L444" s="14"/>
      <c r="M444" s="4"/>
      <c r="N444" s="2"/>
      <c r="O444" s="4"/>
      <c r="P444" s="2"/>
      <c r="Q444" s="2"/>
      <c r="R444" s="4"/>
      <c r="S444" s="2"/>
      <c r="T444" s="2"/>
      <c r="U444" s="1"/>
      <c r="V444" s="2"/>
      <c r="W444" s="2"/>
      <c r="X444" s="2"/>
      <c r="Y444" s="2"/>
      <c r="Z444" s="2"/>
    </row>
    <row r="445" spans="1:26" ht="15.75" customHeight="1" x14ac:dyDescent="0.2">
      <c r="A445" s="12"/>
      <c r="B445" s="10"/>
      <c r="C445" s="11"/>
      <c r="D445" s="13"/>
      <c r="E445" s="13"/>
      <c r="F445" s="13"/>
      <c r="G445" s="2"/>
      <c r="H445" s="2"/>
      <c r="I445" s="13"/>
      <c r="J445" s="13"/>
      <c r="K445" s="13"/>
      <c r="L445" s="14"/>
      <c r="M445" s="4"/>
      <c r="N445" s="2"/>
      <c r="O445" s="4"/>
      <c r="P445" s="2"/>
      <c r="Q445" s="2"/>
      <c r="R445" s="4"/>
      <c r="S445" s="2"/>
      <c r="T445" s="2"/>
      <c r="U445" s="1"/>
      <c r="V445" s="2"/>
      <c r="W445" s="2"/>
      <c r="X445" s="2"/>
      <c r="Y445" s="2"/>
      <c r="Z445" s="2"/>
    </row>
    <row r="446" spans="1:26" ht="15.75" customHeight="1" x14ac:dyDescent="0.2">
      <c r="A446" s="12"/>
      <c r="B446" s="10"/>
      <c r="C446" s="11"/>
      <c r="D446" s="13"/>
      <c r="E446" s="13"/>
      <c r="F446" s="13"/>
      <c r="G446" s="2"/>
      <c r="H446" s="2"/>
      <c r="I446" s="13"/>
      <c r="J446" s="13"/>
      <c r="K446" s="13"/>
      <c r="L446" s="14"/>
      <c r="M446" s="4"/>
      <c r="N446" s="2"/>
      <c r="O446" s="4"/>
      <c r="P446" s="2"/>
      <c r="Q446" s="2"/>
      <c r="R446" s="4"/>
      <c r="S446" s="2"/>
      <c r="T446" s="2"/>
      <c r="U446" s="1"/>
      <c r="V446" s="2"/>
      <c r="W446" s="2"/>
      <c r="X446" s="2"/>
      <c r="Y446" s="2"/>
      <c r="Z446" s="2"/>
    </row>
    <row r="447" spans="1:26" ht="15.75" customHeight="1" x14ac:dyDescent="0.2">
      <c r="A447" s="12"/>
      <c r="B447" s="10"/>
      <c r="C447" s="11"/>
      <c r="D447" s="13"/>
      <c r="E447" s="13"/>
      <c r="F447" s="13"/>
      <c r="G447" s="2"/>
      <c r="H447" s="2"/>
      <c r="I447" s="13"/>
      <c r="J447" s="13"/>
      <c r="K447" s="13"/>
      <c r="L447" s="14"/>
      <c r="M447" s="4"/>
      <c r="N447" s="2"/>
      <c r="O447" s="4"/>
      <c r="P447" s="2"/>
      <c r="Q447" s="2"/>
      <c r="R447" s="4"/>
      <c r="S447" s="2"/>
      <c r="T447" s="2"/>
      <c r="U447" s="1"/>
      <c r="V447" s="2"/>
      <c r="W447" s="2"/>
      <c r="X447" s="2"/>
      <c r="Y447" s="2"/>
      <c r="Z447" s="2"/>
    </row>
    <row r="448" spans="1:26" ht="15.75" customHeight="1" x14ac:dyDescent="0.2">
      <c r="A448" s="12"/>
      <c r="B448" s="10"/>
      <c r="C448" s="11"/>
      <c r="D448" s="13"/>
      <c r="E448" s="13"/>
      <c r="F448" s="13"/>
      <c r="G448" s="2"/>
      <c r="H448" s="2"/>
      <c r="I448" s="13"/>
      <c r="J448" s="13"/>
      <c r="K448" s="13"/>
      <c r="L448" s="14"/>
      <c r="M448" s="4"/>
      <c r="N448" s="2"/>
      <c r="O448" s="4"/>
      <c r="P448" s="2"/>
      <c r="Q448" s="2"/>
      <c r="R448" s="4"/>
      <c r="S448" s="2"/>
      <c r="T448" s="2"/>
      <c r="U448" s="1"/>
      <c r="V448" s="2"/>
      <c r="W448" s="2"/>
      <c r="X448" s="2"/>
      <c r="Y448" s="2"/>
      <c r="Z448" s="2"/>
    </row>
    <row r="449" spans="1:26" ht="15.75" customHeight="1" x14ac:dyDescent="0.2">
      <c r="A449" s="12"/>
      <c r="B449" s="10"/>
      <c r="C449" s="11"/>
      <c r="D449" s="13"/>
      <c r="E449" s="13"/>
      <c r="F449" s="13"/>
      <c r="G449" s="2"/>
      <c r="H449" s="2"/>
      <c r="I449" s="13"/>
      <c r="J449" s="13"/>
      <c r="K449" s="13"/>
      <c r="L449" s="14"/>
      <c r="M449" s="4"/>
      <c r="N449" s="2"/>
      <c r="O449" s="4"/>
      <c r="P449" s="2"/>
      <c r="Q449" s="2"/>
      <c r="R449" s="4"/>
      <c r="S449" s="2"/>
      <c r="T449" s="2"/>
      <c r="U449" s="1"/>
      <c r="V449" s="2"/>
      <c r="W449" s="2"/>
      <c r="X449" s="2"/>
      <c r="Y449" s="2"/>
      <c r="Z449" s="2"/>
    </row>
    <row r="450" spans="1:26" ht="15.75" customHeight="1" x14ac:dyDescent="0.2">
      <c r="A450" s="12"/>
      <c r="B450" s="10"/>
      <c r="C450" s="11"/>
      <c r="D450" s="13"/>
      <c r="E450" s="13"/>
      <c r="F450" s="13"/>
      <c r="G450" s="2"/>
      <c r="H450" s="2"/>
      <c r="I450" s="13"/>
      <c r="J450" s="13"/>
      <c r="K450" s="13"/>
      <c r="L450" s="14"/>
      <c r="M450" s="4"/>
      <c r="N450" s="2"/>
      <c r="O450" s="4"/>
      <c r="P450" s="2"/>
      <c r="Q450" s="2"/>
      <c r="R450" s="4"/>
      <c r="S450" s="2"/>
      <c r="T450" s="2"/>
      <c r="U450" s="1"/>
      <c r="V450" s="2"/>
      <c r="W450" s="2"/>
      <c r="X450" s="2"/>
      <c r="Y450" s="2"/>
      <c r="Z450" s="2"/>
    </row>
    <row r="451" spans="1:26" ht="15.75" customHeight="1" x14ac:dyDescent="0.2">
      <c r="A451" s="12"/>
      <c r="B451" s="10"/>
      <c r="C451" s="11"/>
      <c r="D451" s="13"/>
      <c r="E451" s="13"/>
      <c r="F451" s="13"/>
      <c r="G451" s="2"/>
      <c r="H451" s="2"/>
      <c r="I451" s="13"/>
      <c r="J451" s="13"/>
      <c r="K451" s="13"/>
      <c r="L451" s="1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A452" s="12"/>
      <c r="B452" s="10"/>
      <c r="C452" s="11"/>
      <c r="D452" s="13"/>
      <c r="E452" s="13"/>
      <c r="F452" s="13"/>
      <c r="G452" s="2"/>
      <c r="H452" s="2"/>
      <c r="I452" s="13"/>
      <c r="J452" s="13"/>
      <c r="K452" s="13"/>
      <c r="L452" s="14"/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12"/>
      <c r="B453" s="10"/>
      <c r="C453" s="11"/>
      <c r="D453" s="13"/>
      <c r="E453" s="13"/>
      <c r="F453" s="13"/>
      <c r="G453" s="2"/>
      <c r="H453" s="2"/>
      <c r="I453" s="13"/>
      <c r="J453" s="13"/>
      <c r="K453" s="13"/>
      <c r="L453" s="14"/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2"/>
      <c r="B454" s="10"/>
      <c r="C454" s="11"/>
      <c r="D454" s="13"/>
      <c r="E454" s="13"/>
      <c r="F454" s="13"/>
      <c r="G454" s="2"/>
      <c r="H454" s="2"/>
      <c r="I454" s="13"/>
      <c r="J454" s="13"/>
      <c r="K454" s="13"/>
      <c r="L454" s="14"/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2"/>
      <c r="B455" s="10"/>
      <c r="C455" s="11"/>
      <c r="D455" s="13"/>
      <c r="E455" s="13"/>
      <c r="F455" s="13"/>
      <c r="G455" s="2"/>
      <c r="H455" s="2"/>
      <c r="I455" s="13"/>
      <c r="J455" s="13"/>
      <c r="K455" s="13"/>
      <c r="L455" s="14"/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2"/>
      <c r="B456" s="10"/>
      <c r="C456" s="11"/>
      <c r="D456" s="13"/>
      <c r="E456" s="13"/>
      <c r="F456" s="13"/>
      <c r="G456" s="2"/>
      <c r="H456" s="2"/>
      <c r="I456" s="13"/>
      <c r="J456" s="13"/>
      <c r="K456" s="13"/>
      <c r="L456" s="14"/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2"/>
      <c r="B457" s="10"/>
      <c r="C457" s="11"/>
      <c r="D457" s="13"/>
      <c r="E457" s="13"/>
      <c r="F457" s="13"/>
      <c r="G457" s="2"/>
      <c r="H457" s="2"/>
      <c r="I457" s="13"/>
      <c r="J457" s="13"/>
      <c r="K457" s="13"/>
      <c r="L457" s="14"/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2"/>
      <c r="B458" s="10"/>
      <c r="C458" s="11"/>
      <c r="D458" s="13"/>
      <c r="E458" s="13"/>
      <c r="F458" s="13"/>
      <c r="G458" s="2"/>
      <c r="H458" s="2"/>
      <c r="I458" s="13"/>
      <c r="J458" s="13"/>
      <c r="K458" s="13"/>
      <c r="L458" s="14"/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2"/>
      <c r="B459" s="10"/>
      <c r="C459" s="11"/>
      <c r="D459" s="13"/>
      <c r="E459" s="13"/>
      <c r="F459" s="13"/>
      <c r="G459" s="2"/>
      <c r="H459" s="2"/>
      <c r="I459" s="13"/>
      <c r="J459" s="13"/>
      <c r="K459" s="13"/>
      <c r="L459" s="14"/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A460" s="12"/>
      <c r="B460" s="10"/>
      <c r="C460" s="11"/>
      <c r="D460" s="13"/>
      <c r="E460" s="13"/>
      <c r="F460" s="13"/>
      <c r="G460" s="2"/>
      <c r="H460" s="2"/>
      <c r="I460" s="13"/>
      <c r="J460" s="13"/>
      <c r="K460" s="13"/>
      <c r="L460" s="14"/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A461" s="12"/>
      <c r="B461" s="10"/>
      <c r="C461" s="11"/>
      <c r="D461" s="13"/>
      <c r="E461" s="13"/>
      <c r="F461" s="13"/>
      <c r="G461" s="2"/>
      <c r="H461" s="2"/>
      <c r="I461" s="13"/>
      <c r="J461" s="13"/>
      <c r="K461" s="13"/>
      <c r="L461" s="14"/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A462" s="12"/>
      <c r="B462" s="10"/>
      <c r="C462" s="11"/>
      <c r="D462" s="13"/>
      <c r="E462" s="13"/>
      <c r="F462" s="13"/>
      <c r="G462" s="2"/>
      <c r="H462" s="2"/>
      <c r="I462" s="13"/>
      <c r="J462" s="13"/>
      <c r="K462" s="13"/>
      <c r="L462" s="14"/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A463" s="12"/>
      <c r="B463" s="10"/>
      <c r="C463" s="11"/>
      <c r="D463" s="13"/>
      <c r="E463" s="13"/>
      <c r="F463" s="13"/>
      <c r="G463" s="2"/>
      <c r="H463" s="2"/>
      <c r="I463" s="13"/>
      <c r="J463" s="13"/>
      <c r="K463" s="13"/>
      <c r="L463" s="14"/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A464" s="12"/>
      <c r="B464" s="10"/>
      <c r="C464" s="11"/>
      <c r="D464" s="13"/>
      <c r="E464" s="13"/>
      <c r="F464" s="13"/>
      <c r="G464" s="2"/>
      <c r="H464" s="2"/>
      <c r="I464" s="13"/>
      <c r="J464" s="13"/>
      <c r="K464" s="13"/>
      <c r="L464" s="14"/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2"/>
      <c r="B465" s="10"/>
      <c r="C465" s="11"/>
      <c r="D465" s="13"/>
      <c r="E465" s="13"/>
      <c r="F465" s="13"/>
      <c r="G465" s="2"/>
      <c r="H465" s="2"/>
      <c r="I465" s="13"/>
      <c r="J465" s="13"/>
      <c r="K465" s="13"/>
      <c r="L465" s="14"/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5.75" customHeight="1" x14ac:dyDescent="0.2">
      <c r="A466" s="12"/>
      <c r="B466" s="10"/>
      <c r="C466" s="11"/>
      <c r="D466" s="13"/>
      <c r="E466" s="13"/>
      <c r="F466" s="13"/>
      <c r="G466" s="2"/>
      <c r="H466" s="2"/>
      <c r="I466" s="13"/>
      <c r="J466" s="13"/>
      <c r="K466" s="13"/>
      <c r="L466" s="14"/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2"/>
      <c r="B467" s="10"/>
      <c r="C467" s="11"/>
      <c r="D467" s="13"/>
      <c r="E467" s="13"/>
      <c r="F467" s="13"/>
      <c r="G467" s="2"/>
      <c r="H467" s="2"/>
      <c r="I467" s="13"/>
      <c r="J467" s="13"/>
      <c r="K467" s="13"/>
      <c r="L467" s="14"/>
      <c r="M467" s="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2"/>
      <c r="B468" s="10"/>
      <c r="C468" s="11"/>
      <c r="D468" s="13"/>
      <c r="E468" s="13"/>
      <c r="F468" s="13"/>
      <c r="G468" s="2"/>
      <c r="H468" s="2"/>
      <c r="I468" s="13"/>
      <c r="J468" s="13"/>
      <c r="K468" s="13"/>
      <c r="L468" s="14"/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2"/>
      <c r="B469" s="10"/>
      <c r="C469" s="11"/>
      <c r="D469" s="13"/>
      <c r="E469" s="13"/>
      <c r="F469" s="13"/>
      <c r="G469" s="2"/>
      <c r="H469" s="2"/>
      <c r="I469" s="13"/>
      <c r="J469" s="13"/>
      <c r="K469" s="13"/>
      <c r="L469" s="14"/>
      <c r="M469" s="4"/>
      <c r="N469" s="2"/>
      <c r="O469" s="4"/>
      <c r="P469" s="2"/>
      <c r="Q469" s="2"/>
      <c r="R469" s="4"/>
      <c r="S469" s="2"/>
      <c r="T469" s="2"/>
      <c r="U469" s="1"/>
      <c r="V469" s="2"/>
      <c r="W469" s="2"/>
      <c r="X469" s="2"/>
      <c r="Y469" s="2"/>
      <c r="Z469" s="2"/>
    </row>
    <row r="470" spans="1:26" ht="15.75" customHeight="1" x14ac:dyDescent="0.2">
      <c r="A470" s="12"/>
      <c r="B470" s="10"/>
      <c r="C470" s="11"/>
      <c r="D470" s="13"/>
      <c r="E470" s="13"/>
      <c r="F470" s="13"/>
      <c r="G470" s="2"/>
      <c r="H470" s="2"/>
      <c r="I470" s="13"/>
      <c r="J470" s="13"/>
      <c r="K470" s="13"/>
      <c r="L470" s="14"/>
      <c r="M470" s="4"/>
      <c r="N470" s="2"/>
      <c r="O470" s="4"/>
      <c r="P470" s="2"/>
      <c r="Q470" s="2"/>
      <c r="R470" s="4"/>
      <c r="S470" s="2"/>
      <c r="T470" s="2"/>
      <c r="U470" s="1"/>
      <c r="V470" s="2"/>
      <c r="W470" s="2"/>
      <c r="X470" s="2"/>
      <c r="Y470" s="2"/>
      <c r="Z470" s="2"/>
    </row>
    <row r="471" spans="1:26" ht="15.75" customHeight="1" x14ac:dyDescent="0.2">
      <c r="A471" s="12"/>
      <c r="B471" s="10"/>
      <c r="C471" s="11"/>
      <c r="D471" s="13"/>
      <c r="E471" s="13"/>
      <c r="F471" s="13"/>
      <c r="G471" s="2"/>
      <c r="H471" s="2"/>
      <c r="I471" s="13"/>
      <c r="J471" s="13"/>
      <c r="K471" s="13"/>
      <c r="L471" s="14"/>
      <c r="M471" s="4"/>
      <c r="N471" s="2"/>
      <c r="O471" s="4"/>
      <c r="P471" s="2"/>
      <c r="Q471" s="2"/>
      <c r="R471" s="4"/>
      <c r="S471" s="2"/>
      <c r="T471" s="2"/>
      <c r="U471" s="1"/>
      <c r="V471" s="2"/>
      <c r="W471" s="2"/>
      <c r="X471" s="2"/>
      <c r="Y471" s="2"/>
      <c r="Z471" s="2"/>
    </row>
    <row r="472" spans="1:26" ht="15.75" customHeight="1" x14ac:dyDescent="0.2">
      <c r="A472" s="12"/>
      <c r="B472" s="10"/>
      <c r="C472" s="11"/>
      <c r="D472" s="13"/>
      <c r="E472" s="13"/>
      <c r="F472" s="13"/>
      <c r="G472" s="2"/>
      <c r="H472" s="2"/>
      <c r="I472" s="13"/>
      <c r="J472" s="13"/>
      <c r="K472" s="13"/>
      <c r="L472" s="14"/>
      <c r="M472" s="4"/>
      <c r="N472" s="2"/>
      <c r="O472" s="4"/>
      <c r="P472" s="2"/>
      <c r="Q472" s="2"/>
      <c r="R472" s="4"/>
      <c r="S472" s="2"/>
      <c r="T472" s="2"/>
      <c r="U472" s="1"/>
      <c r="V472" s="2"/>
      <c r="W472" s="2"/>
      <c r="X472" s="2"/>
      <c r="Y472" s="2"/>
      <c r="Z472" s="2"/>
    </row>
    <row r="473" spans="1:26" ht="15.75" customHeight="1" x14ac:dyDescent="0.2">
      <c r="A473" s="12"/>
      <c r="B473" s="10"/>
      <c r="C473" s="11"/>
      <c r="D473" s="13"/>
      <c r="E473" s="13"/>
      <c r="F473" s="13"/>
      <c r="G473" s="2"/>
      <c r="H473" s="2"/>
      <c r="I473" s="13"/>
      <c r="J473" s="13"/>
      <c r="K473" s="13"/>
      <c r="L473" s="14"/>
      <c r="M473" s="4"/>
      <c r="N473" s="2"/>
      <c r="O473" s="4"/>
      <c r="P473" s="2"/>
      <c r="Q473" s="2"/>
      <c r="R473" s="4"/>
      <c r="S473" s="2"/>
      <c r="T473" s="2"/>
      <c r="U473" s="1"/>
      <c r="V473" s="2"/>
      <c r="W473" s="2"/>
      <c r="X473" s="2"/>
      <c r="Y473" s="2"/>
      <c r="Z473" s="2"/>
    </row>
    <row r="474" spans="1:26" ht="15.75" customHeight="1" x14ac:dyDescent="0.2">
      <c r="A474" s="12"/>
      <c r="B474" s="10"/>
      <c r="C474" s="11"/>
      <c r="D474" s="13"/>
      <c r="E474" s="13"/>
      <c r="F474" s="13"/>
      <c r="G474" s="2"/>
      <c r="H474" s="2"/>
      <c r="I474" s="13"/>
      <c r="J474" s="13"/>
      <c r="K474" s="13"/>
      <c r="L474" s="14"/>
      <c r="M474" s="4"/>
      <c r="N474" s="2"/>
      <c r="O474" s="4"/>
      <c r="P474" s="2"/>
      <c r="Q474" s="2"/>
      <c r="R474" s="4"/>
      <c r="S474" s="2"/>
      <c r="T474" s="2"/>
      <c r="U474" s="1"/>
      <c r="V474" s="2"/>
      <c r="W474" s="2"/>
      <c r="X474" s="2"/>
      <c r="Y474" s="2"/>
      <c r="Z474" s="2"/>
    </row>
    <row r="475" spans="1:26" ht="15.75" customHeight="1" x14ac:dyDescent="0.2">
      <c r="A475" s="12"/>
      <c r="B475" s="10"/>
      <c r="C475" s="11"/>
      <c r="D475" s="13"/>
      <c r="E475" s="13"/>
      <c r="F475" s="13"/>
      <c r="G475" s="2"/>
      <c r="H475" s="2"/>
      <c r="I475" s="13"/>
      <c r="J475" s="13"/>
      <c r="K475" s="13"/>
      <c r="L475" s="14"/>
      <c r="M475" s="4"/>
      <c r="N475" s="2"/>
      <c r="O475" s="4"/>
      <c r="P475" s="2"/>
      <c r="Q475" s="2"/>
      <c r="R475" s="4"/>
      <c r="S475" s="2"/>
      <c r="T475" s="2"/>
      <c r="U475" s="1"/>
      <c r="V475" s="2"/>
      <c r="W475" s="2"/>
      <c r="X475" s="2"/>
      <c r="Y475" s="2"/>
      <c r="Z475" s="2"/>
    </row>
    <row r="476" spans="1:26" ht="15.75" customHeight="1" x14ac:dyDescent="0.2">
      <c r="A476" s="12"/>
      <c r="B476" s="10"/>
      <c r="C476" s="11"/>
      <c r="D476" s="13"/>
      <c r="E476" s="13"/>
      <c r="F476" s="13"/>
      <c r="G476" s="2"/>
      <c r="H476" s="2"/>
      <c r="I476" s="13"/>
      <c r="J476" s="13"/>
      <c r="K476" s="13"/>
      <c r="L476" s="14"/>
      <c r="M476" s="4"/>
      <c r="N476" s="2"/>
      <c r="O476" s="4"/>
      <c r="P476" s="2"/>
      <c r="Q476" s="2"/>
      <c r="R476" s="4"/>
      <c r="S476" s="2"/>
      <c r="T476" s="2"/>
      <c r="U476" s="1"/>
      <c r="V476" s="2"/>
      <c r="W476" s="2"/>
      <c r="X476" s="2"/>
      <c r="Y476" s="2"/>
      <c r="Z476" s="2"/>
    </row>
    <row r="477" spans="1:26" ht="15.75" customHeight="1" x14ac:dyDescent="0.2">
      <c r="A477" s="12"/>
      <c r="B477" s="10"/>
      <c r="C477" s="11"/>
      <c r="D477" s="13"/>
      <c r="E477" s="13"/>
      <c r="F477" s="13"/>
      <c r="G477" s="2"/>
      <c r="H477" s="2"/>
      <c r="I477" s="13"/>
      <c r="J477" s="13"/>
      <c r="K477" s="13"/>
      <c r="L477" s="14"/>
      <c r="M477" s="4"/>
      <c r="N477" s="2"/>
      <c r="O477" s="4"/>
      <c r="P477" s="2"/>
      <c r="Q477" s="2"/>
      <c r="R477" s="4"/>
      <c r="S477" s="2"/>
      <c r="T477" s="2"/>
      <c r="U477" s="1"/>
      <c r="V477" s="2"/>
      <c r="W477" s="2"/>
      <c r="X477" s="2"/>
      <c r="Y477" s="2"/>
      <c r="Z477" s="2"/>
    </row>
    <row r="478" spans="1:26" ht="15.75" customHeight="1" x14ac:dyDescent="0.2">
      <c r="A478" s="12"/>
      <c r="B478" s="10"/>
      <c r="C478" s="11"/>
      <c r="D478" s="13"/>
      <c r="E478" s="13"/>
      <c r="F478" s="13"/>
      <c r="G478" s="2"/>
      <c r="H478" s="2"/>
      <c r="I478" s="13"/>
      <c r="J478" s="13"/>
      <c r="K478" s="13"/>
      <c r="L478" s="14"/>
      <c r="M478" s="4"/>
      <c r="N478" s="2"/>
      <c r="O478" s="4"/>
      <c r="P478" s="2"/>
      <c r="Q478" s="2"/>
      <c r="R478" s="4"/>
      <c r="S478" s="2"/>
      <c r="T478" s="2"/>
      <c r="U478" s="1"/>
      <c r="V478" s="2"/>
      <c r="W478" s="2"/>
      <c r="X478" s="2"/>
      <c r="Y478" s="2"/>
      <c r="Z478" s="2"/>
    </row>
    <row r="479" spans="1:26" ht="15.75" customHeight="1" x14ac:dyDescent="0.2">
      <c r="A479" s="12"/>
      <c r="B479" s="10"/>
      <c r="C479" s="11"/>
      <c r="D479" s="13"/>
      <c r="E479" s="13"/>
      <c r="F479" s="13"/>
      <c r="G479" s="2"/>
      <c r="H479" s="2"/>
      <c r="I479" s="13"/>
      <c r="J479" s="13"/>
      <c r="K479" s="13"/>
      <c r="L479" s="14"/>
      <c r="M479" s="4"/>
      <c r="N479" s="2"/>
      <c r="O479" s="4"/>
      <c r="P479" s="2"/>
      <c r="Q479" s="2"/>
      <c r="R479" s="4"/>
      <c r="S479" s="2"/>
      <c r="T479" s="2"/>
      <c r="U479" s="1"/>
      <c r="V479" s="2"/>
      <c r="W479" s="2"/>
      <c r="X479" s="2"/>
      <c r="Y479" s="2"/>
      <c r="Z479" s="2"/>
    </row>
    <row r="480" spans="1:26" ht="15.75" customHeight="1" x14ac:dyDescent="0.2">
      <c r="A480" s="12"/>
      <c r="B480" s="10"/>
      <c r="C480" s="11"/>
      <c r="D480" s="13"/>
      <c r="E480" s="13"/>
      <c r="F480" s="13"/>
      <c r="G480" s="2"/>
      <c r="H480" s="2"/>
      <c r="I480" s="13"/>
      <c r="J480" s="13"/>
      <c r="K480" s="13"/>
      <c r="L480" s="14"/>
      <c r="M480" s="4"/>
      <c r="N480" s="2"/>
      <c r="O480" s="4"/>
      <c r="P480" s="2"/>
      <c r="Q480" s="2"/>
      <c r="R480" s="4"/>
      <c r="S480" s="2"/>
      <c r="T480" s="2"/>
      <c r="U480" s="1"/>
      <c r="V480" s="2"/>
      <c r="W480" s="2"/>
      <c r="X480" s="2"/>
      <c r="Y480" s="2"/>
      <c r="Z480" s="2"/>
    </row>
    <row r="481" spans="1:26" ht="15.75" customHeight="1" x14ac:dyDescent="0.2">
      <c r="A481" s="12"/>
      <c r="B481" s="10"/>
      <c r="C481" s="11"/>
      <c r="D481" s="13"/>
      <c r="E481" s="13"/>
      <c r="F481" s="13"/>
      <c r="G481" s="2"/>
      <c r="H481" s="2"/>
      <c r="I481" s="13"/>
      <c r="J481" s="13"/>
      <c r="K481" s="13"/>
      <c r="L481" s="14"/>
      <c r="M481" s="4"/>
      <c r="N481" s="2"/>
      <c r="O481" s="4"/>
      <c r="P481" s="2"/>
      <c r="Q481" s="2"/>
      <c r="R481" s="4"/>
      <c r="S481" s="2"/>
      <c r="T481" s="2"/>
      <c r="U481" s="1"/>
      <c r="V481" s="2"/>
      <c r="W481" s="2"/>
      <c r="X481" s="2"/>
      <c r="Y481" s="2"/>
      <c r="Z481" s="2"/>
    </row>
    <row r="482" spans="1:26" ht="15.75" customHeight="1" x14ac:dyDescent="0.2">
      <c r="A482" s="12"/>
      <c r="B482" s="10"/>
      <c r="C482" s="11"/>
      <c r="D482" s="13"/>
      <c r="E482" s="13"/>
      <c r="F482" s="13"/>
      <c r="G482" s="2"/>
      <c r="H482" s="2"/>
      <c r="I482" s="13"/>
      <c r="J482" s="13"/>
      <c r="K482" s="13"/>
      <c r="L482" s="14"/>
      <c r="M482" s="4"/>
      <c r="N482" s="2"/>
      <c r="O482" s="4"/>
      <c r="P482" s="2"/>
      <c r="Q482" s="2"/>
      <c r="R482" s="4"/>
      <c r="S482" s="2"/>
      <c r="T482" s="2"/>
      <c r="U482" s="1"/>
      <c r="V482" s="2"/>
      <c r="W482" s="2"/>
      <c r="X482" s="2"/>
      <c r="Y482" s="2"/>
      <c r="Z482" s="2"/>
    </row>
    <row r="483" spans="1:26" ht="15.75" customHeight="1" x14ac:dyDescent="0.2">
      <c r="A483" s="12"/>
      <c r="B483" s="10"/>
      <c r="C483" s="11"/>
      <c r="D483" s="13"/>
      <c r="E483" s="13"/>
      <c r="F483" s="13"/>
      <c r="G483" s="2"/>
      <c r="H483" s="2"/>
      <c r="I483" s="13"/>
      <c r="J483" s="13"/>
      <c r="K483" s="13"/>
      <c r="L483" s="14"/>
      <c r="M483" s="4"/>
      <c r="N483" s="2"/>
      <c r="O483" s="4"/>
      <c r="P483" s="2"/>
      <c r="Q483" s="2"/>
      <c r="R483" s="4"/>
      <c r="S483" s="2"/>
      <c r="T483" s="2"/>
      <c r="U483" s="1"/>
      <c r="V483" s="2"/>
      <c r="W483" s="2"/>
      <c r="X483" s="2"/>
      <c r="Y483" s="2"/>
      <c r="Z483" s="2"/>
    </row>
    <row r="484" spans="1:26" ht="15.75" customHeight="1" x14ac:dyDescent="0.2">
      <c r="A484" s="12"/>
      <c r="B484" s="10"/>
      <c r="C484" s="11"/>
      <c r="D484" s="13"/>
      <c r="E484" s="13"/>
      <c r="F484" s="13"/>
      <c r="G484" s="2"/>
      <c r="H484" s="2"/>
      <c r="I484" s="13"/>
      <c r="J484" s="13"/>
      <c r="K484" s="13"/>
      <c r="L484" s="14"/>
      <c r="M484" s="4"/>
      <c r="N484" s="2"/>
      <c r="O484" s="4"/>
      <c r="P484" s="2"/>
      <c r="Q484" s="2"/>
      <c r="R484" s="4"/>
      <c r="S484" s="2"/>
      <c r="T484" s="2"/>
      <c r="U484" s="1"/>
      <c r="V484" s="2"/>
      <c r="W484" s="2"/>
      <c r="X484" s="2"/>
      <c r="Y484" s="2"/>
      <c r="Z484" s="2"/>
    </row>
    <row r="485" spans="1:26" ht="15.75" customHeight="1" x14ac:dyDescent="0.2">
      <c r="A485" s="12"/>
      <c r="B485" s="10"/>
      <c r="C485" s="11"/>
      <c r="D485" s="13"/>
      <c r="E485" s="13"/>
      <c r="F485" s="13"/>
      <c r="G485" s="2"/>
      <c r="H485" s="2"/>
      <c r="I485" s="13"/>
      <c r="J485" s="13"/>
      <c r="K485" s="13"/>
      <c r="L485" s="14"/>
      <c r="M485" s="4"/>
      <c r="N485" s="2"/>
      <c r="O485" s="4"/>
      <c r="P485" s="2"/>
      <c r="Q485" s="2"/>
      <c r="R485" s="4"/>
      <c r="S485" s="2"/>
      <c r="T485" s="2"/>
      <c r="U485" s="1"/>
      <c r="V485" s="2"/>
      <c r="W485" s="2"/>
      <c r="X485" s="2"/>
      <c r="Y485" s="2"/>
      <c r="Z485" s="2"/>
    </row>
    <row r="486" spans="1:26" ht="15.75" customHeight="1" x14ac:dyDescent="0.2">
      <c r="A486" s="12"/>
      <c r="B486" s="10"/>
      <c r="C486" s="11"/>
      <c r="D486" s="13"/>
      <c r="E486" s="13"/>
      <c r="F486" s="13"/>
      <c r="G486" s="2"/>
      <c r="H486" s="2"/>
      <c r="I486" s="13"/>
      <c r="J486" s="13"/>
      <c r="K486" s="13"/>
      <c r="L486" s="14"/>
      <c r="M486" s="4"/>
      <c r="N486" s="2"/>
      <c r="O486" s="4"/>
      <c r="P486" s="2"/>
      <c r="Q486" s="2"/>
      <c r="R486" s="4"/>
      <c r="S486" s="2"/>
      <c r="T486" s="2"/>
      <c r="U486" s="1"/>
      <c r="V486" s="2"/>
      <c r="W486" s="2"/>
      <c r="X486" s="2"/>
      <c r="Y486" s="2"/>
      <c r="Z486" s="2"/>
    </row>
    <row r="487" spans="1:26" ht="15.75" customHeight="1" x14ac:dyDescent="0.2">
      <c r="A487" s="12"/>
      <c r="B487" s="10"/>
      <c r="C487" s="11"/>
      <c r="D487" s="13"/>
      <c r="E487" s="13"/>
      <c r="F487" s="13"/>
      <c r="G487" s="2"/>
      <c r="H487" s="2"/>
      <c r="I487" s="13"/>
      <c r="J487" s="13"/>
      <c r="K487" s="13"/>
      <c r="L487" s="14"/>
      <c r="M487" s="4"/>
      <c r="N487" s="2"/>
      <c r="O487" s="4"/>
      <c r="P487" s="2"/>
      <c r="Q487" s="2"/>
      <c r="R487" s="4"/>
      <c r="S487" s="2"/>
      <c r="T487" s="2"/>
      <c r="U487" s="1"/>
      <c r="V487" s="2"/>
      <c r="W487" s="2"/>
      <c r="X487" s="2"/>
      <c r="Y487" s="2"/>
      <c r="Z487" s="2"/>
    </row>
    <row r="488" spans="1:26" ht="15.75" customHeight="1" x14ac:dyDescent="0.2">
      <c r="A488" s="12"/>
      <c r="B488" s="10"/>
      <c r="C488" s="11"/>
      <c r="D488" s="13"/>
      <c r="E488" s="13"/>
      <c r="F488" s="13"/>
      <c r="G488" s="2"/>
      <c r="H488" s="2"/>
      <c r="I488" s="13"/>
      <c r="J488" s="13"/>
      <c r="K488" s="13"/>
      <c r="L488" s="14"/>
      <c r="M488" s="4"/>
      <c r="N488" s="2"/>
      <c r="O488" s="4"/>
      <c r="P488" s="2"/>
      <c r="Q488" s="2"/>
      <c r="R488" s="4"/>
      <c r="S488" s="2"/>
      <c r="T488" s="2"/>
      <c r="U488" s="1"/>
      <c r="V488" s="2"/>
      <c r="W488" s="2"/>
      <c r="X488" s="2"/>
      <c r="Y488" s="2"/>
      <c r="Z488" s="2"/>
    </row>
    <row r="489" spans="1:26" ht="15.75" customHeight="1" x14ac:dyDescent="0.2">
      <c r="A489" s="12"/>
      <c r="B489" s="10"/>
      <c r="C489" s="11"/>
      <c r="D489" s="13"/>
      <c r="E489" s="13"/>
      <c r="F489" s="13"/>
      <c r="G489" s="2"/>
      <c r="H489" s="2"/>
      <c r="I489" s="13"/>
      <c r="J489" s="13"/>
      <c r="K489" s="13"/>
      <c r="L489" s="14"/>
      <c r="M489" s="4"/>
      <c r="N489" s="2"/>
      <c r="O489" s="4"/>
      <c r="P489" s="2"/>
      <c r="Q489" s="2"/>
      <c r="R489" s="4"/>
      <c r="S489" s="2"/>
      <c r="T489" s="2"/>
      <c r="U489" s="1"/>
      <c r="V489" s="2"/>
      <c r="W489" s="2"/>
      <c r="X489" s="2"/>
      <c r="Y489" s="2"/>
      <c r="Z489" s="2"/>
    </row>
    <row r="490" spans="1:26" ht="15.75" customHeight="1" x14ac:dyDescent="0.2">
      <c r="A490" s="12"/>
      <c r="B490" s="10"/>
      <c r="C490" s="11"/>
      <c r="D490" s="13"/>
      <c r="E490" s="13"/>
      <c r="F490" s="13"/>
      <c r="G490" s="2"/>
      <c r="H490" s="2"/>
      <c r="I490" s="13"/>
      <c r="J490" s="13"/>
      <c r="K490" s="13"/>
      <c r="L490" s="14"/>
      <c r="M490" s="4"/>
      <c r="N490" s="2"/>
      <c r="O490" s="4"/>
      <c r="P490" s="2"/>
      <c r="Q490" s="2"/>
      <c r="R490" s="4"/>
      <c r="S490" s="2"/>
      <c r="T490" s="2"/>
      <c r="U490" s="1"/>
      <c r="V490" s="2"/>
      <c r="W490" s="2"/>
      <c r="X490" s="2"/>
      <c r="Y490" s="2"/>
      <c r="Z490" s="2"/>
    </row>
    <row r="491" spans="1:26" ht="15.75" customHeight="1" x14ac:dyDescent="0.2">
      <c r="A491" s="12"/>
      <c r="B491" s="10"/>
      <c r="C491" s="11"/>
      <c r="D491" s="13"/>
      <c r="E491" s="13"/>
      <c r="F491" s="13"/>
      <c r="G491" s="2"/>
      <c r="H491" s="2"/>
      <c r="I491" s="13"/>
      <c r="J491" s="13"/>
      <c r="K491" s="13"/>
      <c r="L491" s="14"/>
      <c r="M491" s="4"/>
      <c r="N491" s="2"/>
      <c r="O491" s="4"/>
      <c r="P491" s="2"/>
      <c r="Q491" s="2"/>
      <c r="R491" s="4"/>
      <c r="S491" s="2"/>
      <c r="T491" s="2"/>
      <c r="U491" s="1"/>
      <c r="V491" s="2"/>
      <c r="W491" s="2"/>
      <c r="X491" s="2"/>
      <c r="Y491" s="2"/>
      <c r="Z491" s="2"/>
    </row>
    <row r="492" spans="1:26" ht="15.75" customHeight="1" x14ac:dyDescent="0.2">
      <c r="A492" s="12"/>
      <c r="B492" s="10"/>
      <c r="C492" s="11"/>
      <c r="D492" s="13"/>
      <c r="E492" s="13"/>
      <c r="F492" s="13"/>
      <c r="G492" s="2"/>
      <c r="H492" s="2"/>
      <c r="I492" s="13"/>
      <c r="J492" s="13"/>
      <c r="K492" s="13"/>
      <c r="L492" s="14"/>
      <c r="M492" s="4"/>
      <c r="N492" s="2"/>
      <c r="O492" s="4"/>
      <c r="P492" s="2"/>
      <c r="Q492" s="2"/>
      <c r="R492" s="4"/>
      <c r="S492" s="2"/>
      <c r="T492" s="2"/>
      <c r="U492" s="1"/>
      <c r="V492" s="2"/>
      <c r="W492" s="2"/>
      <c r="X492" s="2"/>
      <c r="Y492" s="2"/>
      <c r="Z492" s="2"/>
    </row>
    <row r="493" spans="1:26" ht="15.75" customHeight="1" x14ac:dyDescent="0.2">
      <c r="A493" s="12"/>
      <c r="B493" s="10"/>
      <c r="C493" s="11"/>
      <c r="D493" s="13"/>
      <c r="E493" s="13"/>
      <c r="F493" s="13"/>
      <c r="G493" s="2"/>
      <c r="H493" s="2"/>
      <c r="I493" s="13"/>
      <c r="J493" s="13"/>
      <c r="K493" s="13"/>
      <c r="L493" s="14"/>
      <c r="M493" s="4"/>
      <c r="N493" s="2"/>
      <c r="O493" s="4"/>
      <c r="P493" s="2"/>
      <c r="Q493" s="2"/>
      <c r="R493" s="4"/>
      <c r="S493" s="2"/>
      <c r="T493" s="2"/>
      <c r="U493" s="1"/>
      <c r="V493" s="2"/>
      <c r="W493" s="2"/>
      <c r="X493" s="2"/>
      <c r="Y493" s="2"/>
      <c r="Z493" s="2"/>
    </row>
    <row r="494" spans="1:26" ht="15.75" customHeight="1" x14ac:dyDescent="0.2">
      <c r="A494" s="12"/>
      <c r="B494" s="10"/>
      <c r="C494" s="11"/>
      <c r="D494" s="13"/>
      <c r="E494" s="13"/>
      <c r="F494" s="13"/>
      <c r="G494" s="2"/>
      <c r="H494" s="2"/>
      <c r="I494" s="13"/>
      <c r="J494" s="13"/>
      <c r="K494" s="13"/>
      <c r="L494" s="14"/>
      <c r="M494" s="4"/>
      <c r="N494" s="2"/>
      <c r="O494" s="4"/>
      <c r="P494" s="2"/>
      <c r="Q494" s="2"/>
      <c r="R494" s="4"/>
      <c r="S494" s="2"/>
      <c r="T494" s="2"/>
      <c r="U494" s="1"/>
      <c r="V494" s="2"/>
      <c r="W494" s="2"/>
      <c r="X494" s="2"/>
      <c r="Y494" s="2"/>
      <c r="Z494" s="2"/>
    </row>
    <row r="495" spans="1:26" ht="15.75" customHeight="1" x14ac:dyDescent="0.2">
      <c r="A495" s="12"/>
      <c r="B495" s="10"/>
      <c r="C495" s="11"/>
      <c r="D495" s="13"/>
      <c r="E495" s="13"/>
      <c r="F495" s="13"/>
      <c r="G495" s="2"/>
      <c r="H495" s="2"/>
      <c r="I495" s="13"/>
      <c r="J495" s="13"/>
      <c r="K495" s="13"/>
      <c r="L495" s="14"/>
      <c r="M495" s="4"/>
      <c r="N495" s="2"/>
      <c r="O495" s="4"/>
      <c r="P495" s="2"/>
      <c r="Q495" s="2"/>
      <c r="R495" s="4"/>
      <c r="S495" s="2"/>
      <c r="T495" s="2"/>
      <c r="U495" s="1"/>
      <c r="V495" s="2"/>
      <c r="W495" s="2"/>
      <c r="X495" s="2"/>
      <c r="Y495" s="2"/>
      <c r="Z495" s="2"/>
    </row>
    <row r="496" spans="1:26" ht="15.75" customHeight="1" x14ac:dyDescent="0.2">
      <c r="A496" s="12"/>
      <c r="B496" s="10"/>
      <c r="C496" s="11"/>
      <c r="D496" s="13"/>
      <c r="E496" s="13"/>
      <c r="F496" s="13"/>
      <c r="G496" s="2"/>
      <c r="H496" s="2"/>
      <c r="I496" s="13"/>
      <c r="J496" s="13"/>
      <c r="K496" s="13"/>
      <c r="L496" s="14"/>
      <c r="M496" s="4"/>
      <c r="N496" s="2"/>
      <c r="O496" s="4"/>
      <c r="P496" s="2"/>
      <c r="Q496" s="2"/>
      <c r="R496" s="4"/>
      <c r="S496" s="2"/>
      <c r="T496" s="2"/>
      <c r="U496" s="1"/>
      <c r="V496" s="2"/>
      <c r="W496" s="2"/>
      <c r="X496" s="2"/>
      <c r="Y496" s="2"/>
      <c r="Z496" s="2"/>
    </row>
    <row r="497" spans="1:26" ht="15.75" customHeight="1" x14ac:dyDescent="0.2">
      <c r="A497" s="12"/>
      <c r="B497" s="10"/>
      <c r="C497" s="11"/>
      <c r="D497" s="13"/>
      <c r="E497" s="13"/>
      <c r="F497" s="13"/>
      <c r="G497" s="2"/>
      <c r="H497" s="2"/>
      <c r="I497" s="13"/>
      <c r="J497" s="13"/>
      <c r="K497" s="13"/>
      <c r="L497" s="14"/>
      <c r="M497" s="4"/>
      <c r="N497" s="2"/>
      <c r="O497" s="4"/>
      <c r="P497" s="2"/>
      <c r="Q497" s="2"/>
      <c r="R497" s="4"/>
      <c r="S497" s="2"/>
      <c r="T497" s="2"/>
      <c r="U497" s="1"/>
      <c r="V497" s="2"/>
      <c r="W497" s="2"/>
      <c r="X497" s="2"/>
      <c r="Y497" s="2"/>
      <c r="Z497" s="2"/>
    </row>
    <row r="498" spans="1:26" ht="15.75" customHeight="1" x14ac:dyDescent="0.2">
      <c r="A498" s="12"/>
      <c r="B498" s="10"/>
      <c r="C498" s="11"/>
      <c r="D498" s="13"/>
      <c r="E498" s="13"/>
      <c r="F498" s="13"/>
      <c r="G498" s="2"/>
      <c r="H498" s="2"/>
      <c r="I498" s="13"/>
      <c r="J498" s="13"/>
      <c r="K498" s="13"/>
      <c r="L498" s="14"/>
      <c r="M498" s="4"/>
      <c r="N498" s="2"/>
      <c r="O498" s="4"/>
      <c r="P498" s="2"/>
      <c r="Q498" s="2"/>
      <c r="R498" s="4"/>
      <c r="S498" s="2"/>
      <c r="T498" s="2"/>
      <c r="U498" s="1"/>
      <c r="V498" s="2"/>
      <c r="W498" s="2"/>
      <c r="X498" s="2"/>
      <c r="Y498" s="2"/>
      <c r="Z498" s="2"/>
    </row>
    <row r="499" spans="1:26" ht="15.75" customHeight="1" x14ac:dyDescent="0.2">
      <c r="A499" s="12"/>
      <c r="B499" s="10"/>
      <c r="C499" s="11"/>
      <c r="D499" s="13"/>
      <c r="E499" s="13"/>
      <c r="F499" s="13"/>
      <c r="G499" s="2"/>
      <c r="H499" s="2"/>
      <c r="I499" s="13"/>
      <c r="J499" s="13"/>
      <c r="K499" s="13"/>
      <c r="L499" s="14"/>
      <c r="M499" s="4"/>
      <c r="N499" s="2"/>
      <c r="O499" s="4"/>
      <c r="P499" s="2"/>
      <c r="Q499" s="2"/>
      <c r="R499" s="4"/>
      <c r="S499" s="2"/>
      <c r="T499" s="2"/>
      <c r="U499" s="1"/>
      <c r="V499" s="2"/>
      <c r="W499" s="2"/>
      <c r="X499" s="2"/>
      <c r="Y499" s="2"/>
      <c r="Z499" s="2"/>
    </row>
    <row r="500" spans="1:26" ht="15.75" customHeight="1" x14ac:dyDescent="0.2">
      <c r="A500" s="12"/>
      <c r="B500" s="10"/>
      <c r="C500" s="11"/>
      <c r="D500" s="13"/>
      <c r="E500" s="13"/>
      <c r="F500" s="13"/>
      <c r="G500" s="2"/>
      <c r="H500" s="2"/>
      <c r="I500" s="13"/>
      <c r="J500" s="13"/>
      <c r="K500" s="13"/>
      <c r="L500" s="14"/>
      <c r="M500" s="4"/>
      <c r="N500" s="2"/>
      <c r="O500" s="4"/>
      <c r="P500" s="2"/>
      <c r="Q500" s="2"/>
      <c r="R500" s="4"/>
      <c r="S500" s="2"/>
      <c r="T500" s="2"/>
      <c r="U500" s="1"/>
      <c r="V500" s="2"/>
      <c r="W500" s="2"/>
      <c r="X500" s="2"/>
      <c r="Y500" s="2"/>
      <c r="Z500" s="2"/>
    </row>
    <row r="501" spans="1:26" ht="15.75" customHeight="1" x14ac:dyDescent="0.2">
      <c r="A501" s="12"/>
      <c r="B501" s="10"/>
      <c r="C501" s="11"/>
      <c r="D501" s="13"/>
      <c r="E501" s="13"/>
      <c r="F501" s="13"/>
      <c r="G501" s="2"/>
      <c r="H501" s="2"/>
      <c r="I501" s="13"/>
      <c r="J501" s="13"/>
      <c r="K501" s="13"/>
      <c r="L501" s="14"/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ht="15.75" customHeight="1" x14ac:dyDescent="0.2">
      <c r="A502" s="12"/>
      <c r="B502" s="10"/>
      <c r="C502" s="11"/>
      <c r="D502" s="13"/>
      <c r="E502" s="13"/>
      <c r="F502" s="13"/>
      <c r="G502" s="2"/>
      <c r="H502" s="2"/>
      <c r="I502" s="13"/>
      <c r="J502" s="13"/>
      <c r="K502" s="13"/>
      <c r="L502" s="14"/>
      <c r="M502" s="4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ht="15.75" customHeight="1" x14ac:dyDescent="0.2">
      <c r="A503" s="12"/>
      <c r="B503" s="10"/>
      <c r="C503" s="11"/>
      <c r="D503" s="13"/>
      <c r="E503" s="13"/>
      <c r="F503" s="13"/>
      <c r="G503" s="2"/>
      <c r="H503" s="2"/>
      <c r="I503" s="13"/>
      <c r="J503" s="13"/>
      <c r="K503" s="13"/>
      <c r="L503" s="14"/>
      <c r="M503" s="4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ht="15.75" customHeight="1" x14ac:dyDescent="0.2">
      <c r="A504" s="12"/>
      <c r="B504" s="10"/>
      <c r="C504" s="11"/>
      <c r="D504" s="13"/>
      <c r="E504" s="13"/>
      <c r="F504" s="13"/>
      <c r="G504" s="2"/>
      <c r="H504" s="2"/>
      <c r="I504" s="13"/>
      <c r="J504" s="13"/>
      <c r="K504" s="13"/>
      <c r="L504" s="14"/>
      <c r="M504" s="4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ht="15.75" customHeight="1" x14ac:dyDescent="0.2">
      <c r="A505" s="12"/>
      <c r="B505" s="10"/>
      <c r="C505" s="11"/>
      <c r="D505" s="13"/>
      <c r="E505" s="13"/>
      <c r="F505" s="13"/>
      <c r="G505" s="2"/>
      <c r="H505" s="2"/>
      <c r="I505" s="13"/>
      <c r="J505" s="13"/>
      <c r="K505" s="13"/>
      <c r="L505" s="14"/>
      <c r="M505" s="4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ht="15.75" customHeight="1" x14ac:dyDescent="0.2">
      <c r="A506" s="12"/>
      <c r="B506" s="10"/>
      <c r="C506" s="11"/>
      <c r="D506" s="13"/>
      <c r="E506" s="13"/>
      <c r="F506" s="13"/>
      <c r="G506" s="2"/>
      <c r="H506" s="2"/>
      <c r="I506" s="13"/>
      <c r="J506" s="13"/>
      <c r="K506" s="13"/>
      <c r="L506" s="14"/>
      <c r="M506" s="4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ht="15.75" customHeight="1" x14ac:dyDescent="0.2">
      <c r="A507" s="12"/>
      <c r="B507" s="10"/>
      <c r="C507" s="11"/>
      <c r="D507" s="13"/>
      <c r="E507" s="13"/>
      <c r="F507" s="13"/>
      <c r="G507" s="2"/>
      <c r="H507" s="2"/>
      <c r="I507" s="13"/>
      <c r="J507" s="13"/>
      <c r="K507" s="13"/>
      <c r="L507" s="14"/>
      <c r="M507" s="4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ht="15.75" customHeight="1" x14ac:dyDescent="0.2">
      <c r="A508" s="12"/>
      <c r="B508" s="10"/>
      <c r="C508" s="11"/>
      <c r="D508" s="13"/>
      <c r="E508" s="13"/>
      <c r="F508" s="13"/>
      <c r="G508" s="2"/>
      <c r="H508" s="2"/>
      <c r="I508" s="13"/>
      <c r="J508" s="13"/>
      <c r="K508" s="13"/>
      <c r="L508" s="14"/>
      <c r="M508" s="4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ht="15.75" customHeight="1" x14ac:dyDescent="0.2">
      <c r="A509" s="12"/>
      <c r="B509" s="10"/>
      <c r="C509" s="11"/>
      <c r="D509" s="13"/>
      <c r="E509" s="13"/>
      <c r="F509" s="13"/>
      <c r="G509" s="2"/>
      <c r="H509" s="2"/>
      <c r="I509" s="13"/>
      <c r="J509" s="13"/>
      <c r="K509" s="13"/>
      <c r="L509" s="14"/>
      <c r="M509" s="4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ht="15.75" customHeight="1" x14ac:dyDescent="0.2">
      <c r="A510" s="12"/>
      <c r="B510" s="10"/>
      <c r="C510" s="11"/>
      <c r="D510" s="13"/>
      <c r="E510" s="13"/>
      <c r="F510" s="13"/>
      <c r="G510" s="2"/>
      <c r="H510" s="2"/>
      <c r="I510" s="13"/>
      <c r="J510" s="13"/>
      <c r="K510" s="13"/>
      <c r="L510" s="14"/>
      <c r="M510" s="4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ht="15.75" customHeight="1" x14ac:dyDescent="0.2">
      <c r="A511" s="12"/>
      <c r="B511" s="10"/>
      <c r="C511" s="11"/>
      <c r="D511" s="13"/>
      <c r="E511" s="13"/>
      <c r="F511" s="13"/>
      <c r="G511" s="2"/>
      <c r="H511" s="2"/>
      <c r="I511" s="13"/>
      <c r="J511" s="13"/>
      <c r="K511" s="13"/>
      <c r="L511" s="14"/>
      <c r="M511" s="4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ht="15.75" customHeight="1" x14ac:dyDescent="0.2">
      <c r="A512" s="12"/>
      <c r="B512" s="10"/>
      <c r="C512" s="11"/>
      <c r="D512" s="13"/>
      <c r="E512" s="13"/>
      <c r="F512" s="13"/>
      <c r="G512" s="2"/>
      <c r="H512" s="2"/>
      <c r="I512" s="13"/>
      <c r="J512" s="13"/>
      <c r="K512" s="13"/>
      <c r="L512" s="14"/>
      <c r="M512" s="4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ht="15.75" customHeight="1" x14ac:dyDescent="0.2">
      <c r="A513" s="12"/>
      <c r="B513" s="10"/>
      <c r="C513" s="11"/>
      <c r="D513" s="13"/>
      <c r="E513" s="13"/>
      <c r="F513" s="13"/>
      <c r="G513" s="2"/>
      <c r="H513" s="2"/>
      <c r="I513" s="13"/>
      <c r="J513" s="13"/>
      <c r="K513" s="13"/>
      <c r="L513" s="14"/>
      <c r="M513" s="4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ht="15.75" customHeight="1" x14ac:dyDescent="0.2">
      <c r="A514" s="12"/>
      <c r="B514" s="10"/>
      <c r="C514" s="11"/>
      <c r="D514" s="13"/>
      <c r="E514" s="13"/>
      <c r="F514" s="13"/>
      <c r="G514" s="2"/>
      <c r="H514" s="2"/>
      <c r="I514" s="13"/>
      <c r="J514" s="13"/>
      <c r="K514" s="13"/>
      <c r="L514" s="14"/>
      <c r="M514" s="4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ht="15.75" customHeight="1" x14ac:dyDescent="0.2">
      <c r="A515" s="12"/>
      <c r="B515" s="10"/>
      <c r="C515" s="11"/>
      <c r="D515" s="13"/>
      <c r="E515" s="13"/>
      <c r="F515" s="13"/>
      <c r="G515" s="2"/>
      <c r="H515" s="2"/>
      <c r="I515" s="13"/>
      <c r="J515" s="13"/>
      <c r="K515" s="13"/>
      <c r="L515" s="14"/>
      <c r="M515" s="4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ht="15.75" customHeight="1" x14ac:dyDescent="0.2">
      <c r="A516" s="12"/>
      <c r="B516" s="10"/>
      <c r="C516" s="11"/>
      <c r="D516" s="13"/>
      <c r="E516" s="13"/>
      <c r="F516" s="13"/>
      <c r="G516" s="2"/>
      <c r="H516" s="2"/>
      <c r="I516" s="13"/>
      <c r="J516" s="13"/>
      <c r="K516" s="13"/>
      <c r="L516" s="14"/>
      <c r="M516" s="4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ht="15.75" customHeight="1" x14ac:dyDescent="0.2">
      <c r="A517" s="12"/>
      <c r="B517" s="10"/>
      <c r="C517" s="11"/>
      <c r="D517" s="13"/>
      <c r="E517" s="13"/>
      <c r="F517" s="13"/>
      <c r="G517" s="2"/>
      <c r="H517" s="2"/>
      <c r="I517" s="13"/>
      <c r="J517" s="13"/>
      <c r="K517" s="13"/>
      <c r="L517" s="14"/>
      <c r="M517" s="4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ht="15.75" customHeight="1" x14ac:dyDescent="0.2">
      <c r="A518" s="12"/>
      <c r="B518" s="10"/>
      <c r="C518" s="11"/>
      <c r="D518" s="13"/>
      <c r="E518" s="13"/>
      <c r="F518" s="13"/>
      <c r="G518" s="2"/>
      <c r="H518" s="2"/>
      <c r="I518" s="13"/>
      <c r="J518" s="13"/>
      <c r="K518" s="13"/>
      <c r="L518" s="14"/>
      <c r="M518" s="4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ht="15.75" customHeight="1" x14ac:dyDescent="0.2">
      <c r="A519" s="12"/>
      <c r="B519" s="10"/>
      <c r="C519" s="11"/>
      <c r="D519" s="13"/>
      <c r="E519" s="13"/>
      <c r="F519" s="13"/>
      <c r="G519" s="2"/>
      <c r="H519" s="2"/>
      <c r="I519" s="13"/>
      <c r="J519" s="13"/>
      <c r="K519" s="13"/>
      <c r="L519" s="14"/>
      <c r="M519" s="4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ht="15.75" customHeight="1" x14ac:dyDescent="0.2">
      <c r="A520" s="12"/>
      <c r="B520" s="10"/>
      <c r="C520" s="11"/>
      <c r="D520" s="13"/>
      <c r="E520" s="13"/>
      <c r="F520" s="13"/>
      <c r="G520" s="2"/>
      <c r="H520" s="2"/>
      <c r="I520" s="13"/>
      <c r="J520" s="13"/>
      <c r="K520" s="13"/>
      <c r="L520" s="14"/>
      <c r="M520" s="4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ht="15.75" customHeight="1" x14ac:dyDescent="0.2">
      <c r="A521" s="12"/>
      <c r="B521" s="10"/>
      <c r="C521" s="11"/>
      <c r="D521" s="13"/>
      <c r="E521" s="13"/>
      <c r="F521" s="13"/>
      <c r="G521" s="2"/>
      <c r="H521" s="2"/>
      <c r="I521" s="13"/>
      <c r="J521" s="13"/>
      <c r="K521" s="13"/>
      <c r="L521" s="14"/>
      <c r="M521" s="4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ht="15.75" customHeight="1" x14ac:dyDescent="0.2">
      <c r="A522" s="12"/>
      <c r="B522" s="10"/>
      <c r="C522" s="11"/>
      <c r="D522" s="13"/>
      <c r="E522" s="13"/>
      <c r="F522" s="13"/>
      <c r="G522" s="2"/>
      <c r="H522" s="2"/>
      <c r="I522" s="13"/>
      <c r="J522" s="13"/>
      <c r="K522" s="13"/>
      <c r="L522" s="14"/>
      <c r="M522" s="4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ht="15.75" customHeight="1" x14ac:dyDescent="0.2">
      <c r="A523" s="12"/>
      <c r="B523" s="10"/>
      <c r="C523" s="11"/>
      <c r="D523" s="13"/>
      <c r="E523" s="13"/>
      <c r="F523" s="13"/>
      <c r="G523" s="2"/>
      <c r="H523" s="2"/>
      <c r="I523" s="13"/>
      <c r="J523" s="13"/>
      <c r="K523" s="13"/>
      <c r="L523" s="14"/>
      <c r="M523" s="4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ht="15.75" customHeight="1" x14ac:dyDescent="0.2">
      <c r="A524" s="12"/>
      <c r="B524" s="10"/>
      <c r="C524" s="11"/>
      <c r="D524" s="13"/>
      <c r="E524" s="13"/>
      <c r="F524" s="13"/>
      <c r="G524" s="2"/>
      <c r="H524" s="2"/>
      <c r="I524" s="13"/>
      <c r="J524" s="13"/>
      <c r="K524" s="13"/>
      <c r="L524" s="14"/>
      <c r="M524" s="4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ht="15.75" customHeight="1" x14ac:dyDescent="0.2">
      <c r="A525" s="12"/>
      <c r="B525" s="10"/>
      <c r="C525" s="11"/>
      <c r="D525" s="13"/>
      <c r="E525" s="13"/>
      <c r="F525" s="13"/>
      <c r="G525" s="2"/>
      <c r="H525" s="2"/>
      <c r="I525" s="13"/>
      <c r="J525" s="13"/>
      <c r="K525" s="13"/>
      <c r="L525" s="14"/>
      <c r="M525" s="4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ht="15.75" customHeight="1" x14ac:dyDescent="0.2">
      <c r="A526" s="12"/>
      <c r="B526" s="10"/>
      <c r="C526" s="11"/>
      <c r="D526" s="13"/>
      <c r="E526" s="13"/>
      <c r="F526" s="13"/>
      <c r="G526" s="2"/>
      <c r="H526" s="2"/>
      <c r="I526" s="13"/>
      <c r="J526" s="13"/>
      <c r="K526" s="13"/>
      <c r="L526" s="14"/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ht="15.75" customHeight="1" x14ac:dyDescent="0.2">
      <c r="A527" s="12"/>
      <c r="B527" s="10"/>
      <c r="C527" s="11"/>
      <c r="D527" s="13"/>
      <c r="E527" s="13"/>
      <c r="F527" s="13"/>
      <c r="G527" s="2"/>
      <c r="H527" s="2"/>
      <c r="I527" s="13"/>
      <c r="J527" s="13"/>
      <c r="K527" s="13"/>
      <c r="L527" s="14"/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A528" s="12"/>
      <c r="B528" s="10"/>
      <c r="C528" s="11"/>
      <c r="D528" s="13"/>
      <c r="E528" s="13"/>
      <c r="F528" s="13"/>
      <c r="G528" s="2"/>
      <c r="H528" s="2"/>
      <c r="I528" s="13"/>
      <c r="J528" s="13"/>
      <c r="K528" s="13"/>
      <c r="L528" s="14"/>
      <c r="M528" s="4"/>
      <c r="N528" s="2"/>
      <c r="O528" s="4"/>
      <c r="P528" s="2"/>
      <c r="Q528" s="2"/>
      <c r="R528" s="4"/>
      <c r="S528" s="2"/>
      <c r="T528" s="2"/>
      <c r="U528" s="1"/>
      <c r="V528" s="2"/>
      <c r="W528" s="2"/>
      <c r="X528" s="2"/>
      <c r="Y528" s="2"/>
      <c r="Z528" s="2"/>
    </row>
    <row r="529" spans="1:26" ht="15.75" customHeight="1" x14ac:dyDescent="0.2">
      <c r="A529" s="12"/>
      <c r="B529" s="10"/>
      <c r="C529" s="11"/>
      <c r="D529" s="13"/>
      <c r="E529" s="13"/>
      <c r="F529" s="13"/>
      <c r="G529" s="2"/>
      <c r="H529" s="2"/>
      <c r="I529" s="13"/>
      <c r="J529" s="13"/>
      <c r="K529" s="13"/>
      <c r="L529" s="14"/>
      <c r="M529" s="4"/>
      <c r="N529" s="2"/>
      <c r="O529" s="4"/>
      <c r="P529" s="2"/>
      <c r="Q529" s="2"/>
      <c r="R529" s="4"/>
      <c r="S529" s="2"/>
      <c r="T529" s="2"/>
      <c r="U529" s="1"/>
      <c r="V529" s="2"/>
      <c r="W529" s="2"/>
      <c r="X529" s="2"/>
      <c r="Y529" s="2"/>
      <c r="Z529" s="2"/>
    </row>
    <row r="530" spans="1:26" ht="15.75" customHeight="1" x14ac:dyDescent="0.2">
      <c r="A530" s="12"/>
      <c r="B530" s="10"/>
      <c r="C530" s="11"/>
      <c r="D530" s="13"/>
      <c r="E530" s="13"/>
      <c r="F530" s="13"/>
      <c r="G530" s="2"/>
      <c r="H530" s="2"/>
      <c r="I530" s="13"/>
      <c r="J530" s="13"/>
      <c r="K530" s="13"/>
      <c r="L530" s="14"/>
      <c r="M530" s="4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ht="15.75" customHeight="1" x14ac:dyDescent="0.2">
      <c r="A531" s="12"/>
      <c r="B531" s="10"/>
      <c r="C531" s="11"/>
      <c r="D531" s="13"/>
      <c r="E531" s="13"/>
      <c r="F531" s="13"/>
      <c r="G531" s="2"/>
      <c r="H531" s="2"/>
      <c r="I531" s="13"/>
      <c r="J531" s="13"/>
      <c r="K531" s="13"/>
      <c r="L531" s="14"/>
      <c r="M531" s="4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ht="15.75" customHeight="1" x14ac:dyDescent="0.2">
      <c r="A532" s="12"/>
      <c r="B532" s="10"/>
      <c r="C532" s="11"/>
      <c r="D532" s="13"/>
      <c r="E532" s="13"/>
      <c r="F532" s="13"/>
      <c r="G532" s="2"/>
      <c r="H532" s="2"/>
      <c r="I532" s="13"/>
      <c r="J532" s="13"/>
      <c r="K532" s="13"/>
      <c r="L532" s="14"/>
      <c r="M532" s="4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ht="15.75" customHeight="1" x14ac:dyDescent="0.2">
      <c r="A533" s="12"/>
      <c r="B533" s="10"/>
      <c r="C533" s="11"/>
      <c r="D533" s="13"/>
      <c r="E533" s="13"/>
      <c r="F533" s="13"/>
      <c r="G533" s="2"/>
      <c r="H533" s="2"/>
      <c r="I533" s="13"/>
      <c r="J533" s="13"/>
      <c r="K533" s="13"/>
      <c r="L533" s="14"/>
      <c r="M533" s="4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ht="15.75" customHeight="1" x14ac:dyDescent="0.2">
      <c r="A534" s="12"/>
      <c r="B534" s="10"/>
      <c r="C534" s="11"/>
      <c r="D534" s="13"/>
      <c r="E534" s="13"/>
      <c r="F534" s="13"/>
      <c r="G534" s="2"/>
      <c r="H534" s="2"/>
      <c r="I534" s="13"/>
      <c r="J534" s="13"/>
      <c r="K534" s="13"/>
      <c r="L534" s="14"/>
      <c r="M534" s="4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ht="15.75" customHeight="1" x14ac:dyDescent="0.2">
      <c r="A535" s="12"/>
      <c r="B535" s="10"/>
      <c r="C535" s="11"/>
      <c r="D535" s="13"/>
      <c r="E535" s="13"/>
      <c r="F535" s="13"/>
      <c r="G535" s="2"/>
      <c r="H535" s="2"/>
      <c r="I535" s="13"/>
      <c r="J535" s="13"/>
      <c r="K535" s="13"/>
      <c r="L535" s="14"/>
      <c r="M535" s="4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ht="15.75" customHeight="1" x14ac:dyDescent="0.2">
      <c r="A536" s="12"/>
      <c r="B536" s="10"/>
      <c r="C536" s="11"/>
      <c r="D536" s="13"/>
      <c r="E536" s="13"/>
      <c r="F536" s="13"/>
      <c r="G536" s="2"/>
      <c r="H536" s="2"/>
      <c r="I536" s="13"/>
      <c r="J536" s="13"/>
      <c r="K536" s="13"/>
      <c r="L536" s="14"/>
      <c r="M536" s="4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ht="15.75" customHeight="1" x14ac:dyDescent="0.2">
      <c r="A537" s="12"/>
      <c r="B537" s="10"/>
      <c r="C537" s="11"/>
      <c r="D537" s="13"/>
      <c r="E537" s="13"/>
      <c r="F537" s="13"/>
      <c r="G537" s="2"/>
      <c r="H537" s="2"/>
      <c r="I537" s="13"/>
      <c r="J537" s="13"/>
      <c r="K537" s="13"/>
      <c r="L537" s="14"/>
      <c r="M537" s="4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ht="15.75" customHeight="1" x14ac:dyDescent="0.2">
      <c r="A538" s="12"/>
      <c r="B538" s="10"/>
      <c r="C538" s="11"/>
      <c r="D538" s="13"/>
      <c r="E538" s="13"/>
      <c r="F538" s="13"/>
      <c r="G538" s="2"/>
      <c r="H538" s="2"/>
      <c r="I538" s="13"/>
      <c r="J538" s="13"/>
      <c r="K538" s="13"/>
      <c r="L538" s="14"/>
      <c r="M538" s="4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ht="15.75" customHeight="1" x14ac:dyDescent="0.2">
      <c r="A539" s="12"/>
      <c r="B539" s="10"/>
      <c r="C539" s="11"/>
      <c r="D539" s="13"/>
      <c r="E539" s="13"/>
      <c r="F539" s="13"/>
      <c r="G539" s="2"/>
      <c r="H539" s="2"/>
      <c r="I539" s="13"/>
      <c r="J539" s="13"/>
      <c r="K539" s="13"/>
      <c r="L539" s="14"/>
      <c r="M539" s="4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ht="15.75" customHeight="1" x14ac:dyDescent="0.2">
      <c r="A540" s="12"/>
      <c r="B540" s="10"/>
      <c r="C540" s="11"/>
      <c r="D540" s="13"/>
      <c r="E540" s="13"/>
      <c r="F540" s="13"/>
      <c r="G540" s="2"/>
      <c r="H540" s="2"/>
      <c r="I540" s="13"/>
      <c r="J540" s="13"/>
      <c r="K540" s="13"/>
      <c r="L540" s="14"/>
      <c r="M540" s="4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ht="15.75" customHeight="1" x14ac:dyDescent="0.2">
      <c r="A541" s="12"/>
      <c r="B541" s="10"/>
      <c r="C541" s="11"/>
      <c r="D541" s="13"/>
      <c r="E541" s="13"/>
      <c r="F541" s="13"/>
      <c r="G541" s="2"/>
      <c r="H541" s="2"/>
      <c r="I541" s="13"/>
      <c r="J541" s="13"/>
      <c r="K541" s="13"/>
      <c r="L541" s="14"/>
      <c r="M541" s="4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ht="15.75" customHeight="1" x14ac:dyDescent="0.2">
      <c r="A542" s="12"/>
      <c r="B542" s="10"/>
      <c r="C542" s="11"/>
      <c r="D542" s="13"/>
      <c r="E542" s="13"/>
      <c r="F542" s="13"/>
      <c r="G542" s="2"/>
      <c r="H542" s="2"/>
      <c r="I542" s="13"/>
      <c r="J542" s="13"/>
      <c r="K542" s="13"/>
      <c r="L542" s="14"/>
      <c r="M542" s="4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ht="15.75" customHeight="1" x14ac:dyDescent="0.2">
      <c r="A543" s="12"/>
      <c r="B543" s="10"/>
      <c r="C543" s="11"/>
      <c r="D543" s="13"/>
      <c r="E543" s="13"/>
      <c r="F543" s="13"/>
      <c r="G543" s="2"/>
      <c r="H543" s="2"/>
      <c r="I543" s="13"/>
      <c r="J543" s="13"/>
      <c r="K543" s="13"/>
      <c r="L543" s="14"/>
      <c r="M543" s="4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ht="15.75" customHeight="1" x14ac:dyDescent="0.2">
      <c r="A544" s="12"/>
      <c r="B544" s="10"/>
      <c r="C544" s="11"/>
      <c r="D544" s="13"/>
      <c r="E544" s="13"/>
      <c r="F544" s="13"/>
      <c r="G544" s="2"/>
      <c r="H544" s="2"/>
      <c r="I544" s="13"/>
      <c r="J544" s="13"/>
      <c r="K544" s="13"/>
      <c r="L544" s="14"/>
      <c r="M544" s="4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ht="15.75" customHeight="1" x14ac:dyDescent="0.2">
      <c r="A545" s="12"/>
      <c r="B545" s="10"/>
      <c r="C545" s="11"/>
      <c r="D545" s="13"/>
      <c r="E545" s="13"/>
      <c r="F545" s="13"/>
      <c r="G545" s="2"/>
      <c r="H545" s="2"/>
      <c r="I545" s="13"/>
      <c r="J545" s="13"/>
      <c r="K545" s="13"/>
      <c r="L545" s="14"/>
      <c r="M545" s="4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ht="15.75" customHeight="1" x14ac:dyDescent="0.2">
      <c r="A546" s="12"/>
      <c r="B546" s="10"/>
      <c r="C546" s="11"/>
      <c r="D546" s="13"/>
      <c r="E546" s="13"/>
      <c r="F546" s="13"/>
      <c r="G546" s="2"/>
      <c r="H546" s="2"/>
      <c r="I546" s="13"/>
      <c r="J546" s="13"/>
      <c r="K546" s="13"/>
      <c r="L546" s="14"/>
      <c r="M546" s="4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ht="15.75" customHeight="1" x14ac:dyDescent="0.2">
      <c r="A547" s="12"/>
      <c r="B547" s="10"/>
      <c r="C547" s="11"/>
      <c r="D547" s="13"/>
      <c r="E547" s="13"/>
      <c r="F547" s="13"/>
      <c r="G547" s="2"/>
      <c r="H547" s="2"/>
      <c r="I547" s="13"/>
      <c r="J547" s="13"/>
      <c r="K547" s="13"/>
      <c r="L547" s="14"/>
      <c r="M547" s="4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ht="15.75" customHeight="1" x14ac:dyDescent="0.2">
      <c r="A548" s="12"/>
      <c r="B548" s="10"/>
      <c r="C548" s="11"/>
      <c r="D548" s="13"/>
      <c r="E548" s="13"/>
      <c r="F548" s="13"/>
      <c r="G548" s="2"/>
      <c r="H548" s="2"/>
      <c r="I548" s="13"/>
      <c r="J548" s="13"/>
      <c r="K548" s="13"/>
      <c r="L548" s="14"/>
      <c r="M548" s="4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ht="15.75" customHeight="1" x14ac:dyDescent="0.2">
      <c r="A549" s="12"/>
      <c r="B549" s="10"/>
      <c r="C549" s="11"/>
      <c r="D549" s="13"/>
      <c r="E549" s="13"/>
      <c r="F549" s="13"/>
      <c r="G549" s="2"/>
      <c r="H549" s="2"/>
      <c r="I549" s="13"/>
      <c r="J549" s="13"/>
      <c r="K549" s="13"/>
      <c r="L549" s="14"/>
      <c r="M549" s="4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ht="15.75" customHeight="1" x14ac:dyDescent="0.2">
      <c r="A550" s="12"/>
      <c r="B550" s="10"/>
      <c r="C550" s="11"/>
      <c r="D550" s="13"/>
      <c r="E550" s="13"/>
      <c r="F550" s="13"/>
      <c r="G550" s="2"/>
      <c r="H550" s="2"/>
      <c r="I550" s="13"/>
      <c r="J550" s="13"/>
      <c r="K550" s="13"/>
      <c r="L550" s="14"/>
      <c r="M550" s="4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ht="15.75" customHeight="1" x14ac:dyDescent="0.2">
      <c r="A551" s="12"/>
      <c r="B551" s="10"/>
      <c r="C551" s="11"/>
      <c r="D551" s="13"/>
      <c r="E551" s="13"/>
      <c r="F551" s="13"/>
      <c r="G551" s="2"/>
      <c r="H551" s="2"/>
      <c r="I551" s="13"/>
      <c r="J551" s="13"/>
      <c r="K551" s="13"/>
      <c r="L551" s="14"/>
      <c r="M551" s="4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ht="15.75" customHeight="1" x14ac:dyDescent="0.2">
      <c r="A552" s="12"/>
      <c r="B552" s="10"/>
      <c r="C552" s="11"/>
      <c r="D552" s="13"/>
      <c r="E552" s="13"/>
      <c r="F552" s="13"/>
      <c r="G552" s="2"/>
      <c r="H552" s="2"/>
      <c r="I552" s="13"/>
      <c r="J552" s="13"/>
      <c r="K552" s="13"/>
      <c r="L552" s="14"/>
      <c r="M552" s="4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ht="15.75" customHeight="1" x14ac:dyDescent="0.2">
      <c r="A553" s="12"/>
      <c r="B553" s="10"/>
      <c r="C553" s="11"/>
      <c r="D553" s="13"/>
      <c r="E553" s="13"/>
      <c r="F553" s="13"/>
      <c r="G553" s="2"/>
      <c r="H553" s="2"/>
      <c r="I553" s="13"/>
      <c r="J553" s="13"/>
      <c r="K553" s="13"/>
      <c r="L553" s="14"/>
      <c r="M553" s="4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ht="15.75" customHeight="1" x14ac:dyDescent="0.2">
      <c r="A554" s="12"/>
      <c r="B554" s="10"/>
      <c r="C554" s="11"/>
      <c r="D554" s="13"/>
      <c r="E554" s="13"/>
      <c r="F554" s="13"/>
      <c r="G554" s="2"/>
      <c r="H554" s="2"/>
      <c r="I554" s="13"/>
      <c r="J554" s="13"/>
      <c r="K554" s="13"/>
      <c r="L554" s="14"/>
      <c r="M554" s="4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ht="15.75" customHeight="1" x14ac:dyDescent="0.2">
      <c r="A555" s="12"/>
      <c r="B555" s="10"/>
      <c r="C555" s="11"/>
      <c r="D555" s="13"/>
      <c r="E555" s="13"/>
      <c r="F555" s="13"/>
      <c r="G555" s="2"/>
      <c r="H555" s="2"/>
      <c r="I555" s="13"/>
      <c r="J555" s="13"/>
      <c r="K555" s="13"/>
      <c r="L555" s="14"/>
      <c r="M555" s="4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ht="15.75" customHeight="1" x14ac:dyDescent="0.2">
      <c r="A556" s="12"/>
      <c r="B556" s="10"/>
      <c r="C556" s="11"/>
      <c r="D556" s="13"/>
      <c r="E556" s="13"/>
      <c r="F556" s="13"/>
      <c r="G556" s="2"/>
      <c r="H556" s="2"/>
      <c r="I556" s="13"/>
      <c r="J556" s="13"/>
      <c r="K556" s="13"/>
      <c r="L556" s="14"/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ht="15.75" customHeight="1" x14ac:dyDescent="0.2">
      <c r="A557" s="12"/>
      <c r="B557" s="10"/>
      <c r="C557" s="11"/>
      <c r="D557" s="13"/>
      <c r="E557" s="13"/>
      <c r="F557" s="13"/>
      <c r="G557" s="2"/>
      <c r="H557" s="2"/>
      <c r="I557" s="13"/>
      <c r="J557" s="13"/>
      <c r="K557" s="13"/>
      <c r="L557" s="14"/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2"/>
      <c r="B558" s="10"/>
      <c r="C558" s="11"/>
      <c r="D558" s="13"/>
      <c r="E558" s="13"/>
      <c r="F558" s="13"/>
      <c r="G558" s="2"/>
      <c r="H558" s="2"/>
      <c r="I558" s="13"/>
      <c r="J558" s="13"/>
      <c r="K558" s="13"/>
      <c r="L558" s="14"/>
      <c r="M558" s="4"/>
      <c r="N558" s="2"/>
      <c r="O558" s="4"/>
      <c r="P558" s="2"/>
      <c r="Q558" s="2"/>
      <c r="R558" s="4"/>
      <c r="S558" s="2"/>
      <c r="T558" s="2"/>
      <c r="U558" s="1"/>
      <c r="V558" s="2"/>
      <c r="W558" s="2"/>
      <c r="X558" s="2"/>
      <c r="Y558" s="2"/>
      <c r="Z558" s="2"/>
    </row>
    <row r="559" spans="1:26" ht="15.75" customHeight="1" x14ac:dyDescent="0.2">
      <c r="A559" s="12"/>
      <c r="B559" s="10"/>
      <c r="C559" s="11"/>
      <c r="D559" s="13"/>
      <c r="E559" s="13"/>
      <c r="F559" s="13"/>
      <c r="G559" s="2"/>
      <c r="H559" s="2"/>
      <c r="I559" s="13"/>
      <c r="J559" s="13"/>
      <c r="K559" s="13"/>
      <c r="L559" s="14"/>
      <c r="M559" s="4"/>
      <c r="N559" s="2"/>
      <c r="O559" s="4"/>
      <c r="P559" s="2"/>
      <c r="Q559" s="2"/>
      <c r="R559" s="4"/>
      <c r="S559" s="2"/>
      <c r="T559" s="2"/>
      <c r="U559" s="1"/>
      <c r="V559" s="2"/>
      <c r="W559" s="2"/>
      <c r="X559" s="2"/>
      <c r="Y559" s="2"/>
      <c r="Z559" s="2"/>
    </row>
    <row r="560" spans="1:26" ht="15.75" customHeight="1" x14ac:dyDescent="0.2">
      <c r="A560" s="12"/>
      <c r="B560" s="10"/>
      <c r="C560" s="11"/>
      <c r="D560" s="13"/>
      <c r="E560" s="13"/>
      <c r="F560" s="13"/>
      <c r="G560" s="2"/>
      <c r="H560" s="2"/>
      <c r="I560" s="13"/>
      <c r="J560" s="13"/>
      <c r="K560" s="13"/>
      <c r="L560" s="14"/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A561" s="12"/>
      <c r="B561" s="10"/>
      <c r="C561" s="11"/>
      <c r="D561" s="13"/>
      <c r="E561" s="13"/>
      <c r="F561" s="13"/>
      <c r="G561" s="2"/>
      <c r="H561" s="2"/>
      <c r="I561" s="13"/>
      <c r="J561" s="13"/>
      <c r="K561" s="13"/>
      <c r="L561" s="14"/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12"/>
      <c r="B562" s="10"/>
      <c r="C562" s="11"/>
      <c r="D562" s="13"/>
      <c r="E562" s="13"/>
      <c r="F562" s="13"/>
      <c r="G562" s="2"/>
      <c r="H562" s="2"/>
      <c r="I562" s="13"/>
      <c r="J562" s="13"/>
      <c r="K562" s="13"/>
      <c r="L562" s="14"/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2"/>
      <c r="B563" s="10"/>
      <c r="C563" s="11"/>
      <c r="D563" s="13"/>
      <c r="E563" s="13"/>
      <c r="F563" s="13"/>
      <c r="G563" s="2"/>
      <c r="H563" s="2"/>
      <c r="I563" s="13"/>
      <c r="J563" s="13"/>
      <c r="K563" s="13"/>
      <c r="L563" s="14"/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2"/>
      <c r="B564" s="10"/>
      <c r="C564" s="11"/>
      <c r="D564" s="13"/>
      <c r="E564" s="13"/>
      <c r="F564" s="13"/>
      <c r="G564" s="2"/>
      <c r="H564" s="2"/>
      <c r="I564" s="13"/>
      <c r="J564" s="13"/>
      <c r="K564" s="13"/>
      <c r="L564" s="14"/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2"/>
      <c r="B565" s="10"/>
      <c r="C565" s="11"/>
      <c r="D565" s="13"/>
      <c r="E565" s="13"/>
      <c r="F565" s="13"/>
      <c r="G565" s="2"/>
      <c r="H565" s="2"/>
      <c r="I565" s="13"/>
      <c r="J565" s="13"/>
      <c r="K565" s="13"/>
      <c r="L565" s="14"/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2"/>
      <c r="B566" s="10"/>
      <c r="C566" s="11"/>
      <c r="D566" s="13"/>
      <c r="E566" s="13"/>
      <c r="F566" s="13"/>
      <c r="G566" s="2"/>
      <c r="H566" s="2"/>
      <c r="I566" s="13"/>
      <c r="J566" s="13"/>
      <c r="K566" s="13"/>
      <c r="L566" s="14"/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2"/>
      <c r="B567" s="10"/>
      <c r="C567" s="11"/>
      <c r="D567" s="13"/>
      <c r="E567" s="13"/>
      <c r="F567" s="13"/>
      <c r="G567" s="2"/>
      <c r="H567" s="2"/>
      <c r="I567" s="13"/>
      <c r="J567" s="13"/>
      <c r="K567" s="13"/>
      <c r="L567" s="14"/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2"/>
      <c r="B568" s="10"/>
      <c r="C568" s="11"/>
      <c r="D568" s="13"/>
      <c r="E568" s="13"/>
      <c r="F568" s="13"/>
      <c r="G568" s="2"/>
      <c r="H568" s="2"/>
      <c r="I568" s="13"/>
      <c r="J568" s="13"/>
      <c r="K568" s="13"/>
      <c r="L568" s="14"/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2"/>
      <c r="B569" s="10"/>
      <c r="C569" s="11"/>
      <c r="D569" s="13"/>
      <c r="E569" s="13"/>
      <c r="F569" s="13"/>
      <c r="G569" s="2"/>
      <c r="H569" s="2"/>
      <c r="I569" s="13"/>
      <c r="J569" s="13"/>
      <c r="K569" s="13"/>
      <c r="L569" s="14"/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2"/>
      <c r="B570" s="10"/>
      <c r="C570" s="11"/>
      <c r="D570" s="13"/>
      <c r="E570" s="13"/>
      <c r="F570" s="13"/>
      <c r="G570" s="2"/>
      <c r="H570" s="2"/>
      <c r="I570" s="13"/>
      <c r="J570" s="13"/>
      <c r="K570" s="13"/>
      <c r="L570" s="14"/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5.75" customHeight="1" x14ac:dyDescent="0.2">
      <c r="A571" s="12"/>
      <c r="B571" s="10"/>
      <c r="C571" s="11"/>
      <c r="D571" s="13"/>
      <c r="E571" s="13"/>
      <c r="F571" s="13"/>
      <c r="G571" s="2"/>
      <c r="H571" s="2"/>
      <c r="I571" s="13"/>
      <c r="J571" s="13"/>
      <c r="K571" s="13"/>
      <c r="L571" s="14"/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5.75" customHeight="1" x14ac:dyDescent="0.2">
      <c r="A572" s="12"/>
      <c r="B572" s="10"/>
      <c r="C572" s="11"/>
      <c r="D572" s="13"/>
      <c r="E572" s="13"/>
      <c r="F572" s="13"/>
      <c r="G572" s="2"/>
      <c r="H572" s="2"/>
      <c r="I572" s="13"/>
      <c r="J572" s="13"/>
      <c r="K572" s="13"/>
      <c r="L572" s="14"/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A573" s="12"/>
      <c r="B573" s="10"/>
      <c r="C573" s="11"/>
      <c r="D573" s="13"/>
      <c r="E573" s="13"/>
      <c r="F573" s="13"/>
      <c r="G573" s="2"/>
      <c r="H573" s="2"/>
      <c r="I573" s="13"/>
      <c r="J573" s="13"/>
      <c r="K573" s="13"/>
      <c r="L573" s="14"/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A574" s="12"/>
      <c r="B574" s="10"/>
      <c r="C574" s="11"/>
      <c r="D574" s="13"/>
      <c r="E574" s="13"/>
      <c r="F574" s="13"/>
      <c r="G574" s="2"/>
      <c r="H574" s="2"/>
      <c r="I574" s="13"/>
      <c r="J574" s="13"/>
      <c r="K574" s="13"/>
      <c r="L574" s="14"/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2"/>
      <c r="B575" s="10"/>
      <c r="C575" s="11"/>
      <c r="D575" s="13"/>
      <c r="E575" s="13"/>
      <c r="F575" s="13"/>
      <c r="G575" s="2"/>
      <c r="H575" s="2"/>
      <c r="I575" s="13"/>
      <c r="J575" s="13"/>
      <c r="K575" s="13"/>
      <c r="L575" s="14"/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A576" s="12"/>
      <c r="B576" s="10"/>
      <c r="C576" s="11"/>
      <c r="D576" s="13"/>
      <c r="E576" s="13"/>
      <c r="F576" s="13"/>
      <c r="G576" s="2"/>
      <c r="H576" s="2"/>
      <c r="I576" s="13"/>
      <c r="J576" s="13"/>
      <c r="K576" s="13"/>
      <c r="L576" s="14"/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2"/>
      <c r="B577" s="10"/>
      <c r="C577" s="11"/>
      <c r="D577" s="13"/>
      <c r="E577" s="13"/>
      <c r="F577" s="13"/>
      <c r="G577" s="2"/>
      <c r="H577" s="2"/>
      <c r="I577" s="13"/>
      <c r="J577" s="13"/>
      <c r="K577" s="13"/>
      <c r="L577" s="14"/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2"/>
      <c r="B578" s="10"/>
      <c r="C578" s="11"/>
      <c r="D578" s="13"/>
      <c r="E578" s="13"/>
      <c r="F578" s="13"/>
      <c r="G578" s="2"/>
      <c r="H578" s="2"/>
      <c r="I578" s="13"/>
      <c r="J578" s="13"/>
      <c r="K578" s="13"/>
      <c r="L578" s="14"/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2"/>
      <c r="B579" s="10"/>
      <c r="C579" s="11"/>
      <c r="D579" s="13"/>
      <c r="E579" s="13"/>
      <c r="F579" s="13"/>
      <c r="G579" s="2"/>
      <c r="H579" s="2"/>
      <c r="I579" s="13"/>
      <c r="J579" s="13"/>
      <c r="K579" s="13"/>
      <c r="L579" s="14"/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2"/>
      <c r="B580" s="10"/>
      <c r="C580" s="11"/>
      <c r="D580" s="13"/>
      <c r="E580" s="13"/>
      <c r="F580" s="13"/>
      <c r="G580" s="2"/>
      <c r="H580" s="2"/>
      <c r="I580" s="13"/>
      <c r="J580" s="13"/>
      <c r="K580" s="13"/>
      <c r="L580" s="14"/>
      <c r="M580" s="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2"/>
      <c r="B581" s="10"/>
      <c r="C581" s="11"/>
      <c r="D581" s="13"/>
      <c r="E581" s="13"/>
      <c r="F581" s="13"/>
      <c r="G581" s="2"/>
      <c r="H581" s="2"/>
      <c r="I581" s="13"/>
      <c r="J581" s="13"/>
      <c r="K581" s="13"/>
      <c r="L581" s="14"/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2"/>
      <c r="B582" s="10"/>
      <c r="C582" s="11"/>
      <c r="D582" s="13"/>
      <c r="E582" s="13"/>
      <c r="F582" s="13"/>
      <c r="G582" s="2"/>
      <c r="H582" s="2"/>
      <c r="I582" s="13"/>
      <c r="J582" s="13"/>
      <c r="K582" s="13"/>
      <c r="L582" s="14"/>
      <c r="M582" s="4"/>
      <c r="N582" s="2"/>
      <c r="O582" s="4"/>
      <c r="P582" s="2"/>
      <c r="Q582" s="2"/>
      <c r="R582" s="4"/>
      <c r="S582" s="2"/>
      <c r="T582" s="2"/>
      <c r="U582" s="1"/>
      <c r="V582" s="2"/>
      <c r="W582" s="2"/>
      <c r="X582" s="2"/>
      <c r="Y582" s="2"/>
      <c r="Z582" s="2"/>
    </row>
    <row r="583" spans="1:26" ht="15.75" customHeight="1" x14ac:dyDescent="0.2">
      <c r="A583" s="12"/>
      <c r="B583" s="10"/>
      <c r="C583" s="11"/>
      <c r="D583" s="13"/>
      <c r="E583" s="13"/>
      <c r="F583" s="13"/>
      <c r="G583" s="2"/>
      <c r="H583" s="2"/>
      <c r="I583" s="13"/>
      <c r="J583" s="13"/>
      <c r="K583" s="13"/>
      <c r="L583" s="14"/>
      <c r="M583" s="4"/>
      <c r="N583" s="2"/>
      <c r="O583" s="4"/>
      <c r="P583" s="2"/>
      <c r="Q583" s="2"/>
      <c r="R583" s="4"/>
      <c r="S583" s="2"/>
      <c r="T583" s="2"/>
      <c r="U583" s="1"/>
      <c r="V583" s="2"/>
      <c r="W583" s="2"/>
      <c r="X583" s="2"/>
      <c r="Y583" s="2"/>
      <c r="Z583" s="2"/>
    </row>
    <row r="584" spans="1:26" ht="15.75" customHeight="1" x14ac:dyDescent="0.2">
      <c r="A584" s="12"/>
      <c r="B584" s="10"/>
      <c r="C584" s="11"/>
      <c r="D584" s="13"/>
      <c r="E584" s="13"/>
      <c r="F584" s="13"/>
      <c r="G584" s="2"/>
      <c r="H584" s="2"/>
      <c r="I584" s="13"/>
      <c r="J584" s="13"/>
      <c r="K584" s="13"/>
      <c r="L584" s="14"/>
      <c r="M584" s="4"/>
      <c r="N584" s="2"/>
      <c r="O584" s="4"/>
      <c r="P584" s="2"/>
      <c r="Q584" s="2"/>
      <c r="R584" s="4"/>
      <c r="S584" s="2"/>
      <c r="T584" s="2"/>
      <c r="U584" s="1"/>
      <c r="V584" s="2"/>
      <c r="W584" s="2"/>
      <c r="X584" s="2"/>
      <c r="Y584" s="2"/>
      <c r="Z584" s="2"/>
    </row>
    <row r="585" spans="1:26" ht="15.75" customHeight="1" x14ac:dyDescent="0.2">
      <c r="A585" s="12"/>
      <c r="B585" s="10"/>
      <c r="C585" s="11"/>
      <c r="D585" s="13"/>
      <c r="E585" s="13"/>
      <c r="F585" s="13"/>
      <c r="G585" s="2"/>
      <c r="H585" s="2"/>
      <c r="I585" s="13"/>
      <c r="J585" s="13"/>
      <c r="K585" s="13"/>
      <c r="L585" s="14"/>
      <c r="M585" s="4"/>
      <c r="N585" s="2"/>
      <c r="O585" s="4"/>
      <c r="P585" s="2"/>
      <c r="Q585" s="2"/>
      <c r="R585" s="4"/>
      <c r="S585" s="2"/>
      <c r="T585" s="2"/>
      <c r="U585" s="1"/>
      <c r="V585" s="2"/>
      <c r="W585" s="2"/>
      <c r="X585" s="2"/>
      <c r="Y585" s="2"/>
      <c r="Z585" s="2"/>
    </row>
    <row r="586" spans="1:26" ht="15.75" customHeight="1" x14ac:dyDescent="0.2">
      <c r="A586" s="12"/>
      <c r="B586" s="10"/>
      <c r="C586" s="11"/>
      <c r="D586" s="13"/>
      <c r="E586" s="13"/>
      <c r="F586" s="13"/>
      <c r="G586" s="2"/>
      <c r="H586" s="2"/>
      <c r="I586" s="13"/>
      <c r="J586" s="13"/>
      <c r="K586" s="13"/>
      <c r="L586" s="14"/>
      <c r="M586" s="4"/>
      <c r="N586" s="2"/>
      <c r="O586" s="4"/>
      <c r="P586" s="2"/>
      <c r="Q586" s="2"/>
      <c r="R586" s="4"/>
      <c r="S586" s="2"/>
      <c r="T586" s="2"/>
      <c r="U586" s="1"/>
      <c r="V586" s="2"/>
      <c r="W586" s="2"/>
      <c r="X586" s="2"/>
      <c r="Y586" s="2"/>
      <c r="Z586" s="2"/>
    </row>
    <row r="587" spans="1:26" ht="15.75" customHeight="1" x14ac:dyDescent="0.2">
      <c r="A587" s="12"/>
      <c r="B587" s="10"/>
      <c r="C587" s="11"/>
      <c r="D587" s="13"/>
      <c r="E587" s="13"/>
      <c r="F587" s="13"/>
      <c r="G587" s="2"/>
      <c r="H587" s="2"/>
      <c r="I587" s="13"/>
      <c r="J587" s="13"/>
      <c r="K587" s="13"/>
      <c r="L587" s="14"/>
      <c r="M587" s="4"/>
      <c r="N587" s="2"/>
      <c r="O587" s="4"/>
      <c r="P587" s="2"/>
      <c r="Q587" s="2"/>
      <c r="R587" s="4"/>
      <c r="S587" s="2"/>
      <c r="T587" s="2"/>
      <c r="U587" s="1"/>
      <c r="V587" s="2"/>
      <c r="W587" s="2"/>
      <c r="X587" s="2"/>
      <c r="Y587" s="2"/>
      <c r="Z587" s="2"/>
    </row>
    <row r="588" spans="1:26" ht="15.75" customHeight="1" x14ac:dyDescent="0.2">
      <c r="A588" s="12"/>
      <c r="B588" s="10"/>
      <c r="C588" s="11"/>
      <c r="D588" s="13"/>
      <c r="E588" s="13"/>
      <c r="F588" s="13"/>
      <c r="G588" s="2"/>
      <c r="H588" s="2"/>
      <c r="I588" s="13"/>
      <c r="J588" s="13"/>
      <c r="K588" s="13"/>
      <c r="L588" s="14"/>
      <c r="M588" s="4"/>
      <c r="N588" s="2"/>
      <c r="O588" s="4"/>
      <c r="P588" s="2"/>
      <c r="Q588" s="2"/>
      <c r="R588" s="4"/>
      <c r="S588" s="2"/>
      <c r="T588" s="2"/>
      <c r="U588" s="1"/>
      <c r="V588" s="2"/>
      <c r="W588" s="2"/>
      <c r="X588" s="2"/>
      <c r="Y588" s="2"/>
      <c r="Z588" s="2"/>
    </row>
    <row r="589" spans="1:26" ht="15.75" customHeight="1" x14ac:dyDescent="0.2">
      <c r="A589" s="12"/>
      <c r="B589" s="10"/>
      <c r="C589" s="11"/>
      <c r="D589" s="13"/>
      <c r="E589" s="13"/>
      <c r="F589" s="13"/>
      <c r="G589" s="2"/>
      <c r="H589" s="2"/>
      <c r="I589" s="13"/>
      <c r="J589" s="13"/>
      <c r="K589" s="13"/>
      <c r="L589" s="14"/>
      <c r="M589" s="4"/>
      <c r="N589" s="2"/>
      <c r="O589" s="4"/>
      <c r="P589" s="2"/>
      <c r="Q589" s="2"/>
      <c r="R589" s="4"/>
      <c r="S589" s="2"/>
      <c r="T589" s="2"/>
      <c r="U589" s="1"/>
      <c r="V589" s="2"/>
      <c r="W589" s="2"/>
      <c r="X589" s="2"/>
      <c r="Y589" s="2"/>
      <c r="Z589" s="2"/>
    </row>
    <row r="590" spans="1:26" ht="15.75" customHeight="1" x14ac:dyDescent="0.2">
      <c r="A590" s="12"/>
      <c r="B590" s="10"/>
      <c r="C590" s="11"/>
      <c r="D590" s="13"/>
      <c r="E590" s="13"/>
      <c r="F590" s="13"/>
      <c r="G590" s="2"/>
      <c r="H590" s="2"/>
      <c r="I590" s="13"/>
      <c r="J590" s="13"/>
      <c r="K590" s="13"/>
      <c r="L590" s="14"/>
      <c r="M590" s="4"/>
      <c r="N590" s="2"/>
      <c r="O590" s="4"/>
      <c r="P590" s="2"/>
      <c r="Q590" s="2"/>
      <c r="R590" s="4"/>
      <c r="S590" s="2"/>
      <c r="T590" s="2"/>
      <c r="U590" s="1"/>
      <c r="V590" s="2"/>
      <c r="W590" s="2"/>
      <c r="X590" s="2"/>
      <c r="Y590" s="2"/>
      <c r="Z590" s="2"/>
    </row>
    <row r="591" spans="1:26" ht="15.75" customHeight="1" x14ac:dyDescent="0.2">
      <c r="A591" s="12"/>
      <c r="B591" s="10"/>
      <c r="C591" s="11"/>
      <c r="D591" s="13"/>
      <c r="E591" s="13"/>
      <c r="F591" s="13"/>
      <c r="G591" s="2"/>
      <c r="H591" s="2"/>
      <c r="I591" s="13"/>
      <c r="J591" s="13"/>
      <c r="K591" s="13"/>
      <c r="L591" s="14"/>
      <c r="M591" s="4"/>
      <c r="N591" s="2"/>
      <c r="O591" s="4"/>
      <c r="P591" s="2"/>
      <c r="Q591" s="2"/>
      <c r="R591" s="4"/>
      <c r="S591" s="2"/>
      <c r="T591" s="2"/>
      <c r="U591" s="1"/>
      <c r="V591" s="2"/>
      <c r="W591" s="2"/>
      <c r="X591" s="2"/>
      <c r="Y591" s="2"/>
      <c r="Z591" s="2"/>
    </row>
    <row r="592" spans="1:26" ht="15.75" customHeight="1" x14ac:dyDescent="0.2">
      <c r="A592" s="12"/>
      <c r="B592" s="10"/>
      <c r="C592" s="11"/>
      <c r="D592" s="13"/>
      <c r="E592" s="13"/>
      <c r="F592" s="13"/>
      <c r="G592" s="2"/>
      <c r="H592" s="2"/>
      <c r="I592" s="13"/>
      <c r="J592" s="13"/>
      <c r="K592" s="13"/>
      <c r="L592" s="14"/>
      <c r="M592" s="4"/>
      <c r="N592" s="2"/>
      <c r="O592" s="4"/>
      <c r="P592" s="2"/>
      <c r="Q592" s="2"/>
      <c r="R592" s="4"/>
      <c r="S592" s="2"/>
      <c r="T592" s="2"/>
      <c r="U592" s="1"/>
      <c r="V592" s="2"/>
      <c r="W592" s="2"/>
      <c r="X592" s="2"/>
      <c r="Y592" s="2"/>
      <c r="Z592" s="2"/>
    </row>
    <row r="593" spans="1:26" ht="15.75" customHeight="1" x14ac:dyDescent="0.2">
      <c r="A593" s="12"/>
      <c r="B593" s="10"/>
      <c r="C593" s="11"/>
      <c r="D593" s="13"/>
      <c r="E593" s="13"/>
      <c r="F593" s="13"/>
      <c r="G593" s="2"/>
      <c r="H593" s="2"/>
      <c r="I593" s="13"/>
      <c r="J593" s="13"/>
      <c r="K593" s="13"/>
      <c r="L593" s="14"/>
      <c r="M593" s="4"/>
      <c r="N593" s="2"/>
      <c r="O593" s="4"/>
      <c r="P593" s="2"/>
      <c r="Q593" s="2"/>
      <c r="R593" s="4"/>
      <c r="S593" s="2"/>
      <c r="T593" s="2"/>
      <c r="U593" s="1"/>
      <c r="V593" s="2"/>
      <c r="W593" s="2"/>
      <c r="X593" s="2"/>
      <c r="Y593" s="2"/>
      <c r="Z593" s="2"/>
    </row>
    <row r="594" spans="1:26" ht="15.75" customHeight="1" x14ac:dyDescent="0.2">
      <c r="A594" s="12"/>
      <c r="B594" s="10"/>
      <c r="C594" s="11"/>
      <c r="D594" s="13"/>
      <c r="E594" s="13"/>
      <c r="F594" s="13"/>
      <c r="G594" s="2"/>
      <c r="H594" s="2"/>
      <c r="I594" s="13"/>
      <c r="J594" s="13"/>
      <c r="K594" s="13"/>
      <c r="L594" s="14"/>
      <c r="M594" s="4"/>
      <c r="N594" s="2"/>
      <c r="O594" s="4"/>
      <c r="P594" s="2"/>
      <c r="Q594" s="2"/>
      <c r="R594" s="4"/>
      <c r="S594" s="2"/>
      <c r="T594" s="2"/>
      <c r="U594" s="1"/>
      <c r="V594" s="2"/>
      <c r="W594" s="2"/>
      <c r="X594" s="2"/>
      <c r="Y594" s="2"/>
      <c r="Z594" s="2"/>
    </row>
    <row r="595" spans="1:26" ht="15.75" customHeight="1" x14ac:dyDescent="0.2">
      <c r="A595" s="12"/>
      <c r="B595" s="10"/>
      <c r="C595" s="11"/>
      <c r="D595" s="13"/>
      <c r="E595" s="13"/>
      <c r="F595" s="13"/>
      <c r="G595" s="2"/>
      <c r="H595" s="2"/>
      <c r="I595" s="13"/>
      <c r="J595" s="13"/>
      <c r="K595" s="13"/>
      <c r="L595" s="14"/>
      <c r="M595" s="4"/>
      <c r="N595" s="2"/>
      <c r="O595" s="4"/>
      <c r="P595" s="2"/>
      <c r="Q595" s="2"/>
      <c r="R595" s="4"/>
      <c r="S595" s="2"/>
      <c r="T595" s="2"/>
      <c r="U595" s="1"/>
      <c r="V595" s="2"/>
      <c r="W595" s="2"/>
      <c r="X595" s="2"/>
      <c r="Y595" s="2"/>
      <c r="Z595" s="2"/>
    </row>
    <row r="596" spans="1:26" ht="15.75" customHeight="1" x14ac:dyDescent="0.2">
      <c r="A596" s="12"/>
      <c r="B596" s="10"/>
      <c r="C596" s="11"/>
      <c r="D596" s="13"/>
      <c r="E596" s="13"/>
      <c r="F596" s="13"/>
      <c r="G596" s="2"/>
      <c r="H596" s="2"/>
      <c r="I596" s="13"/>
      <c r="J596" s="13"/>
      <c r="K596" s="13"/>
      <c r="L596" s="14"/>
      <c r="M596" s="4"/>
      <c r="N596" s="2"/>
      <c r="O596" s="4"/>
      <c r="P596" s="2"/>
      <c r="Q596" s="2"/>
      <c r="R596" s="4"/>
      <c r="S596" s="2"/>
      <c r="T596" s="2"/>
      <c r="U596" s="1"/>
      <c r="V596" s="2"/>
      <c r="W596" s="2"/>
      <c r="X596" s="2"/>
      <c r="Y596" s="2"/>
      <c r="Z596" s="2"/>
    </row>
    <row r="597" spans="1:26" ht="15.75" customHeight="1" x14ac:dyDescent="0.2">
      <c r="A597" s="12"/>
      <c r="B597" s="10"/>
      <c r="C597" s="11"/>
      <c r="D597" s="13"/>
      <c r="E597" s="13"/>
      <c r="F597" s="13"/>
      <c r="G597" s="2"/>
      <c r="H597" s="2"/>
      <c r="I597" s="13"/>
      <c r="J597" s="13"/>
      <c r="K597" s="13"/>
      <c r="L597" s="14"/>
      <c r="M597" s="4"/>
      <c r="N597" s="2"/>
      <c r="O597" s="4"/>
      <c r="P597" s="2"/>
      <c r="Q597" s="2"/>
      <c r="R597" s="4"/>
      <c r="S597" s="2"/>
      <c r="T597" s="2"/>
      <c r="U597" s="1"/>
      <c r="V597" s="2"/>
      <c r="W597" s="2"/>
      <c r="X597" s="2"/>
      <c r="Y597" s="2"/>
      <c r="Z597" s="2"/>
    </row>
    <row r="598" spans="1:26" ht="15.75" customHeight="1" x14ac:dyDescent="0.2">
      <c r="A598" s="12"/>
      <c r="B598" s="10"/>
      <c r="C598" s="11"/>
      <c r="D598" s="13"/>
      <c r="E598" s="13"/>
      <c r="F598" s="13"/>
      <c r="G598" s="2"/>
      <c r="H598" s="2"/>
      <c r="I598" s="13"/>
      <c r="J598" s="13"/>
      <c r="K598" s="13"/>
      <c r="L598" s="14"/>
      <c r="M598" s="4"/>
      <c r="N598" s="2"/>
      <c r="O598" s="4"/>
      <c r="P598" s="2"/>
      <c r="Q598" s="2"/>
      <c r="R598" s="4"/>
      <c r="S598" s="2"/>
      <c r="T598" s="2"/>
      <c r="U598" s="1"/>
      <c r="V598" s="2"/>
      <c r="W598" s="2"/>
      <c r="X598" s="2"/>
      <c r="Y598" s="2"/>
      <c r="Z598" s="2"/>
    </row>
    <row r="599" spans="1:26" ht="15.75" customHeight="1" x14ac:dyDescent="0.2">
      <c r="A599" s="12"/>
      <c r="B599" s="10"/>
      <c r="C599" s="11"/>
      <c r="D599" s="13"/>
      <c r="E599" s="13"/>
      <c r="F599" s="13"/>
      <c r="G599" s="2"/>
      <c r="H599" s="2"/>
      <c r="I599" s="13"/>
      <c r="J599" s="13"/>
      <c r="K599" s="13"/>
      <c r="L599" s="14"/>
      <c r="M599" s="4"/>
      <c r="N599" s="2"/>
      <c r="O599" s="4"/>
      <c r="P599" s="2"/>
      <c r="Q599" s="2"/>
      <c r="R599" s="4"/>
      <c r="S599" s="2"/>
      <c r="T599" s="2"/>
      <c r="U599" s="1"/>
      <c r="V599" s="2"/>
      <c r="W599" s="2"/>
      <c r="X599" s="2"/>
      <c r="Y599" s="2"/>
      <c r="Z599" s="2"/>
    </row>
    <row r="600" spans="1:26" ht="15.75" customHeight="1" x14ac:dyDescent="0.2">
      <c r="A600" s="12"/>
      <c r="B600" s="10"/>
      <c r="C600" s="11"/>
      <c r="D600" s="13"/>
      <c r="E600" s="13"/>
      <c r="F600" s="13"/>
      <c r="G600" s="2"/>
      <c r="H600" s="2"/>
      <c r="I600" s="13"/>
      <c r="J600" s="13"/>
      <c r="K600" s="13"/>
      <c r="L600" s="14"/>
      <c r="M600" s="4"/>
      <c r="N600" s="2"/>
      <c r="O600" s="4"/>
      <c r="P600" s="2"/>
      <c r="Q600" s="2"/>
      <c r="R600" s="4"/>
      <c r="S600" s="2"/>
      <c r="T600" s="2"/>
      <c r="U600" s="1"/>
      <c r="V600" s="2"/>
      <c r="W600" s="2"/>
      <c r="X600" s="2"/>
      <c r="Y600" s="2"/>
      <c r="Z600" s="2"/>
    </row>
    <row r="601" spans="1:26" ht="15.75" customHeight="1" x14ac:dyDescent="0.2">
      <c r="A601" s="12"/>
      <c r="B601" s="10"/>
      <c r="C601" s="11"/>
      <c r="D601" s="13"/>
      <c r="E601" s="13"/>
      <c r="F601" s="13"/>
      <c r="G601" s="2"/>
      <c r="H601" s="2"/>
      <c r="I601" s="13"/>
      <c r="J601" s="13"/>
      <c r="K601" s="13"/>
      <c r="L601" s="14"/>
      <c r="M601" s="4"/>
      <c r="N601" s="2"/>
      <c r="O601" s="4"/>
      <c r="P601" s="2"/>
      <c r="Q601" s="2"/>
      <c r="R601" s="4"/>
      <c r="S601" s="2"/>
      <c r="T601" s="2"/>
      <c r="U601" s="1"/>
      <c r="V601" s="2"/>
      <c r="W601" s="2"/>
      <c r="X601" s="2"/>
      <c r="Y601" s="2"/>
      <c r="Z601" s="2"/>
    </row>
    <row r="602" spans="1:26" ht="15.75" customHeight="1" x14ac:dyDescent="0.2">
      <c r="A602" s="12"/>
      <c r="B602" s="10"/>
      <c r="C602" s="11"/>
      <c r="D602" s="13"/>
      <c r="E602" s="13"/>
      <c r="F602" s="13"/>
      <c r="G602" s="2"/>
      <c r="H602" s="2"/>
      <c r="I602" s="13"/>
      <c r="J602" s="13"/>
      <c r="K602" s="13"/>
      <c r="L602" s="14"/>
      <c r="M602" s="4"/>
      <c r="N602" s="2"/>
      <c r="O602" s="4"/>
      <c r="P602" s="2"/>
      <c r="Q602" s="2"/>
      <c r="R602" s="4"/>
      <c r="S602" s="2"/>
      <c r="T602" s="2"/>
      <c r="U602" s="1"/>
      <c r="V602" s="2"/>
      <c r="W602" s="2"/>
      <c r="X602" s="2"/>
      <c r="Y602" s="2"/>
      <c r="Z602" s="2"/>
    </row>
    <row r="603" spans="1:26" ht="15.75" customHeight="1" x14ac:dyDescent="0.2">
      <c r="A603" s="12"/>
      <c r="B603" s="10"/>
      <c r="C603" s="11"/>
      <c r="D603" s="13"/>
      <c r="E603" s="13"/>
      <c r="F603" s="13"/>
      <c r="G603" s="2"/>
      <c r="H603" s="2"/>
      <c r="I603" s="13"/>
      <c r="J603" s="13"/>
      <c r="K603" s="13"/>
      <c r="L603" s="14"/>
      <c r="M603" s="4"/>
      <c r="N603" s="2"/>
      <c r="O603" s="4"/>
      <c r="P603" s="2"/>
      <c r="Q603" s="2"/>
      <c r="R603" s="4"/>
      <c r="S603" s="2"/>
      <c r="T603" s="2"/>
      <c r="U603" s="1"/>
      <c r="V603" s="2"/>
      <c r="W603" s="2"/>
      <c r="X603" s="2"/>
      <c r="Y603" s="2"/>
      <c r="Z603" s="2"/>
    </row>
    <row r="604" spans="1:26" ht="15.75" customHeight="1" x14ac:dyDescent="0.2">
      <c r="A604" s="12"/>
      <c r="B604" s="10"/>
      <c r="C604" s="11"/>
      <c r="D604" s="13"/>
      <c r="E604" s="13"/>
      <c r="F604" s="13"/>
      <c r="G604" s="2"/>
      <c r="H604" s="2"/>
      <c r="I604" s="13"/>
      <c r="J604" s="13"/>
      <c r="K604" s="13"/>
      <c r="L604" s="14"/>
      <c r="M604" s="4"/>
      <c r="N604" s="2"/>
      <c r="O604" s="4"/>
      <c r="P604" s="2"/>
      <c r="Q604" s="2"/>
      <c r="R604" s="4"/>
      <c r="S604" s="2"/>
      <c r="T604" s="2"/>
      <c r="U604" s="1"/>
      <c r="V604" s="2"/>
      <c r="W604" s="2"/>
      <c r="X604" s="2"/>
      <c r="Y604" s="2"/>
      <c r="Z604" s="2"/>
    </row>
    <row r="605" spans="1:26" ht="15.75" customHeight="1" x14ac:dyDescent="0.2">
      <c r="A605" s="12"/>
      <c r="B605" s="10"/>
      <c r="C605" s="11"/>
      <c r="D605" s="13"/>
      <c r="E605" s="13"/>
      <c r="F605" s="13"/>
      <c r="G605" s="2"/>
      <c r="H605" s="2"/>
      <c r="I605" s="13"/>
      <c r="J605" s="13"/>
      <c r="K605" s="13"/>
      <c r="L605" s="14"/>
      <c r="M605" s="4"/>
      <c r="N605" s="2"/>
      <c r="O605" s="4"/>
      <c r="P605" s="2"/>
      <c r="Q605" s="2"/>
      <c r="R605" s="4"/>
      <c r="S605" s="2"/>
      <c r="T605" s="2"/>
      <c r="U605" s="1"/>
      <c r="V605" s="2"/>
      <c r="W605" s="2"/>
      <c r="X605" s="2"/>
      <c r="Y605" s="2"/>
      <c r="Z605" s="2"/>
    </row>
    <row r="606" spans="1:26" ht="15.75" customHeight="1" x14ac:dyDescent="0.2">
      <c r="A606" s="12"/>
      <c r="B606" s="10"/>
      <c r="C606" s="11"/>
      <c r="D606" s="13"/>
      <c r="E606" s="13"/>
      <c r="F606" s="13"/>
      <c r="G606" s="2"/>
      <c r="H606" s="2"/>
      <c r="I606" s="13"/>
      <c r="J606" s="13"/>
      <c r="K606" s="13"/>
      <c r="L606" s="14"/>
      <c r="M606" s="4"/>
      <c r="N606" s="2"/>
      <c r="O606" s="4"/>
      <c r="P606" s="2"/>
      <c r="Q606" s="2"/>
      <c r="R606" s="4"/>
      <c r="S606" s="2"/>
      <c r="T606" s="2"/>
      <c r="U606" s="1"/>
      <c r="V606" s="2"/>
      <c r="W606" s="2"/>
      <c r="X606" s="2"/>
      <c r="Y606" s="2"/>
      <c r="Z606" s="2"/>
    </row>
    <row r="607" spans="1:26" ht="15.75" customHeight="1" x14ac:dyDescent="0.2">
      <c r="A607" s="12"/>
      <c r="B607" s="10"/>
      <c r="C607" s="11"/>
      <c r="D607" s="13"/>
      <c r="E607" s="13"/>
      <c r="F607" s="13"/>
      <c r="G607" s="2"/>
      <c r="H607" s="2"/>
      <c r="I607" s="13"/>
      <c r="J607" s="13"/>
      <c r="K607" s="13"/>
      <c r="L607" s="14"/>
      <c r="M607" s="4"/>
      <c r="N607" s="2"/>
      <c r="O607" s="4"/>
      <c r="P607" s="2"/>
      <c r="Q607" s="2"/>
      <c r="R607" s="4"/>
      <c r="S607" s="2"/>
      <c r="T607" s="2"/>
      <c r="U607" s="1"/>
      <c r="V607" s="2"/>
      <c r="W607" s="2"/>
      <c r="X607" s="2"/>
      <c r="Y607" s="2"/>
      <c r="Z607" s="2"/>
    </row>
    <row r="608" spans="1:26" ht="15.75" customHeight="1" x14ac:dyDescent="0.2">
      <c r="A608" s="12"/>
      <c r="B608" s="10"/>
      <c r="C608" s="11"/>
      <c r="D608" s="13"/>
      <c r="E608" s="13"/>
      <c r="F608" s="13"/>
      <c r="G608" s="2"/>
      <c r="H608" s="2"/>
      <c r="I608" s="13"/>
      <c r="J608" s="13"/>
      <c r="K608" s="13"/>
      <c r="L608" s="14"/>
      <c r="M608" s="4"/>
      <c r="N608" s="2"/>
      <c r="O608" s="4"/>
      <c r="P608" s="2"/>
      <c r="Q608" s="2"/>
      <c r="R608" s="4"/>
      <c r="S608" s="2"/>
      <c r="T608" s="2"/>
      <c r="U608" s="1"/>
      <c r="V608" s="2"/>
      <c r="W608" s="2"/>
      <c r="X608" s="2"/>
      <c r="Y608" s="2"/>
      <c r="Z608" s="2"/>
    </row>
    <row r="609" spans="1:26" ht="15.75" customHeight="1" x14ac:dyDescent="0.2">
      <c r="A609" s="12"/>
      <c r="B609" s="10"/>
      <c r="C609" s="11"/>
      <c r="D609" s="13"/>
      <c r="E609" s="13"/>
      <c r="F609" s="13"/>
      <c r="G609" s="2"/>
      <c r="H609" s="2"/>
      <c r="I609" s="13"/>
      <c r="J609" s="13"/>
      <c r="K609" s="13"/>
      <c r="L609" s="14"/>
      <c r="M609" s="4"/>
      <c r="N609" s="2"/>
      <c r="O609" s="4"/>
      <c r="P609" s="2"/>
      <c r="Q609" s="2"/>
      <c r="R609" s="4"/>
      <c r="S609" s="2"/>
      <c r="T609" s="2"/>
      <c r="U609" s="1"/>
      <c r="V609" s="2"/>
      <c r="W609" s="2"/>
      <c r="X609" s="2"/>
      <c r="Y609" s="2"/>
      <c r="Z609" s="2"/>
    </row>
    <row r="610" spans="1:26" ht="15.75" customHeight="1" x14ac:dyDescent="0.2">
      <c r="A610" s="12"/>
      <c r="B610" s="10"/>
      <c r="C610" s="11"/>
      <c r="D610" s="13"/>
      <c r="E610" s="13"/>
      <c r="F610" s="13"/>
      <c r="G610" s="2"/>
      <c r="H610" s="2"/>
      <c r="I610" s="13"/>
      <c r="J610" s="13"/>
      <c r="K610" s="13"/>
      <c r="L610" s="14"/>
      <c r="M610" s="4"/>
      <c r="N610" s="2"/>
      <c r="O610" s="4"/>
      <c r="P610" s="2"/>
      <c r="Q610" s="2"/>
      <c r="R610" s="4"/>
      <c r="S610" s="2"/>
      <c r="T610" s="2"/>
      <c r="U610" s="1"/>
      <c r="V610" s="2"/>
      <c r="W610" s="2"/>
      <c r="X610" s="2"/>
      <c r="Y610" s="2"/>
      <c r="Z610" s="2"/>
    </row>
    <row r="611" spans="1:26" ht="15.75" customHeight="1" x14ac:dyDescent="0.2">
      <c r="A611" s="12"/>
      <c r="B611" s="10"/>
      <c r="C611" s="11"/>
      <c r="D611" s="13"/>
      <c r="E611" s="13"/>
      <c r="F611" s="13"/>
      <c r="G611" s="2"/>
      <c r="H611" s="2"/>
      <c r="I611" s="13"/>
      <c r="J611" s="13"/>
      <c r="K611" s="13"/>
      <c r="L611" s="14"/>
      <c r="M611" s="4"/>
      <c r="N611" s="2"/>
      <c r="O611" s="4"/>
      <c r="P611" s="2"/>
      <c r="Q611" s="2"/>
      <c r="R611" s="4"/>
      <c r="S611" s="2"/>
      <c r="T611" s="2"/>
      <c r="U611" s="1"/>
      <c r="V611" s="2"/>
      <c r="W611" s="2"/>
      <c r="X611" s="2"/>
      <c r="Y611" s="2"/>
      <c r="Z611" s="2"/>
    </row>
    <row r="612" spans="1:26" ht="15.75" customHeight="1" x14ac:dyDescent="0.2">
      <c r="A612" s="12"/>
      <c r="B612" s="10"/>
      <c r="C612" s="11"/>
      <c r="D612" s="13"/>
      <c r="E612" s="13"/>
      <c r="F612" s="13"/>
      <c r="G612" s="2"/>
      <c r="H612" s="2"/>
      <c r="I612" s="13"/>
      <c r="J612" s="13"/>
      <c r="K612" s="13"/>
      <c r="L612" s="14"/>
      <c r="M612" s="4"/>
      <c r="N612" s="2"/>
      <c r="O612" s="4"/>
      <c r="P612" s="2"/>
      <c r="Q612" s="2"/>
      <c r="R612" s="4"/>
      <c r="S612" s="2"/>
      <c r="T612" s="2"/>
      <c r="U612" s="1"/>
      <c r="V612" s="2"/>
      <c r="W612" s="2"/>
      <c r="X612" s="2"/>
      <c r="Y612" s="2"/>
      <c r="Z612" s="2"/>
    </row>
    <row r="613" spans="1:26" ht="15.75" customHeight="1" x14ac:dyDescent="0.2">
      <c r="A613" s="12"/>
      <c r="B613" s="10"/>
      <c r="C613" s="11"/>
      <c r="D613" s="13"/>
      <c r="E613" s="13"/>
      <c r="F613" s="13"/>
      <c r="G613" s="2"/>
      <c r="H613" s="2"/>
      <c r="I613" s="13"/>
      <c r="J613" s="13"/>
      <c r="K613" s="13"/>
      <c r="L613" s="14"/>
      <c r="M613" s="4"/>
      <c r="N613" s="2"/>
      <c r="O613" s="4"/>
      <c r="P613" s="2"/>
      <c r="Q613" s="2"/>
      <c r="R613" s="4"/>
      <c r="S613" s="2"/>
      <c r="T613" s="2"/>
      <c r="U613" s="1"/>
      <c r="V613" s="2"/>
      <c r="W613" s="2"/>
      <c r="X613" s="2"/>
      <c r="Y613" s="2"/>
      <c r="Z613" s="2"/>
    </row>
    <row r="614" spans="1:26" ht="15.75" customHeight="1" x14ac:dyDescent="0.2">
      <c r="A614" s="12"/>
      <c r="B614" s="10"/>
      <c r="C614" s="11"/>
      <c r="D614" s="13"/>
      <c r="E614" s="13"/>
      <c r="F614" s="13"/>
      <c r="G614" s="2"/>
      <c r="H614" s="2"/>
      <c r="I614" s="13"/>
      <c r="J614" s="13"/>
      <c r="K614" s="13"/>
      <c r="L614" s="14"/>
      <c r="M614" s="4"/>
      <c r="N614" s="2"/>
      <c r="O614" s="4"/>
      <c r="P614" s="2"/>
      <c r="Q614" s="2"/>
      <c r="R614" s="4"/>
      <c r="S614" s="2"/>
      <c r="T614" s="2"/>
      <c r="U614" s="1"/>
      <c r="V614" s="2"/>
      <c r="W614" s="2"/>
      <c r="X614" s="2"/>
      <c r="Y614" s="2"/>
      <c r="Z614" s="2"/>
    </row>
    <row r="615" spans="1:26" ht="15.75" customHeight="1" x14ac:dyDescent="0.2">
      <c r="A615" s="12"/>
      <c r="B615" s="10"/>
      <c r="C615" s="11"/>
      <c r="D615" s="13"/>
      <c r="E615" s="13"/>
      <c r="F615" s="13"/>
      <c r="G615" s="2"/>
      <c r="H615" s="2"/>
      <c r="I615" s="13"/>
      <c r="J615" s="13"/>
      <c r="K615" s="13"/>
      <c r="L615" s="14"/>
      <c r="M615" s="4"/>
      <c r="N615" s="2"/>
      <c r="O615" s="4"/>
      <c r="P615" s="2"/>
      <c r="Q615" s="2"/>
      <c r="R615" s="4"/>
      <c r="S615" s="2"/>
      <c r="T615" s="2"/>
      <c r="U615" s="1"/>
      <c r="V615" s="2"/>
      <c r="W615" s="2"/>
      <c r="X615" s="2"/>
      <c r="Y615" s="2"/>
      <c r="Z615" s="2"/>
    </row>
    <row r="616" spans="1:26" ht="15.75" customHeight="1" x14ac:dyDescent="0.2">
      <c r="A616" s="12"/>
      <c r="B616" s="10"/>
      <c r="C616" s="11"/>
      <c r="D616" s="13"/>
      <c r="E616" s="13"/>
      <c r="F616" s="13"/>
      <c r="G616" s="2"/>
      <c r="H616" s="2"/>
      <c r="I616" s="13"/>
      <c r="J616" s="13"/>
      <c r="K616" s="13"/>
      <c r="L616" s="14"/>
      <c r="M616" s="4"/>
      <c r="N616" s="2"/>
      <c r="O616" s="4"/>
      <c r="P616" s="2"/>
      <c r="Q616" s="2"/>
      <c r="R616" s="4"/>
      <c r="S616" s="2"/>
      <c r="T616" s="2"/>
      <c r="U616" s="1"/>
      <c r="V616" s="2"/>
      <c r="W616" s="2"/>
      <c r="X616" s="2"/>
      <c r="Y616" s="2"/>
      <c r="Z616" s="2"/>
    </row>
    <row r="617" spans="1:26" ht="15.75" customHeight="1" x14ac:dyDescent="0.2">
      <c r="A617" s="12"/>
      <c r="B617" s="10"/>
      <c r="C617" s="11"/>
      <c r="D617" s="13"/>
      <c r="E617" s="13"/>
      <c r="F617" s="13"/>
      <c r="G617" s="2"/>
      <c r="H617" s="2"/>
      <c r="I617" s="13"/>
      <c r="J617" s="13"/>
      <c r="K617" s="13"/>
      <c r="L617" s="14"/>
      <c r="M617" s="4"/>
      <c r="N617" s="2"/>
      <c r="O617" s="4"/>
      <c r="P617" s="2"/>
      <c r="Q617" s="2"/>
      <c r="R617" s="4"/>
      <c r="S617" s="2"/>
      <c r="T617" s="2"/>
      <c r="U617" s="1"/>
      <c r="V617" s="2"/>
      <c r="W617" s="2"/>
      <c r="X617" s="2"/>
      <c r="Y617" s="2"/>
      <c r="Z617" s="2"/>
    </row>
    <row r="618" spans="1:26" ht="15.75" customHeight="1" x14ac:dyDescent="0.2">
      <c r="A618" s="12"/>
      <c r="B618" s="10"/>
      <c r="C618" s="11"/>
      <c r="D618" s="13"/>
      <c r="E618" s="13"/>
      <c r="F618" s="13"/>
      <c r="G618" s="2"/>
      <c r="H618" s="2"/>
      <c r="I618" s="13"/>
      <c r="J618" s="13"/>
      <c r="K618" s="13"/>
      <c r="L618" s="14"/>
      <c r="M618" s="4"/>
      <c r="N618" s="2"/>
      <c r="O618" s="4"/>
      <c r="P618" s="2"/>
      <c r="Q618" s="2"/>
      <c r="R618" s="4"/>
      <c r="S618" s="2"/>
      <c r="T618" s="2"/>
      <c r="U618" s="1"/>
      <c r="V618" s="2"/>
      <c r="W618" s="2"/>
      <c r="X618" s="2"/>
      <c r="Y618" s="2"/>
      <c r="Z618" s="2"/>
    </row>
    <row r="619" spans="1:26" ht="15.75" customHeight="1" x14ac:dyDescent="0.2">
      <c r="A619" s="12"/>
      <c r="B619" s="10"/>
      <c r="C619" s="11"/>
      <c r="D619" s="13"/>
      <c r="E619" s="13"/>
      <c r="F619" s="13"/>
      <c r="G619" s="2"/>
      <c r="H619" s="2"/>
      <c r="I619" s="13"/>
      <c r="J619" s="13"/>
      <c r="K619" s="13"/>
      <c r="L619" s="14"/>
      <c r="M619" s="4"/>
      <c r="N619" s="2"/>
      <c r="O619" s="4"/>
      <c r="P619" s="2"/>
      <c r="Q619" s="2"/>
      <c r="R619" s="4"/>
      <c r="S619" s="2"/>
      <c r="T619" s="2"/>
      <c r="U619" s="1"/>
      <c r="V619" s="2"/>
      <c r="W619" s="2"/>
      <c r="X619" s="2"/>
      <c r="Y619" s="2"/>
      <c r="Z619" s="2"/>
    </row>
    <row r="620" spans="1:26" ht="15.75" customHeight="1" x14ac:dyDescent="0.2">
      <c r="A620" s="12"/>
      <c r="B620" s="10"/>
      <c r="C620" s="11"/>
      <c r="D620" s="13"/>
      <c r="E620" s="13"/>
      <c r="F620" s="13"/>
      <c r="G620" s="2"/>
      <c r="H620" s="2"/>
      <c r="I620" s="13"/>
      <c r="J620" s="13"/>
      <c r="K620" s="13"/>
      <c r="L620" s="14"/>
      <c r="M620" s="4"/>
      <c r="N620" s="2"/>
      <c r="O620" s="4"/>
      <c r="P620" s="2"/>
      <c r="Q620" s="2"/>
      <c r="R620" s="4"/>
      <c r="S620" s="2"/>
      <c r="T620" s="2"/>
      <c r="U620" s="1"/>
      <c r="V620" s="2"/>
      <c r="W620" s="2"/>
      <c r="X620" s="2"/>
      <c r="Y620" s="2"/>
      <c r="Z620" s="2"/>
    </row>
    <row r="621" spans="1:26" ht="15.75" customHeight="1" x14ac:dyDescent="0.2">
      <c r="A621" s="12"/>
      <c r="B621" s="10"/>
      <c r="C621" s="11"/>
      <c r="D621" s="13"/>
      <c r="E621" s="13"/>
      <c r="F621" s="13"/>
      <c r="G621" s="2"/>
      <c r="H621" s="2"/>
      <c r="I621" s="13"/>
      <c r="J621" s="13"/>
      <c r="K621" s="13"/>
      <c r="L621" s="14"/>
      <c r="M621" s="4"/>
      <c r="N621" s="2"/>
      <c r="O621" s="4"/>
      <c r="P621" s="2"/>
      <c r="Q621" s="2"/>
      <c r="R621" s="4"/>
      <c r="S621" s="2"/>
      <c r="T621" s="2"/>
      <c r="U621" s="1"/>
      <c r="V621" s="2"/>
      <c r="W621" s="2"/>
      <c r="X621" s="2"/>
      <c r="Y621" s="2"/>
      <c r="Z621" s="2"/>
    </row>
    <row r="622" spans="1:26" ht="15.75" customHeight="1" x14ac:dyDescent="0.2">
      <c r="A622" s="12"/>
      <c r="B622" s="10"/>
      <c r="C622" s="11"/>
      <c r="D622" s="13"/>
      <c r="E622" s="13"/>
      <c r="F622" s="13"/>
      <c r="G622" s="2"/>
      <c r="H622" s="2"/>
      <c r="I622" s="13"/>
      <c r="J622" s="13"/>
      <c r="K622" s="13"/>
      <c r="L622" s="14"/>
      <c r="M622" s="4"/>
      <c r="N622" s="2"/>
      <c r="O622" s="4"/>
      <c r="P622" s="2"/>
      <c r="Q622" s="2"/>
      <c r="R622" s="4"/>
      <c r="S622" s="2"/>
      <c r="T622" s="2"/>
      <c r="U622" s="1"/>
      <c r="V622" s="2"/>
      <c r="W622" s="2"/>
      <c r="X622" s="2"/>
      <c r="Y622" s="2"/>
      <c r="Z622" s="2"/>
    </row>
    <row r="623" spans="1:26" ht="15.75" customHeight="1" x14ac:dyDescent="0.2">
      <c r="A623" s="12"/>
      <c r="B623" s="10"/>
      <c r="C623" s="11"/>
      <c r="D623" s="13"/>
      <c r="E623" s="13"/>
      <c r="F623" s="13"/>
      <c r="G623" s="2"/>
      <c r="H623" s="2"/>
      <c r="I623" s="13"/>
      <c r="J623" s="13"/>
      <c r="K623" s="13"/>
      <c r="L623" s="14"/>
      <c r="M623" s="4"/>
      <c r="N623" s="2"/>
      <c r="O623" s="4"/>
      <c r="P623" s="2"/>
      <c r="Q623" s="2"/>
      <c r="R623" s="4"/>
      <c r="S623" s="2"/>
      <c r="T623" s="2"/>
      <c r="U623" s="1"/>
      <c r="V623" s="2"/>
      <c r="W623" s="2"/>
      <c r="X623" s="2"/>
      <c r="Y623" s="2"/>
      <c r="Z623" s="2"/>
    </row>
    <row r="624" spans="1:26" ht="15.75" customHeight="1" x14ac:dyDescent="0.2">
      <c r="A624" s="12"/>
      <c r="B624" s="10"/>
      <c r="C624" s="11"/>
      <c r="D624" s="13"/>
      <c r="E624" s="13"/>
      <c r="F624" s="13"/>
      <c r="G624" s="2"/>
      <c r="H624" s="2"/>
      <c r="I624" s="13"/>
      <c r="J624" s="13"/>
      <c r="K624" s="13"/>
      <c r="L624" s="14"/>
      <c r="M624" s="4"/>
      <c r="N624" s="2"/>
      <c r="O624" s="4"/>
      <c r="P624" s="2"/>
      <c r="Q624" s="2"/>
      <c r="R624" s="4"/>
      <c r="S624" s="2"/>
      <c r="T624" s="2"/>
      <c r="U624" s="1"/>
      <c r="V624" s="2"/>
      <c r="W624" s="2"/>
      <c r="X624" s="2"/>
      <c r="Y624" s="2"/>
      <c r="Z624" s="2"/>
    </row>
    <row r="625" spans="1:26" ht="15.75" customHeight="1" x14ac:dyDescent="0.2">
      <c r="A625" s="12"/>
      <c r="B625" s="10"/>
      <c r="C625" s="11"/>
      <c r="D625" s="13"/>
      <c r="E625" s="13"/>
      <c r="F625" s="13"/>
      <c r="G625" s="2"/>
      <c r="H625" s="2"/>
      <c r="I625" s="13"/>
      <c r="J625" s="13"/>
      <c r="K625" s="13"/>
      <c r="L625" s="14"/>
      <c r="M625" s="4"/>
      <c r="N625" s="2"/>
      <c r="O625" s="4"/>
      <c r="P625" s="2"/>
      <c r="Q625" s="2"/>
      <c r="R625" s="4"/>
      <c r="S625" s="2"/>
      <c r="T625" s="2"/>
      <c r="U625" s="1"/>
      <c r="V625" s="2"/>
      <c r="W625" s="2"/>
      <c r="X625" s="2"/>
      <c r="Y625" s="2"/>
      <c r="Z625" s="2"/>
    </row>
    <row r="626" spans="1:26" ht="15.75" customHeight="1" x14ac:dyDescent="0.2">
      <c r="A626" s="12"/>
      <c r="B626" s="10"/>
      <c r="C626" s="11"/>
      <c r="D626" s="13"/>
      <c r="E626" s="13"/>
      <c r="F626" s="13"/>
      <c r="G626" s="2"/>
      <c r="H626" s="2"/>
      <c r="I626" s="13"/>
      <c r="J626" s="13"/>
      <c r="K626" s="13"/>
      <c r="L626" s="14"/>
      <c r="M626" s="4"/>
      <c r="N626" s="2"/>
      <c r="O626" s="4"/>
      <c r="P626" s="2"/>
      <c r="Q626" s="2"/>
      <c r="R626" s="4"/>
      <c r="S626" s="2"/>
      <c r="T626" s="2"/>
      <c r="U626" s="1"/>
      <c r="V626" s="2"/>
      <c r="W626" s="2"/>
      <c r="X626" s="2"/>
      <c r="Y626" s="2"/>
      <c r="Z626" s="2"/>
    </row>
    <row r="627" spans="1:26" ht="15.75" customHeight="1" x14ac:dyDescent="0.2">
      <c r="A627" s="12"/>
      <c r="B627" s="10"/>
      <c r="C627" s="11"/>
      <c r="D627" s="13"/>
      <c r="E627" s="13"/>
      <c r="F627" s="13"/>
      <c r="G627" s="2"/>
      <c r="H627" s="2"/>
      <c r="I627" s="13"/>
      <c r="J627" s="13"/>
      <c r="K627" s="13"/>
      <c r="L627" s="14"/>
      <c r="M627" s="4"/>
      <c r="N627" s="2"/>
      <c r="O627" s="4"/>
      <c r="P627" s="2"/>
      <c r="Q627" s="2"/>
      <c r="R627" s="4"/>
      <c r="S627" s="2"/>
      <c r="T627" s="2"/>
      <c r="U627" s="1"/>
      <c r="V627" s="2"/>
      <c r="W627" s="2"/>
      <c r="X627" s="2"/>
      <c r="Y627" s="2"/>
      <c r="Z627" s="2"/>
    </row>
    <row r="628" spans="1:26" ht="15.75" customHeight="1" x14ac:dyDescent="0.2">
      <c r="A628" s="12"/>
      <c r="B628" s="10"/>
      <c r="C628" s="11"/>
      <c r="D628" s="13"/>
      <c r="E628" s="13"/>
      <c r="F628" s="13"/>
      <c r="G628" s="2"/>
      <c r="H628" s="2"/>
      <c r="I628" s="13"/>
      <c r="J628" s="13"/>
      <c r="K628" s="13"/>
      <c r="L628" s="14"/>
      <c r="M628" s="4"/>
      <c r="N628" s="2"/>
      <c r="O628" s="4"/>
      <c r="P628" s="2"/>
      <c r="Q628" s="2"/>
      <c r="R628" s="4"/>
      <c r="S628" s="2"/>
      <c r="T628" s="2"/>
      <c r="U628" s="1"/>
      <c r="V628" s="2"/>
      <c r="W628" s="2"/>
      <c r="X628" s="2"/>
      <c r="Y628" s="2"/>
      <c r="Z628" s="2"/>
    </row>
    <row r="629" spans="1:26" ht="15.75" customHeight="1" x14ac:dyDescent="0.2">
      <c r="A629" s="12"/>
      <c r="B629" s="10"/>
      <c r="C629" s="11"/>
      <c r="D629" s="13"/>
      <c r="E629" s="13"/>
      <c r="F629" s="13"/>
      <c r="G629" s="2"/>
      <c r="H629" s="2"/>
      <c r="I629" s="13"/>
      <c r="J629" s="13"/>
      <c r="K629" s="13"/>
      <c r="L629" s="14"/>
      <c r="M629" s="4"/>
      <c r="N629" s="2"/>
      <c r="O629" s="4"/>
      <c r="P629" s="2"/>
      <c r="Q629" s="2"/>
      <c r="R629" s="4"/>
      <c r="S629" s="2"/>
      <c r="T629" s="2"/>
      <c r="U629" s="1"/>
      <c r="V629" s="2"/>
      <c r="W629" s="2"/>
      <c r="X629" s="2"/>
      <c r="Y629" s="2"/>
      <c r="Z629" s="2"/>
    </row>
    <row r="630" spans="1:26" ht="15.75" customHeight="1" x14ac:dyDescent="0.2">
      <c r="A630" s="12"/>
      <c r="B630" s="10"/>
      <c r="C630" s="11"/>
      <c r="D630" s="13"/>
      <c r="E630" s="13"/>
      <c r="F630" s="13"/>
      <c r="G630" s="2"/>
      <c r="H630" s="2"/>
      <c r="I630" s="13"/>
      <c r="J630" s="13"/>
      <c r="K630" s="13"/>
      <c r="L630" s="14"/>
      <c r="M630" s="4"/>
      <c r="N630" s="2"/>
      <c r="O630" s="4"/>
      <c r="P630" s="2"/>
      <c r="Q630" s="2"/>
      <c r="R630" s="4"/>
      <c r="S630" s="2"/>
      <c r="T630" s="2"/>
      <c r="U630" s="1"/>
      <c r="V630" s="2"/>
      <c r="W630" s="2"/>
      <c r="X630" s="2"/>
      <c r="Y630" s="2"/>
      <c r="Z630" s="2"/>
    </row>
    <row r="631" spans="1:26" ht="15.75" customHeight="1" x14ac:dyDescent="0.2">
      <c r="A631" s="12"/>
      <c r="B631" s="10"/>
      <c r="C631" s="11"/>
      <c r="D631" s="13"/>
      <c r="E631" s="13"/>
      <c r="F631" s="13"/>
      <c r="G631" s="2"/>
      <c r="H631" s="2"/>
      <c r="I631" s="13"/>
      <c r="J631" s="13"/>
      <c r="K631" s="13"/>
      <c r="L631" s="14"/>
      <c r="M631" s="4"/>
      <c r="N631" s="2"/>
      <c r="O631" s="4"/>
      <c r="P631" s="2"/>
      <c r="Q631" s="2"/>
      <c r="R631" s="4"/>
      <c r="S631" s="2"/>
      <c r="T631" s="2"/>
      <c r="U631" s="1"/>
      <c r="V631" s="2"/>
      <c r="W631" s="2"/>
      <c r="X631" s="2"/>
      <c r="Y631" s="2"/>
      <c r="Z631" s="2"/>
    </row>
    <row r="632" spans="1:26" ht="15.75" customHeight="1" x14ac:dyDescent="0.2">
      <c r="A632" s="12"/>
      <c r="B632" s="10"/>
      <c r="C632" s="11"/>
      <c r="D632" s="13"/>
      <c r="E632" s="13"/>
      <c r="F632" s="13"/>
      <c r="G632" s="2"/>
      <c r="H632" s="2"/>
      <c r="I632" s="13"/>
      <c r="J632" s="13"/>
      <c r="K632" s="13"/>
      <c r="L632" s="14"/>
      <c r="M632" s="4"/>
      <c r="N632" s="2"/>
      <c r="O632" s="4"/>
      <c r="P632" s="2"/>
      <c r="Q632" s="2"/>
      <c r="R632" s="4"/>
      <c r="S632" s="2"/>
      <c r="T632" s="2"/>
      <c r="U632" s="1"/>
      <c r="V632" s="2"/>
      <c r="W632" s="2"/>
      <c r="X632" s="2"/>
      <c r="Y632" s="2"/>
      <c r="Z632" s="2"/>
    </row>
    <row r="633" spans="1:26" ht="15.75" customHeight="1" x14ac:dyDescent="0.2">
      <c r="A633" s="12"/>
      <c r="B633" s="10"/>
      <c r="C633" s="11"/>
      <c r="D633" s="13"/>
      <c r="E633" s="13"/>
      <c r="F633" s="13"/>
      <c r="G633" s="2"/>
      <c r="H633" s="2"/>
      <c r="I633" s="13"/>
      <c r="J633" s="13"/>
      <c r="K633" s="13"/>
      <c r="L633" s="14"/>
      <c r="M633" s="4"/>
      <c r="N633" s="2"/>
      <c r="O633" s="4"/>
      <c r="P633" s="2"/>
      <c r="Q633" s="2"/>
      <c r="R633" s="4"/>
      <c r="S633" s="2"/>
      <c r="T633" s="2"/>
      <c r="U633" s="1"/>
      <c r="V633" s="2"/>
      <c r="W633" s="2"/>
      <c r="X633" s="2"/>
      <c r="Y633" s="2"/>
      <c r="Z633" s="2"/>
    </row>
    <row r="634" spans="1:26" ht="15.75" customHeight="1" x14ac:dyDescent="0.2">
      <c r="A634" s="12"/>
      <c r="B634" s="10"/>
      <c r="C634" s="11"/>
      <c r="D634" s="13"/>
      <c r="E634" s="13"/>
      <c r="F634" s="13"/>
      <c r="G634" s="2"/>
      <c r="H634" s="2"/>
      <c r="I634" s="13"/>
      <c r="J634" s="13"/>
      <c r="K634" s="13"/>
      <c r="L634" s="14"/>
      <c r="M634" s="4"/>
      <c r="N634" s="2"/>
      <c r="O634" s="4"/>
      <c r="P634" s="2"/>
      <c r="Q634" s="2"/>
      <c r="R634" s="4"/>
      <c r="S634" s="2"/>
      <c r="T634" s="2"/>
      <c r="U634" s="1"/>
      <c r="V634" s="2"/>
      <c r="W634" s="2"/>
      <c r="X634" s="2"/>
      <c r="Y634" s="2"/>
      <c r="Z634" s="2"/>
    </row>
    <row r="635" spans="1:26" ht="15.75" customHeight="1" x14ac:dyDescent="0.2">
      <c r="A635" s="12"/>
      <c r="B635" s="10"/>
      <c r="C635" s="11"/>
      <c r="D635" s="13"/>
      <c r="E635" s="13"/>
      <c r="F635" s="13"/>
      <c r="G635" s="2"/>
      <c r="H635" s="2"/>
      <c r="I635" s="13"/>
      <c r="J635" s="13"/>
      <c r="K635" s="13"/>
      <c r="L635" s="14"/>
      <c r="M635" s="4"/>
      <c r="N635" s="2"/>
      <c r="O635" s="4"/>
      <c r="P635" s="2"/>
      <c r="Q635" s="2"/>
      <c r="R635" s="4"/>
      <c r="S635" s="2"/>
      <c r="T635" s="2"/>
      <c r="U635" s="1"/>
      <c r="V635" s="2"/>
      <c r="W635" s="2"/>
      <c r="X635" s="2"/>
      <c r="Y635" s="2"/>
      <c r="Z635" s="2"/>
    </row>
    <row r="636" spans="1:26" ht="15.75" customHeight="1" x14ac:dyDescent="0.2">
      <c r="A636" s="12"/>
      <c r="B636" s="10"/>
      <c r="C636" s="11"/>
      <c r="D636" s="13"/>
      <c r="E636" s="13"/>
      <c r="F636" s="13"/>
      <c r="G636" s="2"/>
      <c r="H636" s="2"/>
      <c r="I636" s="13"/>
      <c r="J636" s="13"/>
      <c r="K636" s="13"/>
      <c r="L636" s="14"/>
      <c r="M636" s="4"/>
      <c r="N636" s="2"/>
      <c r="O636" s="4"/>
      <c r="P636" s="2"/>
      <c r="Q636" s="2"/>
      <c r="R636" s="4"/>
      <c r="S636" s="2"/>
      <c r="T636" s="2"/>
      <c r="U636" s="1"/>
      <c r="V636" s="2"/>
      <c r="W636" s="2"/>
      <c r="X636" s="2"/>
      <c r="Y636" s="2"/>
      <c r="Z636" s="2"/>
    </row>
    <row r="637" spans="1:26" ht="15.75" customHeight="1" x14ac:dyDescent="0.2">
      <c r="A637" s="12"/>
      <c r="B637" s="10"/>
      <c r="C637" s="11"/>
      <c r="D637" s="13"/>
      <c r="E637" s="13"/>
      <c r="F637" s="13"/>
      <c r="G637" s="2"/>
      <c r="H637" s="2"/>
      <c r="I637" s="13"/>
      <c r="J637" s="13"/>
      <c r="K637" s="13"/>
      <c r="L637" s="14"/>
      <c r="M637" s="4"/>
      <c r="N637" s="2"/>
      <c r="O637" s="4"/>
      <c r="P637" s="2"/>
      <c r="Q637" s="2"/>
      <c r="R637" s="4"/>
      <c r="S637" s="2"/>
      <c r="T637" s="2"/>
      <c r="U637" s="1"/>
      <c r="V637" s="2"/>
      <c r="W637" s="2"/>
      <c r="X637" s="2"/>
      <c r="Y637" s="2"/>
      <c r="Z637" s="2"/>
    </row>
    <row r="638" spans="1:26" ht="15.75" customHeight="1" x14ac:dyDescent="0.2">
      <c r="A638" s="12"/>
      <c r="B638" s="10"/>
      <c r="C638" s="11"/>
      <c r="D638" s="13"/>
      <c r="E638" s="13"/>
      <c r="F638" s="13"/>
      <c r="G638" s="2"/>
      <c r="H638" s="2"/>
      <c r="I638" s="13"/>
      <c r="J638" s="13"/>
      <c r="K638" s="13"/>
      <c r="L638" s="14"/>
      <c r="M638" s="4"/>
      <c r="N638" s="2"/>
      <c r="O638" s="4"/>
      <c r="P638" s="2"/>
      <c r="Q638" s="2"/>
      <c r="R638" s="4"/>
      <c r="S638" s="2"/>
      <c r="T638" s="2"/>
      <c r="U638" s="1"/>
      <c r="V638" s="2"/>
      <c r="W638" s="2"/>
      <c r="X638" s="2"/>
      <c r="Y638" s="2"/>
      <c r="Z638" s="2"/>
    </row>
    <row r="639" spans="1:26" ht="15.75" customHeight="1" x14ac:dyDescent="0.2">
      <c r="A639" s="12"/>
      <c r="B639" s="10"/>
      <c r="C639" s="11"/>
      <c r="D639" s="13"/>
      <c r="E639" s="13"/>
      <c r="F639" s="13"/>
      <c r="G639" s="2"/>
      <c r="H639" s="2"/>
      <c r="I639" s="13"/>
      <c r="J639" s="13"/>
      <c r="K639" s="13"/>
      <c r="L639" s="14"/>
      <c r="M639" s="4"/>
      <c r="N639" s="2"/>
      <c r="O639" s="4"/>
      <c r="P639" s="2"/>
      <c r="Q639" s="2"/>
      <c r="R639" s="4"/>
      <c r="S639" s="2"/>
      <c r="T639" s="2"/>
      <c r="U639" s="1"/>
      <c r="V639" s="2"/>
      <c r="W639" s="2"/>
      <c r="X639" s="2"/>
      <c r="Y639" s="2"/>
      <c r="Z639" s="2"/>
    </row>
    <row r="640" spans="1:26" ht="15.75" customHeight="1" x14ac:dyDescent="0.2">
      <c r="A640" s="12"/>
      <c r="B640" s="10"/>
      <c r="C640" s="11"/>
      <c r="D640" s="13"/>
      <c r="E640" s="13"/>
      <c r="F640" s="13"/>
      <c r="G640" s="2"/>
      <c r="H640" s="2"/>
      <c r="I640" s="13"/>
      <c r="J640" s="13"/>
      <c r="K640" s="13"/>
      <c r="L640" s="14"/>
      <c r="M640" s="4"/>
      <c r="N640" s="2"/>
      <c r="O640" s="4"/>
      <c r="P640" s="2"/>
      <c r="Q640" s="2"/>
      <c r="R640" s="4"/>
      <c r="S640" s="2"/>
      <c r="T640" s="2"/>
      <c r="U640" s="1"/>
      <c r="V640" s="2"/>
      <c r="W640" s="2"/>
      <c r="X640" s="2"/>
      <c r="Y640" s="2"/>
      <c r="Z640" s="2"/>
    </row>
    <row r="641" spans="1:26" ht="15.75" customHeight="1" x14ac:dyDescent="0.2">
      <c r="A641" s="12"/>
      <c r="B641" s="10"/>
      <c r="C641" s="11"/>
      <c r="D641" s="13"/>
      <c r="E641" s="13"/>
      <c r="F641" s="13"/>
      <c r="G641" s="2"/>
      <c r="H641" s="2"/>
      <c r="I641" s="13"/>
      <c r="J641" s="13"/>
      <c r="K641" s="13"/>
      <c r="L641" s="14"/>
      <c r="M641" s="4"/>
      <c r="N641" s="2"/>
      <c r="O641" s="4"/>
      <c r="P641" s="2"/>
      <c r="Q641" s="2"/>
      <c r="R641" s="4"/>
      <c r="S641" s="2"/>
      <c r="T641" s="2"/>
      <c r="U641" s="1"/>
      <c r="V641" s="2"/>
      <c r="W641" s="2"/>
      <c r="X641" s="2"/>
      <c r="Y641" s="2"/>
      <c r="Z641" s="2"/>
    </row>
    <row r="642" spans="1:26" ht="15.75" customHeight="1" x14ac:dyDescent="0.2">
      <c r="A642" s="12"/>
      <c r="B642" s="10"/>
      <c r="C642" s="11"/>
      <c r="D642" s="13"/>
      <c r="E642" s="13"/>
      <c r="F642" s="13"/>
      <c r="G642" s="2"/>
      <c r="H642" s="2"/>
      <c r="I642" s="13"/>
      <c r="J642" s="13"/>
      <c r="K642" s="13"/>
      <c r="L642" s="14"/>
      <c r="M642" s="4"/>
      <c r="N642" s="2"/>
      <c r="O642" s="4"/>
      <c r="P642" s="2"/>
      <c r="Q642" s="2"/>
      <c r="R642" s="4"/>
      <c r="S642" s="2"/>
      <c r="T642" s="2"/>
      <c r="U642" s="1"/>
      <c r="V642" s="2"/>
      <c r="W642" s="2"/>
      <c r="X642" s="2"/>
      <c r="Y642" s="2"/>
      <c r="Z642" s="2"/>
    </row>
    <row r="643" spans="1:26" ht="15.75" customHeight="1" x14ac:dyDescent="0.2">
      <c r="A643" s="12"/>
      <c r="B643" s="10"/>
      <c r="C643" s="11"/>
      <c r="D643" s="13"/>
      <c r="E643" s="13"/>
      <c r="F643" s="13"/>
      <c r="G643" s="2"/>
      <c r="H643" s="2"/>
      <c r="I643" s="13"/>
      <c r="J643" s="13"/>
      <c r="K643" s="13"/>
      <c r="L643" s="14"/>
      <c r="M643" s="4"/>
      <c r="N643" s="2"/>
      <c r="O643" s="4"/>
      <c r="P643" s="2"/>
      <c r="Q643" s="2"/>
      <c r="R643" s="4"/>
      <c r="S643" s="2"/>
      <c r="T643" s="2"/>
      <c r="U643" s="1"/>
      <c r="V643" s="2"/>
      <c r="W643" s="2"/>
      <c r="X643" s="2"/>
      <c r="Y643" s="2"/>
      <c r="Z643" s="2"/>
    </row>
    <row r="644" spans="1:26" ht="15.75" customHeight="1" x14ac:dyDescent="0.2">
      <c r="A644" s="12"/>
      <c r="B644" s="10"/>
      <c r="C644" s="11"/>
      <c r="D644" s="13"/>
      <c r="E644" s="13"/>
      <c r="F644" s="13"/>
      <c r="G644" s="2"/>
      <c r="H644" s="2"/>
      <c r="I644" s="13"/>
      <c r="J644" s="13"/>
      <c r="K644" s="13"/>
      <c r="L644" s="14"/>
      <c r="M644" s="4"/>
      <c r="N644" s="2"/>
      <c r="O644" s="4"/>
      <c r="P644" s="2"/>
      <c r="Q644" s="2"/>
      <c r="R644" s="4"/>
      <c r="S644" s="2"/>
      <c r="T644" s="2"/>
      <c r="U644" s="1"/>
      <c r="V644" s="2"/>
      <c r="W644" s="2"/>
      <c r="X644" s="2"/>
      <c r="Y644" s="2"/>
      <c r="Z644" s="2"/>
    </row>
    <row r="645" spans="1:26" ht="15.75" customHeight="1" x14ac:dyDescent="0.2">
      <c r="A645" s="12"/>
      <c r="B645" s="10"/>
      <c r="C645" s="11"/>
      <c r="D645" s="13"/>
      <c r="E645" s="13"/>
      <c r="F645" s="13"/>
      <c r="G645" s="2"/>
      <c r="H645" s="2"/>
      <c r="I645" s="13"/>
      <c r="J645" s="13"/>
      <c r="K645" s="13"/>
      <c r="L645" s="14"/>
      <c r="M645" s="4"/>
      <c r="N645" s="2"/>
      <c r="O645" s="4"/>
      <c r="P645" s="2"/>
      <c r="Q645" s="2"/>
      <c r="R645" s="4"/>
      <c r="S645" s="2"/>
      <c r="T645" s="2"/>
      <c r="U645" s="1"/>
      <c r="V645" s="2"/>
      <c r="W645" s="2"/>
      <c r="X645" s="2"/>
      <c r="Y645" s="2"/>
      <c r="Z645" s="2"/>
    </row>
    <row r="646" spans="1:26" ht="15.75" customHeight="1" x14ac:dyDescent="0.2">
      <c r="A646" s="12"/>
      <c r="B646" s="10"/>
      <c r="C646" s="11"/>
      <c r="D646" s="13"/>
      <c r="E646" s="13"/>
      <c r="F646" s="13"/>
      <c r="G646" s="2"/>
      <c r="H646" s="2"/>
      <c r="I646" s="13"/>
      <c r="J646" s="13"/>
      <c r="K646" s="13"/>
      <c r="L646" s="14"/>
      <c r="M646" s="4"/>
      <c r="N646" s="2"/>
      <c r="O646" s="4"/>
      <c r="P646" s="2"/>
      <c r="Q646" s="2"/>
      <c r="R646" s="4"/>
      <c r="S646" s="2"/>
      <c r="T646" s="2"/>
      <c r="U646" s="1"/>
      <c r="V646" s="2"/>
      <c r="W646" s="2"/>
      <c r="X646" s="2"/>
      <c r="Y646" s="2"/>
      <c r="Z646" s="2"/>
    </row>
    <row r="647" spans="1:26" ht="15.75" customHeight="1" x14ac:dyDescent="0.2">
      <c r="A647" s="12"/>
      <c r="B647" s="10"/>
      <c r="C647" s="11"/>
      <c r="D647" s="13"/>
      <c r="E647" s="13"/>
      <c r="F647" s="13"/>
      <c r="G647" s="2"/>
      <c r="H647" s="2"/>
      <c r="I647" s="13"/>
      <c r="J647" s="13"/>
      <c r="K647" s="13"/>
      <c r="L647" s="14"/>
      <c r="M647" s="4"/>
      <c r="N647" s="2"/>
      <c r="O647" s="4"/>
      <c r="P647" s="2"/>
      <c r="Q647" s="2"/>
      <c r="R647" s="4"/>
      <c r="S647" s="2"/>
      <c r="T647" s="2"/>
      <c r="U647" s="1"/>
      <c r="V647" s="2"/>
      <c r="W647" s="2"/>
      <c r="X647" s="2"/>
      <c r="Y647" s="2"/>
      <c r="Z647" s="2"/>
    </row>
    <row r="648" spans="1:26" ht="15.75" customHeight="1" x14ac:dyDescent="0.2">
      <c r="A648" s="12"/>
      <c r="B648" s="10"/>
      <c r="C648" s="11"/>
      <c r="D648" s="13"/>
      <c r="E648" s="13"/>
      <c r="F648" s="13"/>
      <c r="G648" s="2"/>
      <c r="H648" s="2"/>
      <c r="I648" s="13"/>
      <c r="J648" s="13"/>
      <c r="K648" s="13"/>
      <c r="L648" s="14"/>
      <c r="M648" s="4"/>
      <c r="N648" s="2"/>
      <c r="O648" s="4"/>
      <c r="P648" s="2"/>
      <c r="Q648" s="2"/>
      <c r="R648" s="4"/>
      <c r="S648" s="2"/>
      <c r="T648" s="2"/>
      <c r="U648" s="1"/>
      <c r="V648" s="2"/>
      <c r="W648" s="2"/>
      <c r="X648" s="2"/>
      <c r="Y648" s="2"/>
      <c r="Z648" s="2"/>
    </row>
    <row r="649" spans="1:26" ht="15.75" customHeight="1" x14ac:dyDescent="0.2">
      <c r="A649" s="12"/>
      <c r="B649" s="10"/>
      <c r="C649" s="11"/>
      <c r="D649" s="13"/>
      <c r="E649" s="13"/>
      <c r="F649" s="13"/>
      <c r="G649" s="2"/>
      <c r="H649" s="2"/>
      <c r="I649" s="13"/>
      <c r="J649" s="13"/>
      <c r="K649" s="13"/>
      <c r="L649" s="14"/>
      <c r="M649" s="4"/>
      <c r="N649" s="2"/>
      <c r="O649" s="4"/>
      <c r="P649" s="2"/>
      <c r="Q649" s="2"/>
      <c r="R649" s="4"/>
      <c r="S649" s="2"/>
      <c r="T649" s="2"/>
      <c r="U649" s="1"/>
      <c r="V649" s="2"/>
      <c r="W649" s="2"/>
      <c r="X649" s="2"/>
      <c r="Y649" s="2"/>
      <c r="Z649" s="2"/>
    </row>
    <row r="650" spans="1:26" ht="15.75" customHeight="1" x14ac:dyDescent="0.2">
      <c r="A650" s="12"/>
      <c r="B650" s="10"/>
      <c r="C650" s="11"/>
      <c r="D650" s="13"/>
      <c r="E650" s="13"/>
      <c r="F650" s="13"/>
      <c r="G650" s="2"/>
      <c r="H650" s="2"/>
      <c r="I650" s="13"/>
      <c r="J650" s="13"/>
      <c r="K650" s="13"/>
      <c r="L650" s="14"/>
      <c r="M650" s="4"/>
      <c r="N650" s="2"/>
      <c r="O650" s="4"/>
      <c r="P650" s="2"/>
      <c r="Q650" s="2"/>
      <c r="R650" s="4"/>
      <c r="S650" s="2"/>
      <c r="T650" s="2"/>
      <c r="U650" s="1"/>
      <c r="V650" s="2"/>
      <c r="W650" s="2"/>
      <c r="X650" s="2"/>
      <c r="Y650" s="2"/>
      <c r="Z650" s="2"/>
    </row>
    <row r="651" spans="1:26" ht="15.75" customHeight="1" x14ac:dyDescent="0.2">
      <c r="A651" s="12"/>
      <c r="B651" s="10"/>
      <c r="C651" s="11"/>
      <c r="D651" s="13"/>
      <c r="E651" s="13"/>
      <c r="F651" s="13"/>
      <c r="G651" s="2"/>
      <c r="H651" s="2"/>
      <c r="I651" s="13"/>
      <c r="J651" s="13"/>
      <c r="K651" s="13"/>
      <c r="L651" s="14"/>
      <c r="M651" s="4"/>
      <c r="N651" s="2"/>
      <c r="O651" s="4"/>
      <c r="P651" s="2"/>
      <c r="Q651" s="2"/>
      <c r="R651" s="4"/>
      <c r="S651" s="2"/>
      <c r="T651" s="2"/>
      <c r="U651" s="1"/>
      <c r="V651" s="2"/>
      <c r="W651" s="2"/>
      <c r="X651" s="2"/>
      <c r="Y651" s="2"/>
      <c r="Z651" s="2"/>
    </row>
    <row r="652" spans="1:26" ht="15.75" customHeight="1" x14ac:dyDescent="0.2">
      <c r="A652" s="12"/>
      <c r="B652" s="10"/>
      <c r="C652" s="11"/>
      <c r="D652" s="13"/>
      <c r="E652" s="13"/>
      <c r="F652" s="13"/>
      <c r="G652" s="2"/>
      <c r="H652" s="2"/>
      <c r="I652" s="13"/>
      <c r="J652" s="13"/>
      <c r="K652" s="13"/>
      <c r="L652" s="14"/>
      <c r="M652" s="4"/>
      <c r="N652" s="2"/>
      <c r="O652" s="4"/>
      <c r="P652" s="2"/>
      <c r="Q652" s="2"/>
      <c r="R652" s="4"/>
      <c r="S652" s="2"/>
      <c r="T652" s="2"/>
      <c r="U652" s="1"/>
      <c r="V652" s="2"/>
      <c r="W652" s="2"/>
      <c r="X652" s="2"/>
      <c r="Y652" s="2"/>
      <c r="Z652" s="2"/>
    </row>
    <row r="653" spans="1:26" ht="15.75" customHeight="1" x14ac:dyDescent="0.2">
      <c r="A653" s="12"/>
      <c r="B653" s="10"/>
      <c r="C653" s="11"/>
      <c r="D653" s="13"/>
      <c r="E653" s="13"/>
      <c r="F653" s="13"/>
      <c r="G653" s="2"/>
      <c r="H653" s="2"/>
      <c r="I653" s="13"/>
      <c r="J653" s="13"/>
      <c r="K653" s="13"/>
      <c r="L653" s="14"/>
      <c r="M653" s="4"/>
      <c r="N653" s="2"/>
      <c r="O653" s="4"/>
      <c r="P653" s="2"/>
      <c r="Q653" s="2"/>
      <c r="R653" s="4"/>
      <c r="S653" s="2"/>
      <c r="T653" s="2"/>
      <c r="U653" s="1"/>
      <c r="V653" s="2"/>
      <c r="W653" s="2"/>
      <c r="X653" s="2"/>
      <c r="Y653" s="2"/>
      <c r="Z653" s="2"/>
    </row>
    <row r="654" spans="1:26" ht="15.75" customHeight="1" x14ac:dyDescent="0.2">
      <c r="A654" s="12"/>
      <c r="B654" s="10"/>
      <c r="C654" s="11"/>
      <c r="D654" s="13"/>
      <c r="E654" s="13"/>
      <c r="F654" s="13"/>
      <c r="G654" s="2"/>
      <c r="H654" s="2"/>
      <c r="I654" s="13"/>
      <c r="J654" s="13"/>
      <c r="K654" s="13"/>
      <c r="L654" s="14"/>
      <c r="M654" s="4"/>
      <c r="N654" s="2"/>
      <c r="O654" s="4"/>
      <c r="P654" s="2"/>
      <c r="Q654" s="2"/>
      <c r="R654" s="4"/>
      <c r="S654" s="2"/>
      <c r="T654" s="2"/>
      <c r="U654" s="1"/>
      <c r="V654" s="2"/>
      <c r="W654" s="2"/>
      <c r="X654" s="2"/>
      <c r="Y654" s="2"/>
      <c r="Z654" s="2"/>
    </row>
    <row r="655" spans="1:26" ht="15.75" customHeight="1" x14ac:dyDescent="0.2">
      <c r="A655" s="12"/>
      <c r="B655" s="10"/>
      <c r="C655" s="11"/>
      <c r="D655" s="13"/>
      <c r="E655" s="13"/>
      <c r="F655" s="13"/>
      <c r="G655" s="2"/>
      <c r="H655" s="2"/>
      <c r="I655" s="13"/>
      <c r="J655" s="13"/>
      <c r="K655" s="13"/>
      <c r="L655" s="14"/>
      <c r="M655" s="4"/>
      <c r="N655" s="2"/>
      <c r="O655" s="4"/>
      <c r="P655" s="2"/>
      <c r="Q655" s="2"/>
      <c r="R655" s="4"/>
      <c r="S655" s="2"/>
      <c r="T655" s="2"/>
      <c r="U655" s="1"/>
      <c r="V655" s="2"/>
      <c r="W655" s="2"/>
      <c r="X655" s="2"/>
      <c r="Y655" s="2"/>
      <c r="Z655" s="2"/>
    </row>
    <row r="656" spans="1:26" ht="15.75" customHeight="1" x14ac:dyDescent="0.2">
      <c r="A656" s="12"/>
      <c r="B656" s="10"/>
      <c r="C656" s="11"/>
      <c r="D656" s="13"/>
      <c r="E656" s="13"/>
      <c r="F656" s="13"/>
      <c r="G656" s="2"/>
      <c r="H656" s="2"/>
      <c r="I656" s="13"/>
      <c r="J656" s="13"/>
      <c r="K656" s="13"/>
      <c r="L656" s="14"/>
      <c r="M656" s="4"/>
      <c r="N656" s="2"/>
      <c r="O656" s="4"/>
      <c r="P656" s="2"/>
      <c r="Q656" s="2"/>
      <c r="R656" s="4"/>
      <c r="S656" s="2"/>
      <c r="T656" s="2"/>
      <c r="U656" s="1"/>
      <c r="V656" s="2"/>
      <c r="W656" s="2"/>
      <c r="X656" s="2"/>
      <c r="Y656" s="2"/>
      <c r="Z656" s="2"/>
    </row>
    <row r="657" spans="1:26" ht="15.75" customHeight="1" x14ac:dyDescent="0.2">
      <c r="A657" s="12"/>
      <c r="B657" s="10"/>
      <c r="C657" s="11"/>
      <c r="D657" s="13"/>
      <c r="E657" s="13"/>
      <c r="F657" s="13"/>
      <c r="G657" s="2"/>
      <c r="H657" s="2"/>
      <c r="I657" s="13"/>
      <c r="J657" s="13"/>
      <c r="K657" s="13"/>
      <c r="L657" s="14"/>
      <c r="M657" s="4"/>
      <c r="N657" s="2"/>
      <c r="O657" s="4"/>
      <c r="P657" s="2"/>
      <c r="Q657" s="2"/>
      <c r="R657" s="4"/>
      <c r="S657" s="2"/>
      <c r="T657" s="2"/>
      <c r="U657" s="1"/>
      <c r="V657" s="2"/>
      <c r="W657" s="2"/>
      <c r="X657" s="2"/>
      <c r="Y657" s="2"/>
      <c r="Z657" s="2"/>
    </row>
    <row r="658" spans="1:26" ht="15.75" customHeight="1" x14ac:dyDescent="0.2">
      <c r="A658" s="12"/>
      <c r="B658" s="10"/>
      <c r="C658" s="11"/>
      <c r="D658" s="13"/>
      <c r="E658" s="13"/>
      <c r="F658" s="13"/>
      <c r="G658" s="2"/>
      <c r="H658" s="2"/>
      <c r="I658" s="13"/>
      <c r="J658" s="13"/>
      <c r="K658" s="13"/>
      <c r="L658" s="14"/>
      <c r="M658" s="4"/>
      <c r="N658" s="2"/>
      <c r="O658" s="4"/>
      <c r="P658" s="2"/>
      <c r="Q658" s="2"/>
      <c r="R658" s="4"/>
      <c r="S658" s="2"/>
      <c r="T658" s="2"/>
      <c r="U658" s="1"/>
      <c r="V658" s="2"/>
      <c r="W658" s="2"/>
      <c r="X658" s="2"/>
      <c r="Y658" s="2"/>
      <c r="Z658" s="2"/>
    </row>
    <row r="659" spans="1:26" ht="15.75" customHeight="1" x14ac:dyDescent="0.2">
      <c r="A659" s="12"/>
      <c r="B659" s="10"/>
      <c r="C659" s="11"/>
      <c r="D659" s="13"/>
      <c r="E659" s="13"/>
      <c r="F659" s="13"/>
      <c r="G659" s="2"/>
      <c r="H659" s="2"/>
      <c r="I659" s="13"/>
      <c r="J659" s="13"/>
      <c r="K659" s="13"/>
      <c r="L659" s="14"/>
      <c r="M659" s="4"/>
      <c r="N659" s="2"/>
      <c r="O659" s="4"/>
      <c r="P659" s="2"/>
      <c r="Q659" s="2"/>
      <c r="R659" s="4"/>
      <c r="S659" s="2"/>
      <c r="T659" s="2"/>
      <c r="U659" s="1"/>
      <c r="V659" s="2"/>
      <c r="W659" s="2"/>
      <c r="X659" s="2"/>
      <c r="Y659" s="2"/>
      <c r="Z659" s="2"/>
    </row>
    <row r="660" spans="1:26" ht="15.75" customHeight="1" x14ac:dyDescent="0.2">
      <c r="A660" s="12"/>
      <c r="B660" s="10"/>
      <c r="C660" s="11"/>
      <c r="D660" s="13"/>
      <c r="E660" s="13"/>
      <c r="F660" s="13"/>
      <c r="G660" s="2"/>
      <c r="H660" s="2"/>
      <c r="I660" s="13"/>
      <c r="J660" s="13"/>
      <c r="K660" s="13"/>
      <c r="L660" s="14"/>
      <c r="M660" s="4"/>
      <c r="N660" s="2"/>
      <c r="O660" s="4"/>
      <c r="P660" s="2"/>
      <c r="Q660" s="2"/>
      <c r="R660" s="4"/>
      <c r="S660" s="2"/>
      <c r="T660" s="2"/>
      <c r="U660" s="1"/>
      <c r="V660" s="2"/>
      <c r="W660" s="2"/>
      <c r="X660" s="2"/>
      <c r="Y660" s="2"/>
      <c r="Z660" s="2"/>
    </row>
    <row r="661" spans="1:26" ht="15.75" customHeight="1" x14ac:dyDescent="0.2">
      <c r="A661" s="12"/>
      <c r="B661" s="10"/>
      <c r="C661" s="11"/>
      <c r="D661" s="13"/>
      <c r="E661" s="13"/>
      <c r="F661" s="13"/>
      <c r="G661" s="2"/>
      <c r="H661" s="2"/>
      <c r="I661" s="13"/>
      <c r="J661" s="13"/>
      <c r="K661" s="13"/>
      <c r="L661" s="14"/>
      <c r="M661" s="4"/>
      <c r="N661" s="2"/>
      <c r="O661" s="4"/>
      <c r="P661" s="2"/>
      <c r="Q661" s="2"/>
      <c r="R661" s="4"/>
      <c r="S661" s="2"/>
      <c r="T661" s="2"/>
      <c r="U661" s="1"/>
      <c r="V661" s="2"/>
      <c r="W661" s="2"/>
      <c r="X661" s="2"/>
      <c r="Y661" s="2"/>
      <c r="Z661" s="2"/>
    </row>
    <row r="662" spans="1:26" ht="15.75" customHeight="1" x14ac:dyDescent="0.2">
      <c r="A662" s="12"/>
      <c r="B662" s="10"/>
      <c r="C662" s="11"/>
      <c r="D662" s="13"/>
      <c r="E662" s="13"/>
      <c r="F662" s="13"/>
      <c r="G662" s="2"/>
      <c r="H662" s="2"/>
      <c r="I662" s="13"/>
      <c r="J662" s="13"/>
      <c r="K662" s="13"/>
      <c r="L662" s="14"/>
      <c r="M662" s="4"/>
      <c r="N662" s="2"/>
      <c r="O662" s="4"/>
      <c r="P662" s="2"/>
      <c r="Q662" s="2"/>
      <c r="R662" s="4"/>
      <c r="S662" s="2"/>
      <c r="T662" s="2"/>
      <c r="U662" s="1"/>
      <c r="V662" s="2"/>
      <c r="W662" s="2"/>
      <c r="X662" s="2"/>
      <c r="Y662" s="2"/>
      <c r="Z662" s="2"/>
    </row>
    <row r="663" spans="1:26" ht="15.75" customHeight="1" x14ac:dyDescent="0.2">
      <c r="A663" s="12"/>
      <c r="B663" s="10"/>
      <c r="C663" s="11"/>
      <c r="D663" s="13"/>
      <c r="E663" s="13"/>
      <c r="F663" s="13"/>
      <c r="G663" s="2"/>
      <c r="H663" s="2"/>
      <c r="I663" s="13"/>
      <c r="J663" s="13"/>
      <c r="K663" s="13"/>
      <c r="L663" s="14"/>
      <c r="M663" s="4"/>
      <c r="N663" s="2"/>
      <c r="O663" s="4"/>
      <c r="P663" s="2"/>
      <c r="Q663" s="2"/>
      <c r="R663" s="4"/>
      <c r="S663" s="2"/>
      <c r="T663" s="2"/>
      <c r="U663" s="1"/>
      <c r="V663" s="2"/>
      <c r="W663" s="2"/>
      <c r="X663" s="2"/>
      <c r="Y663" s="2"/>
      <c r="Z663" s="2"/>
    </row>
    <row r="664" spans="1:26" ht="15.75" customHeight="1" x14ac:dyDescent="0.2">
      <c r="A664" s="12"/>
      <c r="B664" s="10"/>
      <c r="C664" s="11"/>
      <c r="D664" s="13"/>
      <c r="E664" s="13"/>
      <c r="F664" s="13"/>
      <c r="G664" s="2"/>
      <c r="H664" s="2"/>
      <c r="I664" s="13"/>
      <c r="J664" s="13"/>
      <c r="K664" s="13"/>
      <c r="L664" s="14"/>
      <c r="M664" s="4"/>
      <c r="N664" s="2"/>
      <c r="O664" s="4"/>
      <c r="P664" s="2"/>
      <c r="Q664" s="2"/>
      <c r="R664" s="4"/>
      <c r="S664" s="2"/>
      <c r="T664" s="2"/>
      <c r="U664" s="1"/>
      <c r="V664" s="2"/>
      <c r="W664" s="2"/>
      <c r="X664" s="2"/>
      <c r="Y664" s="2"/>
      <c r="Z664" s="2"/>
    </row>
    <row r="665" spans="1:26" ht="15.75" customHeight="1" x14ac:dyDescent="0.2">
      <c r="A665" s="12"/>
      <c r="B665" s="10"/>
      <c r="C665" s="11"/>
      <c r="D665" s="13"/>
      <c r="E665" s="13"/>
      <c r="F665" s="13"/>
      <c r="G665" s="2"/>
      <c r="H665" s="2"/>
      <c r="I665" s="13"/>
      <c r="J665" s="13"/>
      <c r="K665" s="13"/>
      <c r="L665" s="14"/>
      <c r="M665" s="4"/>
      <c r="N665" s="2"/>
      <c r="O665" s="4"/>
      <c r="P665" s="2"/>
      <c r="Q665" s="2"/>
      <c r="R665" s="4"/>
      <c r="S665" s="2"/>
      <c r="T665" s="2"/>
      <c r="U665" s="1"/>
      <c r="V665" s="2"/>
      <c r="W665" s="2"/>
      <c r="X665" s="2"/>
      <c r="Y665" s="2"/>
      <c r="Z665" s="2"/>
    </row>
    <row r="666" spans="1:26" ht="15.75" customHeight="1" x14ac:dyDescent="0.2">
      <c r="A666" s="12"/>
      <c r="B666" s="10"/>
      <c r="C666" s="11"/>
      <c r="D666" s="13"/>
      <c r="E666" s="13"/>
      <c r="F666" s="13"/>
      <c r="G666" s="2"/>
      <c r="H666" s="2"/>
      <c r="I666" s="13"/>
      <c r="J666" s="13"/>
      <c r="K666" s="13"/>
      <c r="L666" s="14"/>
      <c r="M666" s="4"/>
      <c r="N666" s="2"/>
      <c r="O666" s="4"/>
      <c r="P666" s="2"/>
      <c r="Q666" s="2"/>
      <c r="R666" s="4"/>
      <c r="S666" s="2"/>
      <c r="T666" s="2"/>
      <c r="U666" s="1"/>
      <c r="V666" s="2"/>
      <c r="W666" s="2"/>
      <c r="X666" s="2"/>
      <c r="Y666" s="2"/>
      <c r="Z666" s="2"/>
    </row>
    <row r="667" spans="1:26" ht="15.75" customHeight="1" x14ac:dyDescent="0.2">
      <c r="A667" s="12"/>
      <c r="B667" s="10"/>
      <c r="C667" s="11"/>
      <c r="D667" s="13"/>
      <c r="E667" s="13"/>
      <c r="F667" s="13"/>
      <c r="G667" s="2"/>
      <c r="H667" s="2"/>
      <c r="I667" s="13"/>
      <c r="J667" s="13"/>
      <c r="K667" s="13"/>
      <c r="L667" s="14"/>
      <c r="M667" s="4"/>
      <c r="N667" s="2"/>
      <c r="O667" s="4"/>
      <c r="P667" s="2"/>
      <c r="Q667" s="2"/>
      <c r="R667" s="4"/>
      <c r="S667" s="2"/>
      <c r="T667" s="2"/>
      <c r="U667" s="1"/>
      <c r="V667" s="2"/>
      <c r="W667" s="2"/>
      <c r="X667" s="2"/>
      <c r="Y667" s="2"/>
      <c r="Z667" s="2"/>
    </row>
    <row r="668" spans="1:26" ht="15.75" customHeight="1" x14ac:dyDescent="0.2">
      <c r="A668" s="12"/>
      <c r="B668" s="10"/>
      <c r="C668" s="11"/>
      <c r="D668" s="13"/>
      <c r="E668" s="13"/>
      <c r="F668" s="13"/>
      <c r="G668" s="2"/>
      <c r="H668" s="2"/>
      <c r="I668" s="13"/>
      <c r="J668" s="13"/>
      <c r="K668" s="13"/>
      <c r="L668" s="14"/>
      <c r="M668" s="4"/>
      <c r="N668" s="2"/>
      <c r="O668" s="4"/>
      <c r="P668" s="2"/>
      <c r="Q668" s="2"/>
      <c r="R668" s="4"/>
      <c r="S668" s="2"/>
      <c r="T668" s="2"/>
      <c r="U668" s="1"/>
      <c r="V668" s="2"/>
      <c r="W668" s="2"/>
      <c r="X668" s="2"/>
      <c r="Y668" s="2"/>
      <c r="Z668" s="2"/>
    </row>
    <row r="669" spans="1:26" ht="15.75" customHeight="1" x14ac:dyDescent="0.2">
      <c r="A669" s="12"/>
      <c r="B669" s="10"/>
      <c r="C669" s="11"/>
      <c r="D669" s="13"/>
      <c r="E669" s="13"/>
      <c r="F669" s="13"/>
      <c r="G669" s="2"/>
      <c r="H669" s="2"/>
      <c r="I669" s="13"/>
      <c r="J669" s="13"/>
      <c r="K669" s="13"/>
      <c r="L669" s="14"/>
      <c r="M669" s="4"/>
      <c r="N669" s="2"/>
      <c r="O669" s="4"/>
      <c r="P669" s="2"/>
      <c r="Q669" s="2"/>
      <c r="R669" s="4"/>
      <c r="S669" s="2"/>
      <c r="T669" s="2"/>
      <c r="U669" s="1"/>
      <c r="V669" s="2"/>
      <c r="W669" s="2"/>
      <c r="X669" s="2"/>
      <c r="Y669" s="2"/>
      <c r="Z669" s="2"/>
    </row>
    <row r="670" spans="1:26" ht="15.75" customHeight="1" x14ac:dyDescent="0.2">
      <c r="A670" s="12"/>
      <c r="B670" s="10"/>
      <c r="C670" s="11"/>
      <c r="D670" s="13"/>
      <c r="E670" s="13"/>
      <c r="F670" s="13"/>
      <c r="G670" s="2"/>
      <c r="H670" s="2"/>
      <c r="I670" s="13"/>
      <c r="J670" s="13"/>
      <c r="K670" s="13"/>
      <c r="L670" s="14"/>
      <c r="M670" s="4"/>
      <c r="N670" s="2"/>
      <c r="O670" s="4"/>
      <c r="P670" s="2"/>
      <c r="Q670" s="2"/>
      <c r="R670" s="4"/>
      <c r="S670" s="2"/>
      <c r="T670" s="2"/>
      <c r="U670" s="1"/>
      <c r="V670" s="2"/>
      <c r="W670" s="2"/>
      <c r="X670" s="2"/>
      <c r="Y670" s="2"/>
      <c r="Z670" s="2"/>
    </row>
    <row r="671" spans="1:26" ht="15.75" customHeight="1" x14ac:dyDescent="0.2">
      <c r="A671" s="12"/>
      <c r="B671" s="10"/>
      <c r="C671" s="11"/>
      <c r="D671" s="13"/>
      <c r="E671" s="13"/>
      <c r="F671" s="13"/>
      <c r="G671" s="2"/>
      <c r="H671" s="2"/>
      <c r="I671" s="13"/>
      <c r="J671" s="13"/>
      <c r="K671" s="13"/>
      <c r="L671" s="14"/>
      <c r="M671" s="4"/>
      <c r="N671" s="2"/>
      <c r="O671" s="4"/>
      <c r="P671" s="2"/>
      <c r="Q671" s="2"/>
      <c r="R671" s="4"/>
      <c r="S671" s="2"/>
      <c r="T671" s="2"/>
      <c r="U671" s="1"/>
      <c r="V671" s="2"/>
      <c r="W671" s="2"/>
      <c r="X671" s="2"/>
      <c r="Y671" s="2"/>
      <c r="Z671" s="2"/>
    </row>
    <row r="672" spans="1:26" ht="15.75" customHeight="1" x14ac:dyDescent="0.2">
      <c r="A672" s="12"/>
      <c r="B672" s="10"/>
      <c r="C672" s="11"/>
      <c r="D672" s="13"/>
      <c r="E672" s="13"/>
      <c r="F672" s="13"/>
      <c r="G672" s="2"/>
      <c r="H672" s="2"/>
      <c r="I672" s="13"/>
      <c r="J672" s="13"/>
      <c r="K672" s="13"/>
      <c r="L672" s="14"/>
      <c r="M672" s="4"/>
      <c r="N672" s="2"/>
      <c r="O672" s="4"/>
      <c r="P672" s="2"/>
      <c r="Q672" s="2"/>
      <c r="R672" s="4"/>
      <c r="S672" s="2"/>
      <c r="T672" s="2"/>
      <c r="U672" s="1"/>
      <c r="V672" s="2"/>
      <c r="W672" s="2"/>
      <c r="X672" s="2"/>
      <c r="Y672" s="2"/>
      <c r="Z672" s="2"/>
    </row>
    <row r="673" spans="1:26" ht="15.75" customHeight="1" x14ac:dyDescent="0.2">
      <c r="A673" s="12"/>
      <c r="B673" s="10"/>
      <c r="C673" s="11"/>
      <c r="D673" s="13"/>
      <c r="E673" s="13"/>
      <c r="F673" s="13"/>
      <c r="G673" s="2"/>
      <c r="H673" s="2"/>
      <c r="I673" s="13"/>
      <c r="J673" s="13"/>
      <c r="K673" s="13"/>
      <c r="L673" s="14"/>
      <c r="M673" s="4"/>
      <c r="N673" s="2"/>
      <c r="O673" s="4"/>
      <c r="P673" s="2"/>
      <c r="Q673" s="2"/>
      <c r="R673" s="4"/>
      <c r="S673" s="2"/>
      <c r="T673" s="2"/>
      <c r="U673" s="1"/>
      <c r="V673" s="2"/>
      <c r="W673" s="2"/>
      <c r="X673" s="2"/>
      <c r="Y673" s="2"/>
      <c r="Z673" s="2"/>
    </row>
    <row r="674" spans="1:26" ht="15.75" customHeight="1" x14ac:dyDescent="0.2">
      <c r="A674" s="12"/>
      <c r="B674" s="10"/>
      <c r="C674" s="11"/>
      <c r="D674" s="13"/>
      <c r="E674" s="13"/>
      <c r="F674" s="13"/>
      <c r="G674" s="2"/>
      <c r="H674" s="2"/>
      <c r="I674" s="13"/>
      <c r="J674" s="13"/>
      <c r="K674" s="13"/>
      <c r="L674" s="14"/>
      <c r="M674" s="4"/>
      <c r="N674" s="2"/>
      <c r="O674" s="4"/>
      <c r="P674" s="2"/>
      <c r="Q674" s="2"/>
      <c r="R674" s="4"/>
      <c r="S674" s="2"/>
      <c r="T674" s="2"/>
      <c r="U674" s="1"/>
      <c r="V674" s="2"/>
      <c r="W674" s="2"/>
      <c r="X674" s="2"/>
      <c r="Y674" s="2"/>
      <c r="Z674" s="2"/>
    </row>
    <row r="675" spans="1:26" ht="15.75" customHeight="1" x14ac:dyDescent="0.2">
      <c r="A675" s="12"/>
      <c r="B675" s="10"/>
      <c r="C675" s="11"/>
      <c r="D675" s="13"/>
      <c r="E675" s="13"/>
      <c r="F675" s="13"/>
      <c r="G675" s="2"/>
      <c r="H675" s="2"/>
      <c r="I675" s="13"/>
      <c r="J675" s="13"/>
      <c r="K675" s="13"/>
      <c r="L675" s="14"/>
      <c r="M675" s="4"/>
      <c r="N675" s="2"/>
      <c r="O675" s="4"/>
      <c r="P675" s="2"/>
      <c r="Q675" s="2"/>
      <c r="R675" s="4"/>
      <c r="S675" s="2"/>
      <c r="T675" s="2"/>
      <c r="U675" s="1"/>
      <c r="V675" s="2"/>
      <c r="W675" s="2"/>
      <c r="X675" s="2"/>
      <c r="Y675" s="2"/>
      <c r="Z675" s="2"/>
    </row>
    <row r="676" spans="1:26" ht="15.75" customHeight="1" x14ac:dyDescent="0.2">
      <c r="A676" s="12"/>
      <c r="B676" s="10"/>
      <c r="C676" s="11"/>
      <c r="D676" s="13"/>
      <c r="E676" s="13"/>
      <c r="F676" s="13"/>
      <c r="G676" s="2"/>
      <c r="H676" s="2"/>
      <c r="I676" s="13"/>
      <c r="J676" s="13"/>
      <c r="K676" s="13"/>
      <c r="L676" s="14"/>
      <c r="M676" s="4"/>
      <c r="N676" s="2"/>
      <c r="O676" s="4"/>
      <c r="P676" s="2"/>
      <c r="Q676" s="2"/>
      <c r="R676" s="4"/>
      <c r="S676" s="2"/>
      <c r="T676" s="2"/>
      <c r="U676" s="1"/>
      <c r="V676" s="2"/>
      <c r="W676" s="2"/>
      <c r="X676" s="2"/>
      <c r="Y676" s="2"/>
      <c r="Z676" s="2"/>
    </row>
    <row r="677" spans="1:26" ht="15.75" customHeight="1" x14ac:dyDescent="0.2">
      <c r="A677" s="12"/>
      <c r="B677" s="10"/>
      <c r="C677" s="11"/>
      <c r="D677" s="13"/>
      <c r="E677" s="13"/>
      <c r="F677" s="13"/>
      <c r="G677" s="2"/>
      <c r="H677" s="2"/>
      <c r="I677" s="13"/>
      <c r="J677" s="13"/>
      <c r="K677" s="13"/>
      <c r="L677" s="14"/>
      <c r="M677" s="4"/>
      <c r="N677" s="2"/>
      <c r="O677" s="4"/>
      <c r="P677" s="2"/>
      <c r="Q677" s="2"/>
      <c r="R677" s="4"/>
      <c r="S677" s="2"/>
      <c r="T677" s="2"/>
      <c r="U677" s="1"/>
      <c r="V677" s="2"/>
      <c r="W677" s="2"/>
      <c r="X677" s="2"/>
      <c r="Y677" s="2"/>
      <c r="Z677" s="2"/>
    </row>
    <row r="678" spans="1:26" ht="15.75" customHeight="1" x14ac:dyDescent="0.2">
      <c r="A678" s="12"/>
      <c r="B678" s="10"/>
      <c r="C678" s="11"/>
      <c r="D678" s="13"/>
      <c r="E678" s="13"/>
      <c r="F678" s="13"/>
      <c r="G678" s="2"/>
      <c r="H678" s="2"/>
      <c r="I678" s="13"/>
      <c r="J678" s="13"/>
      <c r="K678" s="13"/>
      <c r="L678" s="14"/>
      <c r="M678" s="4"/>
      <c r="N678" s="2"/>
      <c r="O678" s="4"/>
      <c r="P678" s="2"/>
      <c r="Q678" s="2"/>
      <c r="R678" s="4"/>
      <c r="S678" s="2"/>
      <c r="T678" s="2"/>
      <c r="U678" s="1"/>
      <c r="V678" s="2"/>
      <c r="W678" s="2"/>
      <c r="X678" s="2"/>
      <c r="Y678" s="2"/>
      <c r="Z678" s="2"/>
    </row>
    <row r="679" spans="1:26" ht="15.75" customHeight="1" x14ac:dyDescent="0.2">
      <c r="A679" s="12"/>
      <c r="B679" s="10"/>
      <c r="C679" s="11"/>
      <c r="D679" s="13"/>
      <c r="E679" s="13"/>
      <c r="F679" s="13"/>
      <c r="G679" s="2"/>
      <c r="H679" s="2"/>
      <c r="I679" s="13"/>
      <c r="J679" s="13"/>
      <c r="K679" s="13"/>
      <c r="L679" s="14"/>
      <c r="M679" s="4"/>
      <c r="N679" s="2"/>
      <c r="O679" s="4"/>
      <c r="P679" s="2"/>
      <c r="Q679" s="2"/>
      <c r="R679" s="4"/>
      <c r="S679" s="2"/>
      <c r="T679" s="2"/>
      <c r="U679" s="1"/>
      <c r="V679" s="2"/>
      <c r="W679" s="2"/>
      <c r="X679" s="2"/>
      <c r="Y679" s="2"/>
      <c r="Z679" s="2"/>
    </row>
    <row r="680" spans="1:26" ht="15.75" customHeight="1" x14ac:dyDescent="0.2">
      <c r="A680" s="12"/>
      <c r="B680" s="10"/>
      <c r="C680" s="11"/>
      <c r="D680" s="13"/>
      <c r="E680" s="13"/>
      <c r="F680" s="13"/>
      <c r="G680" s="2"/>
      <c r="H680" s="2"/>
      <c r="I680" s="13"/>
      <c r="J680" s="13"/>
      <c r="K680" s="13"/>
      <c r="L680" s="14"/>
      <c r="M680" s="4"/>
      <c r="N680" s="2"/>
      <c r="O680" s="4"/>
      <c r="P680" s="2"/>
      <c r="Q680" s="2"/>
      <c r="R680" s="4"/>
      <c r="S680" s="2"/>
      <c r="T680" s="2"/>
      <c r="U680" s="1"/>
      <c r="V680" s="2"/>
      <c r="W680" s="2"/>
      <c r="X680" s="2"/>
      <c r="Y680" s="2"/>
      <c r="Z680" s="2"/>
    </row>
    <row r="681" spans="1:26" ht="15.75" customHeight="1" x14ac:dyDescent="0.2">
      <c r="A681" s="12"/>
      <c r="B681" s="10"/>
      <c r="C681" s="11"/>
      <c r="D681" s="13"/>
      <c r="E681" s="13"/>
      <c r="F681" s="13"/>
      <c r="G681" s="2"/>
      <c r="H681" s="2"/>
      <c r="I681" s="13"/>
      <c r="J681" s="13"/>
      <c r="K681" s="13"/>
      <c r="L681" s="14"/>
      <c r="M681" s="4"/>
      <c r="N681" s="2"/>
      <c r="O681" s="4"/>
      <c r="P681" s="2"/>
      <c r="Q681" s="2"/>
      <c r="R681" s="4"/>
      <c r="S681" s="2"/>
      <c r="T681" s="2"/>
      <c r="U681" s="1"/>
      <c r="V681" s="2"/>
      <c r="W681" s="2"/>
      <c r="X681" s="2"/>
      <c r="Y681" s="2"/>
      <c r="Z681" s="2"/>
    </row>
    <row r="682" spans="1:26" ht="15.75" customHeight="1" x14ac:dyDescent="0.2">
      <c r="A682" s="12"/>
      <c r="B682" s="10"/>
      <c r="C682" s="11"/>
      <c r="D682" s="13"/>
      <c r="E682" s="13"/>
      <c r="F682" s="13"/>
      <c r="G682" s="2"/>
      <c r="H682" s="2"/>
      <c r="I682" s="13"/>
      <c r="J682" s="13"/>
      <c r="K682" s="13"/>
      <c r="L682" s="14"/>
      <c r="M682" s="4"/>
      <c r="N682" s="2"/>
      <c r="O682" s="4"/>
      <c r="P682" s="2"/>
      <c r="Q682" s="2"/>
      <c r="R682" s="4"/>
      <c r="S682" s="2"/>
      <c r="T682" s="2"/>
      <c r="U682" s="1"/>
      <c r="V682" s="2"/>
      <c r="W682" s="2"/>
      <c r="X682" s="2"/>
      <c r="Y682" s="2"/>
      <c r="Z682" s="2"/>
    </row>
    <row r="683" spans="1:26" ht="15.75" customHeight="1" x14ac:dyDescent="0.2">
      <c r="A683" s="12"/>
      <c r="B683" s="10"/>
      <c r="C683" s="11"/>
      <c r="D683" s="13"/>
      <c r="E683" s="13"/>
      <c r="F683" s="13"/>
      <c r="G683" s="2"/>
      <c r="H683" s="2"/>
      <c r="I683" s="13"/>
      <c r="J683" s="13"/>
      <c r="K683" s="13"/>
      <c r="L683" s="14"/>
      <c r="M683" s="4"/>
      <c r="N683" s="2"/>
      <c r="O683" s="4"/>
      <c r="P683" s="2"/>
      <c r="Q683" s="2"/>
      <c r="R683" s="4"/>
      <c r="S683" s="2"/>
      <c r="T683" s="2"/>
      <c r="U683" s="1"/>
      <c r="V683" s="2"/>
      <c r="W683" s="2"/>
      <c r="X683" s="2"/>
      <c r="Y683" s="2"/>
      <c r="Z683" s="2"/>
    </row>
    <row r="684" spans="1:26" ht="15.75" customHeight="1" x14ac:dyDescent="0.2">
      <c r="A684" s="12"/>
      <c r="B684" s="10"/>
      <c r="C684" s="11"/>
      <c r="D684" s="13"/>
      <c r="E684" s="13"/>
      <c r="F684" s="13"/>
      <c r="G684" s="2"/>
      <c r="H684" s="2"/>
      <c r="I684" s="13"/>
      <c r="J684" s="13"/>
      <c r="K684" s="13"/>
      <c r="L684" s="14"/>
      <c r="M684" s="4"/>
      <c r="N684" s="2"/>
      <c r="O684" s="4"/>
      <c r="P684" s="2"/>
      <c r="Q684" s="2"/>
      <c r="R684" s="4"/>
      <c r="S684" s="2"/>
      <c r="T684" s="2"/>
      <c r="U684" s="1"/>
      <c r="V684" s="2"/>
      <c r="W684" s="2"/>
      <c r="X684" s="2"/>
      <c r="Y684" s="2"/>
      <c r="Z684" s="2"/>
    </row>
    <row r="685" spans="1:26" ht="15.75" customHeight="1" x14ac:dyDescent="0.2">
      <c r="A685" s="12"/>
      <c r="B685" s="10"/>
      <c r="C685" s="11"/>
      <c r="D685" s="13"/>
      <c r="E685" s="13"/>
      <c r="F685" s="13"/>
      <c r="G685" s="2"/>
      <c r="H685" s="2"/>
      <c r="I685" s="13"/>
      <c r="J685" s="13"/>
      <c r="K685" s="13"/>
      <c r="L685" s="14"/>
      <c r="M685" s="4"/>
      <c r="N685" s="2"/>
      <c r="O685" s="4"/>
      <c r="P685" s="2"/>
      <c r="Q685" s="2"/>
      <c r="R685" s="4"/>
      <c r="S685" s="2"/>
      <c r="T685" s="2"/>
      <c r="U685" s="1"/>
      <c r="V685" s="2"/>
      <c r="W685" s="2"/>
      <c r="X685" s="2"/>
      <c r="Y685" s="2"/>
      <c r="Z685" s="2"/>
    </row>
    <row r="686" spans="1:26" ht="15.75" customHeight="1" x14ac:dyDescent="0.2">
      <c r="A686" s="12"/>
      <c r="B686" s="10"/>
      <c r="C686" s="11"/>
      <c r="D686" s="13"/>
      <c r="E686" s="13"/>
      <c r="F686" s="13"/>
      <c r="G686" s="2"/>
      <c r="H686" s="2"/>
      <c r="I686" s="13"/>
      <c r="J686" s="13"/>
      <c r="K686" s="13"/>
      <c r="L686" s="14"/>
      <c r="M686" s="4"/>
      <c r="N686" s="2"/>
      <c r="O686" s="4"/>
      <c r="P686" s="2"/>
      <c r="Q686" s="2"/>
      <c r="R686" s="4"/>
      <c r="S686" s="2"/>
      <c r="T686" s="2"/>
      <c r="U686" s="1"/>
      <c r="V686" s="2"/>
      <c r="W686" s="2"/>
      <c r="X686" s="2"/>
      <c r="Y686" s="2"/>
      <c r="Z686" s="2"/>
    </row>
    <row r="687" spans="1:26" ht="15.75" customHeight="1" x14ac:dyDescent="0.2">
      <c r="A687" s="12"/>
      <c r="B687" s="10"/>
      <c r="C687" s="11"/>
      <c r="D687" s="13"/>
      <c r="E687" s="13"/>
      <c r="F687" s="13"/>
      <c r="G687" s="2"/>
      <c r="H687" s="2"/>
      <c r="I687" s="13"/>
      <c r="J687" s="13"/>
      <c r="K687" s="13"/>
      <c r="L687" s="14"/>
      <c r="M687" s="4"/>
      <c r="N687" s="2"/>
      <c r="O687" s="4"/>
      <c r="P687" s="2"/>
      <c r="Q687" s="2"/>
      <c r="R687" s="4"/>
      <c r="S687" s="2"/>
      <c r="T687" s="2"/>
      <c r="U687" s="1"/>
      <c r="V687" s="2"/>
      <c r="W687" s="2"/>
      <c r="X687" s="2"/>
      <c r="Y687" s="2"/>
      <c r="Z687" s="2"/>
    </row>
    <row r="688" spans="1:26" ht="15.75" customHeight="1" x14ac:dyDescent="0.2">
      <c r="A688" s="12"/>
      <c r="B688" s="10"/>
      <c r="C688" s="11"/>
      <c r="D688" s="13"/>
      <c r="E688" s="13"/>
      <c r="F688" s="13"/>
      <c r="G688" s="2"/>
      <c r="H688" s="2"/>
      <c r="I688" s="13"/>
      <c r="J688" s="13"/>
      <c r="K688" s="13"/>
      <c r="L688" s="14"/>
      <c r="M688" s="4"/>
      <c r="N688" s="2"/>
      <c r="O688" s="4"/>
      <c r="P688" s="2"/>
      <c r="Q688" s="2"/>
      <c r="R688" s="4"/>
      <c r="S688" s="2"/>
      <c r="T688" s="2"/>
      <c r="U688" s="1"/>
      <c r="V688" s="2"/>
      <c r="W688" s="2"/>
      <c r="X688" s="2"/>
      <c r="Y688" s="2"/>
      <c r="Z688" s="2"/>
    </row>
    <row r="689" spans="1:26" ht="15.75" customHeight="1" x14ac:dyDescent="0.2">
      <c r="A689" s="12"/>
      <c r="B689" s="10"/>
      <c r="C689" s="11"/>
      <c r="D689" s="13"/>
      <c r="E689" s="13"/>
      <c r="F689" s="13"/>
      <c r="G689" s="2"/>
      <c r="H689" s="2"/>
      <c r="I689" s="13"/>
      <c r="J689" s="13"/>
      <c r="K689" s="13"/>
      <c r="L689" s="14"/>
      <c r="M689" s="4"/>
      <c r="N689" s="2"/>
      <c r="O689" s="4"/>
      <c r="P689" s="2"/>
      <c r="Q689" s="2"/>
      <c r="R689" s="4"/>
      <c r="S689" s="2"/>
      <c r="T689" s="2"/>
      <c r="U689" s="1"/>
      <c r="V689" s="2"/>
      <c r="W689" s="2"/>
      <c r="X689" s="2"/>
      <c r="Y689" s="2"/>
      <c r="Z689" s="2"/>
    </row>
    <row r="690" spans="1:26" ht="15.75" customHeight="1" x14ac:dyDescent="0.2">
      <c r="A690" s="12"/>
      <c r="B690" s="10"/>
      <c r="C690" s="11"/>
      <c r="D690" s="13"/>
      <c r="E690" s="13"/>
      <c r="F690" s="13"/>
      <c r="G690" s="2"/>
      <c r="H690" s="2"/>
      <c r="I690" s="13"/>
      <c r="J690" s="13"/>
      <c r="K690" s="13"/>
      <c r="L690" s="14"/>
      <c r="M690" s="4"/>
      <c r="N690" s="2"/>
      <c r="O690" s="4"/>
      <c r="P690" s="2"/>
      <c r="Q690" s="2"/>
      <c r="R690" s="4"/>
      <c r="S690" s="2"/>
      <c r="T690" s="2"/>
      <c r="U690" s="1"/>
      <c r="V690" s="2"/>
      <c r="W690" s="2"/>
      <c r="X690" s="2"/>
      <c r="Y690" s="2"/>
      <c r="Z690" s="2"/>
    </row>
    <row r="691" spans="1:26" ht="15.75" customHeight="1" x14ac:dyDescent="0.2">
      <c r="A691" s="12"/>
      <c r="B691" s="10"/>
      <c r="C691" s="11"/>
      <c r="D691" s="13"/>
      <c r="E691" s="13"/>
      <c r="F691" s="13"/>
      <c r="G691" s="2"/>
      <c r="H691" s="2"/>
      <c r="I691" s="13"/>
      <c r="J691" s="13"/>
      <c r="K691" s="13"/>
      <c r="L691" s="14"/>
      <c r="M691" s="4"/>
      <c r="N691" s="2"/>
      <c r="O691" s="4"/>
      <c r="P691" s="2"/>
      <c r="Q691" s="2"/>
      <c r="R691" s="4"/>
      <c r="S691" s="2"/>
      <c r="T691" s="2"/>
      <c r="U691" s="1"/>
      <c r="V691" s="2"/>
      <c r="W691" s="2"/>
      <c r="X691" s="2"/>
      <c r="Y691" s="2"/>
      <c r="Z691" s="2"/>
    </row>
    <row r="692" spans="1:26" ht="15.75" customHeight="1" x14ac:dyDescent="0.2">
      <c r="A692" s="12"/>
      <c r="B692" s="10"/>
      <c r="C692" s="11"/>
      <c r="D692" s="13"/>
      <c r="E692" s="13"/>
      <c r="F692" s="13"/>
      <c r="G692" s="2"/>
      <c r="H692" s="2"/>
      <c r="I692" s="13"/>
      <c r="J692" s="13"/>
      <c r="K692" s="13"/>
      <c r="L692" s="14"/>
      <c r="M692" s="4"/>
      <c r="N692" s="2"/>
      <c r="O692" s="4"/>
      <c r="P692" s="2"/>
      <c r="Q692" s="2"/>
      <c r="R692" s="4"/>
      <c r="S692" s="2"/>
      <c r="T692" s="2"/>
      <c r="U692" s="1"/>
      <c r="V692" s="2"/>
      <c r="W692" s="2"/>
      <c r="X692" s="2"/>
      <c r="Y692" s="2"/>
      <c r="Z692" s="2"/>
    </row>
    <row r="693" spans="1:26" ht="15.75" customHeight="1" x14ac:dyDescent="0.2">
      <c r="A693" s="12"/>
      <c r="B693" s="10"/>
      <c r="C693" s="11"/>
      <c r="D693" s="13"/>
      <c r="E693" s="13"/>
      <c r="F693" s="13"/>
      <c r="G693" s="2"/>
      <c r="H693" s="2"/>
      <c r="I693" s="13"/>
      <c r="J693" s="13"/>
      <c r="K693" s="13"/>
      <c r="L693" s="14"/>
      <c r="M693" s="4"/>
      <c r="N693" s="2"/>
      <c r="O693" s="4"/>
      <c r="P693" s="2"/>
      <c r="Q693" s="2"/>
      <c r="R693" s="4"/>
      <c r="S693" s="2"/>
      <c r="T693" s="2"/>
      <c r="U693" s="1"/>
      <c r="V693" s="2"/>
      <c r="W693" s="2"/>
      <c r="X693" s="2"/>
      <c r="Y693" s="2"/>
      <c r="Z693" s="2"/>
    </row>
    <row r="694" spans="1:26" ht="15.75" customHeight="1" x14ac:dyDescent="0.2">
      <c r="A694" s="12"/>
      <c r="B694" s="10"/>
      <c r="C694" s="11"/>
      <c r="D694" s="13"/>
      <c r="E694" s="13"/>
      <c r="F694" s="13"/>
      <c r="G694" s="2"/>
      <c r="H694" s="2"/>
      <c r="I694" s="13"/>
      <c r="J694" s="13"/>
      <c r="K694" s="13"/>
      <c r="L694" s="14"/>
      <c r="M694" s="4"/>
      <c r="N694" s="2"/>
      <c r="O694" s="4"/>
      <c r="P694" s="2"/>
      <c r="Q694" s="2"/>
      <c r="R694" s="4"/>
      <c r="S694" s="2"/>
      <c r="T694" s="2"/>
      <c r="U694" s="1"/>
      <c r="V694" s="2"/>
      <c r="W694" s="2"/>
      <c r="X694" s="2"/>
      <c r="Y694" s="2"/>
      <c r="Z694" s="2"/>
    </row>
    <row r="695" spans="1:26" ht="15.75" customHeight="1" x14ac:dyDescent="0.2">
      <c r="A695" s="12"/>
      <c r="B695" s="10"/>
      <c r="C695" s="11"/>
      <c r="D695" s="13"/>
      <c r="E695" s="13"/>
      <c r="F695" s="13"/>
      <c r="G695" s="2"/>
      <c r="H695" s="2"/>
      <c r="I695" s="13"/>
      <c r="J695" s="13"/>
      <c r="K695" s="13"/>
      <c r="L695" s="14"/>
      <c r="M695" s="4"/>
      <c r="N695" s="2"/>
      <c r="O695" s="4"/>
      <c r="P695" s="2"/>
      <c r="Q695" s="2"/>
      <c r="R695" s="4"/>
      <c r="S695" s="2"/>
      <c r="T695" s="2"/>
      <c r="U695" s="1"/>
      <c r="V695" s="2"/>
      <c r="W695" s="2"/>
      <c r="X695" s="2"/>
      <c r="Y695" s="2"/>
      <c r="Z695" s="2"/>
    </row>
    <row r="696" spans="1:26" ht="15.75" customHeight="1" x14ac:dyDescent="0.2">
      <c r="A696" s="12"/>
      <c r="B696" s="10"/>
      <c r="C696" s="11"/>
      <c r="D696" s="13"/>
      <c r="E696" s="13"/>
      <c r="F696" s="13"/>
      <c r="G696" s="2"/>
      <c r="H696" s="2"/>
      <c r="I696" s="13"/>
      <c r="J696" s="13"/>
      <c r="K696" s="13"/>
      <c r="L696" s="14"/>
      <c r="M696" s="4"/>
      <c r="N696" s="2"/>
      <c r="O696" s="4"/>
      <c r="P696" s="2"/>
      <c r="Q696" s="2"/>
      <c r="R696" s="4"/>
      <c r="S696" s="2"/>
      <c r="T696" s="2"/>
      <c r="U696" s="1"/>
      <c r="V696" s="2"/>
      <c r="W696" s="2"/>
      <c r="X696" s="2"/>
      <c r="Y696" s="2"/>
      <c r="Z696" s="2"/>
    </row>
    <row r="697" spans="1:26" ht="15.75" customHeight="1" x14ac:dyDescent="0.2">
      <c r="A697" s="12"/>
      <c r="B697" s="10"/>
      <c r="C697" s="11"/>
      <c r="D697" s="13"/>
      <c r="E697" s="13"/>
      <c r="F697" s="13"/>
      <c r="G697" s="2"/>
      <c r="H697" s="2"/>
      <c r="I697" s="13"/>
      <c r="J697" s="13"/>
      <c r="K697" s="13"/>
      <c r="L697" s="14"/>
      <c r="M697" s="4"/>
      <c r="N697" s="2"/>
      <c r="O697" s="4"/>
      <c r="P697" s="2"/>
      <c r="Q697" s="2"/>
      <c r="R697" s="4"/>
      <c r="S697" s="2"/>
      <c r="T697" s="2"/>
      <c r="U697" s="1"/>
      <c r="V697" s="2"/>
      <c r="W697" s="2"/>
      <c r="X697" s="2"/>
      <c r="Y697" s="2"/>
      <c r="Z697" s="2"/>
    </row>
    <row r="698" spans="1:26" ht="15.75" customHeight="1" x14ac:dyDescent="0.2">
      <c r="A698" s="12"/>
      <c r="B698" s="10"/>
      <c r="C698" s="11"/>
      <c r="D698" s="13"/>
      <c r="E698" s="13"/>
      <c r="F698" s="13"/>
      <c r="G698" s="2"/>
      <c r="H698" s="2"/>
      <c r="I698" s="13"/>
      <c r="J698" s="13"/>
      <c r="K698" s="13"/>
      <c r="L698" s="14"/>
      <c r="M698" s="4"/>
      <c r="N698" s="2"/>
      <c r="O698" s="4"/>
      <c r="P698" s="2"/>
      <c r="Q698" s="2"/>
      <c r="R698" s="4"/>
      <c r="S698" s="2"/>
      <c r="T698" s="2"/>
      <c r="U698" s="1"/>
      <c r="V698" s="2"/>
      <c r="W698" s="2"/>
      <c r="X698" s="2"/>
      <c r="Y698" s="2"/>
      <c r="Z698" s="2"/>
    </row>
    <row r="699" spans="1:26" ht="15.75" customHeight="1" x14ac:dyDescent="0.2">
      <c r="A699" s="12"/>
      <c r="B699" s="10"/>
      <c r="C699" s="11"/>
      <c r="D699" s="13"/>
      <c r="E699" s="13"/>
      <c r="F699" s="13"/>
      <c r="G699" s="2"/>
      <c r="H699" s="2"/>
      <c r="I699" s="13"/>
      <c r="J699" s="13"/>
      <c r="K699" s="13"/>
      <c r="L699" s="14"/>
      <c r="M699" s="4"/>
      <c r="N699" s="2"/>
      <c r="O699" s="4"/>
      <c r="P699" s="2"/>
      <c r="Q699" s="2"/>
      <c r="R699" s="4"/>
      <c r="S699" s="2"/>
      <c r="T699" s="2"/>
      <c r="U699" s="1"/>
      <c r="V699" s="2"/>
      <c r="W699" s="2"/>
      <c r="X699" s="2"/>
      <c r="Y699" s="2"/>
      <c r="Z699" s="2"/>
    </row>
    <row r="700" spans="1:26" ht="15.75" customHeight="1" x14ac:dyDescent="0.2">
      <c r="A700" s="12"/>
      <c r="B700" s="10"/>
      <c r="C700" s="11"/>
      <c r="D700" s="13"/>
      <c r="E700" s="13"/>
      <c r="F700" s="13"/>
      <c r="G700" s="2"/>
      <c r="H700" s="2"/>
      <c r="I700" s="13"/>
      <c r="J700" s="13"/>
      <c r="K700" s="13"/>
      <c r="L700" s="14"/>
      <c r="M700" s="4"/>
      <c r="N700" s="2"/>
      <c r="O700" s="4"/>
      <c r="P700" s="2"/>
      <c r="Q700" s="2"/>
      <c r="R700" s="4"/>
      <c r="S700" s="2"/>
      <c r="T700" s="2"/>
      <c r="U700" s="1"/>
      <c r="V700" s="2"/>
      <c r="W700" s="2"/>
      <c r="X700" s="2"/>
      <c r="Y700" s="2"/>
      <c r="Z700" s="2"/>
    </row>
    <row r="701" spans="1:26" ht="15.75" customHeight="1" x14ac:dyDescent="0.2">
      <c r="A701" s="12"/>
      <c r="B701" s="10"/>
      <c r="C701" s="11"/>
      <c r="D701" s="13"/>
      <c r="E701" s="13"/>
      <c r="F701" s="13"/>
      <c r="G701" s="2"/>
      <c r="H701" s="2"/>
      <c r="I701" s="13"/>
      <c r="J701" s="13"/>
      <c r="K701" s="13"/>
      <c r="L701" s="14"/>
      <c r="M701" s="4"/>
      <c r="N701" s="2"/>
      <c r="O701" s="4"/>
      <c r="P701" s="2"/>
      <c r="Q701" s="2"/>
      <c r="R701" s="4"/>
      <c r="S701" s="2"/>
      <c r="T701" s="2"/>
      <c r="U701" s="1"/>
      <c r="V701" s="2"/>
      <c r="W701" s="2"/>
      <c r="X701" s="2"/>
      <c r="Y701" s="2"/>
      <c r="Z701" s="2"/>
    </row>
    <row r="702" spans="1:26" ht="15.75" customHeight="1" x14ac:dyDescent="0.2">
      <c r="A702" s="12"/>
      <c r="B702" s="10"/>
      <c r="C702" s="11"/>
      <c r="D702" s="13"/>
      <c r="E702" s="13"/>
      <c r="F702" s="13"/>
      <c r="G702" s="2"/>
      <c r="H702" s="2"/>
      <c r="I702" s="13"/>
      <c r="J702" s="13"/>
      <c r="K702" s="13"/>
      <c r="L702" s="14"/>
      <c r="M702" s="4"/>
      <c r="N702" s="2"/>
      <c r="O702" s="4"/>
      <c r="P702" s="2"/>
      <c r="Q702" s="2"/>
      <c r="R702" s="4"/>
      <c r="S702" s="2"/>
      <c r="T702" s="2"/>
      <c r="U702" s="1"/>
      <c r="V702" s="2"/>
      <c r="W702" s="2"/>
      <c r="X702" s="2"/>
      <c r="Y702" s="2"/>
      <c r="Z702" s="2"/>
    </row>
    <row r="703" spans="1:26" ht="15.75" customHeight="1" x14ac:dyDescent="0.2">
      <c r="A703" s="12"/>
      <c r="B703" s="10"/>
      <c r="C703" s="11"/>
      <c r="D703" s="13"/>
      <c r="E703" s="13"/>
      <c r="F703" s="13"/>
      <c r="G703" s="2"/>
      <c r="H703" s="2"/>
      <c r="I703" s="13"/>
      <c r="J703" s="13"/>
      <c r="K703" s="13"/>
      <c r="L703" s="14"/>
      <c r="M703" s="4"/>
      <c r="N703" s="2"/>
      <c r="O703" s="4"/>
      <c r="P703" s="2"/>
      <c r="Q703" s="2"/>
      <c r="R703" s="4"/>
      <c r="S703" s="2"/>
      <c r="T703" s="2"/>
      <c r="U703" s="1"/>
      <c r="V703" s="2"/>
      <c r="W703" s="2"/>
      <c r="X703" s="2"/>
      <c r="Y703" s="2"/>
      <c r="Z703" s="2"/>
    </row>
    <row r="704" spans="1:26" ht="15.75" customHeight="1" x14ac:dyDescent="0.2">
      <c r="A704" s="12"/>
      <c r="B704" s="10"/>
      <c r="C704" s="11"/>
      <c r="D704" s="13"/>
      <c r="E704" s="13"/>
      <c r="F704" s="13"/>
      <c r="G704" s="2"/>
      <c r="H704" s="2"/>
      <c r="I704" s="13"/>
      <c r="J704" s="13"/>
      <c r="K704" s="13"/>
      <c r="L704" s="14"/>
      <c r="M704" s="4"/>
      <c r="N704" s="2"/>
      <c r="O704" s="4"/>
      <c r="P704" s="2"/>
      <c r="Q704" s="2"/>
      <c r="R704" s="4"/>
      <c r="S704" s="2"/>
      <c r="T704" s="2"/>
      <c r="U704" s="1"/>
      <c r="V704" s="2"/>
      <c r="W704" s="2"/>
      <c r="X704" s="2"/>
      <c r="Y704" s="2"/>
      <c r="Z704" s="2"/>
    </row>
    <row r="705" spans="1:26" ht="15.75" customHeight="1" x14ac:dyDescent="0.2">
      <c r="A705" s="12"/>
      <c r="B705" s="10"/>
      <c r="C705" s="11"/>
      <c r="D705" s="13"/>
      <c r="E705" s="13"/>
      <c r="F705" s="13"/>
      <c r="G705" s="2"/>
      <c r="H705" s="2"/>
      <c r="I705" s="13"/>
      <c r="J705" s="13"/>
      <c r="K705" s="13"/>
      <c r="L705" s="14"/>
      <c r="M705" s="4"/>
      <c r="N705" s="2"/>
      <c r="O705" s="4"/>
      <c r="P705" s="2"/>
      <c r="Q705" s="2"/>
      <c r="R705" s="4"/>
      <c r="S705" s="2"/>
      <c r="T705" s="2"/>
      <c r="U705" s="1"/>
      <c r="V705" s="2"/>
      <c r="W705" s="2"/>
      <c r="X705" s="2"/>
      <c r="Y705" s="2"/>
      <c r="Z705" s="2"/>
    </row>
    <row r="706" spans="1:26" ht="15.75" customHeight="1" x14ac:dyDescent="0.2">
      <c r="A706" s="12"/>
      <c r="B706" s="10"/>
      <c r="C706" s="11"/>
      <c r="D706" s="13"/>
      <c r="E706" s="13"/>
      <c r="F706" s="13"/>
      <c r="G706" s="2"/>
      <c r="H706" s="2"/>
      <c r="I706" s="13"/>
      <c r="J706" s="13"/>
      <c r="K706" s="13"/>
      <c r="L706" s="14"/>
      <c r="M706" s="4"/>
      <c r="N706" s="2"/>
      <c r="O706" s="4"/>
      <c r="P706" s="2"/>
      <c r="Q706" s="2"/>
      <c r="R706" s="4"/>
      <c r="S706" s="2"/>
      <c r="T706" s="2"/>
      <c r="U706" s="1"/>
      <c r="V706" s="2"/>
      <c r="W706" s="2"/>
      <c r="X706" s="2"/>
      <c r="Y706" s="2"/>
      <c r="Z706" s="2"/>
    </row>
    <row r="707" spans="1:26" ht="15.75" customHeight="1" x14ac:dyDescent="0.2">
      <c r="A707" s="12"/>
      <c r="B707" s="10"/>
      <c r="C707" s="11"/>
      <c r="D707" s="13"/>
      <c r="E707" s="13"/>
      <c r="F707" s="13"/>
      <c r="G707" s="2"/>
      <c r="H707" s="2"/>
      <c r="I707" s="13"/>
      <c r="J707" s="13"/>
      <c r="K707" s="13"/>
      <c r="L707" s="14"/>
      <c r="M707" s="4"/>
      <c r="N707" s="2"/>
      <c r="O707" s="4"/>
      <c r="P707" s="2"/>
      <c r="Q707" s="2"/>
      <c r="R707" s="4"/>
      <c r="S707" s="2"/>
      <c r="T707" s="2"/>
      <c r="U707" s="1"/>
      <c r="V707" s="2"/>
      <c r="W707" s="2"/>
      <c r="X707" s="2"/>
      <c r="Y707" s="2"/>
      <c r="Z707" s="2"/>
    </row>
    <row r="708" spans="1:26" ht="15.75" customHeight="1" x14ac:dyDescent="0.2">
      <c r="A708" s="12"/>
      <c r="B708" s="10"/>
      <c r="C708" s="11"/>
      <c r="D708" s="13"/>
      <c r="E708" s="13"/>
      <c r="F708" s="13"/>
      <c r="G708" s="2"/>
      <c r="H708" s="2"/>
      <c r="I708" s="13"/>
      <c r="J708" s="13"/>
      <c r="K708" s="13"/>
      <c r="L708" s="14"/>
      <c r="M708" s="4"/>
      <c r="N708" s="2"/>
      <c r="O708" s="4"/>
      <c r="P708" s="2"/>
      <c r="Q708" s="2"/>
      <c r="R708" s="4"/>
      <c r="S708" s="2"/>
      <c r="T708" s="2"/>
      <c r="U708" s="1"/>
      <c r="V708" s="2"/>
      <c r="W708" s="2"/>
      <c r="X708" s="2"/>
      <c r="Y708" s="2"/>
      <c r="Z708" s="2"/>
    </row>
    <row r="709" spans="1:26" ht="15.75" customHeight="1" x14ac:dyDescent="0.2">
      <c r="A709" s="12"/>
      <c r="B709" s="10"/>
      <c r="C709" s="11"/>
      <c r="D709" s="13"/>
      <c r="E709" s="13"/>
      <c r="F709" s="13"/>
      <c r="G709" s="2"/>
      <c r="H709" s="2"/>
      <c r="I709" s="13"/>
      <c r="J709" s="13"/>
      <c r="K709" s="13"/>
      <c r="L709" s="14"/>
      <c r="M709" s="4"/>
      <c r="N709" s="2"/>
      <c r="O709" s="4"/>
      <c r="P709" s="2"/>
      <c r="Q709" s="2"/>
      <c r="R709" s="4"/>
      <c r="S709" s="2"/>
      <c r="T709" s="2"/>
      <c r="U709" s="1"/>
      <c r="V709" s="2"/>
      <c r="W709" s="2"/>
      <c r="X709" s="2"/>
      <c r="Y709" s="2"/>
      <c r="Z709" s="2"/>
    </row>
    <row r="710" spans="1:26" ht="15.75" customHeight="1" x14ac:dyDescent="0.2">
      <c r="A710" s="12"/>
      <c r="B710" s="10"/>
      <c r="C710" s="11"/>
      <c r="D710" s="13"/>
      <c r="E710" s="13"/>
      <c r="F710" s="13"/>
      <c r="G710" s="2"/>
      <c r="H710" s="2"/>
      <c r="I710" s="13"/>
      <c r="J710" s="13"/>
      <c r="K710" s="13"/>
      <c r="L710" s="14"/>
      <c r="M710" s="4"/>
      <c r="N710" s="2"/>
      <c r="O710" s="4"/>
      <c r="P710" s="2"/>
      <c r="Q710" s="2"/>
      <c r="R710" s="4"/>
      <c r="S710" s="2"/>
      <c r="T710" s="2"/>
      <c r="U710" s="1"/>
      <c r="V710" s="2"/>
      <c r="W710" s="2"/>
      <c r="X710" s="2"/>
      <c r="Y710" s="2"/>
      <c r="Z710" s="2"/>
    </row>
    <row r="711" spans="1:26" ht="15.75" customHeight="1" x14ac:dyDescent="0.2">
      <c r="A711" s="12"/>
      <c r="B711" s="10"/>
      <c r="C711" s="11"/>
      <c r="D711" s="13"/>
      <c r="E711" s="13"/>
      <c r="F711" s="13"/>
      <c r="G711" s="2"/>
      <c r="H711" s="2"/>
      <c r="I711" s="13"/>
      <c r="J711" s="13"/>
      <c r="K711" s="13"/>
      <c r="L711" s="14"/>
      <c r="M711" s="4"/>
      <c r="N711" s="2"/>
      <c r="O711" s="4"/>
      <c r="P711" s="2"/>
      <c r="Q711" s="2"/>
      <c r="R711" s="4"/>
      <c r="S711" s="2"/>
      <c r="T711" s="2"/>
      <c r="U711" s="1"/>
      <c r="V711" s="2"/>
      <c r="W711" s="2"/>
      <c r="X711" s="2"/>
      <c r="Y711" s="2"/>
      <c r="Z711" s="2"/>
    </row>
    <row r="712" spans="1:26" ht="15.75" customHeight="1" x14ac:dyDescent="0.2">
      <c r="A712" s="12"/>
      <c r="B712" s="10"/>
      <c r="C712" s="11"/>
      <c r="D712" s="13"/>
      <c r="E712" s="13"/>
      <c r="F712" s="13"/>
      <c r="G712" s="2"/>
      <c r="H712" s="2"/>
      <c r="I712" s="13"/>
      <c r="J712" s="13"/>
      <c r="K712" s="13"/>
      <c r="L712" s="14"/>
      <c r="M712" s="4"/>
      <c r="N712" s="2"/>
      <c r="O712" s="4"/>
      <c r="P712" s="2"/>
      <c r="Q712" s="2"/>
      <c r="R712" s="4"/>
      <c r="S712" s="2"/>
      <c r="T712" s="2"/>
      <c r="U712" s="1"/>
      <c r="V712" s="2"/>
      <c r="W712" s="2"/>
      <c r="X712" s="2"/>
      <c r="Y712" s="2"/>
      <c r="Z712" s="2"/>
    </row>
    <row r="713" spans="1:26" ht="15.75" customHeight="1" x14ac:dyDescent="0.2">
      <c r="A713" s="12"/>
      <c r="B713" s="10"/>
      <c r="C713" s="11"/>
      <c r="D713" s="13"/>
      <c r="E713" s="13"/>
      <c r="F713" s="13"/>
      <c r="G713" s="2"/>
      <c r="H713" s="2"/>
      <c r="I713" s="13"/>
      <c r="J713" s="13"/>
      <c r="K713" s="13"/>
      <c r="L713" s="14"/>
      <c r="M713" s="4"/>
      <c r="N713" s="2"/>
      <c r="O713" s="4"/>
      <c r="P713" s="2"/>
      <c r="Q713" s="2"/>
      <c r="R713" s="4"/>
      <c r="S713" s="2"/>
      <c r="T713" s="2"/>
      <c r="U713" s="1"/>
      <c r="V713" s="2"/>
      <c r="W713" s="2"/>
      <c r="X713" s="2"/>
      <c r="Y713" s="2"/>
      <c r="Z713" s="2"/>
    </row>
    <row r="714" spans="1:26" ht="15.75" customHeight="1" x14ac:dyDescent="0.2">
      <c r="A714" s="12"/>
      <c r="B714" s="10"/>
      <c r="C714" s="11"/>
      <c r="D714" s="13"/>
      <c r="E714" s="13"/>
      <c r="F714" s="13"/>
      <c r="G714" s="2"/>
      <c r="H714" s="2"/>
      <c r="I714" s="13"/>
      <c r="J714" s="13"/>
      <c r="K714" s="13"/>
      <c r="L714" s="14"/>
      <c r="M714" s="4"/>
      <c r="N714" s="2"/>
      <c r="O714" s="4"/>
      <c r="P714" s="2"/>
      <c r="Q714" s="2"/>
      <c r="R714" s="4"/>
      <c r="S714" s="2"/>
      <c r="T714" s="2"/>
      <c r="U714" s="1"/>
      <c r="V714" s="2"/>
      <c r="W714" s="2"/>
      <c r="X714" s="2"/>
      <c r="Y714" s="2"/>
      <c r="Z714" s="2"/>
    </row>
    <row r="715" spans="1:26" ht="15.75" customHeight="1" x14ac:dyDescent="0.2">
      <c r="A715" s="12"/>
      <c r="B715" s="10"/>
      <c r="C715" s="11"/>
      <c r="D715" s="13"/>
      <c r="E715" s="13"/>
      <c r="F715" s="13"/>
      <c r="G715" s="2"/>
      <c r="H715" s="2"/>
      <c r="I715" s="13"/>
      <c r="J715" s="13"/>
      <c r="K715" s="13"/>
      <c r="L715" s="14"/>
      <c r="M715" s="4"/>
      <c r="N715" s="2"/>
      <c r="O715" s="4"/>
      <c r="P715" s="2"/>
      <c r="Q715" s="2"/>
      <c r="R715" s="4"/>
      <c r="S715" s="2"/>
      <c r="T715" s="2"/>
      <c r="U715" s="1"/>
      <c r="V715" s="2"/>
      <c r="W715" s="2"/>
      <c r="X715" s="2"/>
      <c r="Y715" s="2"/>
      <c r="Z715" s="2"/>
    </row>
    <row r="716" spans="1:26" ht="15.75" customHeight="1" x14ac:dyDescent="0.2">
      <c r="A716" s="12"/>
      <c r="B716" s="10"/>
      <c r="C716" s="11"/>
      <c r="D716" s="13"/>
      <c r="E716" s="13"/>
      <c r="F716" s="13"/>
      <c r="G716" s="2"/>
      <c r="H716" s="2"/>
      <c r="I716" s="13"/>
      <c r="J716" s="13"/>
      <c r="K716" s="13"/>
      <c r="L716" s="14"/>
      <c r="M716" s="4"/>
      <c r="N716" s="2"/>
      <c r="O716" s="4"/>
      <c r="P716" s="2"/>
      <c r="Q716" s="2"/>
      <c r="R716" s="4"/>
      <c r="S716" s="2"/>
      <c r="T716" s="2"/>
      <c r="U716" s="1"/>
      <c r="V716" s="2"/>
      <c r="W716" s="2"/>
      <c r="X716" s="2"/>
      <c r="Y716" s="2"/>
      <c r="Z716" s="2"/>
    </row>
    <row r="717" spans="1:26" ht="15.75" customHeight="1" x14ac:dyDescent="0.2">
      <c r="A717" s="12"/>
      <c r="B717" s="10"/>
      <c r="C717" s="11"/>
      <c r="D717" s="13"/>
      <c r="E717" s="13"/>
      <c r="F717" s="13"/>
      <c r="G717" s="2"/>
      <c r="H717" s="2"/>
      <c r="I717" s="13"/>
      <c r="J717" s="13"/>
      <c r="K717" s="13"/>
      <c r="L717" s="14"/>
      <c r="M717" s="4"/>
      <c r="N717" s="2"/>
      <c r="O717" s="4"/>
      <c r="P717" s="2"/>
      <c r="Q717" s="2"/>
      <c r="R717" s="4"/>
      <c r="S717" s="2"/>
      <c r="T717" s="2"/>
      <c r="U717" s="1"/>
      <c r="V717" s="2"/>
      <c r="W717" s="2"/>
      <c r="X717" s="2"/>
      <c r="Y717" s="2"/>
      <c r="Z717" s="2"/>
    </row>
    <row r="718" spans="1:26" ht="15.75" customHeight="1" x14ac:dyDescent="0.2">
      <c r="A718" s="12"/>
      <c r="B718" s="10"/>
      <c r="C718" s="11"/>
      <c r="D718" s="13"/>
      <c r="E718" s="13"/>
      <c r="F718" s="13"/>
      <c r="G718" s="2"/>
      <c r="H718" s="2"/>
      <c r="I718" s="13"/>
      <c r="J718" s="13"/>
      <c r="K718" s="13"/>
      <c r="L718" s="14"/>
      <c r="M718" s="4"/>
      <c r="N718" s="2"/>
      <c r="O718" s="4"/>
      <c r="P718" s="2"/>
      <c r="Q718" s="2"/>
      <c r="R718" s="4"/>
      <c r="S718" s="2"/>
      <c r="T718" s="2"/>
      <c r="U718" s="1"/>
      <c r="V718" s="2"/>
      <c r="W718" s="2"/>
      <c r="X718" s="2"/>
      <c r="Y718" s="2"/>
      <c r="Z718" s="2"/>
    </row>
    <row r="719" spans="1:26" ht="15.75" customHeight="1" x14ac:dyDescent="0.2">
      <c r="A719" s="12"/>
      <c r="B719" s="10"/>
      <c r="C719" s="11"/>
      <c r="D719" s="13"/>
      <c r="E719" s="13"/>
      <c r="F719" s="13"/>
      <c r="G719" s="2"/>
      <c r="H719" s="2"/>
      <c r="I719" s="13"/>
      <c r="J719" s="13"/>
      <c r="K719" s="13"/>
      <c r="L719" s="14"/>
      <c r="M719" s="4"/>
      <c r="N719" s="2"/>
      <c r="O719" s="4"/>
      <c r="P719" s="2"/>
      <c r="Q719" s="2"/>
      <c r="R719" s="4"/>
      <c r="S719" s="2"/>
      <c r="T719" s="2"/>
      <c r="U719" s="1"/>
      <c r="V719" s="2"/>
      <c r="W719" s="2"/>
      <c r="X719" s="2"/>
      <c r="Y719" s="2"/>
      <c r="Z719" s="2"/>
    </row>
    <row r="720" spans="1:26" ht="15.75" customHeight="1" x14ac:dyDescent="0.2">
      <c r="A720" s="12"/>
      <c r="B720" s="10"/>
      <c r="C720" s="11"/>
      <c r="D720" s="13"/>
      <c r="E720" s="13"/>
      <c r="F720" s="13"/>
      <c r="G720" s="2"/>
      <c r="H720" s="2"/>
      <c r="I720" s="13"/>
      <c r="J720" s="13"/>
      <c r="K720" s="13"/>
      <c r="L720" s="14"/>
      <c r="M720" s="4"/>
      <c r="N720" s="2"/>
      <c r="O720" s="4"/>
      <c r="P720" s="2"/>
      <c r="Q720" s="2"/>
      <c r="R720" s="4"/>
      <c r="S720" s="2"/>
      <c r="T720" s="2"/>
      <c r="U720" s="1"/>
      <c r="V720" s="2"/>
      <c r="W720" s="2"/>
      <c r="X720" s="2"/>
      <c r="Y720" s="2"/>
      <c r="Z720" s="2"/>
    </row>
    <row r="721" spans="1:26" ht="15.75" customHeight="1" x14ac:dyDescent="0.2">
      <c r="A721" s="12"/>
      <c r="B721" s="10"/>
      <c r="C721" s="11"/>
      <c r="D721" s="13"/>
      <c r="E721" s="13"/>
      <c r="F721" s="13"/>
      <c r="G721" s="2"/>
      <c r="H721" s="2"/>
      <c r="I721" s="13"/>
      <c r="J721" s="13"/>
      <c r="K721" s="13"/>
      <c r="L721" s="14"/>
      <c r="M721" s="4"/>
      <c r="N721" s="2"/>
      <c r="O721" s="4"/>
      <c r="P721" s="2"/>
      <c r="Q721" s="2"/>
      <c r="R721" s="4"/>
      <c r="S721" s="2"/>
      <c r="T721" s="2"/>
      <c r="U721" s="1"/>
      <c r="V721" s="2"/>
      <c r="W721" s="2"/>
      <c r="X721" s="2"/>
      <c r="Y721" s="2"/>
      <c r="Z721" s="2"/>
    </row>
    <row r="722" spans="1:26" ht="15.75" customHeight="1" x14ac:dyDescent="0.2">
      <c r="A722" s="12"/>
      <c r="B722" s="10"/>
      <c r="C722" s="11"/>
      <c r="D722" s="13"/>
      <c r="E722" s="13"/>
      <c r="F722" s="13"/>
      <c r="G722" s="2"/>
      <c r="H722" s="2"/>
      <c r="I722" s="13"/>
      <c r="J722" s="13"/>
      <c r="K722" s="13"/>
      <c r="L722" s="14"/>
      <c r="M722" s="4"/>
      <c r="N722" s="2"/>
      <c r="O722" s="4"/>
      <c r="P722" s="2"/>
      <c r="Q722" s="2"/>
      <c r="R722" s="4"/>
      <c r="S722" s="2"/>
      <c r="T722" s="2"/>
      <c r="U722" s="1"/>
      <c r="V722" s="2"/>
      <c r="W722" s="2"/>
      <c r="X722" s="2"/>
      <c r="Y722" s="2"/>
      <c r="Z722" s="2"/>
    </row>
    <row r="723" spans="1:26" ht="15.75" customHeight="1" x14ac:dyDescent="0.2">
      <c r="A723" s="12"/>
      <c r="B723" s="10"/>
      <c r="C723" s="11"/>
      <c r="D723" s="13"/>
      <c r="E723" s="13"/>
      <c r="F723" s="13"/>
      <c r="G723" s="2"/>
      <c r="H723" s="2"/>
      <c r="I723" s="13"/>
      <c r="J723" s="13"/>
      <c r="K723" s="13"/>
      <c r="L723" s="14"/>
      <c r="M723" s="4"/>
      <c r="N723" s="2"/>
      <c r="O723" s="4"/>
      <c r="P723" s="2"/>
      <c r="Q723" s="2"/>
      <c r="R723" s="4"/>
      <c r="S723" s="2"/>
      <c r="T723" s="2"/>
      <c r="U723" s="1"/>
      <c r="V723" s="2"/>
      <c r="W723" s="2"/>
      <c r="X723" s="2"/>
      <c r="Y723" s="2"/>
      <c r="Z723" s="2"/>
    </row>
    <row r="724" spans="1:26" ht="15.75" customHeight="1" x14ac:dyDescent="0.2">
      <c r="A724" s="12"/>
      <c r="B724" s="10"/>
      <c r="C724" s="11"/>
      <c r="D724" s="13"/>
      <c r="E724" s="13"/>
      <c r="F724" s="13"/>
      <c r="G724" s="2"/>
      <c r="H724" s="2"/>
      <c r="I724" s="13"/>
      <c r="J724" s="13"/>
      <c r="K724" s="13"/>
      <c r="L724" s="14"/>
      <c r="M724" s="4"/>
      <c r="N724" s="2"/>
      <c r="O724" s="4"/>
      <c r="P724" s="2"/>
      <c r="Q724" s="2"/>
      <c r="R724" s="4"/>
      <c r="S724" s="2"/>
      <c r="T724" s="2"/>
      <c r="U724" s="1"/>
      <c r="V724" s="2"/>
      <c r="W724" s="2"/>
      <c r="X724" s="2"/>
      <c r="Y724" s="2"/>
      <c r="Z724" s="2"/>
    </row>
    <row r="725" spans="1:26" ht="15.75" customHeight="1" x14ac:dyDescent="0.2">
      <c r="A725" s="12"/>
      <c r="B725" s="10"/>
      <c r="C725" s="11"/>
      <c r="D725" s="13"/>
      <c r="E725" s="13"/>
      <c r="F725" s="13"/>
      <c r="G725" s="2"/>
      <c r="H725" s="2"/>
      <c r="I725" s="13"/>
      <c r="J725" s="13"/>
      <c r="K725" s="13"/>
      <c r="L725" s="14"/>
      <c r="M725" s="4"/>
      <c r="N725" s="2"/>
      <c r="O725" s="4"/>
      <c r="P725" s="2"/>
      <c r="Q725" s="2"/>
      <c r="R725" s="4"/>
      <c r="S725" s="2"/>
      <c r="T725" s="2"/>
      <c r="U725" s="1"/>
      <c r="V725" s="2"/>
      <c r="W725" s="2"/>
      <c r="X725" s="2"/>
      <c r="Y725" s="2"/>
      <c r="Z725" s="2"/>
    </row>
    <row r="726" spans="1:26" ht="15.75" customHeight="1" x14ac:dyDescent="0.2">
      <c r="A726" s="12"/>
      <c r="B726" s="10"/>
      <c r="C726" s="11"/>
      <c r="D726" s="13"/>
      <c r="E726" s="13"/>
      <c r="F726" s="13"/>
      <c r="G726" s="2"/>
      <c r="H726" s="2"/>
      <c r="I726" s="13"/>
      <c r="J726" s="13"/>
      <c r="K726" s="13"/>
      <c r="L726" s="14"/>
      <c r="M726" s="4"/>
      <c r="N726" s="2"/>
      <c r="O726" s="4"/>
      <c r="P726" s="2"/>
      <c r="Q726" s="2"/>
      <c r="R726" s="4"/>
      <c r="S726" s="2"/>
      <c r="T726" s="2"/>
      <c r="U726" s="1"/>
      <c r="V726" s="2"/>
      <c r="W726" s="2"/>
      <c r="X726" s="2"/>
      <c r="Y726" s="2"/>
      <c r="Z726" s="2"/>
    </row>
    <row r="727" spans="1:26" ht="15.75" customHeight="1" x14ac:dyDescent="0.2">
      <c r="A727" s="12"/>
      <c r="B727" s="10"/>
      <c r="C727" s="11"/>
      <c r="D727" s="13"/>
      <c r="E727" s="13"/>
      <c r="F727" s="13"/>
      <c r="G727" s="2"/>
      <c r="H727" s="2"/>
      <c r="I727" s="13"/>
      <c r="J727" s="13"/>
      <c r="K727" s="13"/>
      <c r="L727" s="14"/>
      <c r="M727" s="4"/>
      <c r="N727" s="2"/>
      <c r="O727" s="4"/>
      <c r="P727" s="2"/>
      <c r="Q727" s="2"/>
      <c r="R727" s="4"/>
      <c r="S727" s="2"/>
      <c r="T727" s="2"/>
      <c r="U727" s="1"/>
      <c r="V727" s="2"/>
      <c r="W727" s="2"/>
      <c r="X727" s="2"/>
      <c r="Y727" s="2"/>
      <c r="Z727" s="2"/>
    </row>
    <row r="728" spans="1:26" ht="15.75" customHeight="1" x14ac:dyDescent="0.2">
      <c r="A728" s="12"/>
      <c r="B728" s="10"/>
      <c r="C728" s="11"/>
      <c r="D728" s="13"/>
      <c r="E728" s="13"/>
      <c r="F728" s="13"/>
      <c r="G728" s="2"/>
      <c r="H728" s="2"/>
      <c r="I728" s="13"/>
      <c r="J728" s="13"/>
      <c r="K728" s="13"/>
      <c r="L728" s="14"/>
      <c r="M728" s="4"/>
      <c r="N728" s="2"/>
      <c r="O728" s="4"/>
      <c r="P728" s="2"/>
      <c r="Q728" s="2"/>
      <c r="R728" s="4"/>
      <c r="S728" s="2"/>
      <c r="T728" s="2"/>
      <c r="U728" s="1"/>
      <c r="V728" s="2"/>
      <c r="W728" s="2"/>
      <c r="X728" s="2"/>
      <c r="Y728" s="2"/>
      <c r="Z728" s="2"/>
    </row>
    <row r="729" spans="1:26" ht="15.75" customHeight="1" x14ac:dyDescent="0.2">
      <c r="A729" s="12"/>
      <c r="B729" s="10"/>
      <c r="C729" s="11"/>
      <c r="D729" s="13"/>
      <c r="E729" s="13"/>
      <c r="F729" s="13"/>
      <c r="G729" s="2"/>
      <c r="H729" s="2"/>
      <c r="I729" s="13"/>
      <c r="J729" s="13"/>
      <c r="K729" s="13"/>
      <c r="L729" s="14"/>
      <c r="M729" s="4"/>
      <c r="N729" s="2"/>
      <c r="O729" s="4"/>
      <c r="P729" s="2"/>
      <c r="Q729" s="2"/>
      <c r="R729" s="4"/>
      <c r="S729" s="2"/>
      <c r="T729" s="2"/>
      <c r="U729" s="1"/>
      <c r="V729" s="2"/>
      <c r="W729" s="2"/>
      <c r="X729" s="2"/>
      <c r="Y729" s="2"/>
      <c r="Z729" s="2"/>
    </row>
    <row r="730" spans="1:26" ht="15.75" customHeight="1" x14ac:dyDescent="0.2">
      <c r="A730" s="12"/>
      <c r="B730" s="10"/>
      <c r="C730" s="11"/>
      <c r="D730" s="13"/>
      <c r="E730" s="13"/>
      <c r="F730" s="13"/>
      <c r="G730" s="2"/>
      <c r="H730" s="2"/>
      <c r="I730" s="13"/>
      <c r="J730" s="13"/>
      <c r="K730" s="13"/>
      <c r="L730" s="14"/>
      <c r="M730" s="4"/>
      <c r="N730" s="2"/>
      <c r="O730" s="4"/>
      <c r="P730" s="2"/>
      <c r="Q730" s="2"/>
      <c r="R730" s="4"/>
      <c r="S730" s="2"/>
      <c r="T730" s="2"/>
      <c r="U730" s="1"/>
      <c r="V730" s="2"/>
      <c r="W730" s="2"/>
      <c r="X730" s="2"/>
      <c r="Y730" s="2"/>
      <c r="Z730" s="2"/>
    </row>
    <row r="731" spans="1:26" ht="15.75" customHeight="1" x14ac:dyDescent="0.2">
      <c r="A731" s="12"/>
      <c r="B731" s="10"/>
      <c r="C731" s="11"/>
      <c r="D731" s="13"/>
      <c r="E731" s="13"/>
      <c r="F731" s="13"/>
      <c r="G731" s="2"/>
      <c r="H731" s="2"/>
      <c r="I731" s="13"/>
      <c r="J731" s="13"/>
      <c r="K731" s="13"/>
      <c r="L731" s="14"/>
      <c r="M731" s="4"/>
      <c r="N731" s="2"/>
      <c r="O731" s="4"/>
      <c r="P731" s="2"/>
      <c r="Q731" s="2"/>
      <c r="R731" s="4"/>
      <c r="S731" s="2"/>
      <c r="T731" s="2"/>
      <c r="U731" s="1"/>
      <c r="V731" s="2"/>
      <c r="W731" s="2"/>
      <c r="X731" s="2"/>
      <c r="Y731" s="2"/>
      <c r="Z731" s="2"/>
    </row>
    <row r="732" spans="1:26" ht="15.75" customHeight="1" x14ac:dyDescent="0.2">
      <c r="A732" s="12"/>
      <c r="B732" s="10"/>
      <c r="C732" s="11"/>
      <c r="D732" s="13"/>
      <c r="E732" s="13"/>
      <c r="F732" s="13"/>
      <c r="G732" s="2"/>
      <c r="H732" s="2"/>
      <c r="I732" s="13"/>
      <c r="J732" s="13"/>
      <c r="K732" s="13"/>
      <c r="L732" s="14"/>
      <c r="M732" s="4"/>
      <c r="N732" s="2"/>
      <c r="O732" s="4"/>
      <c r="P732" s="2"/>
      <c r="Q732" s="2"/>
      <c r="R732" s="4"/>
      <c r="S732" s="2"/>
      <c r="T732" s="2"/>
      <c r="U732" s="1"/>
      <c r="V732" s="2"/>
      <c r="W732" s="2"/>
      <c r="X732" s="2"/>
      <c r="Y732" s="2"/>
      <c r="Z732" s="2"/>
    </row>
    <row r="733" spans="1:26" ht="15.75" customHeight="1" x14ac:dyDescent="0.2">
      <c r="A733" s="12"/>
      <c r="B733" s="10"/>
      <c r="C733" s="11"/>
      <c r="D733" s="13"/>
      <c r="E733" s="13"/>
      <c r="F733" s="13"/>
      <c r="G733" s="2"/>
      <c r="H733" s="2"/>
      <c r="I733" s="13"/>
      <c r="J733" s="13"/>
      <c r="K733" s="13"/>
      <c r="L733" s="14"/>
      <c r="M733" s="4"/>
      <c r="N733" s="2"/>
      <c r="O733" s="4"/>
      <c r="P733" s="2"/>
      <c r="Q733" s="2"/>
      <c r="R733" s="4"/>
      <c r="S733" s="2"/>
      <c r="T733" s="2"/>
      <c r="U733" s="1"/>
      <c r="V733" s="2"/>
      <c r="W733" s="2"/>
      <c r="X733" s="2"/>
      <c r="Y733" s="2"/>
      <c r="Z733" s="2"/>
    </row>
    <row r="734" spans="1:26" ht="15.75" customHeight="1" x14ac:dyDescent="0.2">
      <c r="A734" s="12"/>
      <c r="B734" s="10"/>
      <c r="C734" s="11"/>
      <c r="D734" s="13"/>
      <c r="E734" s="13"/>
      <c r="F734" s="13"/>
      <c r="G734" s="2"/>
      <c r="H734" s="2"/>
      <c r="I734" s="13"/>
      <c r="J734" s="13"/>
      <c r="K734" s="13"/>
      <c r="L734" s="14"/>
      <c r="M734" s="4"/>
      <c r="N734" s="2"/>
      <c r="O734" s="4"/>
      <c r="P734" s="2"/>
      <c r="Q734" s="2"/>
      <c r="R734" s="4"/>
      <c r="S734" s="2"/>
      <c r="T734" s="2"/>
      <c r="U734" s="1"/>
      <c r="V734" s="2"/>
      <c r="W734" s="2"/>
      <c r="X734" s="2"/>
      <c r="Y734" s="2"/>
      <c r="Z734" s="2"/>
    </row>
    <row r="735" spans="1:26" ht="15.75" customHeight="1" x14ac:dyDescent="0.2">
      <c r="A735" s="12"/>
      <c r="B735" s="10"/>
      <c r="C735" s="11"/>
      <c r="D735" s="13"/>
      <c r="E735" s="13"/>
      <c r="F735" s="13"/>
      <c r="G735" s="2"/>
      <c r="H735" s="2"/>
      <c r="I735" s="13"/>
      <c r="J735" s="13"/>
      <c r="K735" s="13"/>
      <c r="L735" s="14"/>
      <c r="M735" s="4"/>
      <c r="N735" s="2"/>
      <c r="O735" s="4"/>
      <c r="P735" s="2"/>
      <c r="Q735" s="2"/>
      <c r="R735" s="4"/>
      <c r="S735" s="2"/>
      <c r="T735" s="2"/>
      <c r="U735" s="1"/>
      <c r="V735" s="2"/>
      <c r="W735" s="2"/>
      <c r="X735" s="2"/>
      <c r="Y735" s="2"/>
      <c r="Z735" s="2"/>
    </row>
    <row r="736" spans="1:26" ht="15.75" customHeight="1" x14ac:dyDescent="0.2">
      <c r="A736" s="12"/>
      <c r="B736" s="10"/>
      <c r="C736" s="11"/>
      <c r="D736" s="13"/>
      <c r="E736" s="13"/>
      <c r="F736" s="13"/>
      <c r="G736" s="2"/>
      <c r="H736" s="2"/>
      <c r="I736" s="13"/>
      <c r="J736" s="13"/>
      <c r="K736" s="13"/>
      <c r="L736" s="14"/>
      <c r="M736" s="4"/>
      <c r="N736" s="2"/>
      <c r="O736" s="4"/>
      <c r="P736" s="2"/>
      <c r="Q736" s="2"/>
      <c r="R736" s="4"/>
      <c r="S736" s="2"/>
      <c r="T736" s="2"/>
      <c r="U736" s="1"/>
      <c r="V736" s="2"/>
      <c r="W736" s="2"/>
      <c r="X736" s="2"/>
      <c r="Y736" s="2"/>
      <c r="Z736" s="2"/>
    </row>
    <row r="737" spans="1:26" ht="15.75" customHeight="1" x14ac:dyDescent="0.2">
      <c r="A737" s="12"/>
      <c r="B737" s="10"/>
      <c r="C737" s="11"/>
      <c r="D737" s="13"/>
      <c r="E737" s="13"/>
      <c r="F737" s="13"/>
      <c r="G737" s="2"/>
      <c r="H737" s="2"/>
      <c r="I737" s="13"/>
      <c r="J737" s="13"/>
      <c r="K737" s="13"/>
      <c r="L737" s="14"/>
      <c r="M737" s="4"/>
      <c r="N737" s="2"/>
      <c r="O737" s="4"/>
      <c r="P737" s="2"/>
      <c r="Q737" s="2"/>
      <c r="R737" s="4"/>
      <c r="S737" s="2"/>
      <c r="T737" s="2"/>
      <c r="U737" s="1"/>
      <c r="V737" s="2"/>
      <c r="W737" s="2"/>
      <c r="X737" s="2"/>
      <c r="Y737" s="2"/>
      <c r="Z737" s="2"/>
    </row>
    <row r="738" spans="1:26" ht="15.75" customHeight="1" x14ac:dyDescent="0.2">
      <c r="A738" s="12"/>
      <c r="B738" s="10"/>
      <c r="C738" s="11"/>
      <c r="D738" s="13"/>
      <c r="E738" s="13"/>
      <c r="F738" s="13"/>
      <c r="G738" s="2"/>
      <c r="H738" s="2"/>
      <c r="I738" s="13"/>
      <c r="J738" s="13"/>
      <c r="K738" s="13"/>
      <c r="L738" s="14"/>
      <c r="M738" s="4"/>
      <c r="N738" s="2"/>
      <c r="O738" s="4"/>
      <c r="P738" s="2"/>
      <c r="Q738" s="2"/>
      <c r="R738" s="4"/>
      <c r="S738" s="2"/>
      <c r="T738" s="2"/>
      <c r="U738" s="1"/>
      <c r="V738" s="2"/>
      <c r="W738" s="2"/>
      <c r="X738" s="2"/>
      <c r="Y738" s="2"/>
      <c r="Z738" s="2"/>
    </row>
    <row r="739" spans="1:26" ht="15.75" customHeight="1" x14ac:dyDescent="0.2">
      <c r="A739" s="12"/>
      <c r="B739" s="10"/>
      <c r="C739" s="11"/>
      <c r="D739" s="13"/>
      <c r="E739" s="13"/>
      <c r="F739" s="13"/>
      <c r="G739" s="2"/>
      <c r="H739" s="2"/>
      <c r="I739" s="13"/>
      <c r="J739" s="13"/>
      <c r="K739" s="13"/>
      <c r="L739" s="14"/>
      <c r="M739" s="4"/>
      <c r="N739" s="2"/>
      <c r="O739" s="4"/>
      <c r="P739" s="2"/>
      <c r="Q739" s="2"/>
      <c r="R739" s="4"/>
      <c r="S739" s="2"/>
      <c r="T739" s="2"/>
      <c r="U739" s="1"/>
      <c r="V739" s="2"/>
      <c r="W739" s="2"/>
      <c r="X739" s="2"/>
      <c r="Y739" s="2"/>
      <c r="Z739" s="2"/>
    </row>
    <row r="740" spans="1:26" ht="15.75" customHeight="1" x14ac:dyDescent="0.2">
      <c r="A740" s="12"/>
      <c r="B740" s="10"/>
      <c r="C740" s="11"/>
      <c r="D740" s="13"/>
      <c r="E740" s="13"/>
      <c r="F740" s="13"/>
      <c r="G740" s="2"/>
      <c r="H740" s="2"/>
      <c r="I740" s="13"/>
      <c r="J740" s="13"/>
      <c r="K740" s="13"/>
      <c r="L740" s="14"/>
      <c r="M740" s="4"/>
      <c r="N740" s="2"/>
      <c r="O740" s="4"/>
      <c r="P740" s="2"/>
      <c r="Q740" s="2"/>
      <c r="R740" s="4"/>
      <c r="S740" s="2"/>
      <c r="T740" s="2"/>
      <c r="U740" s="1"/>
      <c r="V740" s="2"/>
      <c r="W740" s="2"/>
      <c r="X740" s="2"/>
      <c r="Y740" s="2"/>
      <c r="Z740" s="2"/>
    </row>
    <row r="741" spans="1:26" ht="15.75" customHeight="1" x14ac:dyDescent="0.2">
      <c r="A741" s="12"/>
      <c r="B741" s="10"/>
      <c r="C741" s="11"/>
      <c r="D741" s="13"/>
      <c r="E741" s="13"/>
      <c r="F741" s="13"/>
      <c r="G741" s="2"/>
      <c r="H741" s="2"/>
      <c r="I741" s="13"/>
      <c r="J741" s="13"/>
      <c r="K741" s="13"/>
      <c r="L741" s="14"/>
      <c r="M741" s="4"/>
      <c r="N741" s="2"/>
      <c r="O741" s="4"/>
      <c r="P741" s="2"/>
      <c r="Q741" s="2"/>
      <c r="R741" s="4"/>
      <c r="S741" s="2"/>
      <c r="T741" s="2"/>
      <c r="U741" s="1"/>
      <c r="V741" s="2"/>
      <c r="W741" s="2"/>
      <c r="X741" s="2"/>
      <c r="Y741" s="2"/>
      <c r="Z741" s="2"/>
    </row>
    <row r="742" spans="1:26" ht="15.75" customHeight="1" x14ac:dyDescent="0.2">
      <c r="A742" s="12"/>
      <c r="B742" s="10"/>
      <c r="C742" s="11"/>
      <c r="D742" s="13"/>
      <c r="E742" s="13"/>
      <c r="F742" s="13"/>
      <c r="G742" s="2"/>
      <c r="H742" s="2"/>
      <c r="I742" s="13"/>
      <c r="J742" s="13"/>
      <c r="K742" s="13"/>
      <c r="L742" s="14"/>
      <c r="M742" s="4"/>
      <c r="N742" s="2"/>
      <c r="O742" s="4"/>
      <c r="P742" s="2"/>
      <c r="Q742" s="2"/>
      <c r="R742" s="4"/>
      <c r="S742" s="2"/>
      <c r="T742" s="2"/>
      <c r="U742" s="1"/>
      <c r="V742" s="2"/>
      <c r="W742" s="2"/>
      <c r="X742" s="2"/>
      <c r="Y742" s="2"/>
      <c r="Z742" s="2"/>
    </row>
    <row r="743" spans="1:26" ht="15.75" customHeight="1" x14ac:dyDescent="0.2">
      <c r="A743" s="12"/>
      <c r="B743" s="10"/>
      <c r="C743" s="11"/>
      <c r="D743" s="13"/>
      <c r="E743" s="13"/>
      <c r="F743" s="13"/>
      <c r="G743" s="2"/>
      <c r="H743" s="2"/>
      <c r="I743" s="13"/>
      <c r="J743" s="13"/>
      <c r="K743" s="13"/>
      <c r="L743" s="14"/>
      <c r="M743" s="4"/>
      <c r="N743" s="2"/>
      <c r="O743" s="4"/>
      <c r="P743" s="2"/>
      <c r="Q743" s="2"/>
      <c r="R743" s="4"/>
      <c r="S743" s="2"/>
      <c r="T743" s="2"/>
      <c r="U743" s="1"/>
      <c r="V743" s="2"/>
      <c r="W743" s="2"/>
      <c r="X743" s="2"/>
      <c r="Y743" s="2"/>
      <c r="Z743" s="2"/>
    </row>
    <row r="744" spans="1:26" ht="15.75" customHeight="1" x14ac:dyDescent="0.2">
      <c r="A744" s="12"/>
      <c r="B744" s="10"/>
      <c r="C744" s="11"/>
      <c r="D744" s="13"/>
      <c r="E744" s="13"/>
      <c r="F744" s="13"/>
      <c r="G744" s="2"/>
      <c r="H744" s="2"/>
      <c r="I744" s="13"/>
      <c r="J744" s="13"/>
      <c r="K744" s="13"/>
      <c r="L744" s="14"/>
      <c r="M744" s="4"/>
      <c r="N744" s="2"/>
      <c r="O744" s="4"/>
      <c r="P744" s="2"/>
      <c r="Q744" s="2"/>
      <c r="R744" s="4"/>
      <c r="S744" s="2"/>
      <c r="T744" s="2"/>
      <c r="U744" s="1"/>
      <c r="V744" s="2"/>
      <c r="W744" s="2"/>
      <c r="X744" s="2"/>
      <c r="Y744" s="2"/>
      <c r="Z744" s="2"/>
    </row>
    <row r="745" spans="1:26" ht="15.75" customHeight="1" x14ac:dyDescent="0.2">
      <c r="A745" s="12"/>
      <c r="B745" s="10"/>
      <c r="C745" s="11"/>
      <c r="D745" s="13"/>
      <c r="E745" s="13"/>
      <c r="F745" s="13"/>
      <c r="G745" s="2"/>
      <c r="H745" s="2"/>
      <c r="I745" s="13"/>
      <c r="J745" s="13"/>
      <c r="K745" s="13"/>
      <c r="L745" s="14"/>
      <c r="M745" s="4"/>
      <c r="N745" s="2"/>
      <c r="O745" s="4"/>
      <c r="P745" s="2"/>
      <c r="Q745" s="2"/>
      <c r="R745" s="4"/>
      <c r="S745" s="2"/>
      <c r="T745" s="2"/>
      <c r="U745" s="1"/>
      <c r="V745" s="2"/>
      <c r="W745" s="2"/>
      <c r="X745" s="2"/>
      <c r="Y745" s="2"/>
      <c r="Z745" s="2"/>
    </row>
    <row r="746" spans="1:26" ht="15.75" customHeight="1" x14ac:dyDescent="0.2">
      <c r="A746" s="12"/>
      <c r="B746" s="10"/>
      <c r="C746" s="11"/>
      <c r="D746" s="13"/>
      <c r="E746" s="13"/>
      <c r="F746" s="13"/>
      <c r="G746" s="2"/>
      <c r="H746" s="2"/>
      <c r="I746" s="13"/>
      <c r="J746" s="13"/>
      <c r="K746" s="13"/>
      <c r="L746" s="14"/>
      <c r="M746" s="4"/>
      <c r="N746" s="2"/>
      <c r="O746" s="4"/>
      <c r="P746" s="2"/>
      <c r="Q746" s="2"/>
      <c r="R746" s="4"/>
      <c r="S746" s="2"/>
      <c r="T746" s="2"/>
      <c r="U746" s="1"/>
      <c r="V746" s="2"/>
      <c r="W746" s="2"/>
      <c r="X746" s="2"/>
      <c r="Y746" s="2"/>
      <c r="Z746" s="2"/>
    </row>
    <row r="747" spans="1:26" ht="15.75" customHeight="1" x14ac:dyDescent="0.2">
      <c r="A747" s="12"/>
      <c r="B747" s="10"/>
      <c r="C747" s="11"/>
      <c r="D747" s="13"/>
      <c r="E747" s="13"/>
      <c r="F747" s="13"/>
      <c r="G747" s="2"/>
      <c r="H747" s="2"/>
      <c r="I747" s="13"/>
      <c r="J747" s="13"/>
      <c r="K747" s="13"/>
      <c r="L747" s="14"/>
      <c r="M747" s="4"/>
      <c r="N747" s="2"/>
      <c r="O747" s="4"/>
      <c r="P747" s="2"/>
      <c r="Q747" s="2"/>
      <c r="R747" s="4"/>
      <c r="S747" s="2"/>
      <c r="T747" s="2"/>
      <c r="U747" s="1"/>
      <c r="V747" s="2"/>
      <c r="W747" s="2"/>
      <c r="X747" s="2"/>
      <c r="Y747" s="2"/>
      <c r="Z747" s="2"/>
    </row>
    <row r="748" spans="1:26" ht="15.75" customHeight="1" x14ac:dyDescent="0.2">
      <c r="A748" s="12"/>
      <c r="B748" s="10"/>
      <c r="C748" s="11"/>
      <c r="D748" s="13"/>
      <c r="E748" s="13"/>
      <c r="F748" s="13"/>
      <c r="G748" s="2"/>
      <c r="H748" s="2"/>
      <c r="I748" s="13"/>
      <c r="J748" s="13"/>
      <c r="K748" s="13"/>
      <c r="L748" s="14"/>
      <c r="M748" s="4"/>
      <c r="N748" s="2"/>
      <c r="O748" s="4"/>
      <c r="P748" s="2"/>
      <c r="Q748" s="2"/>
      <c r="R748" s="4"/>
      <c r="S748" s="2"/>
      <c r="T748" s="2"/>
      <c r="U748" s="1"/>
      <c r="V748" s="2"/>
      <c r="W748" s="2"/>
      <c r="X748" s="2"/>
      <c r="Y748" s="2"/>
      <c r="Z748" s="2"/>
    </row>
    <row r="749" spans="1:26" ht="15.75" customHeight="1" x14ac:dyDescent="0.2">
      <c r="A749" s="12"/>
      <c r="B749" s="10"/>
      <c r="C749" s="11"/>
      <c r="D749" s="13"/>
      <c r="E749" s="13"/>
      <c r="F749" s="13"/>
      <c r="G749" s="2"/>
      <c r="H749" s="2"/>
      <c r="I749" s="13"/>
      <c r="J749" s="13"/>
      <c r="K749" s="13"/>
      <c r="L749" s="14"/>
      <c r="M749" s="4"/>
      <c r="N749" s="2"/>
      <c r="O749" s="4"/>
      <c r="P749" s="2"/>
      <c r="Q749" s="2"/>
      <c r="R749" s="4"/>
      <c r="S749" s="2"/>
      <c r="T749" s="2"/>
      <c r="U749" s="1"/>
      <c r="V749" s="2"/>
      <c r="W749" s="2"/>
      <c r="X749" s="2"/>
      <c r="Y749" s="2"/>
      <c r="Z749" s="2"/>
    </row>
    <row r="750" spans="1:26" ht="15.75" customHeight="1" x14ac:dyDescent="0.2">
      <c r="A750" s="12"/>
      <c r="B750" s="10"/>
      <c r="C750" s="11"/>
      <c r="D750" s="13"/>
      <c r="E750" s="13"/>
      <c r="F750" s="13"/>
      <c r="G750" s="2"/>
      <c r="H750" s="2"/>
      <c r="I750" s="13"/>
      <c r="J750" s="13"/>
      <c r="K750" s="13"/>
      <c r="L750" s="14"/>
      <c r="M750" s="4"/>
      <c r="N750" s="2"/>
      <c r="O750" s="4"/>
      <c r="P750" s="2"/>
      <c r="Q750" s="2"/>
      <c r="R750" s="4"/>
      <c r="S750" s="2"/>
      <c r="T750" s="2"/>
      <c r="U750" s="1"/>
      <c r="V750" s="2"/>
      <c r="W750" s="2"/>
      <c r="X750" s="2"/>
      <c r="Y750" s="2"/>
      <c r="Z750" s="2"/>
    </row>
    <row r="751" spans="1:26" ht="15.75" customHeight="1" x14ac:dyDescent="0.2">
      <c r="A751" s="12"/>
      <c r="B751" s="10"/>
      <c r="C751" s="11"/>
      <c r="D751" s="13"/>
      <c r="E751" s="13"/>
      <c r="F751" s="13"/>
      <c r="G751" s="2"/>
      <c r="H751" s="2"/>
      <c r="I751" s="13"/>
      <c r="J751" s="13"/>
      <c r="K751" s="13"/>
      <c r="L751" s="14"/>
      <c r="M751" s="4"/>
      <c r="N751" s="2"/>
      <c r="O751" s="4"/>
      <c r="P751" s="2"/>
      <c r="Q751" s="2"/>
      <c r="R751" s="4"/>
      <c r="S751" s="2"/>
      <c r="T751" s="2"/>
      <c r="U751" s="1"/>
      <c r="V751" s="2"/>
      <c r="W751" s="2"/>
      <c r="X751" s="2"/>
      <c r="Y751" s="2"/>
      <c r="Z751" s="2"/>
    </row>
    <row r="752" spans="1:26" ht="15.75" customHeight="1" x14ac:dyDescent="0.2">
      <c r="A752" s="12"/>
      <c r="B752" s="10"/>
      <c r="C752" s="11"/>
      <c r="D752" s="13"/>
      <c r="E752" s="13"/>
      <c r="F752" s="13"/>
      <c r="G752" s="2"/>
      <c r="H752" s="2"/>
      <c r="I752" s="13"/>
      <c r="J752" s="13"/>
      <c r="K752" s="13"/>
      <c r="L752" s="14"/>
      <c r="M752" s="4"/>
      <c r="N752" s="2"/>
      <c r="O752" s="4"/>
      <c r="P752" s="2"/>
      <c r="Q752" s="2"/>
      <c r="R752" s="4"/>
      <c r="S752" s="2"/>
      <c r="T752" s="2"/>
      <c r="U752" s="1"/>
      <c r="V752" s="2"/>
      <c r="W752" s="2"/>
      <c r="X752" s="2"/>
      <c r="Y752" s="2"/>
      <c r="Z752" s="2"/>
    </row>
    <row r="753" spans="1:26" ht="15.75" customHeight="1" x14ac:dyDescent="0.2">
      <c r="A753" s="12"/>
      <c r="B753" s="10"/>
      <c r="C753" s="11"/>
      <c r="D753" s="13"/>
      <c r="E753" s="13"/>
      <c r="F753" s="13"/>
      <c r="G753" s="2"/>
      <c r="H753" s="2"/>
      <c r="I753" s="13"/>
      <c r="J753" s="13"/>
      <c r="K753" s="13"/>
      <c r="L753" s="14"/>
      <c r="M753" s="4"/>
      <c r="N753" s="2"/>
      <c r="O753" s="4"/>
      <c r="P753" s="2"/>
      <c r="Q753" s="2"/>
      <c r="R753" s="4"/>
      <c r="S753" s="2"/>
      <c r="T753" s="2"/>
      <c r="U753" s="1"/>
      <c r="V753" s="2"/>
      <c r="W753" s="2"/>
      <c r="X753" s="2"/>
      <c r="Y753" s="2"/>
      <c r="Z753" s="2"/>
    </row>
    <row r="754" spans="1:26" ht="15.75" customHeight="1" x14ac:dyDescent="0.2">
      <c r="A754" s="12"/>
      <c r="B754" s="10"/>
      <c r="C754" s="11"/>
      <c r="D754" s="13"/>
      <c r="E754" s="13"/>
      <c r="F754" s="13"/>
      <c r="G754" s="2"/>
      <c r="H754" s="2"/>
      <c r="I754" s="13"/>
      <c r="J754" s="13"/>
      <c r="K754" s="13"/>
      <c r="L754" s="14"/>
      <c r="M754" s="4"/>
      <c r="N754" s="2"/>
      <c r="O754" s="4"/>
      <c r="P754" s="2"/>
      <c r="Q754" s="2"/>
      <c r="R754" s="4"/>
      <c r="S754" s="2"/>
      <c r="T754" s="2"/>
      <c r="U754" s="1"/>
      <c r="V754" s="2"/>
      <c r="W754" s="2"/>
      <c r="X754" s="2"/>
      <c r="Y754" s="2"/>
      <c r="Z754" s="2"/>
    </row>
    <row r="755" spans="1:26" ht="15.75" customHeight="1" x14ac:dyDescent="0.2">
      <c r="A755" s="12"/>
      <c r="B755" s="10"/>
      <c r="C755" s="11"/>
      <c r="D755" s="13"/>
      <c r="E755" s="13"/>
      <c r="F755" s="13"/>
      <c r="G755" s="2"/>
      <c r="H755" s="2"/>
      <c r="I755" s="13"/>
      <c r="J755" s="13"/>
      <c r="K755" s="13"/>
      <c r="L755" s="14"/>
      <c r="M755" s="4"/>
      <c r="N755" s="2"/>
      <c r="O755" s="4"/>
      <c r="P755" s="2"/>
      <c r="Q755" s="2"/>
      <c r="R755" s="4"/>
      <c r="S755" s="2"/>
      <c r="T755" s="2"/>
      <c r="U755" s="1"/>
      <c r="V755" s="2"/>
      <c r="W755" s="2"/>
      <c r="X755" s="2"/>
      <c r="Y755" s="2"/>
      <c r="Z755" s="2"/>
    </row>
    <row r="756" spans="1:26" ht="15.75" customHeight="1" x14ac:dyDescent="0.2">
      <c r="A756" s="12"/>
      <c r="B756" s="10"/>
      <c r="C756" s="11"/>
      <c r="D756" s="13"/>
      <c r="E756" s="13"/>
      <c r="F756" s="13"/>
      <c r="G756" s="2"/>
      <c r="H756" s="2"/>
      <c r="I756" s="13"/>
      <c r="J756" s="13"/>
      <c r="K756" s="13"/>
      <c r="L756" s="14"/>
      <c r="M756" s="4"/>
      <c r="N756" s="2"/>
      <c r="O756" s="4"/>
      <c r="P756" s="2"/>
      <c r="Q756" s="2"/>
      <c r="R756" s="4"/>
      <c r="S756" s="2"/>
      <c r="T756" s="2"/>
      <c r="U756" s="1"/>
      <c r="V756" s="2"/>
      <c r="W756" s="2"/>
      <c r="X756" s="2"/>
      <c r="Y756" s="2"/>
      <c r="Z756" s="2"/>
    </row>
    <row r="757" spans="1:26" ht="15.75" customHeight="1" x14ac:dyDescent="0.2">
      <c r="A757" s="12"/>
      <c r="B757" s="10"/>
      <c r="C757" s="11"/>
      <c r="D757" s="13"/>
      <c r="E757" s="13"/>
      <c r="F757" s="13"/>
      <c r="G757" s="2"/>
      <c r="H757" s="2"/>
      <c r="I757" s="13"/>
      <c r="J757" s="13"/>
      <c r="K757" s="13"/>
      <c r="L757" s="14"/>
      <c r="M757" s="4"/>
      <c r="N757" s="2"/>
      <c r="O757" s="4"/>
      <c r="P757" s="2"/>
      <c r="Q757" s="2"/>
      <c r="R757" s="4"/>
      <c r="S757" s="2"/>
      <c r="T757" s="2"/>
      <c r="U757" s="1"/>
      <c r="V757" s="2"/>
      <c r="W757" s="2"/>
      <c r="X757" s="2"/>
      <c r="Y757" s="2"/>
      <c r="Z757" s="2"/>
    </row>
    <row r="758" spans="1:26" ht="15.75" customHeight="1" x14ac:dyDescent="0.2">
      <c r="A758" s="12"/>
      <c r="B758" s="10"/>
      <c r="C758" s="11"/>
      <c r="D758" s="13"/>
      <c r="E758" s="13"/>
      <c r="F758" s="13"/>
      <c r="G758" s="2"/>
      <c r="H758" s="2"/>
      <c r="I758" s="13"/>
      <c r="J758" s="13"/>
      <c r="K758" s="13"/>
      <c r="L758" s="14"/>
      <c r="M758" s="4"/>
      <c r="N758" s="2"/>
      <c r="O758" s="4"/>
      <c r="P758" s="2"/>
      <c r="Q758" s="2"/>
      <c r="R758" s="4"/>
      <c r="S758" s="2"/>
      <c r="T758" s="2"/>
      <c r="U758" s="1"/>
      <c r="V758" s="2"/>
      <c r="W758" s="2"/>
      <c r="X758" s="2"/>
      <c r="Y758" s="2"/>
      <c r="Z758" s="2"/>
    </row>
    <row r="759" spans="1:26" ht="15.75" customHeight="1" x14ac:dyDescent="0.2">
      <c r="A759" s="12"/>
      <c r="B759" s="10"/>
      <c r="C759" s="11"/>
      <c r="D759" s="13"/>
      <c r="E759" s="13"/>
      <c r="F759" s="13"/>
      <c r="G759" s="2"/>
      <c r="H759" s="2"/>
      <c r="I759" s="13"/>
      <c r="J759" s="13"/>
      <c r="K759" s="13"/>
      <c r="L759" s="14"/>
      <c r="M759" s="4"/>
      <c r="N759" s="2"/>
      <c r="O759" s="4"/>
      <c r="P759" s="2"/>
      <c r="Q759" s="2"/>
      <c r="R759" s="4"/>
      <c r="S759" s="2"/>
      <c r="T759" s="2"/>
      <c r="U759" s="1"/>
      <c r="V759" s="2"/>
      <c r="W759" s="2"/>
      <c r="X759" s="2"/>
      <c r="Y759" s="2"/>
      <c r="Z759" s="2"/>
    </row>
    <row r="760" spans="1:26" ht="15.75" customHeight="1" x14ac:dyDescent="0.2">
      <c r="A760" s="12"/>
      <c r="B760" s="10"/>
      <c r="C760" s="11"/>
      <c r="D760" s="13"/>
      <c r="E760" s="13"/>
      <c r="F760" s="13"/>
      <c r="G760" s="2"/>
      <c r="H760" s="2"/>
      <c r="I760" s="13"/>
      <c r="J760" s="13"/>
      <c r="K760" s="13"/>
      <c r="L760" s="14"/>
      <c r="M760" s="4"/>
      <c r="N760" s="2"/>
      <c r="O760" s="4"/>
      <c r="P760" s="2"/>
      <c r="Q760" s="2"/>
      <c r="R760" s="4"/>
      <c r="S760" s="2"/>
      <c r="T760" s="2"/>
      <c r="U760" s="1"/>
      <c r="V760" s="2"/>
      <c r="W760" s="2"/>
      <c r="X760" s="2"/>
      <c r="Y760" s="2"/>
      <c r="Z760" s="2"/>
    </row>
    <row r="761" spans="1:26" ht="15.75" customHeight="1" x14ac:dyDescent="0.2">
      <c r="A761" s="12"/>
      <c r="B761" s="10"/>
      <c r="C761" s="11"/>
      <c r="D761" s="13"/>
      <c r="E761" s="13"/>
      <c r="F761" s="13"/>
      <c r="G761" s="2"/>
      <c r="H761" s="2"/>
      <c r="I761" s="13"/>
      <c r="J761" s="13"/>
      <c r="K761" s="13"/>
      <c r="L761" s="14"/>
      <c r="M761" s="4"/>
      <c r="N761" s="2"/>
      <c r="O761" s="4"/>
      <c r="P761" s="2"/>
      <c r="Q761" s="2"/>
      <c r="R761" s="4"/>
      <c r="S761" s="2"/>
      <c r="T761" s="2"/>
      <c r="U761" s="1"/>
      <c r="V761" s="2"/>
      <c r="W761" s="2"/>
      <c r="X761" s="2"/>
      <c r="Y761" s="2"/>
      <c r="Z761" s="2"/>
    </row>
    <row r="762" spans="1:26" ht="15.75" customHeight="1" x14ac:dyDescent="0.2">
      <c r="A762" s="12"/>
      <c r="B762" s="10"/>
      <c r="C762" s="11"/>
      <c r="D762" s="13"/>
      <c r="E762" s="13"/>
      <c r="F762" s="13"/>
      <c r="G762" s="2"/>
      <c r="H762" s="2"/>
      <c r="I762" s="13"/>
      <c r="J762" s="13"/>
      <c r="K762" s="13"/>
      <c r="L762" s="14"/>
      <c r="M762" s="4"/>
      <c r="N762" s="2"/>
      <c r="O762" s="4"/>
      <c r="P762" s="2"/>
      <c r="Q762" s="2"/>
      <c r="R762" s="4"/>
      <c r="S762" s="2"/>
      <c r="T762" s="2"/>
      <c r="U762" s="1"/>
      <c r="V762" s="2"/>
      <c r="W762" s="2"/>
      <c r="X762" s="2"/>
      <c r="Y762" s="2"/>
      <c r="Z762" s="2"/>
    </row>
    <row r="763" spans="1:26" ht="15.75" customHeight="1" x14ac:dyDescent="0.2">
      <c r="A763" s="12"/>
      <c r="B763" s="10"/>
      <c r="C763" s="11"/>
      <c r="D763" s="13"/>
      <c r="E763" s="13"/>
      <c r="F763" s="13"/>
      <c r="G763" s="2"/>
      <c r="H763" s="2"/>
      <c r="I763" s="13"/>
      <c r="J763" s="13"/>
      <c r="K763" s="13"/>
      <c r="L763" s="14"/>
      <c r="M763" s="4"/>
      <c r="N763" s="2"/>
      <c r="O763" s="4"/>
      <c r="P763" s="2"/>
      <c r="Q763" s="2"/>
      <c r="R763" s="4"/>
      <c r="S763" s="2"/>
      <c r="T763" s="2"/>
      <c r="U763" s="1"/>
      <c r="V763" s="2"/>
      <c r="W763" s="2"/>
      <c r="X763" s="2"/>
      <c r="Y763" s="2"/>
      <c r="Z763" s="2"/>
    </row>
    <row r="764" spans="1:26" ht="15.75" customHeight="1" x14ac:dyDescent="0.2">
      <c r="A764" s="12"/>
      <c r="B764" s="10"/>
      <c r="C764" s="11"/>
      <c r="D764" s="13"/>
      <c r="E764" s="13"/>
      <c r="F764" s="13"/>
      <c r="G764" s="2"/>
      <c r="H764" s="2"/>
      <c r="I764" s="13"/>
      <c r="J764" s="13"/>
      <c r="K764" s="13"/>
      <c r="L764" s="14"/>
      <c r="M764" s="4"/>
      <c r="N764" s="2"/>
      <c r="O764" s="4"/>
      <c r="P764" s="2"/>
      <c r="Q764" s="2"/>
      <c r="R764" s="4"/>
      <c r="S764" s="2"/>
      <c r="T764" s="2"/>
      <c r="U764" s="1"/>
      <c r="V764" s="2"/>
      <c r="W764" s="2"/>
      <c r="X764" s="2"/>
      <c r="Y764" s="2"/>
      <c r="Z764" s="2"/>
    </row>
    <row r="765" spans="1:26" ht="15.75" customHeight="1" x14ac:dyDescent="0.2">
      <c r="A765" s="12"/>
      <c r="B765" s="10"/>
      <c r="C765" s="11"/>
      <c r="D765" s="13"/>
      <c r="E765" s="13"/>
      <c r="F765" s="13"/>
      <c r="G765" s="2"/>
      <c r="H765" s="2"/>
      <c r="I765" s="13"/>
      <c r="J765" s="13"/>
      <c r="K765" s="13"/>
      <c r="L765" s="14"/>
      <c r="M765" s="4"/>
      <c r="N765" s="2"/>
      <c r="O765" s="4"/>
      <c r="P765" s="2"/>
      <c r="Q765" s="2"/>
      <c r="R765" s="4"/>
      <c r="S765" s="2"/>
      <c r="T765" s="2"/>
      <c r="U765" s="1"/>
      <c r="V765" s="2"/>
      <c r="W765" s="2"/>
      <c r="X765" s="2"/>
      <c r="Y765" s="2"/>
      <c r="Z765" s="2"/>
    </row>
    <row r="766" spans="1:26" ht="15.75" customHeight="1" x14ac:dyDescent="0.2">
      <c r="A766" s="12"/>
      <c r="B766" s="10"/>
      <c r="C766" s="11"/>
      <c r="D766" s="13"/>
      <c r="E766" s="13"/>
      <c r="F766" s="13"/>
      <c r="G766" s="2"/>
      <c r="H766" s="2"/>
      <c r="I766" s="13"/>
      <c r="J766" s="13"/>
      <c r="K766" s="13"/>
      <c r="L766" s="14"/>
      <c r="M766" s="4"/>
      <c r="N766" s="2"/>
      <c r="O766" s="4"/>
      <c r="P766" s="2"/>
      <c r="Q766" s="2"/>
      <c r="R766" s="4"/>
      <c r="S766" s="2"/>
      <c r="T766" s="2"/>
      <c r="U766" s="1"/>
      <c r="V766" s="2"/>
      <c r="W766" s="2"/>
      <c r="X766" s="2"/>
      <c r="Y766" s="2"/>
      <c r="Z766" s="2"/>
    </row>
    <row r="767" spans="1:26" ht="15.75" customHeight="1" x14ac:dyDescent="0.2">
      <c r="A767" s="12"/>
      <c r="B767" s="10"/>
      <c r="C767" s="11"/>
      <c r="D767" s="13"/>
      <c r="E767" s="13"/>
      <c r="F767" s="13"/>
      <c r="G767" s="2"/>
      <c r="H767" s="2"/>
      <c r="I767" s="13"/>
      <c r="J767" s="13"/>
      <c r="K767" s="13"/>
      <c r="L767" s="14"/>
      <c r="M767" s="4"/>
      <c r="N767" s="2"/>
      <c r="O767" s="4"/>
      <c r="P767" s="2"/>
      <c r="Q767" s="2"/>
      <c r="R767" s="4"/>
      <c r="S767" s="2"/>
      <c r="T767" s="2"/>
      <c r="U767" s="1"/>
      <c r="V767" s="2"/>
      <c r="W767" s="2"/>
      <c r="X767" s="2"/>
      <c r="Y767" s="2"/>
      <c r="Z767" s="2"/>
    </row>
    <row r="768" spans="1:26" ht="15.75" customHeight="1" x14ac:dyDescent="0.2">
      <c r="A768" s="12"/>
      <c r="B768" s="10"/>
      <c r="C768" s="11"/>
      <c r="D768" s="13"/>
      <c r="E768" s="13"/>
      <c r="F768" s="13"/>
      <c r="G768" s="2"/>
      <c r="H768" s="2"/>
      <c r="I768" s="13"/>
      <c r="J768" s="13"/>
      <c r="K768" s="13"/>
      <c r="L768" s="14"/>
      <c r="M768" s="4"/>
      <c r="N768" s="2"/>
      <c r="O768" s="4"/>
      <c r="P768" s="2"/>
      <c r="Q768" s="2"/>
      <c r="R768" s="4"/>
      <c r="S768" s="2"/>
      <c r="T768" s="2"/>
      <c r="U768" s="1"/>
      <c r="V768" s="2"/>
      <c r="W768" s="2"/>
      <c r="X768" s="2"/>
      <c r="Y768" s="2"/>
      <c r="Z768" s="2"/>
    </row>
    <row r="769" spans="1:26" ht="15.75" customHeight="1" x14ac:dyDescent="0.2">
      <c r="A769" s="12"/>
      <c r="B769" s="10"/>
      <c r="C769" s="11"/>
      <c r="D769" s="13"/>
      <c r="E769" s="13"/>
      <c r="F769" s="13"/>
      <c r="G769" s="2"/>
      <c r="H769" s="2"/>
      <c r="I769" s="13"/>
      <c r="J769" s="13"/>
      <c r="K769" s="13"/>
      <c r="L769" s="14"/>
      <c r="M769" s="4"/>
      <c r="N769" s="2"/>
      <c r="O769" s="4"/>
      <c r="P769" s="2"/>
      <c r="Q769" s="2"/>
      <c r="R769" s="4"/>
      <c r="S769" s="2"/>
      <c r="T769" s="2"/>
      <c r="U769" s="1"/>
      <c r="V769" s="2"/>
      <c r="W769" s="2"/>
      <c r="X769" s="2"/>
      <c r="Y769" s="2"/>
      <c r="Z769" s="2"/>
    </row>
    <row r="770" spans="1:26" ht="15.75" customHeight="1" x14ac:dyDescent="0.2">
      <c r="A770" s="12"/>
      <c r="B770" s="10"/>
      <c r="C770" s="11"/>
      <c r="D770" s="13"/>
      <c r="E770" s="13"/>
      <c r="F770" s="13"/>
      <c r="G770" s="2"/>
      <c r="H770" s="2"/>
      <c r="I770" s="13"/>
      <c r="J770" s="13"/>
      <c r="K770" s="13"/>
      <c r="L770" s="14"/>
      <c r="M770" s="4"/>
      <c r="N770" s="2"/>
      <c r="O770" s="4"/>
      <c r="P770" s="2"/>
      <c r="Q770" s="2"/>
      <c r="R770" s="4"/>
      <c r="S770" s="2"/>
      <c r="T770" s="2"/>
      <c r="U770" s="1"/>
      <c r="V770" s="2"/>
      <c r="W770" s="2"/>
      <c r="X770" s="2"/>
      <c r="Y770" s="2"/>
      <c r="Z770" s="2"/>
    </row>
    <row r="771" spans="1:26" ht="15.75" customHeight="1" x14ac:dyDescent="0.2">
      <c r="A771" s="12"/>
      <c r="B771" s="10"/>
      <c r="C771" s="11"/>
      <c r="D771" s="13"/>
      <c r="E771" s="13"/>
      <c r="F771" s="13"/>
      <c r="G771" s="2"/>
      <c r="H771" s="2"/>
      <c r="I771" s="13"/>
      <c r="J771" s="13"/>
      <c r="K771" s="13"/>
      <c r="L771" s="14"/>
      <c r="M771" s="4"/>
      <c r="N771" s="2"/>
      <c r="O771" s="4"/>
      <c r="P771" s="2"/>
      <c r="Q771" s="2"/>
      <c r="R771" s="4"/>
      <c r="S771" s="2"/>
      <c r="T771" s="2"/>
      <c r="U771" s="1"/>
      <c r="V771" s="2"/>
      <c r="W771" s="2"/>
      <c r="X771" s="2"/>
      <c r="Y771" s="2"/>
      <c r="Z771" s="2"/>
    </row>
    <row r="772" spans="1:26" ht="15.75" customHeight="1" x14ac:dyDescent="0.2">
      <c r="A772" s="12"/>
      <c r="B772" s="10"/>
      <c r="C772" s="11"/>
      <c r="D772" s="13"/>
      <c r="E772" s="13"/>
      <c r="F772" s="13"/>
      <c r="G772" s="2"/>
      <c r="H772" s="2"/>
      <c r="I772" s="13"/>
      <c r="J772" s="13"/>
      <c r="K772" s="13"/>
      <c r="L772" s="14"/>
      <c r="M772" s="4"/>
      <c r="N772" s="2"/>
      <c r="O772" s="4"/>
      <c r="P772" s="2"/>
      <c r="Q772" s="2"/>
      <c r="R772" s="4"/>
      <c r="S772" s="2"/>
      <c r="T772" s="2"/>
      <c r="U772" s="1"/>
      <c r="V772" s="2"/>
      <c r="W772" s="2"/>
      <c r="X772" s="2"/>
      <c r="Y772" s="2"/>
      <c r="Z772" s="2"/>
    </row>
    <row r="773" spans="1:26" ht="15.75" customHeight="1" x14ac:dyDescent="0.2">
      <c r="A773" s="12"/>
      <c r="B773" s="10"/>
      <c r="C773" s="11"/>
      <c r="D773" s="13"/>
      <c r="E773" s="13"/>
      <c r="F773" s="13"/>
      <c r="G773" s="2"/>
      <c r="H773" s="2"/>
      <c r="I773" s="13"/>
      <c r="J773" s="13"/>
      <c r="K773" s="13"/>
      <c r="L773" s="14"/>
      <c r="M773" s="4"/>
      <c r="N773" s="2"/>
      <c r="O773" s="4"/>
      <c r="P773" s="2"/>
      <c r="Q773" s="2"/>
      <c r="R773" s="4"/>
      <c r="S773" s="2"/>
      <c r="T773" s="2"/>
      <c r="U773" s="1"/>
      <c r="V773" s="2"/>
      <c r="W773" s="2"/>
      <c r="X773" s="2"/>
      <c r="Y773" s="2"/>
      <c r="Z773" s="2"/>
    </row>
    <row r="774" spans="1:26" ht="15.75" customHeight="1" x14ac:dyDescent="0.2">
      <c r="A774" s="12"/>
      <c r="B774" s="10"/>
      <c r="C774" s="11"/>
      <c r="D774" s="13"/>
      <c r="E774" s="13"/>
      <c r="F774" s="13"/>
      <c r="G774" s="2"/>
      <c r="H774" s="2"/>
      <c r="I774" s="13"/>
      <c r="J774" s="13"/>
      <c r="K774" s="13"/>
      <c r="L774" s="14"/>
      <c r="M774" s="4"/>
      <c r="N774" s="2"/>
      <c r="O774" s="4"/>
      <c r="P774" s="2"/>
      <c r="Q774" s="2"/>
      <c r="R774" s="4"/>
      <c r="S774" s="2"/>
      <c r="T774" s="2"/>
      <c r="U774" s="1"/>
      <c r="V774" s="2"/>
      <c r="W774" s="2"/>
      <c r="X774" s="2"/>
      <c r="Y774" s="2"/>
      <c r="Z774" s="2"/>
    </row>
    <row r="775" spans="1:26" ht="15.75" customHeight="1" x14ac:dyDescent="0.2">
      <c r="A775" s="12"/>
      <c r="B775" s="10"/>
      <c r="C775" s="11"/>
      <c r="D775" s="13"/>
      <c r="E775" s="13"/>
      <c r="F775" s="13"/>
      <c r="G775" s="2"/>
      <c r="H775" s="2"/>
      <c r="I775" s="13"/>
      <c r="J775" s="13"/>
      <c r="K775" s="13"/>
      <c r="L775" s="14"/>
      <c r="M775" s="4"/>
      <c r="N775" s="2"/>
      <c r="O775" s="4"/>
      <c r="P775" s="2"/>
      <c r="Q775" s="2"/>
      <c r="R775" s="4"/>
      <c r="S775" s="2"/>
      <c r="T775" s="2"/>
      <c r="U775" s="1"/>
      <c r="V775" s="2"/>
      <c r="W775" s="2"/>
      <c r="X775" s="2"/>
      <c r="Y775" s="2"/>
      <c r="Z775" s="2"/>
    </row>
    <row r="776" spans="1:26" ht="15.75" customHeight="1" x14ac:dyDescent="0.2">
      <c r="A776" s="12"/>
      <c r="B776" s="10"/>
      <c r="C776" s="11"/>
      <c r="D776" s="13"/>
      <c r="E776" s="13"/>
      <c r="F776" s="13"/>
      <c r="G776" s="2"/>
      <c r="H776" s="2"/>
      <c r="I776" s="13"/>
      <c r="J776" s="13"/>
      <c r="K776" s="13"/>
      <c r="L776" s="14"/>
      <c r="M776" s="4"/>
      <c r="N776" s="2"/>
      <c r="O776" s="4"/>
      <c r="P776" s="2"/>
      <c r="Q776" s="2"/>
      <c r="R776" s="4"/>
      <c r="S776" s="2"/>
      <c r="T776" s="2"/>
      <c r="U776" s="1"/>
      <c r="V776" s="2"/>
      <c r="W776" s="2"/>
      <c r="X776" s="2"/>
      <c r="Y776" s="2"/>
      <c r="Z776" s="2"/>
    </row>
    <row r="777" spans="1:26" ht="15.75" customHeight="1" x14ac:dyDescent="0.2">
      <c r="A777" s="12"/>
      <c r="B777" s="10"/>
      <c r="C777" s="11"/>
      <c r="D777" s="13"/>
      <c r="E777" s="13"/>
      <c r="F777" s="13"/>
      <c r="G777" s="2"/>
      <c r="H777" s="2"/>
      <c r="I777" s="13"/>
      <c r="J777" s="13"/>
      <c r="K777" s="13"/>
      <c r="L777" s="14"/>
      <c r="M777" s="4"/>
      <c r="N777" s="2"/>
      <c r="O777" s="4"/>
      <c r="P777" s="2"/>
      <c r="Q777" s="2"/>
      <c r="R777" s="4"/>
      <c r="S777" s="2"/>
      <c r="T777" s="2"/>
      <c r="U777" s="1"/>
      <c r="V777" s="2"/>
      <c r="W777" s="2"/>
      <c r="X777" s="2"/>
      <c r="Y777" s="2"/>
      <c r="Z777" s="2"/>
    </row>
    <row r="778" spans="1:26" ht="15.75" customHeight="1" x14ac:dyDescent="0.2">
      <c r="A778" s="12"/>
      <c r="B778" s="10"/>
      <c r="C778" s="11"/>
      <c r="D778" s="13"/>
      <c r="E778" s="13"/>
      <c r="F778" s="13"/>
      <c r="G778" s="2"/>
      <c r="H778" s="2"/>
      <c r="I778" s="13"/>
      <c r="J778" s="13"/>
      <c r="K778" s="13"/>
      <c r="L778" s="14"/>
      <c r="M778" s="4"/>
      <c r="N778" s="2"/>
      <c r="O778" s="4"/>
      <c r="P778" s="2"/>
      <c r="Q778" s="2"/>
      <c r="R778" s="4"/>
      <c r="S778" s="2"/>
      <c r="T778" s="2"/>
      <c r="U778" s="1"/>
      <c r="V778" s="2"/>
      <c r="W778" s="2"/>
      <c r="X778" s="2"/>
      <c r="Y778" s="2"/>
      <c r="Z778" s="2"/>
    </row>
    <row r="779" spans="1:26" ht="15.75" customHeight="1" x14ac:dyDescent="0.2">
      <c r="A779" s="12"/>
      <c r="B779" s="10"/>
      <c r="C779" s="11"/>
      <c r="D779" s="13"/>
      <c r="E779" s="13"/>
      <c r="F779" s="13"/>
      <c r="G779" s="2"/>
      <c r="H779" s="2"/>
      <c r="I779" s="13"/>
      <c r="J779" s="13"/>
      <c r="K779" s="13"/>
      <c r="L779" s="14"/>
      <c r="M779" s="4"/>
      <c r="N779" s="2"/>
      <c r="O779" s="4"/>
      <c r="P779" s="2"/>
      <c r="Q779" s="2"/>
      <c r="R779" s="4"/>
      <c r="S779" s="2"/>
      <c r="T779" s="2"/>
      <c r="U779" s="1"/>
      <c r="V779" s="2"/>
      <c r="W779" s="2"/>
      <c r="X779" s="2"/>
      <c r="Y779" s="2"/>
      <c r="Z779" s="2"/>
    </row>
    <row r="780" spans="1:26" ht="15.75" customHeight="1" x14ac:dyDescent="0.2">
      <c r="A780" s="12"/>
      <c r="B780" s="10"/>
      <c r="C780" s="11"/>
      <c r="D780" s="13"/>
      <c r="E780" s="13"/>
      <c r="F780" s="13"/>
      <c r="G780" s="2"/>
      <c r="H780" s="2"/>
      <c r="I780" s="13"/>
      <c r="J780" s="13"/>
      <c r="K780" s="13"/>
      <c r="L780" s="14"/>
      <c r="M780" s="4"/>
      <c r="N780" s="2"/>
      <c r="O780" s="4"/>
      <c r="P780" s="2"/>
      <c r="Q780" s="2"/>
      <c r="R780" s="4"/>
      <c r="S780" s="2"/>
      <c r="T780" s="2"/>
      <c r="U780" s="1"/>
      <c r="V780" s="2"/>
      <c r="W780" s="2"/>
      <c r="X780" s="2"/>
      <c r="Y780" s="2"/>
      <c r="Z780" s="2"/>
    </row>
    <row r="781" spans="1:26" ht="15.75" customHeight="1" x14ac:dyDescent="0.2">
      <c r="A781" s="12"/>
      <c r="B781" s="10"/>
      <c r="C781" s="11"/>
      <c r="D781" s="13"/>
      <c r="E781" s="13"/>
      <c r="F781" s="13"/>
      <c r="G781" s="2"/>
      <c r="H781" s="2"/>
      <c r="I781" s="13"/>
      <c r="J781" s="13"/>
      <c r="K781" s="13"/>
      <c r="L781" s="14"/>
      <c r="M781" s="4"/>
      <c r="N781" s="2"/>
      <c r="O781" s="4"/>
      <c r="P781" s="2"/>
      <c r="Q781" s="2"/>
      <c r="R781" s="4"/>
      <c r="S781" s="2"/>
      <c r="T781" s="2"/>
      <c r="U781" s="1"/>
      <c r="V781" s="2"/>
      <c r="W781" s="2"/>
      <c r="X781" s="2"/>
      <c r="Y781" s="2"/>
      <c r="Z781" s="2"/>
    </row>
    <row r="782" spans="1:26" ht="15.75" customHeight="1" x14ac:dyDescent="0.2">
      <c r="A782" s="12"/>
      <c r="B782" s="10"/>
      <c r="C782" s="11"/>
      <c r="D782" s="13"/>
      <c r="E782" s="13"/>
      <c r="F782" s="13"/>
      <c r="G782" s="2"/>
      <c r="H782" s="2"/>
      <c r="I782" s="13"/>
      <c r="J782" s="13"/>
      <c r="K782" s="13"/>
      <c r="L782" s="14"/>
      <c r="M782" s="4"/>
      <c r="N782" s="2"/>
      <c r="O782" s="4"/>
      <c r="P782" s="2"/>
      <c r="Q782" s="2"/>
      <c r="R782" s="4"/>
      <c r="S782" s="2"/>
      <c r="T782" s="2"/>
      <c r="U782" s="1"/>
      <c r="V782" s="2"/>
      <c r="W782" s="2"/>
      <c r="X782" s="2"/>
      <c r="Y782" s="2"/>
      <c r="Z782" s="2"/>
    </row>
    <row r="783" spans="1:26" ht="15.75" customHeight="1" x14ac:dyDescent="0.2">
      <c r="A783" s="12"/>
      <c r="B783" s="10"/>
      <c r="C783" s="11"/>
      <c r="D783" s="13"/>
      <c r="E783" s="13"/>
      <c r="F783" s="13"/>
      <c r="G783" s="2"/>
      <c r="H783" s="2"/>
      <c r="I783" s="13"/>
      <c r="J783" s="13"/>
      <c r="K783" s="13"/>
      <c r="L783" s="14"/>
      <c r="M783" s="4"/>
      <c r="N783" s="2"/>
      <c r="O783" s="4"/>
      <c r="P783" s="2"/>
      <c r="Q783" s="2"/>
      <c r="R783" s="4"/>
      <c r="S783" s="2"/>
      <c r="T783" s="2"/>
      <c r="U783" s="1"/>
      <c r="V783" s="2"/>
      <c r="W783" s="2"/>
      <c r="X783" s="2"/>
      <c r="Y783" s="2"/>
      <c r="Z783" s="2"/>
    </row>
    <row r="784" spans="1:26" ht="15.75" customHeight="1" x14ac:dyDescent="0.2">
      <c r="A784" s="12"/>
      <c r="B784" s="10"/>
      <c r="C784" s="11"/>
      <c r="D784" s="13"/>
      <c r="E784" s="13"/>
      <c r="F784" s="13"/>
      <c r="G784" s="2"/>
      <c r="H784" s="2"/>
      <c r="I784" s="13"/>
      <c r="J784" s="13"/>
      <c r="K784" s="13"/>
      <c r="L784" s="14"/>
      <c r="M784" s="4"/>
      <c r="N784" s="2"/>
      <c r="O784" s="4"/>
      <c r="P784" s="2"/>
      <c r="Q784" s="2"/>
      <c r="R784" s="4"/>
      <c r="S784" s="2"/>
      <c r="T784" s="2"/>
      <c r="U784" s="1"/>
      <c r="V784" s="2"/>
      <c r="W784" s="2"/>
      <c r="X784" s="2"/>
      <c r="Y784" s="2"/>
      <c r="Z784" s="2"/>
    </row>
    <row r="785" spans="1:26" ht="15.75" customHeight="1" x14ac:dyDescent="0.2">
      <c r="A785" s="12"/>
      <c r="B785" s="10"/>
      <c r="C785" s="11"/>
      <c r="D785" s="13"/>
      <c r="E785" s="13"/>
      <c r="F785" s="13"/>
      <c r="G785" s="2"/>
      <c r="H785" s="2"/>
      <c r="I785" s="13"/>
      <c r="J785" s="13"/>
      <c r="K785" s="13"/>
      <c r="L785" s="14"/>
      <c r="M785" s="4"/>
      <c r="N785" s="2"/>
      <c r="O785" s="4"/>
      <c r="P785" s="2"/>
      <c r="Q785" s="2"/>
      <c r="R785" s="4"/>
      <c r="S785" s="2"/>
      <c r="T785" s="2"/>
      <c r="U785" s="1"/>
      <c r="V785" s="2"/>
      <c r="W785" s="2"/>
      <c r="X785" s="2"/>
      <c r="Y785" s="2"/>
      <c r="Z785" s="2"/>
    </row>
    <row r="786" spans="1:26" ht="15.75" customHeight="1" x14ac:dyDescent="0.2">
      <c r="A786" s="12"/>
      <c r="B786" s="10"/>
      <c r="C786" s="11"/>
      <c r="D786" s="13"/>
      <c r="E786" s="13"/>
      <c r="F786" s="13"/>
      <c r="G786" s="2"/>
      <c r="H786" s="2"/>
      <c r="I786" s="13"/>
      <c r="J786" s="13"/>
      <c r="K786" s="13"/>
      <c r="L786" s="14"/>
      <c r="M786" s="4"/>
      <c r="N786" s="2"/>
      <c r="O786" s="4"/>
      <c r="P786" s="2"/>
      <c r="Q786" s="2"/>
      <c r="R786" s="4"/>
      <c r="S786" s="2"/>
      <c r="T786" s="2"/>
      <c r="U786" s="1"/>
      <c r="V786" s="2"/>
      <c r="W786" s="2"/>
      <c r="X786" s="2"/>
      <c r="Y786" s="2"/>
      <c r="Z786" s="2"/>
    </row>
    <row r="787" spans="1:26" ht="15.75" customHeight="1" x14ac:dyDescent="0.2">
      <c r="A787" s="12"/>
      <c r="B787" s="10"/>
      <c r="C787" s="11"/>
      <c r="D787" s="13"/>
      <c r="E787" s="13"/>
      <c r="F787" s="13"/>
      <c r="G787" s="2"/>
      <c r="H787" s="2"/>
      <c r="I787" s="13"/>
      <c r="J787" s="13"/>
      <c r="K787" s="13"/>
      <c r="L787" s="14"/>
      <c r="M787" s="4"/>
      <c r="N787" s="2"/>
      <c r="O787" s="4"/>
      <c r="P787" s="2"/>
      <c r="Q787" s="2"/>
      <c r="R787" s="4"/>
      <c r="S787" s="2"/>
      <c r="T787" s="2"/>
      <c r="U787" s="1"/>
      <c r="V787" s="2"/>
      <c r="W787" s="2"/>
      <c r="X787" s="2"/>
      <c r="Y787" s="2"/>
      <c r="Z787" s="2"/>
    </row>
    <row r="788" spans="1:26" ht="15.75" customHeight="1" x14ac:dyDescent="0.2">
      <c r="A788" s="12"/>
      <c r="B788" s="10"/>
      <c r="C788" s="11"/>
      <c r="D788" s="13"/>
      <c r="E788" s="13"/>
      <c r="F788" s="13"/>
      <c r="G788" s="2"/>
      <c r="H788" s="2"/>
      <c r="I788" s="13"/>
      <c r="J788" s="13"/>
      <c r="K788" s="13"/>
      <c r="L788" s="14"/>
      <c r="M788" s="4"/>
      <c r="N788" s="2"/>
      <c r="O788" s="4"/>
      <c r="P788" s="2"/>
      <c r="Q788" s="2"/>
      <c r="R788" s="4"/>
      <c r="S788" s="2"/>
      <c r="T788" s="2"/>
      <c r="U788" s="1"/>
      <c r="V788" s="2"/>
      <c r="W788" s="2"/>
      <c r="X788" s="2"/>
      <c r="Y788" s="2"/>
      <c r="Z788" s="2"/>
    </row>
    <row r="789" spans="1:26" ht="15.75" customHeight="1" x14ac:dyDescent="0.2">
      <c r="A789" s="12"/>
      <c r="B789" s="10"/>
      <c r="C789" s="11"/>
      <c r="D789" s="13"/>
      <c r="E789" s="13"/>
      <c r="F789" s="13"/>
      <c r="G789" s="2"/>
      <c r="H789" s="2"/>
      <c r="I789" s="13"/>
      <c r="J789" s="13"/>
      <c r="K789" s="13"/>
      <c r="L789" s="14"/>
      <c r="M789" s="4"/>
      <c r="N789" s="2"/>
      <c r="O789" s="4"/>
      <c r="P789" s="2"/>
      <c r="Q789" s="2"/>
      <c r="R789" s="4"/>
      <c r="S789" s="2"/>
      <c r="T789" s="2"/>
      <c r="U789" s="1"/>
      <c r="V789" s="2"/>
      <c r="W789" s="2"/>
      <c r="X789" s="2"/>
      <c r="Y789" s="2"/>
      <c r="Z789" s="2"/>
    </row>
    <row r="790" spans="1:26" ht="15.75" customHeight="1" x14ac:dyDescent="0.2">
      <c r="A790" s="12"/>
      <c r="B790" s="10"/>
      <c r="C790" s="11"/>
      <c r="D790" s="13"/>
      <c r="E790" s="13"/>
      <c r="F790" s="13"/>
      <c r="G790" s="2"/>
      <c r="H790" s="2"/>
      <c r="I790" s="13"/>
      <c r="J790" s="13"/>
      <c r="K790" s="13"/>
      <c r="L790" s="14"/>
      <c r="M790" s="4"/>
      <c r="N790" s="2"/>
      <c r="O790" s="4"/>
      <c r="P790" s="2"/>
      <c r="Q790" s="2"/>
      <c r="R790" s="4"/>
      <c r="S790" s="2"/>
      <c r="T790" s="2"/>
      <c r="U790" s="1"/>
      <c r="V790" s="2"/>
      <c r="W790" s="2"/>
      <c r="X790" s="2"/>
      <c r="Y790" s="2"/>
      <c r="Z790" s="2"/>
    </row>
    <row r="791" spans="1:26" ht="15.75" customHeight="1" x14ac:dyDescent="0.2">
      <c r="A791" s="12"/>
      <c r="B791" s="10"/>
      <c r="C791" s="11"/>
      <c r="D791" s="13"/>
      <c r="E791" s="13"/>
      <c r="F791" s="13"/>
      <c r="G791" s="2"/>
      <c r="H791" s="2"/>
      <c r="I791" s="13"/>
      <c r="J791" s="13"/>
      <c r="K791" s="13"/>
      <c r="L791" s="14"/>
      <c r="M791" s="4"/>
      <c r="N791" s="2"/>
      <c r="O791" s="4"/>
      <c r="P791" s="2"/>
      <c r="Q791" s="2"/>
      <c r="R791" s="4"/>
      <c r="S791" s="2"/>
      <c r="T791" s="2"/>
      <c r="U791" s="1"/>
      <c r="V791" s="2"/>
      <c r="W791" s="2"/>
      <c r="X791" s="2"/>
      <c r="Y791" s="2"/>
      <c r="Z791" s="2"/>
    </row>
    <row r="792" spans="1:26" ht="15.75" customHeight="1" x14ac:dyDescent="0.2">
      <c r="A792" s="12"/>
      <c r="B792" s="10"/>
      <c r="C792" s="11"/>
      <c r="D792" s="13"/>
      <c r="E792" s="13"/>
      <c r="F792" s="13"/>
      <c r="G792" s="2"/>
      <c r="H792" s="2"/>
      <c r="I792" s="13"/>
      <c r="J792" s="13"/>
      <c r="K792" s="13"/>
      <c r="L792" s="14"/>
      <c r="M792" s="4"/>
      <c r="N792" s="2"/>
      <c r="O792" s="4"/>
      <c r="P792" s="2"/>
      <c r="Q792" s="2"/>
      <c r="R792" s="4"/>
      <c r="S792" s="2"/>
      <c r="T792" s="2"/>
      <c r="U792" s="1"/>
      <c r="V792" s="2"/>
      <c r="W792" s="2"/>
      <c r="X792" s="2"/>
      <c r="Y792" s="2"/>
      <c r="Z792" s="2"/>
    </row>
    <row r="793" spans="1:26" ht="15.75" customHeight="1" x14ac:dyDescent="0.2">
      <c r="A793" s="12"/>
      <c r="B793" s="10"/>
      <c r="C793" s="11"/>
      <c r="D793" s="13"/>
      <c r="E793" s="13"/>
      <c r="F793" s="13"/>
      <c r="G793" s="2"/>
      <c r="H793" s="2"/>
      <c r="I793" s="13"/>
      <c r="J793" s="13"/>
      <c r="K793" s="13"/>
      <c r="L793" s="14"/>
      <c r="M793" s="4"/>
      <c r="N793" s="2"/>
      <c r="O793" s="4"/>
      <c r="P793" s="2"/>
      <c r="Q793" s="2"/>
      <c r="R793" s="4"/>
      <c r="S793" s="2"/>
      <c r="T793" s="2"/>
      <c r="U793" s="1"/>
      <c r="V793" s="2"/>
      <c r="W793" s="2"/>
      <c r="X793" s="2"/>
      <c r="Y793" s="2"/>
      <c r="Z793" s="2"/>
    </row>
    <row r="794" spans="1:26" ht="15.75" customHeight="1" x14ac:dyDescent="0.2">
      <c r="A794" s="12"/>
      <c r="B794" s="10"/>
      <c r="C794" s="11"/>
      <c r="D794" s="13"/>
      <c r="E794" s="13"/>
      <c r="F794" s="13"/>
      <c r="G794" s="2"/>
      <c r="H794" s="2"/>
      <c r="I794" s="13"/>
      <c r="J794" s="13"/>
      <c r="K794" s="13"/>
      <c r="L794" s="14"/>
      <c r="M794" s="4"/>
      <c r="N794" s="2"/>
      <c r="O794" s="4"/>
      <c r="P794" s="2"/>
      <c r="Q794" s="2"/>
      <c r="R794" s="4"/>
      <c r="S794" s="2"/>
      <c r="T794" s="2"/>
      <c r="U794" s="1"/>
      <c r="V794" s="2"/>
      <c r="W794" s="2"/>
      <c r="X794" s="2"/>
      <c r="Y794" s="2"/>
      <c r="Z794" s="2"/>
    </row>
    <row r="795" spans="1:26" ht="15.75" customHeight="1" x14ac:dyDescent="0.2">
      <c r="A795" s="12"/>
      <c r="B795" s="10"/>
      <c r="C795" s="11"/>
      <c r="D795" s="13"/>
      <c r="E795" s="13"/>
      <c r="F795" s="13"/>
      <c r="G795" s="2"/>
      <c r="H795" s="2"/>
      <c r="I795" s="13"/>
      <c r="J795" s="13"/>
      <c r="K795" s="13"/>
      <c r="L795" s="14"/>
      <c r="M795" s="4"/>
      <c r="N795" s="2"/>
      <c r="O795" s="4"/>
      <c r="P795" s="2"/>
      <c r="Q795" s="2"/>
      <c r="R795" s="4"/>
      <c r="S795" s="2"/>
      <c r="T795" s="2"/>
      <c r="U795" s="1"/>
      <c r="V795" s="2"/>
      <c r="W795" s="2"/>
      <c r="X795" s="2"/>
      <c r="Y795" s="2"/>
      <c r="Z795" s="2"/>
    </row>
    <row r="796" spans="1:26" ht="15.75" customHeight="1" x14ac:dyDescent="0.2">
      <c r="A796" s="12"/>
      <c r="B796" s="10"/>
      <c r="C796" s="11"/>
      <c r="D796" s="13"/>
      <c r="E796" s="13"/>
      <c r="F796" s="13"/>
      <c r="G796" s="2"/>
      <c r="H796" s="2"/>
      <c r="I796" s="13"/>
      <c r="J796" s="13"/>
      <c r="K796" s="13"/>
      <c r="L796" s="14"/>
      <c r="M796" s="4"/>
      <c r="N796" s="2"/>
      <c r="O796" s="4"/>
      <c r="P796" s="2"/>
      <c r="Q796" s="2"/>
      <c r="R796" s="4"/>
      <c r="S796" s="2"/>
      <c r="T796" s="2"/>
      <c r="U796" s="1"/>
      <c r="V796" s="2"/>
      <c r="W796" s="2"/>
      <c r="X796" s="2"/>
      <c r="Y796" s="2"/>
      <c r="Z796" s="2"/>
    </row>
    <row r="797" spans="1:26" ht="15.75" customHeight="1" x14ac:dyDescent="0.2">
      <c r="A797" s="12"/>
      <c r="B797" s="10"/>
      <c r="C797" s="11"/>
      <c r="D797" s="13"/>
      <c r="E797" s="13"/>
      <c r="F797" s="13"/>
      <c r="G797" s="2"/>
      <c r="H797" s="2"/>
      <c r="I797" s="13"/>
      <c r="J797" s="13"/>
      <c r="K797" s="13"/>
      <c r="L797" s="14"/>
      <c r="M797" s="4"/>
      <c r="N797" s="2"/>
      <c r="O797" s="4"/>
      <c r="P797" s="2"/>
      <c r="Q797" s="2"/>
      <c r="R797" s="4"/>
      <c r="S797" s="2"/>
      <c r="T797" s="2"/>
      <c r="U797" s="1"/>
      <c r="V797" s="2"/>
      <c r="W797" s="2"/>
      <c r="X797" s="2"/>
      <c r="Y797" s="2"/>
      <c r="Z797" s="2"/>
    </row>
    <row r="798" spans="1:26" ht="15.75" customHeight="1" x14ac:dyDescent="0.2">
      <c r="A798" s="12"/>
      <c r="B798" s="10"/>
      <c r="C798" s="11"/>
      <c r="D798" s="13"/>
      <c r="E798" s="13"/>
      <c r="F798" s="13"/>
      <c r="G798" s="2"/>
      <c r="H798" s="2"/>
      <c r="I798" s="13"/>
      <c r="J798" s="13"/>
      <c r="K798" s="13"/>
      <c r="L798" s="14"/>
      <c r="M798" s="4"/>
      <c r="N798" s="2"/>
      <c r="O798" s="4"/>
      <c r="P798" s="2"/>
      <c r="Q798" s="2"/>
      <c r="R798" s="4"/>
      <c r="S798" s="2"/>
      <c r="T798" s="2"/>
      <c r="U798" s="1"/>
      <c r="V798" s="2"/>
      <c r="W798" s="2"/>
      <c r="X798" s="2"/>
      <c r="Y798" s="2"/>
      <c r="Z798" s="2"/>
    </row>
    <row r="799" spans="1:26" ht="15.75" customHeight="1" x14ac:dyDescent="0.2">
      <c r="A799" s="12"/>
      <c r="B799" s="10"/>
      <c r="C799" s="11"/>
      <c r="D799" s="13"/>
      <c r="E799" s="13"/>
      <c r="F799" s="13"/>
      <c r="G799" s="2"/>
      <c r="H799" s="2"/>
      <c r="I799" s="13"/>
      <c r="J799" s="13"/>
      <c r="K799" s="13"/>
      <c r="L799" s="14"/>
      <c r="M799" s="4"/>
      <c r="N799" s="2"/>
      <c r="O799" s="4"/>
      <c r="P799" s="2"/>
      <c r="Q799" s="2"/>
      <c r="R799" s="4"/>
      <c r="S799" s="2"/>
      <c r="T799" s="2"/>
      <c r="U799" s="1"/>
      <c r="V799" s="2"/>
      <c r="W799" s="2"/>
      <c r="X799" s="2"/>
      <c r="Y799" s="2"/>
      <c r="Z799" s="2"/>
    </row>
    <row r="800" spans="1:26" ht="15.75" customHeight="1" x14ac:dyDescent="0.2">
      <c r="A800" s="12"/>
      <c r="B800" s="10"/>
      <c r="C800" s="11"/>
      <c r="D800" s="13"/>
      <c r="E800" s="13"/>
      <c r="F800" s="13"/>
      <c r="G800" s="2"/>
      <c r="H800" s="2"/>
      <c r="I800" s="13"/>
      <c r="J800" s="13"/>
      <c r="K800" s="13"/>
      <c r="L800" s="14"/>
      <c r="M800" s="4"/>
      <c r="N800" s="2"/>
      <c r="O800" s="4"/>
      <c r="P800" s="2"/>
      <c r="Q800" s="2"/>
      <c r="R800" s="4"/>
      <c r="S800" s="2"/>
      <c r="T800" s="2"/>
      <c r="U800" s="1"/>
      <c r="V800" s="2"/>
      <c r="W800" s="2"/>
      <c r="X800" s="2"/>
      <c r="Y800" s="2"/>
      <c r="Z800" s="2"/>
    </row>
    <row r="801" spans="1:26" ht="15.75" customHeight="1" x14ac:dyDescent="0.2">
      <c r="A801" s="12"/>
      <c r="B801" s="10"/>
      <c r="C801" s="11"/>
      <c r="D801" s="13"/>
      <c r="E801" s="13"/>
      <c r="F801" s="13"/>
      <c r="G801" s="2"/>
      <c r="H801" s="2"/>
      <c r="I801" s="13"/>
      <c r="J801" s="13"/>
      <c r="K801" s="13"/>
      <c r="L801" s="14"/>
      <c r="M801" s="4"/>
      <c r="N801" s="2"/>
      <c r="O801" s="4"/>
      <c r="P801" s="2"/>
      <c r="Q801" s="2"/>
      <c r="R801" s="4"/>
      <c r="S801" s="2"/>
      <c r="T801" s="2"/>
      <c r="U801" s="1"/>
      <c r="V801" s="2"/>
      <c r="W801" s="2"/>
      <c r="X801" s="2"/>
      <c r="Y801" s="2"/>
      <c r="Z801" s="2"/>
    </row>
    <row r="802" spans="1:26" ht="15.75" customHeight="1" x14ac:dyDescent="0.2">
      <c r="A802" s="12"/>
      <c r="B802" s="10"/>
      <c r="C802" s="11"/>
      <c r="D802" s="13"/>
      <c r="E802" s="13"/>
      <c r="F802" s="13"/>
      <c r="G802" s="2"/>
      <c r="H802" s="2"/>
      <c r="I802" s="13"/>
      <c r="J802" s="13"/>
      <c r="K802" s="13"/>
      <c r="L802" s="14"/>
      <c r="M802" s="4"/>
      <c r="N802" s="2"/>
      <c r="O802" s="4"/>
      <c r="P802" s="2"/>
      <c r="Q802" s="2"/>
      <c r="R802" s="4"/>
      <c r="S802" s="2"/>
      <c r="T802" s="2"/>
      <c r="U802" s="1"/>
      <c r="V802" s="2"/>
      <c r="W802" s="2"/>
      <c r="X802" s="2"/>
      <c r="Y802" s="2"/>
      <c r="Z802" s="2"/>
    </row>
    <row r="803" spans="1:26" ht="15.75" customHeight="1" x14ac:dyDescent="0.2">
      <c r="A803" s="12"/>
      <c r="B803" s="10"/>
      <c r="C803" s="11"/>
      <c r="D803" s="13"/>
      <c r="E803" s="13"/>
      <c r="F803" s="13"/>
      <c r="G803" s="2"/>
      <c r="H803" s="2"/>
      <c r="I803" s="13"/>
      <c r="J803" s="13"/>
      <c r="K803" s="13"/>
      <c r="L803" s="14"/>
      <c r="M803" s="4"/>
      <c r="N803" s="2"/>
      <c r="O803" s="4"/>
      <c r="P803" s="2"/>
      <c r="Q803" s="2"/>
      <c r="R803" s="4"/>
      <c r="S803" s="2"/>
      <c r="T803" s="2"/>
      <c r="U803" s="1"/>
      <c r="V803" s="2"/>
      <c r="W803" s="2"/>
      <c r="X803" s="2"/>
      <c r="Y803" s="2"/>
      <c r="Z803" s="2"/>
    </row>
    <row r="804" spans="1:26" ht="15.75" customHeight="1" x14ac:dyDescent="0.2">
      <c r="A804" s="12"/>
      <c r="B804" s="10"/>
      <c r="C804" s="11"/>
      <c r="D804" s="13"/>
      <c r="E804" s="13"/>
      <c r="F804" s="13"/>
      <c r="G804" s="2"/>
      <c r="H804" s="2"/>
      <c r="I804" s="13"/>
      <c r="J804" s="13"/>
      <c r="K804" s="13"/>
      <c r="L804" s="14"/>
      <c r="M804" s="4"/>
      <c r="N804" s="2"/>
      <c r="O804" s="4"/>
      <c r="P804" s="2"/>
      <c r="Q804" s="2"/>
      <c r="R804" s="4"/>
      <c r="S804" s="2"/>
      <c r="T804" s="2"/>
      <c r="U804" s="1"/>
      <c r="V804" s="2"/>
      <c r="W804" s="2"/>
      <c r="X804" s="2"/>
      <c r="Y804" s="2"/>
      <c r="Z804" s="2"/>
    </row>
    <row r="805" spans="1:26" ht="15.75" customHeight="1" x14ac:dyDescent="0.2">
      <c r="A805" s="12"/>
      <c r="B805" s="10"/>
      <c r="C805" s="11"/>
      <c r="D805" s="13"/>
      <c r="E805" s="13"/>
      <c r="F805" s="13"/>
      <c r="G805" s="2"/>
      <c r="H805" s="2"/>
      <c r="I805" s="13"/>
      <c r="J805" s="13"/>
      <c r="K805" s="13"/>
      <c r="L805" s="14"/>
      <c r="M805" s="4"/>
      <c r="N805" s="2"/>
      <c r="O805" s="4"/>
      <c r="P805" s="2"/>
      <c r="Q805" s="2"/>
      <c r="R805" s="4"/>
      <c r="S805" s="2"/>
      <c r="T805" s="2"/>
      <c r="U805" s="1"/>
      <c r="V805" s="2"/>
      <c r="W805" s="2"/>
      <c r="X805" s="2"/>
      <c r="Y805" s="2"/>
      <c r="Z805" s="2"/>
    </row>
    <row r="806" spans="1:26" ht="15.75" customHeight="1" x14ac:dyDescent="0.2">
      <c r="A806" s="12"/>
      <c r="B806" s="10"/>
      <c r="C806" s="11"/>
      <c r="D806" s="13"/>
      <c r="E806" s="13"/>
      <c r="F806" s="13"/>
      <c r="G806" s="2"/>
      <c r="H806" s="2"/>
      <c r="I806" s="13"/>
      <c r="J806" s="13"/>
      <c r="K806" s="13"/>
      <c r="L806" s="14"/>
      <c r="M806" s="4"/>
      <c r="N806" s="2"/>
      <c r="O806" s="4"/>
      <c r="P806" s="2"/>
      <c r="Q806" s="2"/>
      <c r="R806" s="4"/>
      <c r="S806" s="2"/>
      <c r="T806" s="2"/>
      <c r="U806" s="1"/>
      <c r="V806" s="2"/>
      <c r="W806" s="2"/>
      <c r="X806" s="2"/>
      <c r="Y806" s="2"/>
      <c r="Z806" s="2"/>
    </row>
    <row r="807" spans="1:26" ht="15.75" customHeight="1" x14ac:dyDescent="0.2">
      <c r="A807" s="12"/>
      <c r="B807" s="10"/>
      <c r="C807" s="11"/>
      <c r="D807" s="13"/>
      <c r="E807" s="13"/>
      <c r="F807" s="13"/>
      <c r="G807" s="2"/>
      <c r="H807" s="2"/>
      <c r="I807" s="13"/>
      <c r="J807" s="13"/>
      <c r="K807" s="13"/>
      <c r="L807" s="14"/>
      <c r="M807" s="4"/>
      <c r="N807" s="2"/>
      <c r="O807" s="4"/>
      <c r="P807" s="2"/>
      <c r="Q807" s="2"/>
      <c r="R807" s="4"/>
      <c r="S807" s="2"/>
      <c r="T807" s="2"/>
      <c r="U807" s="1"/>
      <c r="V807" s="2"/>
      <c r="W807" s="2"/>
      <c r="X807" s="2"/>
      <c r="Y807" s="2"/>
      <c r="Z807" s="2"/>
    </row>
    <row r="808" spans="1:26" ht="15.75" customHeight="1" x14ac:dyDescent="0.2">
      <c r="A808" s="12"/>
      <c r="B808" s="10"/>
      <c r="C808" s="11"/>
      <c r="D808" s="13"/>
      <c r="E808" s="13"/>
      <c r="F808" s="13"/>
      <c r="G808" s="2"/>
      <c r="H808" s="2"/>
      <c r="I808" s="13"/>
      <c r="J808" s="13"/>
      <c r="K808" s="13"/>
      <c r="L808" s="14"/>
      <c r="M808" s="4"/>
      <c r="N808" s="2"/>
      <c r="O808" s="4"/>
      <c r="P808" s="2"/>
      <c r="Q808" s="2"/>
      <c r="R808" s="4"/>
      <c r="S808" s="2"/>
      <c r="T808" s="2"/>
      <c r="U808" s="1"/>
      <c r="V808" s="2"/>
      <c r="W808" s="2"/>
      <c r="X808" s="2"/>
      <c r="Y808" s="2"/>
      <c r="Z808" s="2"/>
    </row>
    <row r="809" spans="1:26" ht="15.75" customHeight="1" x14ac:dyDescent="0.2">
      <c r="A809" s="12"/>
      <c r="B809" s="10"/>
      <c r="C809" s="11"/>
      <c r="D809" s="13"/>
      <c r="E809" s="13"/>
      <c r="F809" s="13"/>
      <c r="G809" s="2"/>
      <c r="H809" s="2"/>
      <c r="I809" s="13"/>
      <c r="J809" s="13"/>
      <c r="K809" s="13"/>
      <c r="L809" s="14"/>
      <c r="M809" s="4"/>
      <c r="N809" s="2"/>
      <c r="O809" s="4"/>
      <c r="P809" s="2"/>
      <c r="Q809" s="2"/>
      <c r="R809" s="4"/>
      <c r="S809" s="2"/>
      <c r="T809" s="2"/>
      <c r="U809" s="1"/>
      <c r="V809" s="2"/>
      <c r="W809" s="2"/>
      <c r="X809" s="2"/>
      <c r="Y809" s="2"/>
      <c r="Z809" s="2"/>
    </row>
    <row r="810" spans="1:26" ht="15.75" customHeight="1" x14ac:dyDescent="0.2">
      <c r="A810" s="12"/>
      <c r="B810" s="10"/>
      <c r="C810" s="11"/>
      <c r="D810" s="13"/>
      <c r="E810" s="13"/>
      <c r="F810" s="13"/>
      <c r="G810" s="2"/>
      <c r="H810" s="2"/>
      <c r="I810" s="13"/>
      <c r="J810" s="13"/>
      <c r="K810" s="13"/>
      <c r="L810" s="14"/>
      <c r="M810" s="4"/>
      <c r="N810" s="2"/>
      <c r="O810" s="4"/>
      <c r="P810" s="2"/>
      <c r="Q810" s="2"/>
      <c r="R810" s="4"/>
      <c r="S810" s="2"/>
      <c r="T810" s="2"/>
      <c r="U810" s="1"/>
      <c r="V810" s="2"/>
      <c r="W810" s="2"/>
      <c r="X810" s="2"/>
      <c r="Y810" s="2"/>
      <c r="Z810" s="2"/>
    </row>
    <row r="811" spans="1:26" ht="15.75" customHeight="1" x14ac:dyDescent="0.2">
      <c r="A811" s="12"/>
      <c r="B811" s="10"/>
      <c r="C811" s="11"/>
      <c r="D811" s="13"/>
      <c r="E811" s="13"/>
      <c r="F811" s="13"/>
      <c r="G811" s="2"/>
      <c r="H811" s="2"/>
      <c r="I811" s="13"/>
      <c r="J811" s="13"/>
      <c r="K811" s="13"/>
      <c r="L811" s="14"/>
      <c r="M811" s="4"/>
      <c r="N811" s="2"/>
      <c r="O811" s="4"/>
      <c r="P811" s="2"/>
      <c r="Q811" s="2"/>
      <c r="R811" s="4"/>
      <c r="S811" s="2"/>
      <c r="T811" s="2"/>
      <c r="U811" s="1"/>
      <c r="V811" s="2"/>
      <c r="W811" s="2"/>
      <c r="X811" s="2"/>
      <c r="Y811" s="2"/>
      <c r="Z811" s="2"/>
    </row>
    <row r="812" spans="1:26" ht="15.75" customHeight="1" x14ac:dyDescent="0.2">
      <c r="A812" s="12"/>
      <c r="B812" s="10"/>
      <c r="C812" s="11"/>
      <c r="D812" s="13"/>
      <c r="E812" s="13"/>
      <c r="F812" s="13"/>
      <c r="G812" s="2"/>
      <c r="H812" s="2"/>
      <c r="I812" s="13"/>
      <c r="J812" s="13"/>
      <c r="K812" s="13"/>
      <c r="L812" s="14"/>
      <c r="M812" s="4"/>
      <c r="N812" s="2"/>
      <c r="O812" s="4"/>
      <c r="P812" s="2"/>
      <c r="Q812" s="2"/>
      <c r="R812" s="4"/>
      <c r="S812" s="2"/>
      <c r="T812" s="2"/>
      <c r="U812" s="1"/>
      <c r="V812" s="2"/>
      <c r="W812" s="2"/>
      <c r="X812" s="2"/>
      <c r="Y812" s="2"/>
      <c r="Z812" s="2"/>
    </row>
    <row r="813" spans="1:26" ht="15.75" customHeight="1" x14ac:dyDescent="0.2">
      <c r="A813" s="12"/>
      <c r="B813" s="10"/>
      <c r="C813" s="11"/>
      <c r="D813" s="13"/>
      <c r="E813" s="13"/>
      <c r="F813" s="13"/>
      <c r="G813" s="2"/>
      <c r="H813" s="2"/>
      <c r="I813" s="13"/>
      <c r="J813" s="13"/>
      <c r="K813" s="13"/>
      <c r="L813" s="14"/>
      <c r="M813" s="4"/>
      <c r="N813" s="2"/>
      <c r="O813" s="4"/>
      <c r="P813" s="2"/>
      <c r="Q813" s="2"/>
      <c r="R813" s="4"/>
      <c r="S813" s="2"/>
      <c r="T813" s="2"/>
      <c r="U813" s="1"/>
      <c r="V813" s="2"/>
      <c r="W813" s="2"/>
      <c r="X813" s="2"/>
      <c r="Y813" s="2"/>
      <c r="Z813" s="2"/>
    </row>
    <row r="814" spans="1:26" ht="15.75" customHeight="1" x14ac:dyDescent="0.2">
      <c r="A814" s="12"/>
      <c r="B814" s="10"/>
      <c r="C814" s="11"/>
      <c r="D814" s="13"/>
      <c r="E814" s="13"/>
      <c r="F814" s="13"/>
      <c r="G814" s="2"/>
      <c r="H814" s="2"/>
      <c r="I814" s="13"/>
      <c r="J814" s="13"/>
      <c r="K814" s="13"/>
      <c r="L814" s="14"/>
      <c r="M814" s="4"/>
      <c r="N814" s="2"/>
      <c r="O814" s="4"/>
      <c r="P814" s="2"/>
      <c r="Q814" s="2"/>
      <c r="R814" s="4"/>
      <c r="S814" s="2"/>
      <c r="T814" s="2"/>
      <c r="U814" s="1"/>
      <c r="V814" s="2"/>
      <c r="W814" s="2"/>
      <c r="X814" s="2"/>
      <c r="Y814" s="2"/>
      <c r="Z814" s="2"/>
    </row>
    <row r="815" spans="1:26" ht="15.75" customHeight="1" x14ac:dyDescent="0.2">
      <c r="A815" s="12"/>
      <c r="B815" s="10"/>
      <c r="C815" s="11"/>
      <c r="D815" s="13"/>
      <c r="E815" s="13"/>
      <c r="F815" s="13"/>
      <c r="G815" s="2"/>
      <c r="H815" s="2"/>
      <c r="I815" s="13"/>
      <c r="J815" s="13"/>
      <c r="K815" s="13"/>
      <c r="L815" s="14"/>
      <c r="M815" s="4"/>
      <c r="N815" s="2"/>
      <c r="O815" s="4"/>
      <c r="P815" s="2"/>
      <c r="Q815" s="2"/>
      <c r="R815" s="4"/>
      <c r="S815" s="2"/>
      <c r="T815" s="2"/>
      <c r="U815" s="1"/>
      <c r="V815" s="2"/>
      <c r="W815" s="2"/>
      <c r="X815" s="2"/>
      <c r="Y815" s="2"/>
      <c r="Z815" s="2"/>
    </row>
    <row r="816" spans="1:26" ht="15.75" customHeight="1" x14ac:dyDescent="0.2">
      <c r="A816" s="12"/>
      <c r="B816" s="10"/>
      <c r="C816" s="11"/>
      <c r="D816" s="13"/>
      <c r="E816" s="13"/>
      <c r="F816" s="13"/>
      <c r="G816" s="2"/>
      <c r="H816" s="2"/>
      <c r="I816" s="13"/>
      <c r="J816" s="13"/>
      <c r="K816" s="13"/>
      <c r="L816" s="14"/>
      <c r="M816" s="4"/>
      <c r="N816" s="2"/>
      <c r="O816" s="4"/>
      <c r="P816" s="2"/>
      <c r="Q816" s="2"/>
      <c r="R816" s="4"/>
      <c r="S816" s="2"/>
      <c r="T816" s="2"/>
      <c r="U816" s="1"/>
      <c r="V816" s="2"/>
      <c r="W816" s="2"/>
      <c r="X816" s="2"/>
      <c r="Y816" s="2"/>
      <c r="Z816" s="2"/>
    </row>
    <row r="817" spans="1:26" ht="15.75" customHeight="1" x14ac:dyDescent="0.2">
      <c r="A817" s="12"/>
      <c r="B817" s="10"/>
      <c r="C817" s="11"/>
      <c r="D817" s="13"/>
      <c r="E817" s="13"/>
      <c r="F817" s="13"/>
      <c r="G817" s="2"/>
      <c r="H817" s="2"/>
      <c r="I817" s="13"/>
      <c r="J817" s="13"/>
      <c r="K817" s="13"/>
      <c r="L817" s="14"/>
      <c r="M817" s="4"/>
      <c r="N817" s="2"/>
      <c r="O817" s="4"/>
      <c r="P817" s="2"/>
      <c r="Q817" s="2"/>
      <c r="R817" s="4"/>
      <c r="S817" s="2"/>
      <c r="T817" s="2"/>
      <c r="U817" s="1"/>
      <c r="V817" s="2"/>
      <c r="W817" s="2"/>
      <c r="X817" s="2"/>
      <c r="Y817" s="2"/>
      <c r="Z817" s="2"/>
    </row>
    <row r="818" spans="1:26" ht="15.75" customHeight="1" x14ac:dyDescent="0.2">
      <c r="A818" s="12"/>
      <c r="B818" s="10"/>
      <c r="C818" s="11"/>
      <c r="D818" s="13"/>
      <c r="E818" s="13"/>
      <c r="F818" s="13"/>
      <c r="G818" s="2"/>
      <c r="H818" s="2"/>
      <c r="I818" s="13"/>
      <c r="J818" s="13"/>
      <c r="K818" s="13"/>
      <c r="L818" s="14"/>
      <c r="M818" s="4"/>
      <c r="N818" s="2"/>
      <c r="O818" s="4"/>
      <c r="P818" s="2"/>
      <c r="Q818" s="2"/>
      <c r="R818" s="4"/>
      <c r="S818" s="2"/>
      <c r="T818" s="2"/>
      <c r="U818" s="1"/>
      <c r="V818" s="2"/>
      <c r="W818" s="2"/>
      <c r="X818" s="2"/>
      <c r="Y818" s="2"/>
      <c r="Z818" s="2"/>
    </row>
    <row r="819" spans="1:26" ht="15.75" customHeight="1" x14ac:dyDescent="0.2">
      <c r="A819" s="12"/>
      <c r="B819" s="10"/>
      <c r="C819" s="11"/>
      <c r="D819" s="13"/>
      <c r="E819" s="13"/>
      <c r="F819" s="13"/>
      <c r="G819" s="2"/>
      <c r="H819" s="2"/>
      <c r="I819" s="13"/>
      <c r="J819" s="13"/>
      <c r="K819" s="13"/>
      <c r="L819" s="14"/>
      <c r="M819" s="4"/>
      <c r="N819" s="2"/>
      <c r="O819" s="4"/>
      <c r="P819" s="2"/>
      <c r="Q819" s="2"/>
      <c r="R819" s="4"/>
      <c r="S819" s="2"/>
      <c r="T819" s="2"/>
      <c r="U819" s="1"/>
      <c r="V819" s="2"/>
      <c r="W819" s="2"/>
      <c r="X819" s="2"/>
      <c r="Y819" s="2"/>
      <c r="Z819" s="2"/>
    </row>
    <row r="820" spans="1:26" ht="15.75" customHeight="1" x14ac:dyDescent="0.2">
      <c r="A820" s="12"/>
      <c r="B820" s="10"/>
      <c r="C820" s="11"/>
      <c r="D820" s="13"/>
      <c r="E820" s="13"/>
      <c r="F820" s="13"/>
      <c r="G820" s="2"/>
      <c r="H820" s="2"/>
      <c r="I820" s="13"/>
      <c r="J820" s="13"/>
      <c r="K820" s="13"/>
      <c r="L820" s="14"/>
      <c r="M820" s="4"/>
      <c r="N820" s="2"/>
      <c r="O820" s="4"/>
      <c r="P820" s="2"/>
      <c r="Q820" s="2"/>
      <c r="R820" s="4"/>
      <c r="S820" s="2"/>
      <c r="T820" s="2"/>
      <c r="U820" s="1"/>
      <c r="V820" s="2"/>
      <c r="W820" s="2"/>
      <c r="X820" s="2"/>
      <c r="Y820" s="2"/>
      <c r="Z820" s="2"/>
    </row>
    <row r="821" spans="1:26" ht="15.75" customHeight="1" x14ac:dyDescent="0.2">
      <c r="A821" s="12"/>
      <c r="B821" s="10"/>
      <c r="C821" s="11"/>
      <c r="D821" s="13"/>
      <c r="E821" s="13"/>
      <c r="F821" s="13"/>
      <c r="G821" s="2"/>
      <c r="H821" s="2"/>
      <c r="I821" s="13"/>
      <c r="J821" s="13"/>
      <c r="K821" s="13"/>
      <c r="L821" s="14"/>
      <c r="M821" s="4"/>
      <c r="N821" s="2"/>
      <c r="O821" s="4"/>
      <c r="P821" s="2"/>
      <c r="Q821" s="2"/>
      <c r="R821" s="4"/>
      <c r="S821" s="2"/>
      <c r="T821" s="2"/>
      <c r="U821" s="1"/>
      <c r="V821" s="2"/>
      <c r="W821" s="2"/>
      <c r="X821" s="2"/>
      <c r="Y821" s="2"/>
      <c r="Z821" s="2"/>
    </row>
    <row r="822" spans="1:26" ht="15.75" customHeight="1" x14ac:dyDescent="0.2">
      <c r="A822" s="12"/>
      <c r="B822" s="10"/>
      <c r="C822" s="11"/>
      <c r="D822" s="13"/>
      <c r="E822" s="13"/>
      <c r="F822" s="13"/>
      <c r="G822" s="2"/>
      <c r="H822" s="2"/>
      <c r="I822" s="13"/>
      <c r="J822" s="13"/>
      <c r="K822" s="13"/>
      <c r="L822" s="14"/>
      <c r="M822" s="4"/>
      <c r="N822" s="2"/>
      <c r="O822" s="4"/>
      <c r="P822" s="2"/>
      <c r="Q822" s="2"/>
      <c r="R822" s="4"/>
      <c r="S822" s="2"/>
      <c r="T822" s="2"/>
      <c r="U822" s="1"/>
      <c r="V822" s="2"/>
      <c r="W822" s="2"/>
      <c r="X822" s="2"/>
      <c r="Y822" s="2"/>
      <c r="Z822" s="2"/>
    </row>
    <row r="823" spans="1:26" ht="15.75" customHeight="1" x14ac:dyDescent="0.2">
      <c r="A823" s="12"/>
      <c r="B823" s="10"/>
      <c r="C823" s="11"/>
      <c r="D823" s="13"/>
      <c r="E823" s="13"/>
      <c r="F823" s="13"/>
      <c r="G823" s="2"/>
      <c r="H823" s="2"/>
      <c r="I823" s="13"/>
      <c r="J823" s="13"/>
      <c r="K823" s="13"/>
      <c r="L823" s="14"/>
      <c r="M823" s="4"/>
      <c r="N823" s="2"/>
      <c r="O823" s="4"/>
      <c r="P823" s="2"/>
      <c r="Q823" s="2"/>
      <c r="R823" s="4"/>
      <c r="S823" s="2"/>
      <c r="T823" s="2"/>
      <c r="U823" s="1"/>
      <c r="V823" s="2"/>
      <c r="W823" s="2"/>
      <c r="X823" s="2"/>
      <c r="Y823" s="2"/>
      <c r="Z823" s="2"/>
    </row>
    <row r="824" spans="1:26" ht="15.75" customHeight="1" x14ac:dyDescent="0.2">
      <c r="A824" s="12"/>
      <c r="B824" s="10"/>
      <c r="C824" s="11"/>
      <c r="D824" s="13"/>
      <c r="E824" s="13"/>
      <c r="F824" s="13"/>
      <c r="G824" s="2"/>
      <c r="H824" s="2"/>
      <c r="I824" s="13"/>
      <c r="J824" s="13"/>
      <c r="K824" s="13"/>
      <c r="L824" s="14"/>
      <c r="M824" s="4"/>
      <c r="N824" s="2"/>
      <c r="O824" s="4"/>
      <c r="P824" s="2"/>
      <c r="Q824" s="2"/>
      <c r="R824" s="4"/>
      <c r="S824" s="2"/>
      <c r="T824" s="2"/>
      <c r="U824" s="1"/>
      <c r="V824" s="2"/>
      <c r="W824" s="2"/>
      <c r="X824" s="2"/>
      <c r="Y824" s="2"/>
      <c r="Z824" s="2"/>
    </row>
    <row r="825" spans="1:26" ht="15.75" customHeight="1" x14ac:dyDescent="0.2">
      <c r="A825" s="12"/>
      <c r="B825" s="10"/>
      <c r="C825" s="11"/>
      <c r="D825" s="13"/>
      <c r="E825" s="13"/>
      <c r="F825" s="13"/>
      <c r="G825" s="2"/>
      <c r="H825" s="2"/>
      <c r="I825" s="13"/>
      <c r="J825" s="13"/>
      <c r="K825" s="13"/>
      <c r="L825" s="14"/>
      <c r="M825" s="4"/>
      <c r="N825" s="2"/>
      <c r="O825" s="4"/>
      <c r="P825" s="2"/>
      <c r="Q825" s="2"/>
      <c r="R825" s="4"/>
      <c r="S825" s="2"/>
      <c r="T825" s="2"/>
      <c r="U825" s="1"/>
      <c r="V825" s="2"/>
      <c r="W825" s="2"/>
      <c r="X825" s="2"/>
      <c r="Y825" s="2"/>
      <c r="Z825" s="2"/>
    </row>
    <row r="826" spans="1:26" ht="15.75" customHeight="1" x14ac:dyDescent="0.2">
      <c r="A826" s="12"/>
      <c r="B826" s="10"/>
      <c r="C826" s="11"/>
      <c r="D826" s="13"/>
      <c r="E826" s="13"/>
      <c r="F826" s="13"/>
      <c r="G826" s="2"/>
      <c r="H826" s="2"/>
      <c r="I826" s="13"/>
      <c r="J826" s="13"/>
      <c r="K826" s="13"/>
      <c r="L826" s="14"/>
      <c r="M826" s="4"/>
      <c r="N826" s="2"/>
      <c r="O826" s="4"/>
      <c r="P826" s="2"/>
      <c r="Q826" s="2"/>
      <c r="R826" s="4"/>
      <c r="S826" s="2"/>
      <c r="T826" s="2"/>
      <c r="U826" s="1"/>
      <c r="V826" s="2"/>
      <c r="W826" s="2"/>
      <c r="X826" s="2"/>
      <c r="Y826" s="2"/>
      <c r="Z826" s="2"/>
    </row>
    <row r="827" spans="1:26" ht="15.75" customHeight="1" x14ac:dyDescent="0.2">
      <c r="A827" s="12"/>
      <c r="B827" s="10"/>
      <c r="C827" s="11"/>
      <c r="D827" s="13"/>
      <c r="E827" s="13"/>
      <c r="F827" s="13"/>
      <c r="G827" s="2"/>
      <c r="H827" s="2"/>
      <c r="I827" s="13"/>
      <c r="J827" s="13"/>
      <c r="K827" s="13"/>
      <c r="L827" s="14"/>
      <c r="M827" s="4"/>
      <c r="N827" s="2"/>
      <c r="O827" s="4"/>
      <c r="P827" s="2"/>
      <c r="Q827" s="2"/>
      <c r="R827" s="4"/>
      <c r="S827" s="2"/>
      <c r="T827" s="2"/>
      <c r="U827" s="1"/>
      <c r="V827" s="2"/>
      <c r="W827" s="2"/>
      <c r="X827" s="2"/>
      <c r="Y827" s="2"/>
      <c r="Z827" s="2"/>
    </row>
    <row r="828" spans="1:26" ht="15.75" customHeight="1" x14ac:dyDescent="0.2">
      <c r="A828" s="12"/>
      <c r="B828" s="10"/>
      <c r="C828" s="11"/>
      <c r="D828" s="13"/>
      <c r="E828" s="13"/>
      <c r="F828" s="13"/>
      <c r="G828" s="2"/>
      <c r="H828" s="2"/>
      <c r="I828" s="13"/>
      <c r="J828" s="13"/>
      <c r="K828" s="13"/>
      <c r="L828" s="14"/>
      <c r="M828" s="4"/>
      <c r="N828" s="2"/>
      <c r="O828" s="4"/>
      <c r="P828" s="2"/>
      <c r="Q828" s="2"/>
      <c r="R828" s="4"/>
      <c r="S828" s="2"/>
      <c r="T828" s="2"/>
      <c r="U828" s="1"/>
      <c r="V828" s="2"/>
      <c r="W828" s="2"/>
      <c r="X828" s="2"/>
      <c r="Y828" s="2"/>
      <c r="Z828" s="2"/>
    </row>
    <row r="829" spans="1:26" ht="15.75" customHeight="1" x14ac:dyDescent="0.2">
      <c r="A829" s="12"/>
      <c r="B829" s="10"/>
      <c r="C829" s="11"/>
      <c r="D829" s="13"/>
      <c r="E829" s="13"/>
      <c r="F829" s="13"/>
      <c r="G829" s="2"/>
      <c r="H829" s="2"/>
      <c r="I829" s="13"/>
      <c r="J829" s="13"/>
      <c r="K829" s="13"/>
      <c r="L829" s="14"/>
      <c r="M829" s="4"/>
      <c r="N829" s="2"/>
      <c r="O829" s="4"/>
      <c r="P829" s="2"/>
      <c r="Q829" s="2"/>
      <c r="R829" s="4"/>
      <c r="S829" s="2"/>
      <c r="T829" s="2"/>
      <c r="U829" s="1"/>
      <c r="V829" s="2"/>
      <c r="W829" s="2"/>
      <c r="X829" s="2"/>
      <c r="Y829" s="2"/>
      <c r="Z829" s="2"/>
    </row>
    <row r="830" spans="1:26" ht="15.75" customHeight="1" x14ac:dyDescent="0.2">
      <c r="A830" s="12"/>
      <c r="B830" s="10"/>
      <c r="C830" s="11"/>
      <c r="D830" s="13"/>
      <c r="E830" s="13"/>
      <c r="F830" s="13"/>
      <c r="G830" s="2"/>
      <c r="H830" s="2"/>
      <c r="I830" s="13"/>
      <c r="J830" s="13"/>
      <c r="K830" s="13"/>
      <c r="L830" s="14"/>
      <c r="M830" s="4"/>
      <c r="N830" s="2"/>
      <c r="O830" s="4"/>
      <c r="P830" s="2"/>
      <c r="Q830" s="2"/>
      <c r="R830" s="4"/>
      <c r="S830" s="2"/>
      <c r="T830" s="2"/>
      <c r="U830" s="1"/>
      <c r="V830" s="2"/>
      <c r="W830" s="2"/>
      <c r="X830" s="2"/>
      <c r="Y830" s="2"/>
      <c r="Z830" s="2"/>
    </row>
    <row r="831" spans="1:26" ht="15.75" customHeight="1" x14ac:dyDescent="0.2">
      <c r="A831" s="12"/>
      <c r="B831" s="10"/>
      <c r="C831" s="11"/>
      <c r="D831" s="13"/>
      <c r="E831" s="13"/>
      <c r="F831" s="13"/>
      <c r="G831" s="2"/>
      <c r="H831" s="2"/>
      <c r="I831" s="13"/>
      <c r="J831" s="13"/>
      <c r="K831" s="13"/>
      <c r="L831" s="14"/>
      <c r="M831" s="4"/>
      <c r="N831" s="2"/>
      <c r="O831" s="4"/>
      <c r="P831" s="2"/>
      <c r="Q831" s="2"/>
      <c r="R831" s="4"/>
      <c r="S831" s="2"/>
      <c r="T831" s="2"/>
      <c r="U831" s="1"/>
      <c r="V831" s="2"/>
      <c r="W831" s="2"/>
      <c r="X831" s="2"/>
      <c r="Y831" s="2"/>
      <c r="Z831" s="2"/>
    </row>
    <row r="832" spans="1:26" ht="15.75" customHeight="1" x14ac:dyDescent="0.2">
      <c r="A832" s="12"/>
      <c r="B832" s="10"/>
      <c r="C832" s="11"/>
      <c r="D832" s="13"/>
      <c r="E832" s="13"/>
      <c r="F832" s="13"/>
      <c r="G832" s="2"/>
      <c r="H832" s="2"/>
      <c r="I832" s="13"/>
      <c r="J832" s="13"/>
      <c r="K832" s="13"/>
      <c r="L832" s="14"/>
      <c r="M832" s="4"/>
      <c r="N832" s="2"/>
      <c r="O832" s="4"/>
      <c r="P832" s="2"/>
      <c r="Q832" s="2"/>
      <c r="R832" s="4"/>
      <c r="S832" s="2"/>
      <c r="T832" s="2"/>
      <c r="U832" s="1"/>
      <c r="V832" s="2"/>
      <c r="W832" s="2"/>
      <c r="X832" s="2"/>
      <c r="Y832" s="2"/>
      <c r="Z832" s="2"/>
    </row>
    <row r="833" spans="1:26" ht="15.75" customHeight="1" x14ac:dyDescent="0.2">
      <c r="A833" s="12"/>
      <c r="B833" s="10"/>
      <c r="C833" s="11"/>
      <c r="D833" s="13"/>
      <c r="E833" s="13"/>
      <c r="F833" s="13"/>
      <c r="G833" s="2"/>
      <c r="H833" s="2"/>
      <c r="I833" s="13"/>
      <c r="J833" s="13"/>
      <c r="K833" s="13"/>
      <c r="L833" s="14"/>
      <c r="M833" s="4"/>
      <c r="N833" s="2"/>
      <c r="O833" s="4"/>
      <c r="P833" s="2"/>
      <c r="Q833" s="2"/>
      <c r="R833" s="4"/>
      <c r="S833" s="2"/>
      <c r="T833" s="2"/>
      <c r="U833" s="1"/>
      <c r="V833" s="2"/>
      <c r="W833" s="2"/>
      <c r="X833" s="2"/>
      <c r="Y833" s="2"/>
      <c r="Z833" s="2"/>
    </row>
    <row r="834" spans="1:26" ht="15.75" customHeight="1" x14ac:dyDescent="0.2">
      <c r="A834" s="12"/>
      <c r="B834" s="10"/>
      <c r="C834" s="11"/>
      <c r="D834" s="13"/>
      <c r="E834" s="13"/>
      <c r="F834" s="13"/>
      <c r="G834" s="2"/>
      <c r="H834" s="2"/>
      <c r="I834" s="13"/>
      <c r="J834" s="13"/>
      <c r="K834" s="13"/>
      <c r="L834" s="14"/>
      <c r="M834" s="4"/>
      <c r="N834" s="2"/>
      <c r="O834" s="4"/>
      <c r="P834" s="2"/>
      <c r="Q834" s="2"/>
      <c r="R834" s="4"/>
      <c r="S834" s="2"/>
      <c r="T834" s="2"/>
      <c r="U834" s="1"/>
      <c r="V834" s="2"/>
      <c r="W834" s="2"/>
      <c r="X834" s="2"/>
      <c r="Y834" s="2"/>
      <c r="Z834" s="2"/>
    </row>
    <row r="835" spans="1:26" ht="15.75" customHeight="1" x14ac:dyDescent="0.2">
      <c r="A835" s="12"/>
      <c r="B835" s="10"/>
      <c r="C835" s="11"/>
      <c r="D835" s="13"/>
      <c r="E835" s="13"/>
      <c r="F835" s="13"/>
      <c r="G835" s="2"/>
      <c r="H835" s="2"/>
      <c r="I835" s="13"/>
      <c r="J835" s="13"/>
      <c r="K835" s="13"/>
      <c r="L835" s="14"/>
      <c r="M835" s="4"/>
      <c r="N835" s="2"/>
      <c r="O835" s="4"/>
      <c r="P835" s="2"/>
      <c r="Q835" s="2"/>
      <c r="R835" s="4"/>
      <c r="S835" s="2"/>
      <c r="T835" s="2"/>
      <c r="U835" s="1"/>
      <c r="V835" s="2"/>
      <c r="W835" s="2"/>
      <c r="X835" s="2"/>
      <c r="Y835" s="2"/>
      <c r="Z835" s="2"/>
    </row>
    <row r="836" spans="1:26" ht="15.75" customHeight="1" x14ac:dyDescent="0.2">
      <c r="A836" s="12"/>
      <c r="B836" s="10"/>
      <c r="C836" s="11"/>
      <c r="D836" s="13"/>
      <c r="E836" s="13"/>
      <c r="F836" s="13"/>
      <c r="G836" s="2"/>
      <c r="H836" s="2"/>
      <c r="I836" s="13"/>
      <c r="J836" s="13"/>
      <c r="K836" s="13"/>
      <c r="L836" s="14"/>
      <c r="M836" s="4"/>
      <c r="N836" s="2"/>
      <c r="O836" s="4"/>
      <c r="P836" s="2"/>
      <c r="Q836" s="2"/>
      <c r="R836" s="4"/>
      <c r="S836" s="2"/>
      <c r="T836" s="2"/>
      <c r="U836" s="1"/>
      <c r="V836" s="2"/>
      <c r="W836" s="2"/>
      <c r="X836" s="2"/>
      <c r="Y836" s="2"/>
      <c r="Z836" s="2"/>
    </row>
    <row r="837" spans="1:26" ht="15.75" customHeight="1" x14ac:dyDescent="0.2">
      <c r="A837" s="12"/>
      <c r="B837" s="10"/>
      <c r="C837" s="11"/>
      <c r="D837" s="13"/>
      <c r="E837" s="13"/>
      <c r="F837" s="13"/>
      <c r="G837" s="2"/>
      <c r="H837" s="2"/>
      <c r="I837" s="13"/>
      <c r="J837" s="13"/>
      <c r="K837" s="13"/>
      <c r="L837" s="14"/>
      <c r="M837" s="4"/>
      <c r="N837" s="2"/>
      <c r="O837" s="4"/>
      <c r="P837" s="2"/>
      <c r="Q837" s="2"/>
      <c r="R837" s="4"/>
      <c r="S837" s="2"/>
      <c r="T837" s="2"/>
      <c r="U837" s="1"/>
      <c r="V837" s="2"/>
      <c r="W837" s="2"/>
      <c r="X837" s="2"/>
      <c r="Y837" s="2"/>
      <c r="Z837" s="2"/>
    </row>
    <row r="838" spans="1:26" ht="15.75" customHeight="1" x14ac:dyDescent="0.2">
      <c r="A838" s="12"/>
      <c r="B838" s="10"/>
      <c r="C838" s="11"/>
      <c r="D838" s="13"/>
      <c r="E838" s="13"/>
      <c r="F838" s="13"/>
      <c r="G838" s="2"/>
      <c r="H838" s="2"/>
      <c r="I838" s="13"/>
      <c r="J838" s="13"/>
      <c r="K838" s="13"/>
      <c r="L838" s="14"/>
      <c r="M838" s="4"/>
      <c r="N838" s="2"/>
      <c r="O838" s="4"/>
      <c r="P838" s="2"/>
      <c r="Q838" s="2"/>
      <c r="R838" s="4"/>
      <c r="S838" s="2"/>
      <c r="T838" s="2"/>
      <c r="U838" s="1"/>
      <c r="V838" s="2"/>
      <c r="W838" s="2"/>
      <c r="X838" s="2"/>
      <c r="Y838" s="2"/>
      <c r="Z838" s="2"/>
    </row>
    <row r="839" spans="1:26" ht="15.75" customHeight="1" x14ac:dyDescent="0.2">
      <c r="A839" s="12"/>
      <c r="B839" s="10"/>
      <c r="C839" s="11"/>
      <c r="D839" s="13"/>
      <c r="E839" s="13"/>
      <c r="F839" s="13"/>
      <c r="G839" s="2"/>
      <c r="H839" s="2"/>
      <c r="I839" s="13"/>
      <c r="J839" s="13"/>
      <c r="K839" s="13"/>
      <c r="L839" s="14"/>
      <c r="M839" s="4"/>
      <c r="N839" s="2"/>
      <c r="O839" s="4"/>
      <c r="P839" s="2"/>
      <c r="Q839" s="2"/>
      <c r="R839" s="4"/>
      <c r="S839" s="2"/>
      <c r="T839" s="2"/>
      <c r="U839" s="1"/>
      <c r="V839" s="2"/>
      <c r="W839" s="2"/>
      <c r="X839" s="2"/>
      <c r="Y839" s="2"/>
      <c r="Z839" s="2"/>
    </row>
    <row r="840" spans="1:26" ht="15.75" customHeight="1" x14ac:dyDescent="0.2">
      <c r="A840" s="12"/>
      <c r="B840" s="10"/>
      <c r="C840" s="11"/>
      <c r="D840" s="13"/>
      <c r="E840" s="13"/>
      <c r="F840" s="13"/>
      <c r="G840" s="2"/>
      <c r="H840" s="2"/>
      <c r="I840" s="13"/>
      <c r="J840" s="13"/>
      <c r="K840" s="13"/>
      <c r="L840" s="14"/>
      <c r="M840" s="4"/>
      <c r="N840" s="2"/>
      <c r="O840" s="4"/>
      <c r="P840" s="2"/>
      <c r="Q840" s="2"/>
      <c r="R840" s="4"/>
      <c r="S840" s="2"/>
      <c r="T840" s="2"/>
      <c r="U840" s="1"/>
      <c r="V840" s="2"/>
      <c r="W840" s="2"/>
      <c r="X840" s="2"/>
      <c r="Y840" s="2"/>
      <c r="Z840" s="2"/>
    </row>
    <row r="841" spans="1:26" ht="15.75" customHeight="1" x14ac:dyDescent="0.2">
      <c r="A841" s="12"/>
      <c r="B841" s="10"/>
      <c r="C841" s="11"/>
      <c r="D841" s="13"/>
      <c r="E841" s="13"/>
      <c r="F841" s="13"/>
      <c r="G841" s="2"/>
      <c r="H841" s="2"/>
      <c r="I841" s="13"/>
      <c r="J841" s="13"/>
      <c r="K841" s="13"/>
      <c r="L841" s="14"/>
      <c r="M841" s="4"/>
      <c r="N841" s="2"/>
      <c r="O841" s="4"/>
      <c r="P841" s="2"/>
      <c r="Q841" s="2"/>
      <c r="R841" s="4"/>
      <c r="S841" s="2"/>
      <c r="T841" s="2"/>
      <c r="U841" s="1"/>
      <c r="V841" s="2"/>
      <c r="W841" s="2"/>
      <c r="X841" s="2"/>
      <c r="Y841" s="2"/>
      <c r="Z841" s="2"/>
    </row>
    <row r="842" spans="1:26" ht="15.75" customHeight="1" x14ac:dyDescent="0.2">
      <c r="A842" s="12"/>
      <c r="B842" s="10"/>
      <c r="C842" s="11"/>
      <c r="D842" s="13"/>
      <c r="E842" s="13"/>
      <c r="F842" s="13"/>
      <c r="G842" s="2"/>
      <c r="H842" s="2"/>
      <c r="I842" s="13"/>
      <c r="J842" s="13"/>
      <c r="K842" s="13"/>
      <c r="L842" s="14"/>
      <c r="M842" s="4"/>
      <c r="N842" s="2"/>
      <c r="O842" s="4"/>
      <c r="P842" s="2"/>
      <c r="Q842" s="2"/>
      <c r="R842" s="4"/>
      <c r="S842" s="2"/>
      <c r="T842" s="2"/>
      <c r="U842" s="1"/>
      <c r="V842" s="2"/>
      <c r="W842" s="2"/>
      <c r="X842" s="2"/>
      <c r="Y842" s="2"/>
      <c r="Z842" s="2"/>
    </row>
    <row r="843" spans="1:26" ht="15.75" customHeight="1" x14ac:dyDescent="0.2">
      <c r="A843" s="12"/>
      <c r="B843" s="10"/>
      <c r="C843" s="11"/>
      <c r="D843" s="13"/>
      <c r="E843" s="13"/>
      <c r="F843" s="13"/>
      <c r="G843" s="2"/>
      <c r="H843" s="2"/>
      <c r="I843" s="13"/>
      <c r="J843" s="13"/>
      <c r="K843" s="13"/>
      <c r="L843" s="14"/>
      <c r="M843" s="4"/>
      <c r="N843" s="2"/>
      <c r="O843" s="4"/>
      <c r="P843" s="2"/>
      <c r="Q843" s="2"/>
      <c r="R843" s="4"/>
      <c r="S843" s="2"/>
      <c r="T843" s="2"/>
      <c r="U843" s="1"/>
      <c r="V843" s="2"/>
      <c r="W843" s="2"/>
      <c r="X843" s="2"/>
      <c r="Y843" s="2"/>
      <c r="Z843" s="2"/>
    </row>
    <row r="844" spans="1:26" ht="15.75" customHeight="1" x14ac:dyDescent="0.2">
      <c r="A844" s="12"/>
      <c r="B844" s="10"/>
      <c r="C844" s="11"/>
      <c r="D844" s="13"/>
      <c r="E844" s="13"/>
      <c r="F844" s="13"/>
      <c r="G844" s="2"/>
      <c r="H844" s="2"/>
      <c r="I844" s="13"/>
      <c r="J844" s="13"/>
      <c r="K844" s="13"/>
      <c r="L844" s="14"/>
      <c r="M844" s="4"/>
      <c r="N844" s="2"/>
      <c r="O844" s="4"/>
      <c r="P844" s="2"/>
      <c r="Q844" s="2"/>
      <c r="R844" s="4"/>
      <c r="S844" s="2"/>
      <c r="T844" s="2"/>
      <c r="U844" s="1"/>
      <c r="V844" s="2"/>
      <c r="W844" s="2"/>
      <c r="X844" s="2"/>
      <c r="Y844" s="2"/>
      <c r="Z844" s="2"/>
    </row>
    <row r="845" spans="1:26" ht="15.75" customHeight="1" x14ac:dyDescent="0.2">
      <c r="A845" s="12"/>
      <c r="B845" s="10"/>
      <c r="C845" s="11"/>
      <c r="D845" s="13"/>
      <c r="E845" s="13"/>
      <c r="F845" s="13"/>
      <c r="G845" s="2"/>
      <c r="H845" s="2"/>
      <c r="I845" s="13"/>
      <c r="J845" s="13"/>
      <c r="K845" s="13"/>
      <c r="L845" s="14"/>
      <c r="M845" s="4"/>
      <c r="N845" s="2"/>
      <c r="O845" s="4"/>
      <c r="P845" s="2"/>
      <c r="Q845" s="2"/>
      <c r="R845" s="4"/>
      <c r="S845" s="2"/>
      <c r="T845" s="2"/>
      <c r="U845" s="1"/>
      <c r="V845" s="2"/>
      <c r="W845" s="2"/>
      <c r="X845" s="2"/>
      <c r="Y845" s="2"/>
      <c r="Z845" s="2"/>
    </row>
    <row r="846" spans="1:26" ht="15.75" customHeight="1" x14ac:dyDescent="0.2">
      <c r="A846" s="12"/>
      <c r="B846" s="10"/>
      <c r="C846" s="11"/>
      <c r="D846" s="13"/>
      <c r="E846" s="13"/>
      <c r="F846" s="13"/>
      <c r="G846" s="2"/>
      <c r="H846" s="2"/>
      <c r="I846" s="13"/>
      <c r="J846" s="13"/>
      <c r="K846" s="13"/>
      <c r="L846" s="14"/>
      <c r="M846" s="4"/>
      <c r="N846" s="2"/>
      <c r="O846" s="4"/>
      <c r="P846" s="2"/>
      <c r="Q846" s="2"/>
      <c r="R846" s="4"/>
      <c r="S846" s="2"/>
      <c r="T846" s="2"/>
      <c r="U846" s="1"/>
      <c r="V846" s="2"/>
      <c r="W846" s="2"/>
      <c r="X846" s="2"/>
      <c r="Y846" s="2"/>
      <c r="Z846" s="2"/>
    </row>
    <row r="847" spans="1:26" ht="15.75" customHeight="1" x14ac:dyDescent="0.2">
      <c r="A847" s="12"/>
      <c r="B847" s="10"/>
      <c r="C847" s="11"/>
      <c r="D847" s="13"/>
      <c r="E847" s="13"/>
      <c r="F847" s="13"/>
      <c r="G847" s="2"/>
      <c r="H847" s="2"/>
      <c r="I847" s="13"/>
      <c r="J847" s="13"/>
      <c r="K847" s="13"/>
      <c r="L847" s="14"/>
      <c r="M847" s="4"/>
      <c r="N847" s="2"/>
      <c r="O847" s="4"/>
      <c r="P847" s="2"/>
      <c r="Q847" s="2"/>
      <c r="R847" s="4"/>
      <c r="S847" s="2"/>
      <c r="T847" s="2"/>
      <c r="U847" s="1"/>
      <c r="V847" s="2"/>
      <c r="W847" s="2"/>
      <c r="X847" s="2"/>
      <c r="Y847" s="2"/>
      <c r="Z847" s="2"/>
    </row>
    <row r="848" spans="1:26" ht="15.75" customHeight="1" x14ac:dyDescent="0.2">
      <c r="A848" s="12"/>
      <c r="B848" s="10"/>
      <c r="C848" s="11"/>
      <c r="D848" s="13"/>
      <c r="E848" s="13"/>
      <c r="F848" s="13"/>
      <c r="G848" s="2"/>
      <c r="H848" s="2"/>
      <c r="I848" s="13"/>
      <c r="J848" s="13"/>
      <c r="K848" s="13"/>
      <c r="L848" s="14"/>
      <c r="M848" s="4"/>
      <c r="N848" s="2"/>
      <c r="O848" s="4"/>
      <c r="P848" s="2"/>
      <c r="Q848" s="2"/>
      <c r="R848" s="4"/>
      <c r="S848" s="2"/>
      <c r="T848" s="2"/>
      <c r="U848" s="1"/>
      <c r="V848" s="2"/>
      <c r="W848" s="2"/>
      <c r="X848" s="2"/>
      <c r="Y848" s="2"/>
      <c r="Z848" s="2"/>
    </row>
    <row r="849" spans="1:26" ht="15.75" customHeight="1" x14ac:dyDescent="0.2">
      <c r="A849" s="12"/>
      <c r="B849" s="10"/>
      <c r="C849" s="11"/>
      <c r="D849" s="13"/>
      <c r="E849" s="13"/>
      <c r="F849" s="13"/>
      <c r="G849" s="2"/>
      <c r="H849" s="2"/>
      <c r="I849" s="13"/>
      <c r="J849" s="13"/>
      <c r="K849" s="13"/>
      <c r="L849" s="14"/>
      <c r="M849" s="4"/>
      <c r="N849" s="2"/>
      <c r="O849" s="4"/>
      <c r="P849" s="2"/>
      <c r="Q849" s="2"/>
      <c r="R849" s="4"/>
      <c r="S849" s="2"/>
      <c r="T849" s="2"/>
      <c r="U849" s="1"/>
      <c r="V849" s="2"/>
      <c r="W849" s="2"/>
      <c r="X849" s="2"/>
      <c r="Y849" s="2"/>
      <c r="Z849" s="2"/>
    </row>
    <row r="850" spans="1:26" ht="15.75" customHeight="1" x14ac:dyDescent="0.2">
      <c r="A850" s="12"/>
      <c r="B850" s="10"/>
      <c r="C850" s="11"/>
      <c r="D850" s="13"/>
      <c r="E850" s="13"/>
      <c r="F850" s="13"/>
      <c r="G850" s="2"/>
      <c r="H850" s="2"/>
      <c r="I850" s="13"/>
      <c r="J850" s="13"/>
      <c r="K850" s="13"/>
      <c r="L850" s="14"/>
      <c r="M850" s="4"/>
      <c r="N850" s="2"/>
      <c r="O850" s="4"/>
      <c r="P850" s="2"/>
      <c r="Q850" s="2"/>
      <c r="R850" s="4"/>
      <c r="S850" s="2"/>
      <c r="T850" s="2"/>
      <c r="U850" s="1"/>
      <c r="V850" s="2"/>
      <c r="W850" s="2"/>
      <c r="X850" s="2"/>
      <c r="Y850" s="2"/>
      <c r="Z850" s="2"/>
    </row>
    <row r="851" spans="1:26" ht="15.75" customHeight="1" x14ac:dyDescent="0.2">
      <c r="A851" s="12"/>
      <c r="B851" s="10"/>
      <c r="C851" s="11"/>
      <c r="D851" s="13"/>
      <c r="E851" s="13"/>
      <c r="F851" s="13"/>
      <c r="G851" s="2"/>
      <c r="H851" s="2"/>
      <c r="I851" s="13"/>
      <c r="J851" s="13"/>
      <c r="K851" s="13"/>
      <c r="L851" s="14"/>
      <c r="M851" s="4"/>
      <c r="N851" s="2"/>
      <c r="O851" s="4"/>
      <c r="P851" s="2"/>
      <c r="Q851" s="2"/>
      <c r="R851" s="4"/>
      <c r="S851" s="2"/>
      <c r="T851" s="2"/>
      <c r="U851" s="1"/>
      <c r="V851" s="2"/>
      <c r="W851" s="2"/>
      <c r="X851" s="2"/>
      <c r="Y851" s="2"/>
      <c r="Z851" s="2"/>
    </row>
    <row r="852" spans="1:26" ht="15.75" customHeight="1" x14ac:dyDescent="0.2">
      <c r="A852" s="12"/>
      <c r="B852" s="10"/>
      <c r="C852" s="11"/>
      <c r="D852" s="13"/>
      <c r="E852" s="13"/>
      <c r="F852" s="13"/>
      <c r="G852" s="2"/>
      <c r="H852" s="2"/>
      <c r="I852" s="13"/>
      <c r="J852" s="13"/>
      <c r="K852" s="13"/>
      <c r="L852" s="14"/>
      <c r="M852" s="4"/>
      <c r="N852" s="2"/>
      <c r="O852" s="4"/>
      <c r="P852" s="2"/>
      <c r="Q852" s="2"/>
      <c r="R852" s="4"/>
      <c r="S852" s="2"/>
      <c r="T852" s="2"/>
      <c r="U852" s="1"/>
      <c r="V852" s="2"/>
      <c r="W852" s="2"/>
      <c r="X852" s="2"/>
      <c r="Y852" s="2"/>
      <c r="Z852" s="2"/>
    </row>
    <row r="853" spans="1:26" ht="15.75" customHeight="1" x14ac:dyDescent="0.2">
      <c r="A853" s="12"/>
      <c r="B853" s="10"/>
      <c r="C853" s="11"/>
      <c r="D853" s="13"/>
      <c r="E853" s="13"/>
      <c r="F853" s="13"/>
      <c r="G853" s="2"/>
      <c r="H853" s="2"/>
      <c r="I853" s="13"/>
      <c r="J853" s="13"/>
      <c r="K853" s="13"/>
      <c r="L853" s="14"/>
      <c r="M853" s="4"/>
      <c r="N853" s="2"/>
      <c r="O853" s="4"/>
      <c r="P853" s="2"/>
      <c r="Q853" s="2"/>
      <c r="R853" s="4"/>
      <c r="S853" s="2"/>
      <c r="T853" s="2"/>
      <c r="U853" s="1"/>
      <c r="V853" s="2"/>
      <c r="W853" s="2"/>
      <c r="X853" s="2"/>
      <c r="Y853" s="2"/>
      <c r="Z853" s="2"/>
    </row>
    <row r="854" spans="1:26" ht="15.75" customHeight="1" x14ac:dyDescent="0.2">
      <c r="A854" s="12"/>
      <c r="B854" s="10"/>
      <c r="C854" s="11"/>
      <c r="D854" s="13"/>
      <c r="E854" s="13"/>
      <c r="F854" s="13"/>
      <c r="G854" s="2"/>
      <c r="H854" s="2"/>
      <c r="I854" s="13"/>
      <c r="J854" s="13"/>
      <c r="K854" s="13"/>
      <c r="L854" s="14"/>
      <c r="M854" s="4"/>
      <c r="N854" s="2"/>
      <c r="O854" s="4"/>
      <c r="P854" s="2"/>
      <c r="Q854" s="2"/>
      <c r="R854" s="4"/>
      <c r="S854" s="2"/>
      <c r="T854" s="2"/>
      <c r="U854" s="1"/>
      <c r="V854" s="2"/>
      <c r="W854" s="2"/>
      <c r="X854" s="2"/>
      <c r="Y854" s="2"/>
      <c r="Z854" s="2"/>
    </row>
    <row r="855" spans="1:26" ht="15.75" customHeight="1" x14ac:dyDescent="0.2">
      <c r="A855" s="12"/>
      <c r="B855" s="10"/>
      <c r="C855" s="11"/>
      <c r="D855" s="13"/>
      <c r="E855" s="13"/>
      <c r="F855" s="13"/>
      <c r="G855" s="2"/>
      <c r="H855" s="2"/>
      <c r="I855" s="13"/>
      <c r="J855" s="13"/>
      <c r="K855" s="13"/>
      <c r="L855" s="14"/>
      <c r="M855" s="4"/>
      <c r="N855" s="2"/>
      <c r="O855" s="4"/>
      <c r="P855" s="2"/>
      <c r="Q855" s="2"/>
      <c r="R855" s="4"/>
      <c r="S855" s="2"/>
      <c r="T855" s="2"/>
      <c r="U855" s="1"/>
      <c r="V855" s="2"/>
      <c r="W855" s="2"/>
      <c r="X855" s="2"/>
      <c r="Y855" s="2"/>
      <c r="Z855" s="2"/>
    </row>
    <row r="856" spans="1:26" ht="15.75" customHeight="1" x14ac:dyDescent="0.2">
      <c r="A856" s="12"/>
      <c r="B856" s="10"/>
      <c r="C856" s="11"/>
      <c r="D856" s="13"/>
      <c r="E856" s="13"/>
      <c r="F856" s="13"/>
      <c r="G856" s="2"/>
      <c r="H856" s="2"/>
      <c r="I856" s="13"/>
      <c r="J856" s="13"/>
      <c r="K856" s="13"/>
      <c r="L856" s="14"/>
      <c r="M856" s="4"/>
      <c r="N856" s="2"/>
      <c r="O856" s="4"/>
      <c r="P856" s="2"/>
      <c r="Q856" s="2"/>
      <c r="R856" s="4"/>
      <c r="S856" s="2"/>
      <c r="T856" s="2"/>
      <c r="U856" s="1"/>
      <c r="V856" s="2"/>
      <c r="W856" s="2"/>
      <c r="X856" s="2"/>
      <c r="Y856" s="2"/>
      <c r="Z856" s="2"/>
    </row>
    <row r="857" spans="1:26" ht="15.75" customHeight="1" x14ac:dyDescent="0.2">
      <c r="A857" s="12"/>
      <c r="B857" s="10"/>
      <c r="C857" s="11"/>
      <c r="D857" s="13"/>
      <c r="E857" s="13"/>
      <c r="F857" s="13"/>
      <c r="G857" s="2"/>
      <c r="H857" s="2"/>
      <c r="I857" s="13"/>
      <c r="J857" s="13"/>
      <c r="K857" s="13"/>
      <c r="L857" s="14"/>
      <c r="M857" s="4"/>
      <c r="N857" s="2"/>
      <c r="O857" s="4"/>
      <c r="P857" s="2"/>
      <c r="Q857" s="2"/>
      <c r="R857" s="4"/>
      <c r="S857" s="2"/>
      <c r="T857" s="2"/>
      <c r="U857" s="1"/>
      <c r="V857" s="2"/>
      <c r="W857" s="2"/>
      <c r="X857" s="2"/>
      <c r="Y857" s="2"/>
      <c r="Z857" s="2"/>
    </row>
    <row r="858" spans="1:26" ht="15.75" customHeight="1" x14ac:dyDescent="0.2">
      <c r="A858" s="12"/>
      <c r="B858" s="10"/>
      <c r="C858" s="11"/>
      <c r="D858" s="13"/>
      <c r="E858" s="13"/>
      <c r="F858" s="13"/>
      <c r="G858" s="2"/>
      <c r="H858" s="2"/>
      <c r="I858" s="13"/>
      <c r="J858" s="13"/>
      <c r="K858" s="13"/>
      <c r="L858" s="14"/>
      <c r="M858" s="4"/>
      <c r="N858" s="2"/>
      <c r="O858" s="4"/>
      <c r="P858" s="2"/>
      <c r="Q858" s="2"/>
      <c r="R858" s="4"/>
      <c r="S858" s="2"/>
      <c r="T858" s="2"/>
      <c r="U858" s="1"/>
      <c r="V858" s="2"/>
      <c r="W858" s="2"/>
      <c r="X858" s="2"/>
      <c r="Y858" s="2"/>
      <c r="Z858" s="2"/>
    </row>
    <row r="859" spans="1:26" ht="15.75" customHeight="1" x14ac:dyDescent="0.2">
      <c r="A859" s="12"/>
      <c r="B859" s="10"/>
      <c r="C859" s="11"/>
      <c r="D859" s="13"/>
      <c r="E859" s="13"/>
      <c r="F859" s="13"/>
      <c r="G859" s="2"/>
      <c r="H859" s="2"/>
      <c r="I859" s="13"/>
      <c r="J859" s="13"/>
      <c r="K859" s="13"/>
      <c r="L859" s="14"/>
      <c r="M859" s="4"/>
      <c r="N859" s="2"/>
      <c r="O859" s="4"/>
      <c r="P859" s="2"/>
      <c r="Q859" s="2"/>
      <c r="R859" s="4"/>
      <c r="S859" s="2"/>
      <c r="T859" s="2"/>
      <c r="U859" s="1"/>
      <c r="V859" s="2"/>
      <c r="W859" s="2"/>
      <c r="X859" s="2"/>
      <c r="Y859" s="2"/>
      <c r="Z859" s="2"/>
    </row>
    <row r="860" spans="1:26" ht="15.75" customHeight="1" x14ac:dyDescent="0.2">
      <c r="A860" s="12"/>
      <c r="B860" s="10"/>
      <c r="C860" s="11"/>
      <c r="D860" s="13"/>
      <c r="E860" s="13"/>
      <c r="F860" s="13"/>
      <c r="G860" s="2"/>
      <c r="H860" s="2"/>
      <c r="I860" s="13"/>
      <c r="J860" s="13"/>
      <c r="K860" s="13"/>
      <c r="L860" s="14"/>
      <c r="M860" s="4"/>
      <c r="N860" s="2"/>
      <c r="O860" s="4"/>
      <c r="P860" s="2"/>
      <c r="Q860" s="2"/>
      <c r="R860" s="4"/>
      <c r="S860" s="2"/>
      <c r="T860" s="2"/>
      <c r="U860" s="1"/>
      <c r="V860" s="2"/>
      <c r="W860" s="2"/>
      <c r="X860" s="2"/>
      <c r="Y860" s="2"/>
      <c r="Z860" s="2"/>
    </row>
    <row r="861" spans="1:26" ht="15.75" customHeight="1" x14ac:dyDescent="0.2">
      <c r="A861" s="12"/>
      <c r="B861" s="10"/>
      <c r="C861" s="11"/>
      <c r="D861" s="13"/>
      <c r="E861" s="13"/>
      <c r="F861" s="13"/>
      <c r="G861" s="2"/>
      <c r="H861" s="2"/>
      <c r="I861" s="13"/>
      <c r="J861" s="13"/>
      <c r="K861" s="13"/>
      <c r="L861" s="14"/>
      <c r="M861" s="4"/>
      <c r="N861" s="2"/>
      <c r="O861" s="4"/>
      <c r="P861" s="2"/>
      <c r="Q861" s="2"/>
      <c r="R861" s="4"/>
      <c r="S861" s="2"/>
      <c r="T861" s="2"/>
      <c r="U861" s="1"/>
      <c r="V861" s="2"/>
      <c r="W861" s="2"/>
      <c r="X861" s="2"/>
      <c r="Y861" s="2"/>
      <c r="Z861" s="2"/>
    </row>
    <row r="862" spans="1:26" ht="15.75" customHeight="1" x14ac:dyDescent="0.2">
      <c r="A862" s="12"/>
      <c r="B862" s="10"/>
      <c r="C862" s="11"/>
      <c r="D862" s="13"/>
      <c r="E862" s="13"/>
      <c r="F862" s="13"/>
      <c r="G862" s="2"/>
      <c r="H862" s="2"/>
      <c r="I862" s="13"/>
      <c r="J862" s="13"/>
      <c r="K862" s="13"/>
      <c r="L862" s="14"/>
      <c r="M862" s="4"/>
      <c r="N862" s="2"/>
      <c r="O862" s="4"/>
      <c r="P862" s="2"/>
      <c r="Q862" s="2"/>
      <c r="R862" s="4"/>
      <c r="S862" s="2"/>
      <c r="T862" s="2"/>
      <c r="U862" s="1"/>
      <c r="V862" s="2"/>
      <c r="W862" s="2"/>
      <c r="X862" s="2"/>
      <c r="Y862" s="2"/>
      <c r="Z862" s="2"/>
    </row>
    <row r="863" spans="1:26" ht="15.75" customHeight="1" x14ac:dyDescent="0.2">
      <c r="A863" s="12"/>
      <c r="B863" s="10"/>
      <c r="C863" s="11"/>
      <c r="D863" s="13"/>
      <c r="E863" s="13"/>
      <c r="F863" s="13"/>
      <c r="G863" s="2"/>
      <c r="H863" s="2"/>
      <c r="I863" s="13"/>
      <c r="J863" s="13"/>
      <c r="K863" s="13"/>
      <c r="L863" s="14"/>
      <c r="M863" s="4"/>
      <c r="N863" s="2"/>
      <c r="O863" s="4"/>
      <c r="P863" s="2"/>
      <c r="Q863" s="2"/>
      <c r="R863" s="4"/>
      <c r="S863" s="2"/>
      <c r="T863" s="2"/>
      <c r="U863" s="1"/>
      <c r="V863" s="2"/>
      <c r="W863" s="2"/>
      <c r="X863" s="2"/>
      <c r="Y863" s="2"/>
      <c r="Z863" s="2"/>
    </row>
    <row r="864" spans="1:26" ht="15.75" customHeight="1" x14ac:dyDescent="0.2">
      <c r="A864" s="12"/>
      <c r="B864" s="10"/>
      <c r="C864" s="11"/>
      <c r="D864" s="13"/>
      <c r="E864" s="13"/>
      <c r="F864" s="13"/>
      <c r="G864" s="2"/>
      <c r="H864" s="2"/>
      <c r="I864" s="13"/>
      <c r="J864" s="13"/>
      <c r="K864" s="13"/>
      <c r="L864" s="14"/>
      <c r="M864" s="4"/>
      <c r="N864" s="2"/>
      <c r="O864" s="4"/>
      <c r="P864" s="2"/>
      <c r="Q864" s="2"/>
      <c r="R864" s="4"/>
      <c r="S864" s="2"/>
      <c r="T864" s="2"/>
      <c r="U864" s="1"/>
      <c r="V864" s="2"/>
      <c r="W864" s="2"/>
      <c r="X864" s="2"/>
      <c r="Y864" s="2"/>
      <c r="Z864" s="2"/>
    </row>
    <row r="865" spans="1:26" ht="15.75" customHeight="1" x14ac:dyDescent="0.2">
      <c r="A865" s="12"/>
      <c r="B865" s="10"/>
      <c r="C865" s="11"/>
      <c r="D865" s="13"/>
      <c r="E865" s="13"/>
      <c r="F865" s="13"/>
      <c r="G865" s="2"/>
      <c r="H865" s="2"/>
      <c r="I865" s="13"/>
      <c r="J865" s="13"/>
      <c r="K865" s="13"/>
      <c r="L865" s="14"/>
      <c r="M865" s="4"/>
      <c r="N865" s="2"/>
      <c r="O865" s="4"/>
      <c r="P865" s="2"/>
      <c r="Q865" s="2"/>
      <c r="R865" s="4"/>
      <c r="S865" s="2"/>
      <c r="T865" s="2"/>
      <c r="U865" s="1"/>
      <c r="V865" s="2"/>
      <c r="W865" s="2"/>
      <c r="X865" s="2"/>
      <c r="Y865" s="2"/>
      <c r="Z865" s="2"/>
    </row>
    <row r="866" spans="1:26" ht="15.75" customHeight="1" x14ac:dyDescent="0.2">
      <c r="A866" s="12"/>
      <c r="B866" s="10"/>
      <c r="C866" s="11"/>
      <c r="D866" s="13"/>
      <c r="E866" s="13"/>
      <c r="F866" s="13"/>
      <c r="G866" s="2"/>
      <c r="H866" s="2"/>
      <c r="I866" s="13"/>
      <c r="J866" s="13"/>
      <c r="K866" s="13"/>
      <c r="L866" s="14"/>
      <c r="M866" s="4"/>
      <c r="N866" s="2"/>
      <c r="O866" s="4"/>
      <c r="P866" s="2"/>
      <c r="Q866" s="2"/>
      <c r="R866" s="4"/>
      <c r="S866" s="2"/>
      <c r="T866" s="2"/>
      <c r="U866" s="1"/>
      <c r="V866" s="2"/>
      <c r="W866" s="2"/>
      <c r="X866" s="2"/>
      <c r="Y866" s="2"/>
      <c r="Z866" s="2"/>
    </row>
    <row r="867" spans="1:26" ht="15.75" customHeight="1" x14ac:dyDescent="0.2">
      <c r="A867" s="12"/>
      <c r="B867" s="10"/>
      <c r="C867" s="11"/>
      <c r="D867" s="13"/>
      <c r="E867" s="13"/>
      <c r="F867" s="13"/>
      <c r="G867" s="2"/>
      <c r="H867" s="2"/>
      <c r="I867" s="13"/>
      <c r="J867" s="13"/>
      <c r="K867" s="13"/>
      <c r="L867" s="14"/>
      <c r="M867" s="4"/>
      <c r="N867" s="2"/>
      <c r="O867" s="4"/>
      <c r="P867" s="2"/>
      <c r="Q867" s="2"/>
      <c r="R867" s="4"/>
      <c r="S867" s="2"/>
      <c r="T867" s="2"/>
      <c r="U867" s="1"/>
      <c r="V867" s="2"/>
      <c r="W867" s="2"/>
      <c r="X867" s="2"/>
      <c r="Y867" s="2"/>
      <c r="Z867" s="2"/>
    </row>
    <row r="868" spans="1:26" ht="15.75" customHeight="1" x14ac:dyDescent="0.2">
      <c r="A868" s="12"/>
      <c r="B868" s="10"/>
      <c r="C868" s="11"/>
      <c r="D868" s="13"/>
      <c r="E868" s="13"/>
      <c r="F868" s="13"/>
      <c r="G868" s="2"/>
      <c r="H868" s="2"/>
      <c r="I868" s="13"/>
      <c r="J868" s="13"/>
      <c r="K868" s="13"/>
      <c r="L868" s="14"/>
      <c r="M868" s="4"/>
      <c r="N868" s="2"/>
      <c r="O868" s="4"/>
      <c r="P868" s="2"/>
      <c r="Q868" s="2"/>
      <c r="R868" s="4"/>
      <c r="S868" s="2"/>
      <c r="T868" s="2"/>
      <c r="U868" s="1"/>
      <c r="V868" s="2"/>
      <c r="W868" s="2"/>
      <c r="X868" s="2"/>
      <c r="Y868" s="2"/>
      <c r="Z868" s="2"/>
    </row>
    <row r="869" spans="1:26" ht="15.75" customHeight="1" x14ac:dyDescent="0.2">
      <c r="A869" s="12"/>
      <c r="B869" s="10"/>
      <c r="C869" s="11"/>
      <c r="D869" s="13"/>
      <c r="E869" s="13"/>
      <c r="F869" s="13"/>
      <c r="G869" s="2"/>
      <c r="H869" s="2"/>
      <c r="I869" s="13"/>
      <c r="J869" s="13"/>
      <c r="K869" s="13"/>
      <c r="L869" s="14"/>
      <c r="M869" s="4"/>
      <c r="N869" s="2"/>
      <c r="O869" s="4"/>
      <c r="P869" s="2"/>
      <c r="Q869" s="2"/>
      <c r="R869" s="4"/>
      <c r="S869" s="2"/>
      <c r="T869" s="2"/>
      <c r="U869" s="1"/>
      <c r="V869" s="2"/>
      <c r="W869" s="2"/>
      <c r="X869" s="2"/>
      <c r="Y869" s="2"/>
      <c r="Z869" s="2"/>
    </row>
    <row r="870" spans="1:26" ht="15.75" customHeight="1" x14ac:dyDescent="0.2">
      <c r="A870" s="12"/>
      <c r="B870" s="10"/>
      <c r="C870" s="11"/>
      <c r="D870" s="13"/>
      <c r="E870" s="13"/>
      <c r="F870" s="13"/>
      <c r="G870" s="2"/>
      <c r="H870" s="2"/>
      <c r="I870" s="13"/>
      <c r="J870" s="13"/>
      <c r="K870" s="13"/>
      <c r="L870" s="14"/>
      <c r="M870" s="4"/>
      <c r="N870" s="2"/>
      <c r="O870" s="4"/>
      <c r="P870" s="2"/>
      <c r="Q870" s="2"/>
      <c r="R870" s="4"/>
      <c r="S870" s="2"/>
      <c r="T870" s="2"/>
      <c r="U870" s="1"/>
      <c r="V870" s="2"/>
      <c r="W870" s="2"/>
      <c r="X870" s="2"/>
      <c r="Y870" s="2"/>
      <c r="Z870" s="2"/>
    </row>
    <row r="871" spans="1:26" ht="15.75" customHeight="1" x14ac:dyDescent="0.2">
      <c r="A871" s="12"/>
      <c r="B871" s="10"/>
      <c r="C871" s="11"/>
      <c r="D871" s="13"/>
      <c r="E871" s="13"/>
      <c r="F871" s="13"/>
      <c r="G871" s="2"/>
      <c r="H871" s="2"/>
      <c r="I871" s="13"/>
      <c r="J871" s="13"/>
      <c r="K871" s="13"/>
      <c r="L871" s="14"/>
      <c r="M871" s="4"/>
      <c r="N871" s="2"/>
      <c r="O871" s="4"/>
      <c r="P871" s="2"/>
      <c r="Q871" s="2"/>
      <c r="R871" s="4"/>
      <c r="S871" s="2"/>
      <c r="T871" s="2"/>
      <c r="U871" s="1"/>
      <c r="V871" s="2"/>
      <c r="W871" s="2"/>
      <c r="X871" s="2"/>
      <c r="Y871" s="2"/>
      <c r="Z871" s="2"/>
    </row>
    <row r="872" spans="1:26" ht="15.75" customHeight="1" x14ac:dyDescent="0.2">
      <c r="A872" s="12"/>
      <c r="B872" s="10"/>
      <c r="C872" s="11"/>
      <c r="D872" s="13"/>
      <c r="E872" s="13"/>
      <c r="F872" s="13"/>
      <c r="G872" s="2"/>
      <c r="H872" s="2"/>
      <c r="I872" s="13"/>
      <c r="J872" s="13"/>
      <c r="K872" s="13"/>
      <c r="L872" s="14"/>
      <c r="M872" s="4"/>
      <c r="N872" s="2"/>
      <c r="O872" s="4"/>
      <c r="P872" s="2"/>
      <c r="Q872" s="2"/>
      <c r="R872" s="4"/>
      <c r="S872" s="2"/>
      <c r="T872" s="2"/>
      <c r="U872" s="1"/>
      <c r="V872" s="2"/>
      <c r="W872" s="2"/>
      <c r="X872" s="2"/>
      <c r="Y872" s="2"/>
      <c r="Z872" s="2"/>
    </row>
    <row r="873" spans="1:26" ht="15.75" customHeight="1" x14ac:dyDescent="0.2">
      <c r="A873" s="12"/>
      <c r="B873" s="10"/>
      <c r="C873" s="11"/>
      <c r="D873" s="13"/>
      <c r="E873" s="13"/>
      <c r="F873" s="13"/>
      <c r="G873" s="2"/>
      <c r="H873" s="2"/>
      <c r="I873" s="13"/>
      <c r="J873" s="13"/>
      <c r="K873" s="13"/>
      <c r="L873" s="14"/>
      <c r="M873" s="4"/>
      <c r="N873" s="2"/>
      <c r="O873" s="4"/>
      <c r="P873" s="2"/>
      <c r="Q873" s="2"/>
      <c r="R873" s="4"/>
      <c r="S873" s="2"/>
      <c r="T873" s="2"/>
      <c r="U873" s="1"/>
      <c r="V873" s="2"/>
      <c r="W873" s="2"/>
      <c r="X873" s="2"/>
      <c r="Y873" s="2"/>
      <c r="Z873" s="2"/>
    </row>
    <row r="874" spans="1:26" ht="15.75" customHeight="1" x14ac:dyDescent="0.2">
      <c r="A874" s="12"/>
      <c r="B874" s="10"/>
      <c r="C874" s="11"/>
      <c r="D874" s="13"/>
      <c r="E874" s="13"/>
      <c r="F874" s="13"/>
      <c r="G874" s="2"/>
      <c r="H874" s="2"/>
      <c r="I874" s="13"/>
      <c r="J874" s="13"/>
      <c r="K874" s="13"/>
      <c r="L874" s="14"/>
      <c r="M874" s="4"/>
      <c r="N874" s="2"/>
      <c r="O874" s="4"/>
      <c r="P874" s="2"/>
      <c r="Q874" s="2"/>
      <c r="R874" s="4"/>
      <c r="S874" s="2"/>
      <c r="T874" s="2"/>
      <c r="U874" s="1"/>
      <c r="V874" s="2"/>
      <c r="W874" s="2"/>
      <c r="X874" s="2"/>
      <c r="Y874" s="2"/>
      <c r="Z874" s="2"/>
    </row>
    <row r="875" spans="1:26" ht="15.75" customHeight="1" x14ac:dyDescent="0.2">
      <c r="A875" s="12"/>
      <c r="B875" s="10"/>
      <c r="C875" s="11"/>
      <c r="D875" s="13"/>
      <c r="E875" s="13"/>
      <c r="F875" s="13"/>
      <c r="G875" s="2"/>
      <c r="H875" s="2"/>
      <c r="I875" s="13"/>
      <c r="J875" s="13"/>
      <c r="K875" s="13"/>
      <c r="L875" s="14"/>
      <c r="M875" s="4"/>
      <c r="N875" s="2"/>
      <c r="O875" s="4"/>
      <c r="P875" s="2"/>
      <c r="Q875" s="2"/>
      <c r="R875" s="4"/>
      <c r="S875" s="2"/>
      <c r="T875" s="2"/>
      <c r="U875" s="1"/>
      <c r="V875" s="2"/>
      <c r="W875" s="2"/>
      <c r="X875" s="2"/>
      <c r="Y875" s="2"/>
      <c r="Z875" s="2"/>
    </row>
    <row r="876" spans="1:26" ht="15.75" customHeight="1" x14ac:dyDescent="0.2">
      <c r="A876" s="12"/>
      <c r="B876" s="10"/>
      <c r="C876" s="11"/>
      <c r="D876" s="13"/>
      <c r="E876" s="13"/>
      <c r="F876" s="13"/>
      <c r="G876" s="2"/>
      <c r="H876" s="2"/>
      <c r="I876" s="13"/>
      <c r="J876" s="13"/>
      <c r="K876" s="13"/>
      <c r="L876" s="14"/>
      <c r="M876" s="4"/>
      <c r="N876" s="2"/>
      <c r="O876" s="4"/>
      <c r="P876" s="2"/>
      <c r="Q876" s="2"/>
      <c r="R876" s="4"/>
      <c r="S876" s="2"/>
      <c r="T876" s="2"/>
      <c r="U876" s="1"/>
      <c r="V876" s="2"/>
      <c r="W876" s="2"/>
      <c r="X876" s="2"/>
      <c r="Y876" s="2"/>
      <c r="Z876" s="2"/>
    </row>
    <row r="877" spans="1:26" ht="15.75" customHeight="1" x14ac:dyDescent="0.2">
      <c r="A877" s="12"/>
      <c r="B877" s="10"/>
      <c r="C877" s="11"/>
      <c r="D877" s="13"/>
      <c r="E877" s="13"/>
      <c r="F877" s="13"/>
      <c r="G877" s="2"/>
      <c r="H877" s="2"/>
      <c r="I877" s="13"/>
      <c r="J877" s="13"/>
      <c r="K877" s="13"/>
      <c r="L877" s="14"/>
      <c r="M877" s="4"/>
      <c r="N877" s="2"/>
      <c r="O877" s="4"/>
      <c r="P877" s="2"/>
      <c r="Q877" s="2"/>
      <c r="R877" s="4"/>
      <c r="S877" s="2"/>
      <c r="T877" s="2"/>
      <c r="U877" s="1"/>
      <c r="V877" s="2"/>
      <c r="W877" s="2"/>
      <c r="X877" s="2"/>
      <c r="Y877" s="2"/>
      <c r="Z877" s="2"/>
    </row>
    <row r="878" spans="1:26" ht="15.75" customHeight="1" x14ac:dyDescent="0.2">
      <c r="A878" s="12"/>
      <c r="B878" s="10"/>
      <c r="C878" s="11"/>
      <c r="D878" s="13"/>
      <c r="E878" s="13"/>
      <c r="F878" s="13"/>
      <c r="G878" s="2"/>
      <c r="H878" s="2"/>
      <c r="I878" s="13"/>
      <c r="J878" s="13"/>
      <c r="K878" s="13"/>
      <c r="L878" s="14"/>
      <c r="M878" s="4"/>
      <c r="N878" s="2"/>
      <c r="O878" s="4"/>
      <c r="P878" s="2"/>
      <c r="Q878" s="2"/>
      <c r="R878" s="4"/>
      <c r="S878" s="2"/>
      <c r="T878" s="2"/>
      <c r="U878" s="1"/>
      <c r="V878" s="2"/>
      <c r="W878" s="2"/>
      <c r="X878" s="2"/>
      <c r="Y878" s="2"/>
      <c r="Z878" s="2"/>
    </row>
    <row r="879" spans="1:26" ht="15.75" customHeight="1" x14ac:dyDescent="0.2">
      <c r="A879" s="12"/>
      <c r="B879" s="10"/>
      <c r="C879" s="11"/>
      <c r="D879" s="13"/>
      <c r="E879" s="13"/>
      <c r="F879" s="13"/>
      <c r="G879" s="2"/>
      <c r="H879" s="2"/>
      <c r="I879" s="13"/>
      <c r="J879" s="13"/>
      <c r="K879" s="13"/>
      <c r="L879" s="14"/>
      <c r="M879" s="4"/>
      <c r="N879" s="2"/>
      <c r="O879" s="4"/>
      <c r="P879" s="2"/>
      <c r="Q879" s="2"/>
      <c r="R879" s="4"/>
      <c r="S879" s="2"/>
      <c r="T879" s="2"/>
      <c r="U879" s="1"/>
      <c r="V879" s="2"/>
      <c r="W879" s="2"/>
      <c r="X879" s="2"/>
      <c r="Y879" s="2"/>
      <c r="Z879" s="2"/>
    </row>
    <row r="880" spans="1:26" ht="15.75" customHeight="1" x14ac:dyDescent="0.2">
      <c r="A880" s="12"/>
      <c r="B880" s="10"/>
      <c r="C880" s="11"/>
      <c r="D880" s="13"/>
      <c r="E880" s="13"/>
      <c r="F880" s="13"/>
      <c r="G880" s="2"/>
      <c r="H880" s="2"/>
      <c r="I880" s="13"/>
      <c r="J880" s="13"/>
      <c r="K880" s="13"/>
      <c r="L880" s="14"/>
      <c r="M880" s="4"/>
      <c r="N880" s="2"/>
      <c r="O880" s="4"/>
      <c r="P880" s="2"/>
      <c r="Q880" s="2"/>
      <c r="R880" s="4"/>
      <c r="S880" s="2"/>
      <c r="T880" s="2"/>
      <c r="U880" s="1"/>
      <c r="V880" s="2"/>
      <c r="W880" s="2"/>
      <c r="X880" s="2"/>
      <c r="Y880" s="2"/>
      <c r="Z880" s="2"/>
    </row>
    <row r="881" spans="1:26" ht="15.75" customHeight="1" x14ac:dyDescent="0.2">
      <c r="A881" s="12"/>
      <c r="B881" s="10"/>
      <c r="C881" s="11"/>
      <c r="D881" s="13"/>
      <c r="E881" s="13"/>
      <c r="F881" s="13"/>
      <c r="G881" s="2"/>
      <c r="H881" s="2"/>
      <c r="I881" s="13"/>
      <c r="J881" s="13"/>
      <c r="K881" s="13"/>
      <c r="L881" s="14"/>
      <c r="M881" s="4"/>
      <c r="N881" s="2"/>
      <c r="O881" s="4"/>
      <c r="P881" s="2"/>
      <c r="Q881" s="2"/>
      <c r="R881" s="4"/>
      <c r="S881" s="2"/>
      <c r="T881" s="2"/>
      <c r="U881" s="1"/>
      <c r="V881" s="2"/>
      <c r="W881" s="2"/>
      <c r="X881" s="2"/>
      <c r="Y881" s="2"/>
      <c r="Z881" s="2"/>
    </row>
    <row r="882" spans="1:26" ht="15.75" customHeight="1" x14ac:dyDescent="0.2">
      <c r="A882" s="12"/>
      <c r="B882" s="10"/>
      <c r="C882" s="11"/>
      <c r="D882" s="13"/>
      <c r="E882" s="13"/>
      <c r="F882" s="13"/>
      <c r="G882" s="2"/>
      <c r="H882" s="2"/>
      <c r="I882" s="13"/>
      <c r="J882" s="13"/>
      <c r="K882" s="13"/>
      <c r="L882" s="14"/>
      <c r="M882" s="4"/>
      <c r="N882" s="2"/>
      <c r="O882" s="4"/>
      <c r="P882" s="2"/>
      <c r="Q882" s="2"/>
      <c r="R882" s="4"/>
      <c r="S882" s="2"/>
      <c r="T882" s="2"/>
      <c r="U882" s="1"/>
      <c r="V882" s="2"/>
      <c r="W882" s="2"/>
      <c r="X882" s="2"/>
      <c r="Y882" s="2"/>
      <c r="Z882" s="2"/>
    </row>
    <row r="883" spans="1:26" ht="15.75" customHeight="1" x14ac:dyDescent="0.2">
      <c r="A883" s="12"/>
      <c r="B883" s="10"/>
      <c r="C883" s="11"/>
      <c r="D883" s="13"/>
      <c r="E883" s="13"/>
      <c r="F883" s="13"/>
      <c r="G883" s="2"/>
      <c r="H883" s="2"/>
      <c r="I883" s="13"/>
      <c r="J883" s="13"/>
      <c r="K883" s="13"/>
      <c r="L883" s="14"/>
      <c r="M883" s="4"/>
      <c r="N883" s="2"/>
      <c r="O883" s="4"/>
      <c r="P883" s="2"/>
      <c r="Q883" s="2"/>
      <c r="R883" s="4"/>
      <c r="S883" s="2"/>
      <c r="T883" s="2"/>
      <c r="U883" s="1"/>
      <c r="V883" s="2"/>
      <c r="W883" s="2"/>
      <c r="X883" s="2"/>
      <c r="Y883" s="2"/>
      <c r="Z883" s="2"/>
    </row>
    <row r="884" spans="1:26" ht="15.75" customHeight="1" x14ac:dyDescent="0.2">
      <c r="A884" s="12"/>
      <c r="B884" s="10"/>
      <c r="C884" s="11"/>
      <c r="D884" s="13"/>
      <c r="E884" s="13"/>
      <c r="F884" s="13"/>
      <c r="G884" s="2"/>
      <c r="H884" s="2"/>
      <c r="I884" s="13"/>
      <c r="J884" s="13"/>
      <c r="K884" s="13"/>
      <c r="L884" s="14"/>
      <c r="M884" s="4"/>
      <c r="N884" s="2"/>
      <c r="O884" s="4"/>
      <c r="P884" s="2"/>
      <c r="Q884" s="2"/>
      <c r="R884" s="4"/>
      <c r="S884" s="2"/>
      <c r="T884" s="2"/>
      <c r="U884" s="1"/>
      <c r="V884" s="2"/>
      <c r="W884" s="2"/>
      <c r="X884" s="2"/>
      <c r="Y884" s="2"/>
      <c r="Z884" s="2"/>
    </row>
    <row r="885" spans="1:26" ht="15.75" customHeight="1" x14ac:dyDescent="0.2">
      <c r="A885" s="12"/>
      <c r="B885" s="10"/>
      <c r="C885" s="11"/>
      <c r="D885" s="13"/>
      <c r="E885" s="13"/>
      <c r="F885" s="13"/>
      <c r="G885" s="2"/>
      <c r="H885" s="2"/>
      <c r="I885" s="13"/>
      <c r="J885" s="13"/>
      <c r="K885" s="13"/>
      <c r="L885" s="14"/>
      <c r="M885" s="4"/>
      <c r="N885" s="2"/>
      <c r="O885" s="4"/>
      <c r="P885" s="2"/>
      <c r="Q885" s="2"/>
      <c r="R885" s="4"/>
      <c r="S885" s="2"/>
      <c r="T885" s="2"/>
      <c r="U885" s="1"/>
      <c r="V885" s="2"/>
      <c r="W885" s="2"/>
      <c r="X885" s="2"/>
      <c r="Y885" s="2"/>
      <c r="Z885" s="2"/>
    </row>
    <row r="886" spans="1:26" ht="15.75" customHeight="1" x14ac:dyDescent="0.2">
      <c r="A886" s="12"/>
      <c r="B886" s="10"/>
      <c r="C886" s="11"/>
      <c r="D886" s="13"/>
      <c r="E886" s="13"/>
      <c r="F886" s="13"/>
      <c r="G886" s="2"/>
      <c r="H886" s="2"/>
      <c r="I886" s="13"/>
      <c r="J886" s="13"/>
      <c r="K886" s="13"/>
      <c r="L886" s="14"/>
      <c r="M886" s="4"/>
      <c r="N886" s="2"/>
      <c r="O886" s="4"/>
      <c r="P886" s="2"/>
      <c r="Q886" s="2"/>
      <c r="R886" s="4"/>
      <c r="S886" s="2"/>
      <c r="T886" s="2"/>
      <c r="U886" s="1"/>
      <c r="V886" s="2"/>
      <c r="W886" s="2"/>
      <c r="X886" s="2"/>
      <c r="Y886" s="2"/>
      <c r="Z886" s="2"/>
    </row>
    <row r="887" spans="1:26" ht="15.75" customHeight="1" x14ac:dyDescent="0.2">
      <c r="A887" s="12"/>
      <c r="B887" s="10"/>
      <c r="C887" s="11"/>
      <c r="D887" s="13"/>
      <c r="E887" s="13"/>
      <c r="F887" s="13"/>
      <c r="G887" s="2"/>
      <c r="H887" s="2"/>
      <c r="I887" s="13"/>
      <c r="J887" s="13"/>
      <c r="K887" s="13"/>
      <c r="L887" s="14"/>
      <c r="M887" s="4"/>
      <c r="N887" s="2"/>
      <c r="O887" s="4"/>
      <c r="P887" s="2"/>
      <c r="Q887" s="2"/>
      <c r="R887" s="4"/>
      <c r="S887" s="2"/>
      <c r="T887" s="2"/>
      <c r="U887" s="1"/>
      <c r="V887" s="2"/>
      <c r="W887" s="2"/>
      <c r="X887" s="2"/>
      <c r="Y887" s="2"/>
      <c r="Z887" s="2"/>
    </row>
    <row r="888" spans="1:26" ht="15.75" customHeight="1" x14ac:dyDescent="0.2">
      <c r="A888" s="12"/>
      <c r="B888" s="10"/>
      <c r="C888" s="11"/>
      <c r="D888" s="13"/>
      <c r="E888" s="13"/>
      <c r="F888" s="13"/>
      <c r="G888" s="2"/>
      <c r="H888" s="2"/>
      <c r="I888" s="13"/>
      <c r="J888" s="13"/>
      <c r="K888" s="13"/>
      <c r="L888" s="14"/>
      <c r="M888" s="4"/>
      <c r="N888" s="2"/>
      <c r="O888" s="4"/>
      <c r="P888" s="2"/>
      <c r="Q888" s="2"/>
      <c r="R888" s="4"/>
      <c r="S888" s="2"/>
      <c r="T888" s="2"/>
      <c r="U888" s="1"/>
      <c r="V888" s="2"/>
      <c r="W888" s="2"/>
      <c r="X888" s="2"/>
      <c r="Y888" s="2"/>
      <c r="Z888" s="2"/>
    </row>
    <row r="889" spans="1:26" ht="15.75" customHeight="1" x14ac:dyDescent="0.2">
      <c r="A889" s="12"/>
      <c r="B889" s="10"/>
      <c r="C889" s="11"/>
      <c r="D889" s="13"/>
      <c r="E889" s="13"/>
      <c r="F889" s="13"/>
      <c r="G889" s="2"/>
      <c r="H889" s="2"/>
      <c r="I889" s="13"/>
      <c r="J889" s="13"/>
      <c r="K889" s="13"/>
      <c r="L889" s="14"/>
      <c r="M889" s="4"/>
      <c r="N889" s="2"/>
      <c r="O889" s="4"/>
      <c r="P889" s="2"/>
      <c r="Q889" s="2"/>
      <c r="R889" s="4"/>
      <c r="S889" s="2"/>
      <c r="T889" s="2"/>
      <c r="U889" s="1"/>
      <c r="V889" s="2"/>
      <c r="W889" s="2"/>
      <c r="X889" s="2"/>
      <c r="Y889" s="2"/>
      <c r="Z889" s="2"/>
    </row>
    <row r="890" spans="1:26" ht="15.75" customHeight="1" x14ac:dyDescent="0.2">
      <c r="A890" s="12"/>
      <c r="B890" s="10"/>
      <c r="C890" s="11"/>
      <c r="D890" s="13"/>
      <c r="E890" s="13"/>
      <c r="F890" s="13"/>
      <c r="G890" s="2"/>
      <c r="H890" s="2"/>
      <c r="I890" s="13"/>
      <c r="J890" s="13"/>
      <c r="K890" s="13"/>
      <c r="L890" s="14"/>
      <c r="M890" s="4"/>
      <c r="N890" s="2"/>
      <c r="O890" s="4"/>
      <c r="P890" s="2"/>
      <c r="Q890" s="2"/>
      <c r="R890" s="4"/>
      <c r="S890" s="2"/>
      <c r="T890" s="2"/>
      <c r="U890" s="1"/>
      <c r="V890" s="2"/>
      <c r="W890" s="2"/>
      <c r="X890" s="2"/>
      <c r="Y890" s="2"/>
      <c r="Z890" s="2"/>
    </row>
    <row r="891" spans="1:26" ht="15.75" customHeight="1" x14ac:dyDescent="0.2">
      <c r="A891" s="12"/>
      <c r="B891" s="10"/>
      <c r="C891" s="11"/>
      <c r="D891" s="13"/>
      <c r="E891" s="13"/>
      <c r="F891" s="13"/>
      <c r="G891" s="2"/>
      <c r="H891" s="2"/>
      <c r="I891" s="13"/>
      <c r="J891" s="13"/>
      <c r="K891" s="13"/>
      <c r="L891" s="14"/>
      <c r="M891" s="4"/>
      <c r="N891" s="2"/>
      <c r="O891" s="4"/>
      <c r="P891" s="2"/>
      <c r="Q891" s="2"/>
      <c r="R891" s="4"/>
      <c r="S891" s="2"/>
      <c r="T891" s="2"/>
      <c r="U891" s="1"/>
      <c r="V891" s="2"/>
      <c r="W891" s="2"/>
      <c r="X891" s="2"/>
      <c r="Y891" s="2"/>
      <c r="Z891" s="2"/>
    </row>
    <row r="892" spans="1:26" ht="15.75" customHeight="1" x14ac:dyDescent="0.2">
      <c r="A892" s="12"/>
      <c r="B892" s="10"/>
      <c r="C892" s="11"/>
      <c r="D892" s="13"/>
      <c r="E892" s="13"/>
      <c r="F892" s="13"/>
      <c r="G892" s="2"/>
      <c r="H892" s="2"/>
      <c r="I892" s="13"/>
      <c r="J892" s="13"/>
      <c r="K892" s="13"/>
      <c r="L892" s="14"/>
      <c r="M892" s="4"/>
      <c r="N892" s="2"/>
      <c r="O892" s="4"/>
      <c r="P892" s="2"/>
      <c r="Q892" s="2"/>
      <c r="R892" s="4"/>
      <c r="S892" s="2"/>
      <c r="T892" s="2"/>
      <c r="U892" s="1"/>
      <c r="V892" s="2"/>
      <c r="W892" s="2"/>
      <c r="X892" s="2"/>
      <c r="Y892" s="2"/>
      <c r="Z892" s="2"/>
    </row>
    <row r="893" spans="1:26" ht="15.75" customHeight="1" x14ac:dyDescent="0.2">
      <c r="A893" s="12"/>
      <c r="B893" s="10"/>
      <c r="C893" s="11"/>
      <c r="D893" s="13"/>
      <c r="E893" s="13"/>
      <c r="F893" s="13"/>
      <c r="G893" s="2"/>
      <c r="H893" s="2"/>
      <c r="I893" s="13"/>
      <c r="J893" s="13"/>
      <c r="K893" s="13"/>
      <c r="L893" s="14"/>
      <c r="M893" s="4"/>
      <c r="N893" s="2"/>
      <c r="O893" s="4"/>
      <c r="P893" s="2"/>
      <c r="Q893" s="2"/>
      <c r="R893" s="4"/>
      <c r="S893" s="2"/>
      <c r="T893" s="2"/>
      <c r="U893" s="1"/>
      <c r="V893" s="2"/>
      <c r="W893" s="2"/>
      <c r="X893" s="2"/>
      <c r="Y893" s="2"/>
      <c r="Z893" s="2"/>
    </row>
    <row r="894" spans="1:26" ht="15.75" customHeight="1" x14ac:dyDescent="0.2">
      <c r="A894" s="12"/>
      <c r="B894" s="10"/>
      <c r="C894" s="11"/>
      <c r="D894" s="13"/>
      <c r="E894" s="13"/>
      <c r="F894" s="13"/>
      <c r="G894" s="2"/>
      <c r="H894" s="2"/>
      <c r="I894" s="13"/>
      <c r="J894" s="13"/>
      <c r="K894" s="13"/>
      <c r="L894" s="14"/>
      <c r="M894" s="4"/>
      <c r="N894" s="2"/>
      <c r="O894" s="4"/>
      <c r="P894" s="2"/>
      <c r="Q894" s="2"/>
      <c r="R894" s="4"/>
      <c r="S894" s="2"/>
      <c r="T894" s="2"/>
      <c r="U894" s="1"/>
      <c r="V894" s="2"/>
      <c r="W894" s="2"/>
      <c r="X894" s="2"/>
      <c r="Y894" s="2"/>
      <c r="Z894" s="2"/>
    </row>
    <row r="895" spans="1:26" ht="15.75" customHeight="1" x14ac:dyDescent="0.2">
      <c r="A895" s="12"/>
      <c r="B895" s="10"/>
      <c r="C895" s="11"/>
      <c r="D895" s="13"/>
      <c r="E895" s="13"/>
      <c r="F895" s="13"/>
      <c r="G895" s="2"/>
      <c r="H895" s="2"/>
      <c r="I895" s="13"/>
      <c r="J895" s="13"/>
      <c r="K895" s="13"/>
      <c r="L895" s="14"/>
      <c r="M895" s="4"/>
      <c r="N895" s="2"/>
      <c r="O895" s="4"/>
      <c r="P895" s="2"/>
      <c r="Q895" s="2"/>
      <c r="R895" s="4"/>
      <c r="S895" s="2"/>
      <c r="T895" s="2"/>
      <c r="U895" s="1"/>
      <c r="V895" s="2"/>
      <c r="W895" s="2"/>
      <c r="X895" s="2"/>
      <c r="Y895" s="2"/>
      <c r="Z895" s="2"/>
    </row>
    <row r="896" spans="1:26" ht="15.75" customHeight="1" x14ac:dyDescent="0.2">
      <c r="A896" s="12"/>
      <c r="B896" s="10"/>
      <c r="C896" s="11"/>
      <c r="D896" s="13"/>
      <c r="E896" s="13"/>
      <c r="F896" s="13"/>
      <c r="G896" s="2"/>
      <c r="H896" s="2"/>
      <c r="I896" s="13"/>
      <c r="J896" s="13"/>
      <c r="K896" s="13"/>
      <c r="L896" s="14"/>
      <c r="M896" s="4"/>
      <c r="N896" s="2"/>
      <c r="O896" s="4"/>
      <c r="P896" s="2"/>
      <c r="Q896" s="2"/>
      <c r="R896" s="4"/>
      <c r="S896" s="2"/>
      <c r="T896" s="2"/>
      <c r="U896" s="1"/>
      <c r="V896" s="2"/>
      <c r="W896" s="2"/>
      <c r="X896" s="2"/>
      <c r="Y896" s="2"/>
      <c r="Z896" s="2"/>
    </row>
    <row r="897" spans="1:26" ht="15.75" customHeight="1" x14ac:dyDescent="0.2">
      <c r="A897" s="12"/>
      <c r="B897" s="10"/>
      <c r="C897" s="11"/>
      <c r="D897" s="13"/>
      <c r="E897" s="13"/>
      <c r="F897" s="13"/>
      <c r="G897" s="2"/>
      <c r="H897" s="2"/>
      <c r="I897" s="13"/>
      <c r="J897" s="13"/>
      <c r="K897" s="13"/>
      <c r="L897" s="14"/>
      <c r="M897" s="4"/>
      <c r="N897" s="2"/>
      <c r="O897" s="4"/>
      <c r="P897" s="2"/>
      <c r="Q897" s="2"/>
      <c r="R897" s="4"/>
      <c r="S897" s="2"/>
      <c r="T897" s="2"/>
      <c r="U897" s="1"/>
      <c r="V897" s="2"/>
      <c r="W897" s="2"/>
      <c r="X897" s="2"/>
      <c r="Y897" s="2"/>
      <c r="Z897" s="2"/>
    </row>
    <row r="898" spans="1:26" ht="15.75" customHeight="1" x14ac:dyDescent="0.2">
      <c r="A898" s="12"/>
      <c r="B898" s="10"/>
      <c r="C898" s="11"/>
      <c r="D898" s="13"/>
      <c r="E898" s="13"/>
      <c r="F898" s="13"/>
      <c r="G898" s="2"/>
      <c r="H898" s="2"/>
      <c r="I898" s="13"/>
      <c r="J898" s="13"/>
      <c r="K898" s="13"/>
      <c r="L898" s="14"/>
      <c r="M898" s="4"/>
      <c r="N898" s="2"/>
      <c r="O898" s="4"/>
      <c r="P898" s="2"/>
      <c r="Q898" s="2"/>
      <c r="R898" s="4"/>
      <c r="S898" s="2"/>
      <c r="T898" s="2"/>
      <c r="U898" s="1"/>
      <c r="V898" s="2"/>
      <c r="W898" s="2"/>
      <c r="X898" s="2"/>
      <c r="Y898" s="2"/>
      <c r="Z898" s="2"/>
    </row>
    <row r="899" spans="1:26" ht="15.75" customHeight="1" x14ac:dyDescent="0.2">
      <c r="A899" s="12"/>
      <c r="B899" s="10"/>
      <c r="C899" s="11"/>
      <c r="D899" s="13"/>
      <c r="E899" s="13"/>
      <c r="F899" s="13"/>
      <c r="G899" s="2"/>
      <c r="H899" s="2"/>
      <c r="I899" s="13"/>
      <c r="J899" s="13"/>
      <c r="K899" s="13"/>
      <c r="L899" s="14"/>
      <c r="M899" s="4"/>
      <c r="N899" s="2"/>
      <c r="O899" s="4"/>
      <c r="P899" s="2"/>
      <c r="Q899" s="2"/>
      <c r="R899" s="4"/>
      <c r="S899" s="2"/>
      <c r="T899" s="2"/>
      <c r="U899" s="1"/>
      <c r="V899" s="2"/>
      <c r="W899" s="2"/>
      <c r="X899" s="2"/>
      <c r="Y899" s="2"/>
      <c r="Z899" s="2"/>
    </row>
    <row r="900" spans="1:26" ht="15.75" customHeight="1" x14ac:dyDescent="0.2">
      <c r="A900" s="12"/>
      <c r="B900" s="10"/>
      <c r="C900" s="11"/>
      <c r="D900" s="13"/>
      <c r="E900" s="13"/>
      <c r="F900" s="13"/>
      <c r="G900" s="2"/>
      <c r="H900" s="2"/>
      <c r="I900" s="13"/>
      <c r="J900" s="13"/>
      <c r="K900" s="13"/>
      <c r="L900" s="14"/>
      <c r="M900" s="4"/>
      <c r="N900" s="2"/>
      <c r="O900" s="4"/>
      <c r="P900" s="2"/>
      <c r="Q900" s="2"/>
      <c r="R900" s="4"/>
      <c r="S900" s="2"/>
      <c r="T900" s="2"/>
      <c r="U900" s="1"/>
      <c r="V900" s="2"/>
      <c r="W900" s="2"/>
      <c r="X900" s="2"/>
      <c r="Y900" s="2"/>
      <c r="Z900" s="2"/>
    </row>
    <row r="901" spans="1:26" ht="15.75" customHeight="1" x14ac:dyDescent="0.2">
      <c r="A901" s="12"/>
      <c r="B901" s="10"/>
      <c r="C901" s="11"/>
      <c r="D901" s="13"/>
      <c r="E901" s="13"/>
      <c r="F901" s="13"/>
      <c r="G901" s="2"/>
      <c r="H901" s="2"/>
      <c r="I901" s="13"/>
      <c r="J901" s="13"/>
      <c r="K901" s="13"/>
      <c r="L901" s="14"/>
      <c r="M901" s="4"/>
      <c r="N901" s="2"/>
      <c r="O901" s="4"/>
      <c r="P901" s="2"/>
      <c r="Q901" s="2"/>
      <c r="R901" s="4"/>
      <c r="S901" s="2"/>
      <c r="T901" s="2"/>
      <c r="U901" s="1"/>
      <c r="V901" s="2"/>
      <c r="W901" s="2"/>
      <c r="X901" s="2"/>
      <c r="Y901" s="2"/>
      <c r="Z901" s="2"/>
    </row>
    <row r="902" spans="1:26" ht="15.75" customHeight="1" x14ac:dyDescent="0.2">
      <c r="A902" s="12"/>
      <c r="B902" s="10"/>
      <c r="C902" s="11"/>
      <c r="D902" s="13"/>
      <c r="E902" s="13"/>
      <c r="F902" s="13"/>
      <c r="G902" s="2"/>
      <c r="H902" s="2"/>
      <c r="I902" s="13"/>
      <c r="J902" s="13"/>
      <c r="K902" s="13"/>
      <c r="L902" s="14"/>
      <c r="M902" s="4"/>
      <c r="N902" s="2"/>
      <c r="O902" s="4"/>
      <c r="P902" s="2"/>
      <c r="Q902" s="2"/>
      <c r="R902" s="4"/>
      <c r="S902" s="2"/>
      <c r="T902" s="2"/>
      <c r="U902" s="1"/>
      <c r="V902" s="2"/>
      <c r="W902" s="2"/>
      <c r="X902" s="2"/>
      <c r="Y902" s="2"/>
      <c r="Z902" s="2"/>
    </row>
    <row r="903" spans="1:26" ht="15.75" customHeight="1" x14ac:dyDescent="0.2">
      <c r="A903" s="12"/>
      <c r="B903" s="10"/>
      <c r="C903" s="11"/>
      <c r="D903" s="13"/>
      <c r="E903" s="13"/>
      <c r="F903" s="13"/>
      <c r="G903" s="2"/>
      <c r="H903" s="2"/>
      <c r="I903" s="13"/>
      <c r="J903" s="13"/>
      <c r="K903" s="13"/>
      <c r="L903" s="14"/>
      <c r="M903" s="4"/>
      <c r="N903" s="2"/>
      <c r="O903" s="4"/>
      <c r="P903" s="2"/>
      <c r="Q903" s="2"/>
      <c r="R903" s="4"/>
      <c r="S903" s="2"/>
      <c r="T903" s="2"/>
      <c r="U903" s="1"/>
      <c r="V903" s="2"/>
      <c r="W903" s="2"/>
      <c r="X903" s="2"/>
      <c r="Y903" s="2"/>
      <c r="Z903" s="2"/>
    </row>
    <row r="904" spans="1:26" ht="15.75" customHeight="1" x14ac:dyDescent="0.2">
      <c r="A904" s="12"/>
      <c r="B904" s="10"/>
      <c r="C904" s="11"/>
      <c r="D904" s="13"/>
      <c r="E904" s="13"/>
      <c r="F904" s="13"/>
      <c r="G904" s="2"/>
      <c r="H904" s="2"/>
      <c r="I904" s="13"/>
      <c r="J904" s="13"/>
      <c r="K904" s="13"/>
      <c r="L904" s="14"/>
      <c r="M904" s="4"/>
      <c r="N904" s="2"/>
      <c r="O904" s="4"/>
      <c r="P904" s="2"/>
      <c r="Q904" s="2"/>
      <c r="R904" s="4"/>
      <c r="S904" s="2"/>
      <c r="T904" s="2"/>
      <c r="U904" s="1"/>
      <c r="V904" s="2"/>
      <c r="W904" s="2"/>
      <c r="X904" s="2"/>
      <c r="Y904" s="2"/>
      <c r="Z904" s="2"/>
    </row>
    <row r="905" spans="1:26" ht="15.75" customHeight="1" x14ac:dyDescent="0.2">
      <c r="A905" s="12"/>
      <c r="B905" s="10"/>
      <c r="C905" s="11"/>
      <c r="D905" s="13"/>
      <c r="E905" s="13"/>
      <c r="F905" s="13"/>
      <c r="G905" s="2"/>
      <c r="H905" s="2"/>
      <c r="I905" s="13"/>
      <c r="J905" s="13"/>
      <c r="K905" s="13"/>
      <c r="L905" s="14"/>
      <c r="M905" s="4"/>
      <c r="N905" s="2"/>
      <c r="O905" s="4"/>
      <c r="P905" s="2"/>
      <c r="Q905" s="2"/>
      <c r="R905" s="4"/>
      <c r="S905" s="2"/>
      <c r="T905" s="2"/>
      <c r="U905" s="1"/>
      <c r="V905" s="2"/>
      <c r="W905" s="2"/>
      <c r="X905" s="2"/>
      <c r="Y905" s="2"/>
      <c r="Z905" s="2"/>
    </row>
    <row r="906" spans="1:26" ht="15.75" customHeight="1" x14ac:dyDescent="0.2">
      <c r="A906" s="12"/>
      <c r="B906" s="10"/>
      <c r="C906" s="11"/>
      <c r="D906" s="13"/>
      <c r="E906" s="13"/>
      <c r="F906" s="13"/>
      <c r="G906" s="2"/>
      <c r="H906" s="2"/>
      <c r="I906" s="13"/>
      <c r="J906" s="13"/>
      <c r="K906" s="13"/>
      <c r="L906" s="14"/>
      <c r="M906" s="4"/>
      <c r="N906" s="2"/>
      <c r="O906" s="4"/>
      <c r="P906" s="2"/>
      <c r="Q906" s="2"/>
      <c r="R906" s="4"/>
      <c r="S906" s="2"/>
      <c r="T906" s="2"/>
      <c r="U906" s="1"/>
      <c r="V906" s="2"/>
      <c r="W906" s="2"/>
      <c r="X906" s="2"/>
      <c r="Y906" s="2"/>
      <c r="Z906" s="2"/>
    </row>
    <row r="907" spans="1:26" ht="15.75" customHeight="1" x14ac:dyDescent="0.2">
      <c r="A907" s="12"/>
      <c r="B907" s="10"/>
      <c r="C907" s="11"/>
      <c r="D907" s="13"/>
      <c r="E907" s="13"/>
      <c r="F907" s="13"/>
      <c r="G907" s="2"/>
      <c r="H907" s="2"/>
      <c r="I907" s="13"/>
      <c r="J907" s="13"/>
      <c r="K907" s="13"/>
      <c r="L907" s="14"/>
      <c r="M907" s="4"/>
      <c r="N907" s="2"/>
      <c r="O907" s="4"/>
      <c r="P907" s="2"/>
      <c r="Q907" s="2"/>
      <c r="R907" s="4"/>
      <c r="S907" s="2"/>
      <c r="T907" s="2"/>
      <c r="U907" s="1"/>
      <c r="V907" s="2"/>
      <c r="W907" s="2"/>
      <c r="X907" s="2"/>
      <c r="Y907" s="2"/>
      <c r="Z907" s="2"/>
    </row>
    <row r="908" spans="1:26" ht="15.75" customHeight="1" x14ac:dyDescent="0.2">
      <c r="A908" s="12"/>
      <c r="B908" s="10"/>
      <c r="C908" s="11"/>
      <c r="D908" s="13"/>
      <c r="E908" s="13"/>
      <c r="F908" s="13"/>
      <c r="G908" s="2"/>
      <c r="H908" s="2"/>
      <c r="I908" s="13"/>
      <c r="J908" s="13"/>
      <c r="K908" s="13"/>
      <c r="L908" s="14"/>
      <c r="M908" s="4"/>
      <c r="N908" s="2"/>
      <c r="O908" s="4"/>
      <c r="P908" s="2"/>
      <c r="Q908" s="2"/>
      <c r="R908" s="4"/>
      <c r="S908" s="2"/>
      <c r="T908" s="2"/>
      <c r="U908" s="1"/>
      <c r="V908" s="2"/>
      <c r="W908" s="2"/>
      <c r="X908" s="2"/>
      <c r="Y908" s="2"/>
      <c r="Z908" s="2"/>
    </row>
    <row r="909" spans="1:26" ht="15.75" customHeight="1" x14ac:dyDescent="0.2">
      <c r="A909" s="12"/>
      <c r="B909" s="10"/>
      <c r="C909" s="11"/>
      <c r="D909" s="13"/>
      <c r="E909" s="13"/>
      <c r="F909" s="13"/>
      <c r="G909" s="2"/>
      <c r="H909" s="2"/>
      <c r="I909" s="13"/>
      <c r="J909" s="13"/>
      <c r="K909" s="13"/>
      <c r="L909" s="14"/>
      <c r="M909" s="4"/>
      <c r="N909" s="2"/>
      <c r="O909" s="4"/>
      <c r="P909" s="2"/>
      <c r="Q909" s="2"/>
      <c r="R909" s="4"/>
      <c r="S909" s="2"/>
      <c r="T909" s="2"/>
      <c r="U909" s="1"/>
      <c r="V909" s="2"/>
      <c r="W909" s="2"/>
      <c r="X909" s="2"/>
      <c r="Y909" s="2"/>
      <c r="Z909" s="2"/>
    </row>
    <row r="910" spans="1:26" ht="15.75" customHeight="1" x14ac:dyDescent="0.2">
      <c r="A910" s="12"/>
      <c r="B910" s="10"/>
      <c r="C910" s="11"/>
      <c r="D910" s="13"/>
      <c r="E910" s="13"/>
      <c r="F910" s="13"/>
      <c r="G910" s="2"/>
      <c r="H910" s="2"/>
      <c r="I910" s="13"/>
      <c r="J910" s="13"/>
      <c r="K910" s="13"/>
      <c r="L910" s="14"/>
      <c r="M910" s="4"/>
      <c r="N910" s="2"/>
      <c r="O910" s="4"/>
      <c r="P910" s="2"/>
      <c r="Q910" s="2"/>
      <c r="R910" s="4"/>
      <c r="S910" s="2"/>
      <c r="T910" s="2"/>
      <c r="U910" s="1"/>
      <c r="V910" s="2"/>
      <c r="W910" s="2"/>
      <c r="X910" s="2"/>
      <c r="Y910" s="2"/>
      <c r="Z910" s="2"/>
    </row>
    <row r="911" spans="1:26" ht="15.75" customHeight="1" x14ac:dyDescent="0.2">
      <c r="A911" s="12"/>
      <c r="B911" s="10"/>
      <c r="C911" s="11"/>
      <c r="D911" s="13"/>
      <c r="E911" s="13"/>
      <c r="F911" s="13"/>
      <c r="G911" s="2"/>
      <c r="H911" s="2"/>
      <c r="I911" s="13"/>
      <c r="J911" s="13"/>
      <c r="K911" s="13"/>
      <c r="L911" s="14"/>
      <c r="M911" s="4"/>
      <c r="N911" s="2"/>
      <c r="O911" s="4"/>
      <c r="P911" s="2"/>
      <c r="Q911" s="2"/>
      <c r="R911" s="4"/>
      <c r="S911" s="2"/>
      <c r="T911" s="2"/>
      <c r="U911" s="1"/>
      <c r="V911" s="2"/>
      <c r="W911" s="2"/>
      <c r="X911" s="2"/>
      <c r="Y911" s="2"/>
      <c r="Z911" s="2"/>
    </row>
    <row r="912" spans="1:26" ht="15.75" customHeight="1" x14ac:dyDescent="0.2">
      <c r="A912" s="12"/>
      <c r="B912" s="10"/>
      <c r="C912" s="11"/>
      <c r="D912" s="13"/>
      <c r="E912" s="13"/>
      <c r="F912" s="13"/>
      <c r="G912" s="2"/>
      <c r="H912" s="2"/>
      <c r="I912" s="13"/>
      <c r="J912" s="13"/>
      <c r="K912" s="13"/>
      <c r="L912" s="14"/>
      <c r="M912" s="4"/>
      <c r="N912" s="2"/>
      <c r="O912" s="4"/>
      <c r="P912" s="2"/>
      <c r="Q912" s="2"/>
      <c r="R912" s="4"/>
      <c r="S912" s="2"/>
      <c r="T912" s="2"/>
      <c r="U912" s="1"/>
      <c r="V912" s="2"/>
      <c r="W912" s="2"/>
      <c r="X912" s="2"/>
      <c r="Y912" s="2"/>
      <c r="Z912" s="2"/>
    </row>
    <row r="913" spans="1:26" ht="15.75" customHeight="1" x14ac:dyDescent="0.2">
      <c r="A913" s="12"/>
      <c r="B913" s="10"/>
      <c r="C913" s="11"/>
      <c r="D913" s="13"/>
      <c r="E913" s="13"/>
      <c r="F913" s="13"/>
      <c r="G913" s="2"/>
      <c r="H913" s="2"/>
      <c r="I913" s="13"/>
      <c r="J913" s="13"/>
      <c r="K913" s="13"/>
      <c r="L913" s="14"/>
      <c r="M913" s="4"/>
      <c r="N913" s="2"/>
      <c r="O913" s="4"/>
      <c r="P913" s="2"/>
      <c r="Q913" s="2"/>
      <c r="R913" s="4"/>
      <c r="S913" s="2"/>
      <c r="T913" s="2"/>
      <c r="U913" s="1"/>
      <c r="V913" s="2"/>
      <c r="W913" s="2"/>
      <c r="X913" s="2"/>
      <c r="Y913" s="2"/>
      <c r="Z913" s="2"/>
    </row>
    <row r="914" spans="1:26" ht="15.75" customHeight="1" x14ac:dyDescent="0.2">
      <c r="A914" s="12"/>
      <c r="B914" s="10"/>
      <c r="C914" s="11"/>
      <c r="D914" s="13"/>
      <c r="E914" s="13"/>
      <c r="F914" s="13"/>
      <c r="G914" s="2"/>
      <c r="H914" s="2"/>
      <c r="I914" s="13"/>
      <c r="J914" s="13"/>
      <c r="K914" s="13"/>
      <c r="L914" s="14"/>
      <c r="M914" s="4"/>
      <c r="N914" s="2"/>
      <c r="O914" s="4"/>
      <c r="P914" s="2"/>
      <c r="Q914" s="2"/>
      <c r="R914" s="4"/>
      <c r="S914" s="2"/>
      <c r="T914" s="2"/>
      <c r="U914" s="1"/>
      <c r="V914" s="2"/>
      <c r="W914" s="2"/>
      <c r="X914" s="2"/>
      <c r="Y914" s="2"/>
      <c r="Z914" s="2"/>
    </row>
    <row r="915" spans="1:26" ht="15.75" customHeight="1" x14ac:dyDescent="0.2">
      <c r="A915" s="12"/>
      <c r="B915" s="10"/>
      <c r="C915" s="11"/>
      <c r="D915" s="13"/>
      <c r="E915" s="13"/>
      <c r="F915" s="13"/>
      <c r="G915" s="2"/>
      <c r="H915" s="2"/>
      <c r="I915" s="13"/>
      <c r="J915" s="13"/>
      <c r="K915" s="13"/>
      <c r="L915" s="14"/>
      <c r="M915" s="4"/>
      <c r="N915" s="2"/>
      <c r="O915" s="4"/>
      <c r="P915" s="2"/>
      <c r="Q915" s="2"/>
      <c r="R915" s="4"/>
      <c r="S915" s="2"/>
      <c r="T915" s="2"/>
      <c r="U915" s="1"/>
      <c r="V915" s="2"/>
      <c r="W915" s="2"/>
      <c r="X915" s="2"/>
      <c r="Y915" s="2"/>
      <c r="Z915" s="2"/>
    </row>
    <row r="916" spans="1:26" ht="15.75" customHeight="1" x14ac:dyDescent="0.2">
      <c r="A916" s="12"/>
      <c r="B916" s="10"/>
      <c r="C916" s="11"/>
      <c r="D916" s="13"/>
      <c r="E916" s="13"/>
      <c r="F916" s="13"/>
      <c r="G916" s="2"/>
      <c r="H916" s="2"/>
      <c r="I916" s="13"/>
      <c r="J916" s="13"/>
      <c r="K916" s="13"/>
      <c r="L916" s="14"/>
      <c r="M916" s="4"/>
      <c r="N916" s="2"/>
      <c r="O916" s="4"/>
      <c r="P916" s="2"/>
      <c r="Q916" s="2"/>
      <c r="R916" s="4"/>
      <c r="S916" s="2"/>
      <c r="T916" s="2"/>
      <c r="U916" s="1"/>
      <c r="V916" s="2"/>
      <c r="W916" s="2"/>
      <c r="X916" s="2"/>
      <c r="Y916" s="2"/>
      <c r="Z916" s="2"/>
    </row>
    <row r="917" spans="1:26" ht="15.75" customHeight="1" x14ac:dyDescent="0.2">
      <c r="A917" s="12"/>
      <c r="B917" s="10"/>
      <c r="C917" s="11"/>
      <c r="D917" s="13"/>
      <c r="E917" s="13"/>
      <c r="F917" s="13"/>
      <c r="G917" s="2"/>
      <c r="H917" s="2"/>
      <c r="I917" s="13"/>
      <c r="J917" s="13"/>
      <c r="K917" s="13"/>
      <c r="L917" s="14"/>
      <c r="M917" s="4"/>
      <c r="N917" s="2"/>
      <c r="O917" s="4"/>
      <c r="P917" s="2"/>
      <c r="Q917" s="2"/>
      <c r="R917" s="4"/>
      <c r="S917" s="2"/>
      <c r="T917" s="2"/>
      <c r="U917" s="1"/>
      <c r="V917" s="2"/>
      <c r="W917" s="2"/>
      <c r="X917" s="2"/>
      <c r="Y917" s="2"/>
      <c r="Z917" s="2"/>
    </row>
    <row r="918" spans="1:26" ht="15.75" customHeight="1" x14ac:dyDescent="0.2">
      <c r="A918" s="12"/>
      <c r="B918" s="10"/>
      <c r="C918" s="11"/>
      <c r="D918" s="13"/>
      <c r="E918" s="13"/>
      <c r="F918" s="13"/>
      <c r="G918" s="2"/>
      <c r="H918" s="2"/>
      <c r="I918" s="13"/>
      <c r="J918" s="13"/>
      <c r="K918" s="13"/>
      <c r="L918" s="14"/>
      <c r="M918" s="4"/>
      <c r="N918" s="2"/>
      <c r="O918" s="4"/>
      <c r="P918" s="2"/>
      <c r="Q918" s="2"/>
      <c r="R918" s="4"/>
      <c r="S918" s="2"/>
      <c r="T918" s="2"/>
      <c r="U918" s="1"/>
      <c r="V918" s="2"/>
      <c r="W918" s="2"/>
      <c r="X918" s="2"/>
      <c r="Y918" s="2"/>
      <c r="Z918" s="2"/>
    </row>
    <row r="919" spans="1:26" ht="15.75" customHeight="1" x14ac:dyDescent="0.2">
      <c r="A919" s="12"/>
      <c r="B919" s="10"/>
      <c r="C919" s="11"/>
      <c r="D919" s="13"/>
      <c r="E919" s="13"/>
      <c r="F919" s="13"/>
      <c r="G919" s="2"/>
      <c r="H919" s="2"/>
      <c r="I919" s="13"/>
      <c r="J919" s="13"/>
      <c r="K919" s="13"/>
      <c r="L919" s="14"/>
      <c r="M919" s="4"/>
      <c r="N919" s="2"/>
      <c r="O919" s="4"/>
      <c r="P919" s="2"/>
      <c r="Q919" s="2"/>
      <c r="R919" s="4"/>
      <c r="S919" s="2"/>
      <c r="T919" s="2"/>
      <c r="U919" s="1"/>
      <c r="V919" s="2"/>
      <c r="W919" s="2"/>
      <c r="X919" s="2"/>
      <c r="Y919" s="2"/>
      <c r="Z919" s="2"/>
    </row>
    <row r="920" spans="1:26" ht="15.75" customHeight="1" x14ac:dyDescent="0.2">
      <c r="A920" s="12"/>
      <c r="B920" s="10"/>
      <c r="C920" s="11"/>
      <c r="D920" s="13"/>
      <c r="E920" s="13"/>
      <c r="F920" s="13"/>
      <c r="G920" s="2"/>
      <c r="H920" s="2"/>
      <c r="I920" s="13"/>
      <c r="J920" s="13"/>
      <c r="K920" s="13"/>
      <c r="L920" s="14"/>
      <c r="M920" s="4"/>
      <c r="N920" s="2"/>
      <c r="O920" s="4"/>
      <c r="P920" s="2"/>
      <c r="Q920" s="2"/>
      <c r="R920" s="4"/>
      <c r="S920" s="2"/>
      <c r="T920" s="2"/>
      <c r="U920" s="1"/>
      <c r="V920" s="2"/>
      <c r="W920" s="2"/>
      <c r="X920" s="2"/>
      <c r="Y920" s="2"/>
      <c r="Z920" s="2"/>
    </row>
    <row r="921" spans="1:26" ht="15.75" customHeight="1" x14ac:dyDescent="0.2">
      <c r="A921" s="12"/>
      <c r="B921" s="10"/>
      <c r="C921" s="11"/>
      <c r="D921" s="13"/>
      <c r="E921" s="13"/>
      <c r="F921" s="13"/>
      <c r="G921" s="2"/>
      <c r="H921" s="2"/>
      <c r="I921" s="13"/>
      <c r="J921" s="13"/>
      <c r="K921" s="13"/>
      <c r="L921" s="14"/>
      <c r="M921" s="4"/>
      <c r="N921" s="2"/>
      <c r="O921" s="4"/>
      <c r="P921" s="2"/>
      <c r="Q921" s="2"/>
      <c r="R921" s="4"/>
      <c r="S921" s="2"/>
      <c r="T921" s="2"/>
      <c r="U921" s="1"/>
      <c r="V921" s="2"/>
      <c r="W921" s="2"/>
      <c r="X921" s="2"/>
      <c r="Y921" s="2"/>
      <c r="Z921" s="2"/>
    </row>
    <row r="922" spans="1:26" ht="15.75" customHeight="1" x14ac:dyDescent="0.2">
      <c r="A922" s="12"/>
      <c r="B922" s="10"/>
      <c r="C922" s="11"/>
      <c r="D922" s="13"/>
      <c r="E922" s="13"/>
      <c r="F922" s="13"/>
      <c r="G922" s="2"/>
      <c r="H922" s="2"/>
      <c r="I922" s="13"/>
      <c r="J922" s="13"/>
      <c r="K922" s="13"/>
      <c r="L922" s="14"/>
      <c r="M922" s="4"/>
      <c r="N922" s="2"/>
      <c r="O922" s="4"/>
      <c r="P922" s="2"/>
      <c r="Q922" s="2"/>
      <c r="R922" s="4"/>
      <c r="S922" s="2"/>
      <c r="T922" s="2"/>
      <c r="U922" s="1"/>
      <c r="V922" s="2"/>
      <c r="W922" s="2"/>
      <c r="X922" s="2"/>
      <c r="Y922" s="2"/>
      <c r="Z922" s="2"/>
    </row>
    <row r="923" spans="1:26" ht="15.75" customHeight="1" x14ac:dyDescent="0.2">
      <c r="A923" s="12"/>
      <c r="B923" s="10"/>
      <c r="C923" s="11"/>
      <c r="D923" s="13"/>
      <c r="E923" s="13"/>
      <c r="F923" s="13"/>
      <c r="G923" s="2"/>
      <c r="H923" s="2"/>
      <c r="I923" s="13"/>
      <c r="J923" s="13"/>
      <c r="K923" s="13"/>
      <c r="L923" s="14"/>
      <c r="M923" s="4"/>
      <c r="N923" s="2"/>
      <c r="O923" s="4"/>
      <c r="P923" s="2"/>
      <c r="Q923" s="2"/>
      <c r="R923" s="4"/>
      <c r="S923" s="2"/>
      <c r="T923" s="2"/>
      <c r="U923" s="1"/>
      <c r="V923" s="2"/>
      <c r="W923" s="2"/>
      <c r="X923" s="2"/>
      <c r="Y923" s="2"/>
      <c r="Z923" s="2"/>
    </row>
    <row r="924" spans="1:26" ht="15.75" customHeight="1" x14ac:dyDescent="0.2">
      <c r="A924" s="12"/>
      <c r="B924" s="10"/>
      <c r="C924" s="11"/>
      <c r="D924" s="13"/>
      <c r="E924" s="13"/>
      <c r="F924" s="13"/>
      <c r="G924" s="2"/>
      <c r="H924" s="2"/>
      <c r="I924" s="13"/>
      <c r="J924" s="13"/>
      <c r="K924" s="13"/>
      <c r="L924" s="14"/>
      <c r="M924" s="4"/>
      <c r="N924" s="2"/>
      <c r="O924" s="4"/>
      <c r="P924" s="2"/>
      <c r="Q924" s="2"/>
      <c r="R924" s="4"/>
      <c r="S924" s="2"/>
      <c r="T924" s="2"/>
      <c r="U924" s="1"/>
      <c r="V924" s="2"/>
      <c r="W924" s="2"/>
      <c r="X924" s="2"/>
      <c r="Y924" s="2"/>
      <c r="Z924" s="2"/>
    </row>
    <row r="925" spans="1:26" ht="15.75" customHeight="1" x14ac:dyDescent="0.2">
      <c r="A925" s="12"/>
      <c r="B925" s="10"/>
      <c r="C925" s="11"/>
      <c r="D925" s="13"/>
      <c r="E925" s="13"/>
      <c r="F925" s="13"/>
      <c r="G925" s="2"/>
      <c r="H925" s="2"/>
      <c r="I925" s="13"/>
      <c r="J925" s="13"/>
      <c r="K925" s="13"/>
      <c r="L925" s="14"/>
      <c r="M925" s="4"/>
      <c r="N925" s="2"/>
      <c r="O925" s="4"/>
      <c r="P925" s="2"/>
      <c r="Q925" s="2"/>
      <c r="R925" s="4"/>
      <c r="S925" s="2"/>
      <c r="T925" s="2"/>
      <c r="U925" s="1"/>
      <c r="V925" s="2"/>
      <c r="W925" s="2"/>
      <c r="X925" s="2"/>
      <c r="Y925" s="2"/>
      <c r="Z925" s="2"/>
    </row>
    <row r="926" spans="1:26" ht="15.75" customHeight="1" x14ac:dyDescent="0.2">
      <c r="A926" s="12"/>
      <c r="B926" s="10"/>
      <c r="C926" s="11"/>
      <c r="D926" s="13"/>
      <c r="E926" s="13"/>
      <c r="F926" s="13"/>
      <c r="G926" s="2"/>
      <c r="H926" s="2"/>
      <c r="I926" s="13"/>
      <c r="J926" s="13"/>
      <c r="K926" s="13"/>
      <c r="L926" s="14"/>
      <c r="M926" s="4"/>
      <c r="N926" s="2"/>
      <c r="O926" s="4"/>
      <c r="P926" s="2"/>
      <c r="Q926" s="2"/>
      <c r="R926" s="4"/>
      <c r="S926" s="2"/>
      <c r="T926" s="2"/>
      <c r="U926" s="1"/>
      <c r="V926" s="2"/>
      <c r="W926" s="2"/>
      <c r="X926" s="2"/>
      <c r="Y926" s="2"/>
      <c r="Z926" s="2"/>
    </row>
    <row r="927" spans="1:26" ht="15.75" customHeight="1" x14ac:dyDescent="0.2">
      <c r="A927" s="12"/>
      <c r="B927" s="10"/>
      <c r="C927" s="11"/>
      <c r="D927" s="13"/>
      <c r="E927" s="13"/>
      <c r="F927" s="13"/>
      <c r="G927" s="2"/>
      <c r="H927" s="2"/>
      <c r="I927" s="13"/>
      <c r="J927" s="13"/>
      <c r="K927" s="13"/>
      <c r="L927" s="14"/>
      <c r="M927" s="4"/>
      <c r="N927" s="2"/>
      <c r="O927" s="4"/>
      <c r="P927" s="2"/>
      <c r="Q927" s="2"/>
      <c r="R927" s="4"/>
      <c r="S927" s="2"/>
      <c r="T927" s="2"/>
      <c r="U927" s="1"/>
      <c r="V927" s="2"/>
      <c r="W927" s="2"/>
      <c r="X927" s="2"/>
      <c r="Y927" s="2"/>
      <c r="Z927" s="2"/>
    </row>
    <row r="928" spans="1:26" ht="15.75" customHeight="1" x14ac:dyDescent="0.2">
      <c r="A928" s="12"/>
      <c r="B928" s="10"/>
      <c r="C928" s="11"/>
      <c r="D928" s="13"/>
      <c r="E928" s="13"/>
      <c r="F928" s="13"/>
      <c r="G928" s="2"/>
      <c r="H928" s="2"/>
      <c r="I928" s="13"/>
      <c r="J928" s="13"/>
      <c r="K928" s="13"/>
      <c r="L928" s="14"/>
      <c r="M928" s="4"/>
      <c r="N928" s="2"/>
      <c r="O928" s="4"/>
      <c r="P928" s="2"/>
      <c r="Q928" s="2"/>
      <c r="R928" s="4"/>
      <c r="S928" s="2"/>
      <c r="T928" s="2"/>
      <c r="U928" s="1"/>
      <c r="V928" s="2"/>
      <c r="W928" s="2"/>
      <c r="X928" s="2"/>
      <c r="Y928" s="2"/>
      <c r="Z928" s="2"/>
    </row>
    <row r="929" spans="1:26" ht="15.75" customHeight="1" x14ac:dyDescent="0.2">
      <c r="A929" s="12"/>
      <c r="B929" s="10"/>
      <c r="C929" s="11"/>
      <c r="D929" s="13"/>
      <c r="E929" s="13"/>
      <c r="F929" s="13"/>
      <c r="G929" s="2"/>
      <c r="H929" s="2"/>
      <c r="I929" s="13"/>
      <c r="J929" s="13"/>
      <c r="K929" s="13"/>
      <c r="L929" s="14"/>
      <c r="M929" s="4"/>
      <c r="N929" s="2"/>
      <c r="O929" s="4"/>
      <c r="P929" s="2"/>
      <c r="Q929" s="2"/>
      <c r="R929" s="4"/>
      <c r="S929" s="2"/>
      <c r="T929" s="2"/>
      <c r="U929" s="1"/>
      <c r="V929" s="2"/>
      <c r="W929" s="2"/>
      <c r="X929" s="2"/>
      <c r="Y929" s="2"/>
      <c r="Z929" s="2"/>
    </row>
    <row r="930" spans="1:26" ht="15.75" customHeight="1" x14ac:dyDescent="0.2">
      <c r="A930" s="12"/>
      <c r="B930" s="10"/>
      <c r="C930" s="11"/>
      <c r="D930" s="13"/>
      <c r="E930" s="13"/>
      <c r="F930" s="13"/>
      <c r="G930" s="2"/>
      <c r="H930" s="2"/>
      <c r="I930" s="13"/>
      <c r="J930" s="13"/>
      <c r="K930" s="13"/>
      <c r="L930" s="14"/>
      <c r="M930" s="4"/>
      <c r="N930" s="2"/>
      <c r="O930" s="4"/>
      <c r="P930" s="2"/>
      <c r="Q930" s="2"/>
      <c r="R930" s="4"/>
      <c r="S930" s="2"/>
      <c r="T930" s="2"/>
      <c r="U930" s="1"/>
      <c r="V930" s="2"/>
      <c r="W930" s="2"/>
      <c r="X930" s="2"/>
      <c r="Y930" s="2"/>
      <c r="Z930" s="2"/>
    </row>
    <row r="931" spans="1:26" ht="15.75" customHeight="1" x14ac:dyDescent="0.2">
      <c r="A931" s="12"/>
      <c r="B931" s="10"/>
      <c r="C931" s="11"/>
      <c r="D931" s="13"/>
      <c r="E931" s="13"/>
      <c r="F931" s="13"/>
      <c r="G931" s="2"/>
      <c r="H931" s="2"/>
      <c r="I931" s="13"/>
      <c r="J931" s="13"/>
      <c r="K931" s="13"/>
      <c r="L931" s="14"/>
      <c r="M931" s="4"/>
      <c r="N931" s="2"/>
      <c r="O931" s="4"/>
      <c r="P931" s="2"/>
      <c r="Q931" s="2"/>
      <c r="R931" s="4"/>
      <c r="S931" s="2"/>
      <c r="T931" s="2"/>
      <c r="U931" s="1"/>
      <c r="V931" s="2"/>
      <c r="W931" s="2"/>
      <c r="X931" s="2"/>
      <c r="Y931" s="2"/>
      <c r="Z931" s="2"/>
    </row>
    <row r="932" spans="1:26" ht="15.75" customHeight="1" x14ac:dyDescent="0.2">
      <c r="A932" s="12"/>
      <c r="B932" s="10"/>
      <c r="C932" s="11"/>
      <c r="D932" s="13"/>
      <c r="E932" s="13"/>
      <c r="F932" s="13"/>
      <c r="G932" s="2"/>
      <c r="H932" s="2"/>
      <c r="I932" s="13"/>
      <c r="J932" s="13"/>
      <c r="K932" s="13"/>
      <c r="L932" s="14"/>
      <c r="M932" s="4"/>
      <c r="N932" s="2"/>
      <c r="O932" s="4"/>
      <c r="P932" s="2"/>
      <c r="Q932" s="2"/>
      <c r="R932" s="4"/>
      <c r="S932" s="2"/>
      <c r="T932" s="2"/>
      <c r="U932" s="1"/>
      <c r="V932" s="2"/>
      <c r="W932" s="2"/>
      <c r="X932" s="2"/>
      <c r="Y932" s="2"/>
      <c r="Z932" s="2"/>
    </row>
    <row r="933" spans="1:26" ht="15.75" customHeight="1" x14ac:dyDescent="0.2">
      <c r="A933" s="12"/>
      <c r="B933" s="10"/>
      <c r="C933" s="11"/>
      <c r="D933" s="13"/>
      <c r="E933" s="13"/>
      <c r="F933" s="13"/>
      <c r="G933" s="2"/>
      <c r="H933" s="2"/>
      <c r="I933" s="13"/>
      <c r="J933" s="13"/>
      <c r="K933" s="13"/>
      <c r="L933" s="14"/>
      <c r="M933" s="4"/>
      <c r="N933" s="2"/>
      <c r="O933" s="4"/>
      <c r="P933" s="2"/>
      <c r="Q933" s="2"/>
      <c r="R933" s="4"/>
      <c r="S933" s="2"/>
      <c r="T933" s="2"/>
      <c r="U933" s="1"/>
      <c r="V933" s="2"/>
      <c r="W933" s="2"/>
      <c r="X933" s="2"/>
      <c r="Y933" s="2"/>
      <c r="Z933" s="2"/>
    </row>
    <row r="934" spans="1:26" ht="15.75" customHeight="1" x14ac:dyDescent="0.2">
      <c r="A934" s="12"/>
      <c r="B934" s="10"/>
      <c r="C934" s="11"/>
      <c r="D934" s="13"/>
      <c r="E934" s="13"/>
      <c r="F934" s="13"/>
      <c r="G934" s="2"/>
      <c r="H934" s="2"/>
      <c r="I934" s="13"/>
      <c r="J934" s="13"/>
      <c r="K934" s="13"/>
      <c r="L934" s="14"/>
      <c r="M934" s="4"/>
      <c r="N934" s="2"/>
      <c r="O934" s="4"/>
      <c r="P934" s="2"/>
      <c r="Q934" s="2"/>
      <c r="R934" s="4"/>
      <c r="S934" s="2"/>
      <c r="T934" s="2"/>
      <c r="U934" s="1"/>
      <c r="V934" s="2"/>
      <c r="W934" s="2"/>
      <c r="X934" s="2"/>
      <c r="Y934" s="2"/>
      <c r="Z934" s="2"/>
    </row>
    <row r="935" spans="1:26" ht="15.75" customHeight="1" x14ac:dyDescent="0.2">
      <c r="A935" s="12"/>
      <c r="B935" s="10"/>
      <c r="C935" s="11"/>
      <c r="D935" s="13"/>
      <c r="E935" s="13"/>
      <c r="F935" s="13"/>
      <c r="G935" s="2"/>
      <c r="H935" s="2"/>
      <c r="I935" s="13"/>
      <c r="J935" s="13"/>
      <c r="K935" s="13"/>
      <c r="L935" s="14"/>
      <c r="M935" s="4"/>
      <c r="N935" s="2"/>
      <c r="O935" s="4"/>
      <c r="P935" s="2"/>
      <c r="Q935" s="2"/>
      <c r="R935" s="4"/>
      <c r="S935" s="2"/>
      <c r="T935" s="2"/>
      <c r="U935" s="1"/>
      <c r="V935" s="2"/>
      <c r="W935" s="2"/>
      <c r="X935" s="2"/>
      <c r="Y935" s="2"/>
      <c r="Z935" s="2"/>
    </row>
    <row r="936" spans="1:26" ht="15.75" customHeight="1" x14ac:dyDescent="0.2">
      <c r="A936" s="12"/>
      <c r="B936" s="10"/>
      <c r="C936" s="11"/>
      <c r="D936" s="13"/>
      <c r="E936" s="13"/>
      <c r="F936" s="13"/>
      <c r="G936" s="2"/>
      <c r="H936" s="2"/>
      <c r="I936" s="13"/>
      <c r="J936" s="13"/>
      <c r="K936" s="13"/>
      <c r="L936" s="14"/>
      <c r="M936" s="4"/>
      <c r="N936" s="2"/>
      <c r="O936" s="4"/>
      <c r="P936" s="2"/>
      <c r="Q936" s="2"/>
      <c r="R936" s="4"/>
      <c r="S936" s="2"/>
      <c r="T936" s="2"/>
      <c r="U936" s="1"/>
      <c r="V936" s="2"/>
      <c r="W936" s="2"/>
      <c r="X936" s="2"/>
      <c r="Y936" s="2"/>
      <c r="Z936" s="2"/>
    </row>
    <row r="937" spans="1:26" ht="15.75" customHeight="1" x14ac:dyDescent="0.2">
      <c r="A937" s="12"/>
      <c r="B937" s="10"/>
      <c r="C937" s="11"/>
      <c r="D937" s="13"/>
      <c r="E937" s="13"/>
      <c r="F937" s="13"/>
      <c r="G937" s="2"/>
      <c r="H937" s="2"/>
      <c r="I937" s="13"/>
      <c r="J937" s="13"/>
      <c r="K937" s="13"/>
      <c r="L937" s="14"/>
      <c r="M937" s="4"/>
      <c r="N937" s="2"/>
      <c r="O937" s="4"/>
      <c r="P937" s="2"/>
      <c r="Q937" s="2"/>
      <c r="R937" s="4"/>
      <c r="S937" s="2"/>
      <c r="T937" s="2"/>
      <c r="U937" s="1"/>
      <c r="V937" s="2"/>
      <c r="W937" s="2"/>
      <c r="X937" s="2"/>
      <c r="Y937" s="2"/>
      <c r="Z937" s="2"/>
    </row>
    <row r="938" spans="1:26" ht="15.75" customHeight="1" x14ac:dyDescent="0.2">
      <c r="A938" s="12"/>
      <c r="B938" s="10"/>
      <c r="C938" s="11"/>
      <c r="D938" s="13"/>
      <c r="E938" s="13"/>
      <c r="F938" s="13"/>
      <c r="G938" s="2"/>
      <c r="H938" s="2"/>
      <c r="I938" s="13"/>
      <c r="J938" s="13"/>
      <c r="K938" s="13"/>
      <c r="L938" s="14"/>
      <c r="M938" s="4"/>
      <c r="N938" s="2"/>
      <c r="O938" s="4"/>
      <c r="P938" s="2"/>
      <c r="Q938" s="2"/>
      <c r="R938" s="4"/>
      <c r="S938" s="2"/>
      <c r="T938" s="2"/>
      <c r="U938" s="1"/>
      <c r="V938" s="2"/>
      <c r="W938" s="2"/>
      <c r="X938" s="2"/>
      <c r="Y938" s="2"/>
      <c r="Z938" s="2"/>
    </row>
    <row r="939" spans="1:26" ht="15.75" customHeight="1" x14ac:dyDescent="0.2">
      <c r="A939" s="12"/>
      <c r="B939" s="10"/>
      <c r="C939" s="11"/>
      <c r="D939" s="13"/>
      <c r="E939" s="13"/>
      <c r="F939" s="13"/>
      <c r="G939" s="2"/>
      <c r="H939" s="2"/>
      <c r="I939" s="13"/>
      <c r="J939" s="13"/>
      <c r="K939" s="13"/>
      <c r="L939" s="14"/>
      <c r="M939" s="4"/>
      <c r="N939" s="2"/>
      <c r="O939" s="4"/>
      <c r="P939" s="2"/>
      <c r="Q939" s="2"/>
      <c r="R939" s="4"/>
      <c r="S939" s="2"/>
      <c r="T939" s="2"/>
      <c r="U939" s="1"/>
      <c r="V939" s="2"/>
      <c r="W939" s="2"/>
      <c r="X939" s="2"/>
      <c r="Y939" s="2"/>
      <c r="Z939" s="2"/>
    </row>
    <row r="940" spans="1:26" ht="15.75" customHeight="1" x14ac:dyDescent="0.2">
      <c r="A940" s="12"/>
      <c r="B940" s="10"/>
      <c r="C940" s="11"/>
      <c r="D940" s="13"/>
      <c r="E940" s="13"/>
      <c r="F940" s="13"/>
      <c r="G940" s="2"/>
      <c r="H940" s="2"/>
      <c r="I940" s="13"/>
      <c r="J940" s="13"/>
      <c r="K940" s="13"/>
      <c r="L940" s="14"/>
      <c r="M940" s="4"/>
      <c r="N940" s="2"/>
      <c r="O940" s="4"/>
      <c r="P940" s="2"/>
      <c r="Q940" s="2"/>
      <c r="R940" s="4"/>
      <c r="S940" s="2"/>
      <c r="T940" s="2"/>
      <c r="U940" s="1"/>
      <c r="V940" s="2"/>
      <c r="W940" s="2"/>
      <c r="X940" s="2"/>
      <c r="Y940" s="2"/>
      <c r="Z940" s="2"/>
    </row>
    <row r="941" spans="1:26" ht="15.75" customHeight="1" x14ac:dyDescent="0.2">
      <c r="A941" s="12"/>
      <c r="B941" s="10"/>
      <c r="C941" s="11"/>
      <c r="D941" s="13"/>
      <c r="E941" s="13"/>
      <c r="F941" s="13"/>
      <c r="G941" s="2"/>
      <c r="H941" s="2"/>
      <c r="I941" s="13"/>
      <c r="J941" s="13"/>
      <c r="K941" s="13"/>
      <c r="L941" s="14"/>
      <c r="M941" s="4"/>
      <c r="N941" s="2"/>
      <c r="O941" s="4"/>
      <c r="P941" s="2"/>
      <c r="Q941" s="2"/>
      <c r="R941" s="4"/>
      <c r="S941" s="2"/>
      <c r="T941" s="2"/>
      <c r="U941" s="1"/>
      <c r="V941" s="2"/>
      <c r="W941" s="2"/>
      <c r="X941" s="2"/>
      <c r="Y941" s="2"/>
      <c r="Z941" s="2"/>
    </row>
    <row r="942" spans="1:26" ht="15.75" customHeight="1" x14ac:dyDescent="0.2">
      <c r="A942" s="12"/>
      <c r="B942" s="10"/>
      <c r="C942" s="11"/>
      <c r="D942" s="13"/>
      <c r="E942" s="13"/>
      <c r="F942" s="13"/>
      <c r="G942" s="2"/>
      <c r="H942" s="2"/>
      <c r="I942" s="13"/>
      <c r="J942" s="13"/>
      <c r="K942" s="13"/>
      <c r="L942" s="14"/>
      <c r="M942" s="4"/>
      <c r="N942" s="2"/>
      <c r="O942" s="4"/>
      <c r="P942" s="2"/>
      <c r="Q942" s="2"/>
      <c r="R942" s="4"/>
      <c r="S942" s="2"/>
      <c r="T942" s="2"/>
      <c r="U942" s="1"/>
      <c r="V942" s="2"/>
      <c r="W942" s="2"/>
      <c r="X942" s="2"/>
      <c r="Y942" s="2"/>
      <c r="Z942" s="2"/>
    </row>
    <row r="943" spans="1:26" ht="15.75" customHeight="1" x14ac:dyDescent="0.2">
      <c r="A943" s="12"/>
      <c r="B943" s="10"/>
      <c r="C943" s="11"/>
      <c r="D943" s="13"/>
      <c r="E943" s="13"/>
      <c r="F943" s="13"/>
      <c r="G943" s="2"/>
      <c r="H943" s="2"/>
      <c r="I943" s="13"/>
      <c r="J943" s="13"/>
      <c r="K943" s="13"/>
      <c r="L943" s="14"/>
      <c r="M943" s="4"/>
      <c r="N943" s="2"/>
      <c r="O943" s="4"/>
      <c r="P943" s="2"/>
      <c r="Q943" s="2"/>
      <c r="R943" s="4"/>
      <c r="S943" s="2"/>
      <c r="T943" s="2"/>
      <c r="U943" s="1"/>
      <c r="V943" s="2"/>
      <c r="W943" s="2"/>
      <c r="X943" s="2"/>
      <c r="Y943" s="2"/>
      <c r="Z943" s="2"/>
    </row>
    <row r="944" spans="1:26" ht="15.75" customHeight="1" x14ac:dyDescent="0.2">
      <c r="A944" s="12"/>
      <c r="B944" s="10"/>
      <c r="C944" s="11"/>
      <c r="D944" s="13"/>
      <c r="E944" s="13"/>
      <c r="F944" s="13"/>
      <c r="G944" s="2"/>
      <c r="H944" s="2"/>
      <c r="I944" s="13"/>
      <c r="J944" s="13"/>
      <c r="K944" s="13"/>
      <c r="L944" s="14"/>
      <c r="M944" s="4"/>
      <c r="N944" s="2"/>
      <c r="O944" s="4"/>
      <c r="P944" s="2"/>
      <c r="Q944" s="2"/>
      <c r="R944" s="4"/>
      <c r="S944" s="2"/>
      <c r="T944" s="2"/>
      <c r="U944" s="1"/>
      <c r="V944" s="2"/>
      <c r="W944" s="2"/>
      <c r="X944" s="2"/>
      <c r="Y944" s="2"/>
      <c r="Z944" s="2"/>
    </row>
    <row r="945" spans="1:26" ht="15.75" customHeight="1" x14ac:dyDescent="0.2">
      <c r="A945" s="12"/>
      <c r="B945" s="10"/>
      <c r="C945" s="11"/>
      <c r="D945" s="13"/>
      <c r="E945" s="13"/>
      <c r="F945" s="13"/>
      <c r="G945" s="2"/>
      <c r="H945" s="2"/>
      <c r="I945" s="13"/>
      <c r="J945" s="13"/>
      <c r="K945" s="13"/>
      <c r="L945" s="14"/>
      <c r="M945" s="4"/>
      <c r="N945" s="2"/>
      <c r="O945" s="4"/>
      <c r="P945" s="2"/>
      <c r="Q945" s="2"/>
      <c r="R945" s="4"/>
      <c r="S945" s="2"/>
      <c r="T945" s="2"/>
      <c r="U945" s="1"/>
      <c r="V945" s="2"/>
      <c r="W945" s="2"/>
      <c r="X945" s="2"/>
      <c r="Y945" s="2"/>
      <c r="Z945" s="2"/>
    </row>
    <row r="946" spans="1:26" ht="15.75" customHeight="1" x14ac:dyDescent="0.2">
      <c r="A946" s="12"/>
      <c r="B946" s="10"/>
      <c r="C946" s="11"/>
      <c r="D946" s="13"/>
      <c r="E946" s="13"/>
      <c r="F946" s="13"/>
      <c r="G946" s="2"/>
      <c r="H946" s="2"/>
      <c r="I946" s="13"/>
      <c r="J946" s="13"/>
      <c r="K946" s="13"/>
      <c r="L946" s="14"/>
      <c r="M946" s="4"/>
      <c r="N946" s="2"/>
      <c r="O946" s="4"/>
      <c r="P946" s="2"/>
      <c r="Q946" s="2"/>
      <c r="R946" s="4"/>
      <c r="S946" s="2"/>
      <c r="T946" s="2"/>
      <c r="U946" s="1"/>
      <c r="V946" s="2"/>
      <c r="W946" s="2"/>
      <c r="X946" s="2"/>
      <c r="Y946" s="2"/>
      <c r="Z946" s="2"/>
    </row>
    <row r="947" spans="1:26" ht="15.75" customHeight="1" x14ac:dyDescent="0.2">
      <c r="A947" s="12"/>
      <c r="B947" s="10"/>
      <c r="C947" s="11"/>
      <c r="D947" s="13"/>
      <c r="E947" s="13"/>
      <c r="F947" s="13"/>
      <c r="G947" s="2"/>
      <c r="H947" s="2"/>
      <c r="I947" s="13"/>
      <c r="J947" s="13"/>
      <c r="K947" s="13"/>
      <c r="L947" s="14"/>
      <c r="M947" s="4"/>
      <c r="N947" s="2"/>
      <c r="O947" s="4"/>
      <c r="P947" s="2"/>
      <c r="Q947" s="2"/>
      <c r="R947" s="4"/>
      <c r="S947" s="2"/>
      <c r="T947" s="2"/>
      <c r="U947" s="1"/>
      <c r="V947" s="2"/>
      <c r="W947" s="2"/>
      <c r="X947" s="2"/>
      <c r="Y947" s="2"/>
      <c r="Z947" s="2"/>
    </row>
    <row r="948" spans="1:26" ht="15.75" customHeight="1" x14ac:dyDescent="0.2">
      <c r="A948" s="12"/>
      <c r="B948" s="10"/>
      <c r="C948" s="11"/>
      <c r="D948" s="13"/>
      <c r="E948" s="13"/>
      <c r="F948" s="13"/>
      <c r="G948" s="2"/>
      <c r="H948" s="2"/>
      <c r="I948" s="13"/>
      <c r="J948" s="13"/>
      <c r="K948" s="13"/>
      <c r="L948" s="14"/>
      <c r="M948" s="4"/>
      <c r="N948" s="2"/>
      <c r="O948" s="4"/>
      <c r="P948" s="2"/>
      <c r="Q948" s="2"/>
      <c r="R948" s="4"/>
      <c r="S948" s="2"/>
      <c r="T948" s="2"/>
      <c r="U948" s="1"/>
      <c r="V948" s="2"/>
      <c r="W948" s="2"/>
      <c r="X948" s="2"/>
      <c r="Y948" s="2"/>
      <c r="Z948" s="2"/>
    </row>
    <row r="949" spans="1:26" ht="15.75" customHeight="1" x14ac:dyDescent="0.2">
      <c r="A949" s="12"/>
      <c r="B949" s="10"/>
      <c r="C949" s="11"/>
      <c r="D949" s="13"/>
      <c r="E949" s="13"/>
      <c r="F949" s="13"/>
      <c r="G949" s="2"/>
      <c r="H949" s="2"/>
      <c r="I949" s="13"/>
      <c r="J949" s="13"/>
      <c r="K949" s="13"/>
      <c r="L949" s="14"/>
      <c r="M949" s="4"/>
      <c r="N949" s="2"/>
      <c r="O949" s="4"/>
      <c r="P949" s="2"/>
      <c r="Q949" s="2"/>
      <c r="R949" s="4"/>
      <c r="S949" s="2"/>
      <c r="T949" s="2"/>
      <c r="U949" s="1"/>
      <c r="V949" s="2"/>
      <c r="W949" s="2"/>
      <c r="X949" s="2"/>
      <c r="Y949" s="2"/>
      <c r="Z949" s="2"/>
    </row>
    <row r="950" spans="1:26" ht="15.75" customHeight="1" x14ac:dyDescent="0.2">
      <c r="A950" s="12"/>
      <c r="B950" s="10"/>
      <c r="C950" s="11"/>
      <c r="D950" s="13"/>
      <c r="E950" s="13"/>
      <c r="F950" s="13"/>
      <c r="G950" s="2"/>
      <c r="H950" s="2"/>
      <c r="I950" s="13"/>
      <c r="J950" s="13"/>
      <c r="K950" s="13"/>
      <c r="L950" s="14"/>
      <c r="M950" s="4"/>
      <c r="N950" s="2"/>
      <c r="O950" s="4"/>
      <c r="P950" s="2"/>
      <c r="Q950" s="2"/>
      <c r="R950" s="4"/>
      <c r="S950" s="2"/>
      <c r="T950" s="2"/>
      <c r="U950" s="1"/>
      <c r="V950" s="2"/>
      <c r="W950" s="2"/>
      <c r="X950" s="2"/>
      <c r="Y950" s="2"/>
      <c r="Z950" s="2"/>
    </row>
    <row r="951" spans="1:26" ht="15.75" customHeight="1" x14ac:dyDescent="0.2">
      <c r="A951" s="12"/>
      <c r="B951" s="10"/>
      <c r="C951" s="11"/>
      <c r="D951" s="13"/>
      <c r="E951" s="13"/>
      <c r="F951" s="13"/>
      <c r="G951" s="2"/>
      <c r="H951" s="2"/>
      <c r="I951" s="13"/>
      <c r="J951" s="13"/>
      <c r="K951" s="13"/>
      <c r="L951" s="14"/>
      <c r="M951" s="4"/>
      <c r="N951" s="2"/>
      <c r="O951" s="4"/>
      <c r="P951" s="2"/>
      <c r="Q951" s="2"/>
      <c r="R951" s="4"/>
      <c r="S951" s="2"/>
      <c r="T951" s="2"/>
      <c r="U951" s="1"/>
      <c r="V951" s="2"/>
      <c r="W951" s="2"/>
      <c r="X951" s="2"/>
      <c r="Y951" s="2"/>
      <c r="Z951" s="2"/>
    </row>
    <row r="952" spans="1:26" ht="15.75" customHeight="1" x14ac:dyDescent="0.2">
      <c r="A952" s="12"/>
      <c r="B952" s="10"/>
      <c r="C952" s="11"/>
      <c r="D952" s="13"/>
      <c r="E952" s="13"/>
      <c r="F952" s="13"/>
      <c r="G952" s="2"/>
      <c r="H952" s="2"/>
      <c r="I952" s="13"/>
      <c r="J952" s="13"/>
      <c r="K952" s="13"/>
      <c r="L952" s="14"/>
      <c r="M952" s="4"/>
      <c r="N952" s="2"/>
      <c r="O952" s="4"/>
      <c r="P952" s="2"/>
      <c r="Q952" s="2"/>
      <c r="R952" s="4"/>
      <c r="S952" s="2"/>
      <c r="T952" s="2"/>
      <c r="U952" s="1"/>
      <c r="V952" s="2"/>
      <c r="W952" s="2"/>
      <c r="X952" s="2"/>
      <c r="Y952" s="2"/>
      <c r="Z952" s="2"/>
    </row>
    <row r="953" spans="1:26" ht="15.75" customHeight="1" x14ac:dyDescent="0.2">
      <c r="A953" s="12"/>
      <c r="B953" s="10"/>
      <c r="C953" s="11"/>
      <c r="D953" s="13"/>
      <c r="E953" s="13"/>
      <c r="F953" s="13"/>
      <c r="G953" s="2"/>
      <c r="H953" s="2"/>
      <c r="I953" s="13"/>
      <c r="J953" s="13"/>
      <c r="K953" s="13"/>
      <c r="L953" s="14"/>
      <c r="M953" s="4"/>
      <c r="N953" s="2"/>
      <c r="O953" s="4"/>
      <c r="P953" s="2"/>
      <c r="Q953" s="2"/>
      <c r="R953" s="4"/>
      <c r="S953" s="2"/>
      <c r="T953" s="2"/>
      <c r="U953" s="1"/>
      <c r="V953" s="2"/>
      <c r="W953" s="2"/>
      <c r="X953" s="2"/>
      <c r="Y953" s="2"/>
      <c r="Z953" s="2"/>
    </row>
    <row r="954" spans="1:26" ht="15.75" customHeight="1" x14ac:dyDescent="0.2">
      <c r="A954" s="12"/>
      <c r="B954" s="10"/>
      <c r="C954" s="11"/>
      <c r="D954" s="13"/>
      <c r="E954" s="13"/>
      <c r="F954" s="13"/>
      <c r="G954" s="2"/>
      <c r="H954" s="2"/>
      <c r="I954" s="13"/>
      <c r="J954" s="13"/>
      <c r="K954" s="13"/>
      <c r="L954" s="14"/>
      <c r="M954" s="4"/>
      <c r="N954" s="2"/>
      <c r="O954" s="4"/>
      <c r="P954" s="2"/>
      <c r="Q954" s="2"/>
      <c r="R954" s="4"/>
      <c r="S954" s="2"/>
      <c r="T954" s="2"/>
      <c r="U954" s="1"/>
      <c r="V954" s="2"/>
      <c r="W954" s="2"/>
      <c r="X954" s="2"/>
      <c r="Y954" s="2"/>
      <c r="Z954" s="2"/>
    </row>
    <row r="955" spans="1:26" ht="15.75" customHeight="1" x14ac:dyDescent="0.2">
      <c r="A955" s="12"/>
      <c r="B955" s="10"/>
      <c r="C955" s="11"/>
      <c r="D955" s="13"/>
      <c r="E955" s="13"/>
      <c r="F955" s="13"/>
      <c r="G955" s="2"/>
      <c r="H955" s="2"/>
      <c r="I955" s="13"/>
      <c r="J955" s="13"/>
      <c r="K955" s="13"/>
      <c r="L955" s="14"/>
      <c r="M955" s="4"/>
      <c r="N955" s="2"/>
      <c r="O955" s="4"/>
      <c r="P955" s="2"/>
      <c r="Q955" s="2"/>
      <c r="R955" s="4"/>
      <c r="S955" s="2"/>
      <c r="T955" s="2"/>
      <c r="U955" s="1"/>
      <c r="V955" s="2"/>
      <c r="W955" s="2"/>
      <c r="X955" s="2"/>
      <c r="Y955" s="2"/>
      <c r="Z955" s="2"/>
    </row>
    <row r="956" spans="1:26" ht="15.75" customHeight="1" x14ac:dyDescent="0.2">
      <c r="A956" s="12"/>
      <c r="B956" s="10"/>
      <c r="C956" s="11"/>
      <c r="D956" s="13"/>
      <c r="E956" s="13"/>
      <c r="F956" s="13"/>
      <c r="G956" s="2"/>
      <c r="H956" s="2"/>
      <c r="I956" s="13"/>
      <c r="J956" s="13"/>
      <c r="K956" s="13"/>
      <c r="L956" s="14"/>
      <c r="M956" s="4"/>
      <c r="N956" s="2"/>
      <c r="O956" s="4"/>
      <c r="P956" s="2"/>
      <c r="Q956" s="2"/>
      <c r="R956" s="4"/>
      <c r="S956" s="2"/>
      <c r="T956" s="2"/>
      <c r="U956" s="1"/>
      <c r="V956" s="2"/>
      <c r="W956" s="2"/>
      <c r="X956" s="2"/>
      <c r="Y956" s="2"/>
      <c r="Z956" s="2"/>
    </row>
    <row r="957" spans="1:26" ht="15.75" customHeight="1" x14ac:dyDescent="0.2">
      <c r="A957" s="12"/>
      <c r="B957" s="10"/>
      <c r="C957" s="11"/>
      <c r="D957" s="13"/>
      <c r="E957" s="13"/>
      <c r="F957" s="13"/>
      <c r="G957" s="2"/>
      <c r="H957" s="2"/>
      <c r="I957" s="13"/>
      <c r="J957" s="13"/>
      <c r="K957" s="13"/>
      <c r="L957" s="14"/>
      <c r="M957" s="4"/>
      <c r="N957" s="2"/>
      <c r="O957" s="4"/>
      <c r="P957" s="2"/>
      <c r="Q957" s="2"/>
      <c r="R957" s="4"/>
      <c r="S957" s="2"/>
      <c r="T957" s="2"/>
      <c r="U957" s="1"/>
      <c r="V957" s="2"/>
      <c r="W957" s="2"/>
      <c r="X957" s="2"/>
      <c r="Y957" s="2"/>
      <c r="Z957" s="2"/>
    </row>
    <row r="958" spans="1:26" ht="15.75" customHeight="1" x14ac:dyDescent="0.2">
      <c r="A958" s="12"/>
      <c r="B958" s="10"/>
      <c r="C958" s="11"/>
      <c r="D958" s="13"/>
      <c r="E958" s="13"/>
      <c r="F958" s="13"/>
      <c r="G958" s="2"/>
      <c r="H958" s="2"/>
      <c r="I958" s="13"/>
      <c r="J958" s="13"/>
      <c r="K958" s="13"/>
      <c r="L958" s="14"/>
      <c r="M958" s="4"/>
      <c r="N958" s="2"/>
      <c r="O958" s="4"/>
      <c r="P958" s="2"/>
      <c r="Q958" s="2"/>
      <c r="R958" s="4"/>
      <c r="S958" s="2"/>
      <c r="T958" s="2"/>
      <c r="U958" s="1"/>
      <c r="V958" s="2"/>
      <c r="W958" s="2"/>
      <c r="X958" s="2"/>
      <c r="Y958" s="2"/>
      <c r="Z958" s="2"/>
    </row>
    <row r="959" spans="1:26" ht="15.75" customHeight="1" x14ac:dyDescent="0.2">
      <c r="A959" s="12"/>
      <c r="B959" s="10"/>
      <c r="C959" s="11"/>
      <c r="D959" s="13"/>
      <c r="E959" s="13"/>
      <c r="F959" s="13"/>
      <c r="G959" s="2"/>
      <c r="H959" s="2"/>
      <c r="I959" s="13"/>
      <c r="J959" s="13"/>
      <c r="K959" s="13"/>
      <c r="L959" s="14"/>
      <c r="M959" s="4"/>
      <c r="N959" s="2"/>
      <c r="O959" s="4"/>
      <c r="P959" s="2"/>
      <c r="Q959" s="2"/>
      <c r="R959" s="4"/>
      <c r="S959" s="2"/>
      <c r="T959" s="2"/>
      <c r="U959" s="1"/>
      <c r="V959" s="2"/>
      <c r="W959" s="2"/>
      <c r="X959" s="2"/>
      <c r="Y959" s="2"/>
      <c r="Z959" s="2"/>
    </row>
    <row r="960" spans="1:26" ht="15.75" customHeight="1" x14ac:dyDescent="0.2">
      <c r="A960" s="12"/>
      <c r="B960" s="10"/>
      <c r="C960" s="11"/>
      <c r="D960" s="13"/>
      <c r="E960" s="13"/>
      <c r="F960" s="13"/>
      <c r="G960" s="2"/>
      <c r="H960" s="2"/>
      <c r="I960" s="13"/>
      <c r="J960" s="13"/>
      <c r="K960" s="13"/>
      <c r="L960" s="14"/>
      <c r="M960" s="4"/>
      <c r="N960" s="2"/>
      <c r="O960" s="4"/>
      <c r="P960" s="2"/>
      <c r="Q960" s="2"/>
      <c r="R960" s="4"/>
      <c r="S960" s="2"/>
      <c r="T960" s="2"/>
      <c r="U960" s="1"/>
      <c r="V960" s="2"/>
      <c r="W960" s="2"/>
      <c r="X960" s="2"/>
      <c r="Y960" s="2"/>
      <c r="Z960" s="2"/>
    </row>
    <row r="961" spans="1:26" ht="15.75" customHeight="1" x14ac:dyDescent="0.2">
      <c r="A961" s="12"/>
      <c r="B961" s="10"/>
      <c r="C961" s="11"/>
      <c r="D961" s="13"/>
      <c r="E961" s="13"/>
      <c r="F961" s="13"/>
      <c r="G961" s="2"/>
      <c r="H961" s="2"/>
      <c r="I961" s="13"/>
      <c r="J961" s="13"/>
      <c r="K961" s="13"/>
      <c r="L961" s="14"/>
      <c r="M961" s="4"/>
      <c r="N961" s="2"/>
      <c r="O961" s="4"/>
      <c r="P961" s="2"/>
      <c r="Q961" s="2"/>
      <c r="R961" s="4"/>
      <c r="S961" s="2"/>
      <c r="T961" s="2"/>
      <c r="U961" s="1"/>
      <c r="V961" s="2"/>
      <c r="W961" s="2"/>
      <c r="X961" s="2"/>
      <c r="Y961" s="2"/>
      <c r="Z961" s="2"/>
    </row>
    <row r="962" spans="1:26" ht="15.75" customHeight="1" x14ac:dyDescent="0.2">
      <c r="A962" s="12"/>
      <c r="B962" s="10"/>
      <c r="C962" s="11"/>
      <c r="D962" s="13"/>
      <c r="E962" s="13"/>
      <c r="F962" s="13"/>
      <c r="G962" s="2"/>
      <c r="H962" s="2"/>
      <c r="I962" s="13"/>
      <c r="J962" s="13"/>
      <c r="K962" s="13"/>
      <c r="L962" s="14"/>
      <c r="M962" s="4"/>
      <c r="N962" s="2"/>
      <c r="O962" s="4"/>
      <c r="P962" s="2"/>
      <c r="Q962" s="2"/>
      <c r="R962" s="4"/>
      <c r="S962" s="2"/>
      <c r="T962" s="2"/>
      <c r="U962" s="1"/>
      <c r="V962" s="2"/>
      <c r="W962" s="2"/>
      <c r="X962" s="2"/>
      <c r="Y962" s="2"/>
      <c r="Z962" s="2"/>
    </row>
    <row r="963" spans="1:26" ht="15.75" customHeight="1" x14ac:dyDescent="0.2">
      <c r="A963" s="12"/>
      <c r="B963" s="10"/>
      <c r="C963" s="11"/>
      <c r="D963" s="13"/>
      <c r="E963" s="13"/>
      <c r="F963" s="13"/>
      <c r="G963" s="2"/>
      <c r="H963" s="2"/>
      <c r="I963" s="13"/>
      <c r="J963" s="13"/>
      <c r="K963" s="13"/>
      <c r="L963" s="14"/>
      <c r="M963" s="4"/>
      <c r="N963" s="2"/>
      <c r="O963" s="4"/>
      <c r="P963" s="2"/>
      <c r="Q963" s="2"/>
      <c r="R963" s="4"/>
      <c r="S963" s="2"/>
      <c r="T963" s="2"/>
      <c r="U963" s="1"/>
      <c r="V963" s="2"/>
      <c r="W963" s="2"/>
      <c r="X963" s="2"/>
      <c r="Y963" s="2"/>
      <c r="Z963" s="2"/>
    </row>
    <row r="964" spans="1:26" ht="15.75" customHeight="1" x14ac:dyDescent="0.2">
      <c r="A964" s="12"/>
      <c r="B964" s="10"/>
      <c r="C964" s="11"/>
      <c r="D964" s="13"/>
      <c r="E964" s="13"/>
      <c r="F964" s="13"/>
      <c r="G964" s="2"/>
      <c r="H964" s="2"/>
      <c r="I964" s="13"/>
      <c r="J964" s="13"/>
      <c r="K964" s="13"/>
      <c r="L964" s="14"/>
      <c r="M964" s="4"/>
      <c r="N964" s="2"/>
      <c r="O964" s="4"/>
      <c r="P964" s="2"/>
      <c r="Q964" s="2"/>
      <c r="R964" s="4"/>
      <c r="S964" s="2"/>
      <c r="T964" s="2"/>
      <c r="U964" s="1"/>
      <c r="V964" s="2"/>
      <c r="W964" s="2"/>
      <c r="X964" s="2"/>
      <c r="Y964" s="2"/>
      <c r="Z964" s="2"/>
    </row>
    <row r="965" spans="1:26" ht="15.75" customHeight="1" x14ac:dyDescent="0.2">
      <c r="A965" s="12"/>
      <c r="B965" s="10"/>
      <c r="C965" s="11"/>
      <c r="D965" s="13"/>
      <c r="E965" s="13"/>
      <c r="F965" s="13"/>
      <c r="G965" s="2"/>
      <c r="H965" s="2"/>
      <c r="I965" s="13"/>
      <c r="J965" s="13"/>
      <c r="K965" s="13"/>
      <c r="L965" s="14"/>
      <c r="M965" s="4"/>
      <c r="N965" s="2"/>
      <c r="O965" s="4"/>
      <c r="P965" s="2"/>
      <c r="Q965" s="2"/>
      <c r="R965" s="4"/>
      <c r="S965" s="2"/>
      <c r="T965" s="2"/>
      <c r="U965" s="1"/>
      <c r="V965" s="2"/>
      <c r="W965" s="2"/>
      <c r="X965" s="2"/>
      <c r="Y965" s="2"/>
      <c r="Z965" s="2"/>
    </row>
    <row r="966" spans="1:26" ht="15.75" customHeight="1" x14ac:dyDescent="0.2">
      <c r="A966" s="12"/>
      <c r="B966" s="10"/>
      <c r="C966" s="11"/>
      <c r="D966" s="13"/>
      <c r="E966" s="13"/>
      <c r="F966" s="13"/>
      <c r="G966" s="2"/>
      <c r="H966" s="2"/>
      <c r="I966" s="13"/>
      <c r="J966" s="13"/>
      <c r="K966" s="13"/>
      <c r="L966" s="14"/>
      <c r="M966" s="4"/>
      <c r="N966" s="2"/>
      <c r="O966" s="4"/>
      <c r="P966" s="2"/>
      <c r="Q966" s="2"/>
      <c r="R966" s="4"/>
      <c r="S966" s="2"/>
      <c r="T966" s="2"/>
      <c r="U966" s="1"/>
      <c r="V966" s="2"/>
      <c r="W966" s="2"/>
      <c r="X966" s="2"/>
      <c r="Y966" s="2"/>
      <c r="Z966" s="2"/>
    </row>
    <row r="967" spans="1:26" ht="15.75" customHeight="1" x14ac:dyDescent="0.2">
      <c r="A967" s="12"/>
      <c r="B967" s="10"/>
      <c r="C967" s="11"/>
      <c r="D967" s="13"/>
      <c r="E967" s="13"/>
      <c r="F967" s="13"/>
      <c r="G967" s="2"/>
      <c r="H967" s="2"/>
      <c r="I967" s="13"/>
      <c r="J967" s="13"/>
      <c r="K967" s="13"/>
      <c r="L967" s="14"/>
      <c r="M967" s="4"/>
      <c r="N967" s="2"/>
      <c r="O967" s="4"/>
      <c r="P967" s="2"/>
      <c r="Q967" s="2"/>
      <c r="R967" s="4"/>
      <c r="S967" s="2"/>
      <c r="T967" s="2"/>
      <c r="U967" s="1"/>
      <c r="V967" s="2"/>
      <c r="W967" s="2"/>
      <c r="X967" s="2"/>
      <c r="Y967" s="2"/>
      <c r="Z967" s="2"/>
    </row>
    <row r="968" spans="1:26" ht="15.75" customHeight="1" x14ac:dyDescent="0.2">
      <c r="A968" s="12"/>
      <c r="B968" s="10"/>
      <c r="C968" s="11"/>
      <c r="D968" s="13"/>
      <c r="E968" s="13"/>
      <c r="F968" s="13"/>
      <c r="G968" s="2"/>
      <c r="H968" s="2"/>
      <c r="I968" s="13"/>
      <c r="J968" s="13"/>
      <c r="K968" s="13"/>
      <c r="L968" s="14"/>
      <c r="M968" s="4"/>
      <c r="N968" s="2"/>
      <c r="O968" s="4"/>
      <c r="P968" s="2"/>
      <c r="Q968" s="2"/>
      <c r="R968" s="4"/>
      <c r="S968" s="2"/>
      <c r="T968" s="2"/>
      <c r="U968" s="1"/>
      <c r="V968" s="2"/>
      <c r="W968" s="2"/>
      <c r="X968" s="2"/>
      <c r="Y968" s="2"/>
      <c r="Z968" s="2"/>
    </row>
    <row r="969" spans="1:26" ht="15.75" customHeight="1" x14ac:dyDescent="0.2">
      <c r="A969" s="12"/>
      <c r="B969" s="10"/>
      <c r="C969" s="11"/>
      <c r="D969" s="13"/>
      <c r="E969" s="13"/>
      <c r="F969" s="13"/>
      <c r="G969" s="2"/>
      <c r="H969" s="2"/>
      <c r="I969" s="13"/>
      <c r="J969" s="13"/>
      <c r="K969" s="13"/>
      <c r="L969" s="14"/>
      <c r="M969" s="4"/>
      <c r="N969" s="2"/>
      <c r="O969" s="4"/>
      <c r="P969" s="2"/>
      <c r="Q969" s="2"/>
      <c r="R969" s="4"/>
      <c r="S969" s="2"/>
      <c r="T969" s="2"/>
      <c r="U969" s="1"/>
      <c r="V969" s="2"/>
      <c r="W969" s="2"/>
      <c r="X969" s="2"/>
      <c r="Y969" s="2"/>
      <c r="Z969" s="2"/>
    </row>
    <row r="970" spans="1:26" ht="15.75" customHeight="1" x14ac:dyDescent="0.2">
      <c r="A970" s="12"/>
      <c r="B970" s="10"/>
      <c r="C970" s="11"/>
      <c r="D970" s="13"/>
      <c r="E970" s="13"/>
      <c r="F970" s="13"/>
      <c r="G970" s="2"/>
      <c r="H970" s="2"/>
      <c r="I970" s="13"/>
      <c r="J970" s="13"/>
      <c r="K970" s="13"/>
      <c r="L970" s="14"/>
      <c r="M970" s="4"/>
      <c r="N970" s="2"/>
      <c r="O970" s="4"/>
      <c r="P970" s="2"/>
      <c r="Q970" s="2"/>
      <c r="R970" s="4"/>
      <c r="S970" s="2"/>
      <c r="T970" s="2"/>
      <c r="U970" s="1"/>
      <c r="V970" s="2"/>
      <c r="W970" s="2"/>
      <c r="X970" s="2"/>
      <c r="Y970" s="2"/>
      <c r="Z970" s="2"/>
    </row>
    <row r="971" spans="1:26" ht="15.75" customHeight="1" x14ac:dyDescent="0.2">
      <c r="A971" s="12"/>
      <c r="B971" s="10"/>
      <c r="C971" s="11"/>
      <c r="D971" s="13"/>
      <c r="E971" s="13"/>
      <c r="F971" s="13"/>
      <c r="G971" s="2"/>
      <c r="H971" s="2"/>
      <c r="I971" s="13"/>
      <c r="J971" s="13"/>
      <c r="K971" s="13"/>
      <c r="L971" s="14"/>
      <c r="M971" s="4"/>
      <c r="N971" s="2"/>
      <c r="O971" s="4"/>
      <c r="P971" s="2"/>
      <c r="Q971" s="2"/>
      <c r="R971" s="4"/>
      <c r="S971" s="2"/>
      <c r="T971" s="2"/>
      <c r="U971" s="1"/>
      <c r="V971" s="2"/>
      <c r="W971" s="2"/>
      <c r="X971" s="2"/>
      <c r="Y971" s="2"/>
      <c r="Z971" s="2"/>
    </row>
    <row r="972" spans="1:26" ht="15.75" customHeight="1" x14ac:dyDescent="0.2">
      <c r="A972" s="12"/>
      <c r="B972" s="10"/>
      <c r="C972" s="11"/>
      <c r="D972" s="13"/>
      <c r="E972" s="13"/>
      <c r="F972" s="13"/>
      <c r="G972" s="2"/>
      <c r="H972" s="2"/>
      <c r="I972" s="13"/>
      <c r="J972" s="13"/>
      <c r="K972" s="13"/>
      <c r="L972" s="14"/>
      <c r="M972" s="4"/>
      <c r="N972" s="2"/>
      <c r="O972" s="4"/>
      <c r="P972" s="2"/>
      <c r="Q972" s="2"/>
      <c r="R972" s="4"/>
      <c r="S972" s="2"/>
      <c r="T972" s="2"/>
      <c r="U972" s="1"/>
      <c r="V972" s="2"/>
      <c r="W972" s="2"/>
      <c r="X972" s="2"/>
      <c r="Y972" s="2"/>
      <c r="Z972" s="2"/>
    </row>
    <row r="973" spans="1:26" ht="15.75" customHeight="1" x14ac:dyDescent="0.2">
      <c r="A973" s="12"/>
      <c r="B973" s="10"/>
      <c r="C973" s="11"/>
      <c r="D973" s="13"/>
      <c r="E973" s="13"/>
      <c r="F973" s="13"/>
      <c r="G973" s="2"/>
      <c r="H973" s="2"/>
      <c r="I973" s="13"/>
      <c r="J973" s="13"/>
      <c r="K973" s="13"/>
      <c r="L973" s="14"/>
      <c r="M973" s="4"/>
      <c r="N973" s="2"/>
      <c r="O973" s="4"/>
      <c r="P973" s="2"/>
      <c r="Q973" s="2"/>
      <c r="R973" s="4"/>
      <c r="S973" s="2"/>
      <c r="T973" s="2"/>
      <c r="U973" s="1"/>
      <c r="V973" s="2"/>
      <c r="W973" s="2"/>
      <c r="X973" s="2"/>
      <c r="Y973" s="2"/>
      <c r="Z973" s="2"/>
    </row>
    <row r="974" spans="1:26" ht="15.75" customHeight="1" x14ac:dyDescent="0.2">
      <c r="A974" s="12"/>
      <c r="B974" s="10"/>
      <c r="C974" s="11"/>
      <c r="D974" s="13"/>
      <c r="E974" s="13"/>
      <c r="F974" s="13"/>
      <c r="G974" s="2"/>
      <c r="H974" s="2"/>
      <c r="I974" s="13"/>
      <c r="J974" s="13"/>
      <c r="K974" s="13"/>
      <c r="L974" s="14"/>
      <c r="M974" s="4"/>
      <c r="N974" s="2"/>
      <c r="O974" s="4"/>
      <c r="P974" s="2"/>
      <c r="Q974" s="2"/>
      <c r="R974" s="4"/>
      <c r="S974" s="2"/>
      <c r="T974" s="2"/>
      <c r="U974" s="1"/>
      <c r="V974" s="2"/>
      <c r="W974" s="2"/>
      <c r="X974" s="2"/>
      <c r="Y974" s="2"/>
      <c r="Z974" s="2"/>
    </row>
    <row r="975" spans="1:26" ht="15.75" customHeight="1" x14ac:dyDescent="0.2">
      <c r="A975" s="12"/>
      <c r="B975" s="10"/>
      <c r="C975" s="11"/>
      <c r="D975" s="13"/>
      <c r="E975" s="13"/>
      <c r="F975" s="13"/>
      <c r="G975" s="2"/>
      <c r="H975" s="2"/>
      <c r="I975" s="13"/>
      <c r="J975" s="13"/>
      <c r="K975" s="13"/>
      <c r="L975" s="14"/>
      <c r="M975" s="4"/>
      <c r="N975" s="2"/>
      <c r="O975" s="4"/>
      <c r="P975" s="2"/>
      <c r="Q975" s="2"/>
      <c r="R975" s="4"/>
      <c r="S975" s="2"/>
      <c r="T975" s="2"/>
      <c r="U975" s="1"/>
      <c r="V975" s="2"/>
      <c r="W975" s="2"/>
      <c r="X975" s="2"/>
      <c r="Y975" s="2"/>
      <c r="Z975" s="2"/>
    </row>
    <row r="976" spans="1:26" ht="15.75" customHeight="1" x14ac:dyDescent="0.2">
      <c r="A976" s="12"/>
      <c r="B976" s="10"/>
      <c r="C976" s="11"/>
      <c r="D976" s="13"/>
      <c r="E976" s="13"/>
      <c r="F976" s="13"/>
      <c r="G976" s="2"/>
      <c r="H976" s="2"/>
      <c r="I976" s="13"/>
      <c r="J976" s="13"/>
      <c r="K976" s="13"/>
      <c r="L976" s="14"/>
      <c r="M976" s="4"/>
      <c r="N976" s="2"/>
      <c r="O976" s="4"/>
      <c r="P976" s="2"/>
      <c r="Q976" s="2"/>
      <c r="R976" s="4"/>
      <c r="S976" s="2"/>
      <c r="T976" s="2"/>
      <c r="U976" s="1"/>
      <c r="V976" s="2"/>
      <c r="W976" s="2"/>
      <c r="X976" s="2"/>
      <c r="Y976" s="2"/>
      <c r="Z976" s="2"/>
    </row>
    <row r="977" spans="1:26" ht="15.75" customHeight="1" x14ac:dyDescent="0.2">
      <c r="A977" s="12"/>
      <c r="B977" s="10"/>
      <c r="C977" s="11"/>
      <c r="D977" s="13"/>
      <c r="E977" s="13"/>
      <c r="F977" s="13"/>
      <c r="G977" s="2"/>
      <c r="H977" s="2"/>
      <c r="I977" s="13"/>
      <c r="J977" s="13"/>
      <c r="K977" s="13"/>
      <c r="L977" s="14"/>
      <c r="M977" s="4"/>
      <c r="N977" s="2"/>
      <c r="O977" s="4"/>
      <c r="P977" s="2"/>
      <c r="Q977" s="2"/>
      <c r="R977" s="4"/>
      <c r="S977" s="2"/>
      <c r="T977" s="2"/>
      <c r="U977" s="1"/>
      <c r="V977" s="2"/>
      <c r="W977" s="2"/>
      <c r="X977" s="2"/>
      <c r="Y977" s="2"/>
      <c r="Z977" s="2"/>
    </row>
    <row r="978" spans="1:26" ht="15.75" customHeight="1" x14ac:dyDescent="0.2">
      <c r="A978" s="12"/>
      <c r="B978" s="10"/>
      <c r="C978" s="11"/>
      <c r="D978" s="13"/>
      <c r="E978" s="13"/>
      <c r="F978" s="13"/>
      <c r="G978" s="2"/>
      <c r="H978" s="2"/>
      <c r="I978" s="13"/>
      <c r="J978" s="13"/>
      <c r="K978" s="13"/>
      <c r="L978" s="14"/>
      <c r="M978" s="4"/>
      <c r="N978" s="2"/>
      <c r="O978" s="4"/>
      <c r="P978" s="2"/>
      <c r="Q978" s="2"/>
      <c r="R978" s="4"/>
      <c r="S978" s="2"/>
      <c r="T978" s="2"/>
      <c r="U978" s="1"/>
      <c r="V978" s="2"/>
      <c r="W978" s="2"/>
      <c r="X978" s="2"/>
      <c r="Y978" s="2"/>
      <c r="Z978" s="2"/>
    </row>
    <row r="979" spans="1:26" ht="15.75" customHeight="1" x14ac:dyDescent="0.2">
      <c r="A979" s="12"/>
      <c r="B979" s="10"/>
      <c r="C979" s="11"/>
      <c r="D979" s="13"/>
      <c r="E979" s="13"/>
      <c r="F979" s="13"/>
      <c r="G979" s="2"/>
      <c r="H979" s="2"/>
      <c r="I979" s="13"/>
      <c r="J979" s="13"/>
      <c r="K979" s="13"/>
      <c r="L979" s="14"/>
      <c r="M979" s="4"/>
      <c r="N979" s="2"/>
      <c r="O979" s="4"/>
      <c r="P979" s="2"/>
      <c r="Q979" s="2"/>
      <c r="R979" s="4"/>
      <c r="S979" s="2"/>
      <c r="T979" s="2"/>
      <c r="U979" s="1"/>
      <c r="V979" s="2"/>
      <c r="W979" s="2"/>
      <c r="X979" s="2"/>
      <c r="Y979" s="2"/>
      <c r="Z979" s="2"/>
    </row>
    <row r="980" spans="1:26" ht="15.75" customHeight="1" x14ac:dyDescent="0.2">
      <c r="A980" s="12"/>
      <c r="B980" s="10"/>
      <c r="C980" s="11"/>
      <c r="D980" s="13"/>
      <c r="E980" s="13"/>
      <c r="F980" s="13"/>
      <c r="G980" s="2"/>
      <c r="H980" s="2"/>
      <c r="I980" s="13"/>
      <c r="J980" s="13"/>
      <c r="K980" s="13"/>
      <c r="L980" s="14"/>
      <c r="M980" s="4"/>
      <c r="N980" s="2"/>
      <c r="O980" s="4"/>
      <c r="P980" s="2"/>
      <c r="Q980" s="2"/>
      <c r="R980" s="4"/>
      <c r="S980" s="2"/>
      <c r="T980" s="2"/>
      <c r="U980" s="1"/>
      <c r="V980" s="2"/>
      <c r="W980" s="2"/>
      <c r="X980" s="2"/>
      <c r="Y980" s="2"/>
      <c r="Z980" s="2"/>
    </row>
    <row r="981" spans="1:26" ht="15.75" customHeight="1" x14ac:dyDescent="0.2">
      <c r="A981" s="12"/>
      <c r="B981" s="10"/>
      <c r="C981" s="11"/>
      <c r="D981" s="13"/>
      <c r="E981" s="13"/>
      <c r="F981" s="13"/>
      <c r="G981" s="2"/>
      <c r="H981" s="2"/>
      <c r="I981" s="13"/>
      <c r="J981" s="13"/>
      <c r="K981" s="13"/>
      <c r="L981" s="14"/>
      <c r="M981" s="4"/>
      <c r="N981" s="2"/>
      <c r="O981" s="4"/>
      <c r="P981" s="2"/>
      <c r="Q981" s="2"/>
      <c r="R981" s="4"/>
      <c r="S981" s="2"/>
      <c r="T981" s="2"/>
      <c r="U981" s="1"/>
      <c r="V981" s="2"/>
      <c r="W981" s="2"/>
      <c r="X981" s="2"/>
      <c r="Y981" s="2"/>
      <c r="Z981" s="2"/>
    </row>
    <row r="982" spans="1:26" ht="15.75" customHeight="1" x14ac:dyDescent="0.2">
      <c r="A982" s="12"/>
      <c r="B982" s="10"/>
      <c r="C982" s="11"/>
      <c r="D982" s="13"/>
      <c r="E982" s="13"/>
      <c r="F982" s="13"/>
      <c r="G982" s="2"/>
      <c r="H982" s="2"/>
      <c r="I982" s="13"/>
      <c r="J982" s="13"/>
      <c r="K982" s="13"/>
      <c r="L982" s="14"/>
      <c r="M982" s="4"/>
      <c r="N982" s="2"/>
      <c r="O982" s="4"/>
      <c r="P982" s="2"/>
      <c r="Q982" s="2"/>
      <c r="R982" s="4"/>
      <c r="S982" s="2"/>
      <c r="T982" s="2"/>
      <c r="U982" s="1"/>
      <c r="V982" s="2"/>
      <c r="W982" s="2"/>
      <c r="X982" s="2"/>
      <c r="Y982" s="2"/>
      <c r="Z982" s="2"/>
    </row>
    <row r="983" spans="1:26" ht="15.75" customHeight="1" x14ac:dyDescent="0.2">
      <c r="A983" s="12"/>
      <c r="B983" s="10"/>
      <c r="C983" s="11"/>
      <c r="D983" s="13"/>
      <c r="E983" s="13"/>
      <c r="F983" s="13"/>
      <c r="G983" s="2"/>
      <c r="H983" s="2"/>
      <c r="I983" s="13"/>
      <c r="J983" s="13"/>
      <c r="K983" s="13"/>
      <c r="L983" s="14"/>
      <c r="M983" s="4"/>
      <c r="N983" s="2"/>
      <c r="O983" s="4"/>
      <c r="P983" s="2"/>
      <c r="Q983" s="2"/>
      <c r="R983" s="4"/>
      <c r="S983" s="2"/>
      <c r="T983" s="2"/>
      <c r="U983" s="1"/>
      <c r="V983" s="2"/>
      <c r="W983" s="2"/>
      <c r="X983" s="2"/>
      <c r="Y983" s="2"/>
      <c r="Z983" s="2"/>
    </row>
    <row r="984" spans="1:26" ht="15.75" customHeight="1" x14ac:dyDescent="0.2">
      <c r="A984" s="12"/>
      <c r="B984" s="10"/>
      <c r="C984" s="11"/>
      <c r="D984" s="13"/>
      <c r="E984" s="13"/>
      <c r="F984" s="13"/>
      <c r="G984" s="2"/>
      <c r="H984" s="2"/>
      <c r="I984" s="13"/>
      <c r="J984" s="13"/>
      <c r="K984" s="13"/>
      <c r="L984" s="14"/>
      <c r="M984" s="4"/>
      <c r="N984" s="2"/>
      <c r="O984" s="4"/>
      <c r="P984" s="2"/>
      <c r="Q984" s="2"/>
      <c r="R984" s="4"/>
      <c r="S984" s="2"/>
      <c r="T984" s="2"/>
      <c r="U984" s="1"/>
      <c r="V984" s="2"/>
      <c r="W984" s="2"/>
      <c r="X984" s="2"/>
      <c r="Y984" s="2"/>
      <c r="Z984" s="2"/>
    </row>
    <row r="985" spans="1:26" ht="15.75" customHeight="1" x14ac:dyDescent="0.2">
      <c r="A985" s="12"/>
      <c r="B985" s="10"/>
      <c r="C985" s="11"/>
      <c r="D985" s="13"/>
      <c r="E985" s="13"/>
      <c r="F985" s="13"/>
      <c r="G985" s="2"/>
      <c r="H985" s="2"/>
      <c r="I985" s="13"/>
      <c r="J985" s="13"/>
      <c r="K985" s="13"/>
      <c r="L985" s="14"/>
      <c r="M985" s="4"/>
      <c r="N985" s="2"/>
      <c r="O985" s="4"/>
      <c r="P985" s="2"/>
      <c r="Q985" s="2"/>
      <c r="R985" s="4"/>
      <c r="S985" s="2"/>
      <c r="T985" s="2"/>
      <c r="U985" s="1"/>
      <c r="V985" s="2"/>
      <c r="W985" s="2"/>
      <c r="X985" s="2"/>
      <c r="Y985" s="2"/>
      <c r="Z985" s="2"/>
    </row>
    <row r="986" spans="1:26" ht="15.75" customHeight="1" x14ac:dyDescent="0.2">
      <c r="A986" s="12"/>
      <c r="B986" s="10"/>
      <c r="C986" s="11"/>
      <c r="D986" s="13"/>
      <c r="E986" s="13"/>
      <c r="F986" s="13"/>
      <c r="G986" s="2"/>
      <c r="H986" s="2"/>
      <c r="I986" s="13"/>
      <c r="J986" s="13"/>
      <c r="K986" s="13"/>
      <c r="L986" s="14"/>
      <c r="M986" s="4"/>
      <c r="N986" s="2"/>
      <c r="O986" s="4"/>
      <c r="P986" s="2"/>
      <c r="Q986" s="2"/>
      <c r="R986" s="4"/>
      <c r="S986" s="2"/>
      <c r="T986" s="2"/>
      <c r="U986" s="1"/>
      <c r="V986" s="2"/>
      <c r="W986" s="2"/>
      <c r="X986" s="2"/>
      <c r="Y986" s="2"/>
      <c r="Z986" s="2"/>
    </row>
    <row r="987" spans="1:26" ht="15.75" customHeight="1" x14ac:dyDescent="0.2">
      <c r="A987" s="12"/>
      <c r="B987" s="10"/>
      <c r="C987" s="11"/>
      <c r="D987" s="13"/>
      <c r="E987" s="13"/>
      <c r="F987" s="13"/>
      <c r="G987" s="2"/>
      <c r="H987" s="2"/>
      <c r="I987" s="13"/>
      <c r="J987" s="13"/>
      <c r="K987" s="13"/>
      <c r="L987" s="14"/>
      <c r="M987" s="4"/>
      <c r="N987" s="2"/>
      <c r="O987" s="4"/>
      <c r="P987" s="2"/>
      <c r="Q987" s="2"/>
      <c r="R987" s="4"/>
      <c r="S987" s="2"/>
      <c r="T987" s="2"/>
      <c r="U987" s="1"/>
      <c r="V987" s="2"/>
      <c r="W987" s="2"/>
      <c r="X987" s="2"/>
      <c r="Y987" s="2"/>
      <c r="Z987" s="2"/>
    </row>
    <row r="988" spans="1:26" ht="15.75" customHeight="1" x14ac:dyDescent="0.2">
      <c r="A988" s="12"/>
      <c r="B988" s="10"/>
      <c r="C988" s="11"/>
      <c r="D988" s="13"/>
      <c r="E988" s="13"/>
      <c r="F988" s="13"/>
      <c r="G988" s="2"/>
      <c r="H988" s="2"/>
      <c r="I988" s="13"/>
      <c r="J988" s="13"/>
      <c r="K988" s="13"/>
      <c r="L988" s="14"/>
      <c r="M988" s="4"/>
      <c r="N988" s="2"/>
      <c r="O988" s="4"/>
      <c r="P988" s="2"/>
      <c r="Q988" s="2"/>
      <c r="R988" s="4"/>
      <c r="S988" s="2"/>
      <c r="T988" s="2"/>
      <c r="U988" s="1"/>
      <c r="V988" s="2"/>
      <c r="W988" s="2"/>
      <c r="X988" s="2"/>
      <c r="Y988" s="2"/>
      <c r="Z988" s="2"/>
    </row>
    <row r="989" spans="1:26" ht="15.75" customHeight="1" x14ac:dyDescent="0.2">
      <c r="A989" s="12"/>
      <c r="B989" s="10"/>
      <c r="C989" s="11"/>
      <c r="D989" s="13"/>
      <c r="E989" s="13"/>
      <c r="F989" s="13"/>
      <c r="G989" s="2"/>
      <c r="H989" s="2"/>
      <c r="I989" s="13"/>
      <c r="J989" s="13"/>
      <c r="K989" s="13"/>
      <c r="L989" s="14"/>
      <c r="M989" s="4"/>
      <c r="N989" s="2"/>
      <c r="O989" s="4"/>
      <c r="P989" s="2"/>
      <c r="Q989" s="2"/>
      <c r="R989" s="4"/>
      <c r="S989" s="2"/>
      <c r="T989" s="2"/>
      <c r="U989" s="1"/>
      <c r="V989" s="2"/>
      <c r="W989" s="2"/>
      <c r="X989" s="2"/>
      <c r="Y989" s="2"/>
      <c r="Z989" s="2"/>
    </row>
    <row r="990" spans="1:26" ht="15.75" customHeight="1" x14ac:dyDescent="0.2">
      <c r="A990" s="12"/>
      <c r="B990" s="10"/>
      <c r="C990" s="11"/>
      <c r="D990" s="13"/>
      <c r="E990" s="13"/>
      <c r="F990" s="13"/>
      <c r="G990" s="2"/>
      <c r="H990" s="2"/>
      <c r="I990" s="13"/>
      <c r="J990" s="13"/>
      <c r="K990" s="13"/>
      <c r="L990" s="14"/>
      <c r="M990" s="4"/>
      <c r="N990" s="2"/>
      <c r="O990" s="4"/>
      <c r="P990" s="2"/>
      <c r="Q990" s="2"/>
      <c r="R990" s="4"/>
      <c r="S990" s="2"/>
      <c r="T990" s="2"/>
      <c r="U990" s="1"/>
      <c r="V990" s="2"/>
      <c r="W990" s="2"/>
      <c r="X990" s="2"/>
      <c r="Y990" s="2"/>
      <c r="Z990" s="2"/>
    </row>
    <row r="991" spans="1:26" ht="15.75" customHeight="1" x14ac:dyDescent="0.2">
      <c r="A991" s="12"/>
      <c r="B991" s="10"/>
      <c r="C991" s="11"/>
      <c r="D991" s="13"/>
      <c r="E991" s="13"/>
      <c r="F991" s="13"/>
      <c r="G991" s="2"/>
      <c r="H991" s="2"/>
      <c r="I991" s="13"/>
      <c r="J991" s="13"/>
      <c r="K991" s="13"/>
      <c r="L991" s="14"/>
      <c r="M991" s="4"/>
      <c r="N991" s="2"/>
      <c r="O991" s="4"/>
      <c r="P991" s="2"/>
      <c r="Q991" s="2"/>
      <c r="R991" s="4"/>
      <c r="S991" s="2"/>
      <c r="T991" s="2"/>
      <c r="U991" s="1"/>
      <c r="V991" s="2"/>
      <c r="W991" s="2"/>
      <c r="X991" s="2"/>
      <c r="Y991" s="2"/>
      <c r="Z991" s="2"/>
    </row>
    <row r="992" spans="1:26" ht="15.75" customHeight="1" x14ac:dyDescent="0.2">
      <c r="A992" s="12"/>
      <c r="B992" s="10"/>
      <c r="C992" s="11"/>
      <c r="D992" s="13"/>
      <c r="E992" s="13"/>
      <c r="F992" s="13"/>
      <c r="G992" s="2"/>
      <c r="H992" s="2"/>
      <c r="I992" s="13"/>
      <c r="J992" s="13"/>
      <c r="K992" s="13"/>
      <c r="L992" s="14"/>
      <c r="M992" s="4"/>
      <c r="N992" s="2"/>
      <c r="O992" s="4"/>
      <c r="P992" s="2"/>
      <c r="Q992" s="2"/>
      <c r="R992" s="4"/>
      <c r="S992" s="2"/>
      <c r="T992" s="2"/>
      <c r="U992" s="1"/>
      <c r="V992" s="2"/>
      <c r="W992" s="2"/>
      <c r="X992" s="2"/>
      <c r="Y992" s="2"/>
      <c r="Z992" s="2"/>
    </row>
    <row r="993" spans="1:26" ht="15.75" customHeight="1" x14ac:dyDescent="0.2">
      <c r="A993" s="12"/>
      <c r="B993" s="10"/>
      <c r="C993" s="11"/>
      <c r="D993" s="13"/>
      <c r="E993" s="13"/>
      <c r="F993" s="13"/>
      <c r="G993" s="2"/>
      <c r="H993" s="2"/>
      <c r="I993" s="13"/>
      <c r="J993" s="13"/>
      <c r="K993" s="13"/>
      <c r="L993" s="14"/>
      <c r="M993" s="4"/>
      <c r="N993" s="2"/>
      <c r="O993" s="4"/>
      <c r="P993" s="2"/>
      <c r="Q993" s="2"/>
      <c r="R993" s="4"/>
      <c r="S993" s="2"/>
      <c r="T993" s="2"/>
      <c r="U993" s="1"/>
      <c r="V993" s="2"/>
      <c r="W993" s="2"/>
      <c r="X993" s="2"/>
      <c r="Y993" s="2"/>
      <c r="Z993" s="2"/>
    </row>
    <row r="994" spans="1:26" ht="15.75" customHeight="1" x14ac:dyDescent="0.2">
      <c r="A994" s="12"/>
      <c r="B994" s="10"/>
      <c r="C994" s="11"/>
      <c r="D994" s="13"/>
      <c r="E994" s="13"/>
      <c r="F994" s="13"/>
      <c r="G994" s="2"/>
      <c r="H994" s="2"/>
      <c r="I994" s="13"/>
      <c r="J994" s="13"/>
      <c r="K994" s="13"/>
      <c r="L994" s="14"/>
      <c r="M994" s="4"/>
      <c r="N994" s="2"/>
      <c r="O994" s="4"/>
      <c r="P994" s="2"/>
      <c r="Q994" s="2"/>
      <c r="R994" s="4"/>
      <c r="S994" s="2"/>
      <c r="T994" s="2"/>
      <c r="U994" s="1"/>
      <c r="V994" s="2"/>
      <c r="W994" s="2"/>
      <c r="X994" s="2"/>
      <c r="Y994" s="2"/>
      <c r="Z994" s="2"/>
    </row>
    <row r="995" spans="1:26" ht="15.75" customHeight="1" x14ac:dyDescent="0.2">
      <c r="A995" s="12"/>
      <c r="B995" s="10"/>
      <c r="C995" s="11"/>
      <c r="D995" s="13"/>
      <c r="E995" s="13"/>
      <c r="F995" s="13"/>
      <c r="G995" s="2"/>
      <c r="H995" s="2"/>
      <c r="I995" s="13"/>
      <c r="J995" s="13"/>
      <c r="K995" s="13"/>
      <c r="L995" s="14"/>
      <c r="M995" s="4"/>
      <c r="N995" s="2"/>
      <c r="O995" s="4"/>
      <c r="P995" s="2"/>
      <c r="Q995" s="2"/>
      <c r="R995" s="4"/>
      <c r="S995" s="2"/>
      <c r="T995" s="2"/>
      <c r="U995" s="1"/>
      <c r="V995" s="2"/>
      <c r="W995" s="2"/>
      <c r="X995" s="2"/>
      <c r="Y995" s="2"/>
      <c r="Z995" s="2"/>
    </row>
    <row r="996" spans="1:26" ht="15.75" customHeight="1" x14ac:dyDescent="0.2">
      <c r="A996" s="12"/>
      <c r="B996" s="10"/>
      <c r="C996" s="11"/>
      <c r="D996" s="13"/>
      <c r="E996" s="13"/>
      <c r="F996" s="13"/>
      <c r="G996" s="2"/>
      <c r="H996" s="2"/>
      <c r="I996" s="13"/>
      <c r="J996" s="13"/>
      <c r="K996" s="13"/>
      <c r="L996" s="14"/>
      <c r="M996" s="4"/>
      <c r="N996" s="2"/>
      <c r="O996" s="4"/>
      <c r="P996" s="2"/>
      <c r="Q996" s="2"/>
      <c r="R996" s="4"/>
      <c r="S996" s="2"/>
      <c r="T996" s="2"/>
      <c r="U996" s="1"/>
      <c r="V996" s="2"/>
      <c r="W996" s="2"/>
      <c r="X996" s="2"/>
      <c r="Y996" s="2"/>
      <c r="Z996" s="2"/>
    </row>
    <row r="997" spans="1:26" ht="15.75" customHeight="1" x14ac:dyDescent="0.2">
      <c r="A997" s="12"/>
      <c r="B997" s="10"/>
      <c r="C997" s="11"/>
      <c r="D997" s="13"/>
      <c r="E997" s="13"/>
      <c r="F997" s="13"/>
      <c r="G997" s="2"/>
      <c r="H997" s="2"/>
      <c r="I997" s="13"/>
      <c r="J997" s="13"/>
      <c r="K997" s="13"/>
      <c r="L997" s="14"/>
      <c r="M997" s="4"/>
      <c r="N997" s="2"/>
      <c r="O997" s="4"/>
      <c r="P997" s="2"/>
      <c r="Q997" s="2"/>
      <c r="R997" s="4"/>
      <c r="S997" s="2"/>
      <c r="T997" s="2"/>
      <c r="U997" s="1"/>
      <c r="V997" s="2"/>
      <c r="W997" s="2"/>
      <c r="X997" s="2"/>
      <c r="Y997" s="2"/>
      <c r="Z997" s="2"/>
    </row>
    <row r="998" spans="1:26" ht="15.75" customHeight="1" x14ac:dyDescent="0.2">
      <c r="A998" s="12"/>
      <c r="B998" s="10"/>
      <c r="C998" s="11"/>
      <c r="D998" s="13"/>
      <c r="E998" s="13"/>
      <c r="F998" s="13"/>
      <c r="G998" s="2"/>
      <c r="H998" s="2"/>
      <c r="I998" s="13"/>
      <c r="J998" s="13"/>
      <c r="K998" s="13"/>
      <c r="L998" s="14"/>
      <c r="M998" s="4"/>
      <c r="N998" s="2"/>
      <c r="O998" s="4"/>
      <c r="P998" s="2"/>
      <c r="Q998" s="2"/>
      <c r="R998" s="4"/>
      <c r="S998" s="2"/>
      <c r="T998" s="2"/>
      <c r="U998" s="1"/>
      <c r="V998" s="2"/>
      <c r="W998" s="2"/>
      <c r="X998" s="2"/>
      <c r="Y998" s="2"/>
      <c r="Z998" s="2"/>
    </row>
    <row r="999" spans="1:26" ht="15.75" customHeight="1" x14ac:dyDescent="0.2">
      <c r="A999" s="12"/>
      <c r="B999" s="10"/>
      <c r="C999" s="11"/>
      <c r="D999" s="13"/>
      <c r="E999" s="13"/>
      <c r="F999" s="13"/>
      <c r="G999" s="2"/>
      <c r="H999" s="2"/>
      <c r="I999" s="13"/>
      <c r="J999" s="13"/>
      <c r="K999" s="13"/>
      <c r="L999" s="14"/>
      <c r="M999" s="4"/>
      <c r="N999" s="2"/>
      <c r="O999" s="4"/>
      <c r="P999" s="2"/>
      <c r="Q999" s="2"/>
      <c r="R999" s="4"/>
      <c r="S999" s="2"/>
      <c r="T999" s="2"/>
      <c r="U999" s="1"/>
      <c r="V999" s="2"/>
      <c r="W999" s="2"/>
      <c r="X999" s="2"/>
      <c r="Y999" s="2"/>
      <c r="Z999" s="2"/>
    </row>
    <row r="1000" spans="1:26" ht="15.75" customHeight="1" x14ac:dyDescent="0.2">
      <c r="A1000" s="12"/>
      <c r="B1000" s="10"/>
      <c r="C1000" s="11"/>
      <c r="D1000" s="13"/>
      <c r="E1000" s="13"/>
      <c r="F1000" s="13"/>
      <c r="G1000" s="2"/>
      <c r="H1000" s="2"/>
      <c r="I1000" s="13"/>
      <c r="J1000" s="13"/>
      <c r="K1000" s="13"/>
      <c r="L1000" s="14"/>
      <c r="M1000" s="4"/>
      <c r="N1000" s="2"/>
      <c r="O1000" s="4"/>
      <c r="P1000" s="2"/>
      <c r="Q1000" s="2"/>
      <c r="R1000" s="4"/>
      <c r="S1000" s="2"/>
      <c r="T1000" s="2"/>
      <c r="U1000" s="1"/>
      <c r="V1000" s="2"/>
      <c r="W1000" s="2"/>
      <c r="X1000" s="2"/>
      <c r="Y1000" s="2"/>
      <c r="Z1000" s="2"/>
    </row>
    <row r="1001" spans="1:26" ht="15.75" customHeight="1" x14ac:dyDescent="0.2">
      <c r="A1001" s="12"/>
      <c r="B1001" s="10"/>
      <c r="C1001" s="11"/>
      <c r="D1001" s="13"/>
      <c r="E1001" s="13"/>
      <c r="F1001" s="13"/>
      <c r="G1001" s="2"/>
      <c r="H1001" s="2"/>
      <c r="I1001" s="13"/>
      <c r="J1001" s="13"/>
      <c r="K1001" s="13"/>
      <c r="L1001" s="14"/>
      <c r="M1001" s="4"/>
      <c r="N1001" s="2"/>
      <c r="O1001" s="4"/>
      <c r="P1001" s="2"/>
      <c r="Q1001" s="2"/>
      <c r="R1001" s="4"/>
      <c r="S1001" s="2"/>
      <c r="T1001" s="2"/>
      <c r="U1001" s="1"/>
      <c r="V1001" s="2"/>
      <c r="W1001" s="2"/>
      <c r="X1001" s="2"/>
      <c r="Y1001" s="2"/>
      <c r="Z1001" s="2"/>
    </row>
    <row r="1002" spans="1:26" ht="15.75" customHeight="1" x14ac:dyDescent="0.2">
      <c r="A1002" s="12"/>
      <c r="B1002" s="10"/>
      <c r="C1002" s="11"/>
      <c r="D1002" s="13"/>
      <c r="E1002" s="13"/>
      <c r="F1002" s="13"/>
      <c r="G1002" s="2"/>
      <c r="H1002" s="2"/>
      <c r="I1002" s="13"/>
      <c r="J1002" s="13"/>
      <c r="K1002" s="13"/>
      <c r="L1002" s="14"/>
      <c r="M1002" s="4"/>
      <c r="N1002" s="2"/>
      <c r="O1002" s="4"/>
      <c r="P1002" s="2"/>
      <c r="Q1002" s="2"/>
      <c r="R1002" s="4"/>
      <c r="S1002" s="2"/>
      <c r="T1002" s="2"/>
      <c r="U1002" s="1"/>
      <c r="V1002" s="2"/>
      <c r="W1002" s="2"/>
      <c r="X1002" s="2"/>
      <c r="Y1002" s="2"/>
      <c r="Z1002" s="2"/>
    </row>
    <row r="1003" spans="1:26" ht="15.75" customHeight="1" x14ac:dyDescent="0.2">
      <c r="A1003" s="12"/>
      <c r="B1003" s="10"/>
      <c r="C1003" s="11"/>
      <c r="D1003" s="13"/>
      <c r="E1003" s="13"/>
      <c r="F1003" s="13"/>
      <c r="G1003" s="2"/>
      <c r="H1003" s="2"/>
      <c r="I1003" s="13"/>
      <c r="J1003" s="13"/>
      <c r="K1003" s="13"/>
      <c r="L1003" s="14"/>
      <c r="M1003" s="4"/>
      <c r="N1003" s="2"/>
      <c r="O1003" s="4"/>
      <c r="P1003" s="2"/>
      <c r="Q1003" s="2"/>
      <c r="R1003" s="4"/>
      <c r="S1003" s="2"/>
      <c r="T1003" s="2"/>
      <c r="U1003" s="1"/>
      <c r="V1003" s="2"/>
      <c r="W1003" s="2"/>
      <c r="X1003" s="2"/>
      <c r="Y1003" s="2"/>
      <c r="Z1003" s="2"/>
    </row>
    <row r="1004" spans="1:26" ht="15.75" customHeight="1" x14ac:dyDescent="0.2">
      <c r="A1004" s="12"/>
      <c r="B1004" s="10"/>
      <c r="C1004" s="11"/>
      <c r="D1004" s="13"/>
      <c r="E1004" s="13"/>
      <c r="F1004" s="13"/>
      <c r="G1004" s="2"/>
      <c r="H1004" s="2"/>
      <c r="I1004" s="13"/>
      <c r="J1004" s="13"/>
      <c r="K1004" s="13"/>
      <c r="L1004" s="14"/>
      <c r="M1004" s="4"/>
      <c r="N1004" s="2"/>
      <c r="O1004" s="4"/>
      <c r="P1004" s="2"/>
      <c r="Q1004" s="2"/>
      <c r="R1004" s="4"/>
      <c r="S1004" s="2"/>
      <c r="T1004" s="2"/>
      <c r="U1004" s="1"/>
      <c r="V1004" s="2"/>
      <c r="W1004" s="2"/>
      <c r="X1004" s="2"/>
      <c r="Y1004" s="2"/>
      <c r="Z1004" s="2"/>
    </row>
    <row r="1005" spans="1:26" ht="15.75" customHeight="1" x14ac:dyDescent="0.2">
      <c r="A1005" s="12"/>
      <c r="B1005" s="10"/>
      <c r="C1005" s="11"/>
      <c r="D1005" s="13"/>
      <c r="E1005" s="13"/>
      <c r="F1005" s="13"/>
      <c r="G1005" s="2"/>
      <c r="H1005" s="2"/>
      <c r="I1005" s="13"/>
      <c r="J1005" s="13"/>
      <c r="K1005" s="13"/>
      <c r="L1005" s="14"/>
      <c r="M1005" s="4"/>
      <c r="N1005" s="2"/>
      <c r="O1005" s="4"/>
      <c r="P1005" s="2"/>
      <c r="Q1005" s="2"/>
      <c r="R1005" s="4"/>
      <c r="S1005" s="2"/>
      <c r="T1005" s="2"/>
      <c r="U1005" s="1"/>
      <c r="V1005" s="2"/>
      <c r="W1005" s="2"/>
      <c r="X1005" s="2"/>
      <c r="Y1005" s="2"/>
      <c r="Z1005" s="2"/>
    </row>
    <row r="1006" spans="1:26" ht="15.75" customHeight="1" x14ac:dyDescent="0.2">
      <c r="A1006" s="12"/>
      <c r="B1006" s="10"/>
      <c r="C1006" s="11"/>
      <c r="D1006" s="13"/>
      <c r="E1006" s="13"/>
      <c r="F1006" s="13"/>
      <c r="G1006" s="2"/>
      <c r="H1006" s="2"/>
      <c r="I1006" s="13"/>
      <c r="J1006" s="13"/>
      <c r="K1006" s="13"/>
      <c r="L1006" s="14"/>
      <c r="M1006" s="4"/>
      <c r="N1006" s="2"/>
      <c r="O1006" s="4"/>
      <c r="P1006" s="2"/>
      <c r="Q1006" s="2"/>
      <c r="R1006" s="4"/>
      <c r="S1006" s="2"/>
      <c r="T1006" s="2"/>
      <c r="U1006" s="1"/>
      <c r="V1006" s="2"/>
      <c r="W1006" s="2"/>
      <c r="X1006" s="2"/>
      <c r="Y1006" s="2"/>
      <c r="Z1006" s="2"/>
    </row>
    <row r="1007" spans="1:26" ht="15.75" customHeight="1" x14ac:dyDescent="0.2">
      <c r="A1007" s="12"/>
      <c r="B1007" s="10"/>
      <c r="C1007" s="11"/>
      <c r="D1007" s="13"/>
      <c r="E1007" s="13"/>
      <c r="F1007" s="13"/>
      <c r="G1007" s="2"/>
      <c r="H1007" s="2"/>
      <c r="I1007" s="13"/>
      <c r="J1007" s="13"/>
      <c r="K1007" s="13"/>
      <c r="L1007" s="14"/>
      <c r="M1007" s="4"/>
      <c r="N1007" s="2"/>
      <c r="O1007" s="4"/>
      <c r="P1007" s="2"/>
      <c r="Q1007" s="2"/>
      <c r="R1007" s="4"/>
      <c r="S1007" s="2"/>
      <c r="T1007" s="2"/>
      <c r="U1007" s="1"/>
      <c r="V1007" s="2"/>
      <c r="W1007" s="2"/>
      <c r="X1007" s="2"/>
      <c r="Y1007" s="2"/>
      <c r="Z1007" s="2"/>
    </row>
    <row r="1008" spans="1:26" ht="15.75" customHeight="1" x14ac:dyDescent="0.2">
      <c r="A1008" s="12"/>
      <c r="B1008" s="10"/>
      <c r="C1008" s="11"/>
      <c r="D1008" s="13"/>
      <c r="E1008" s="13"/>
      <c r="F1008" s="13"/>
      <c r="G1008" s="2"/>
      <c r="H1008" s="2"/>
      <c r="I1008" s="13"/>
      <c r="J1008" s="13"/>
      <c r="K1008" s="13"/>
      <c r="L1008" s="14"/>
      <c r="M1008" s="4"/>
      <c r="N1008" s="2"/>
      <c r="O1008" s="4"/>
      <c r="P1008" s="2"/>
      <c r="Q1008" s="2"/>
      <c r="R1008" s="4"/>
      <c r="S1008" s="2"/>
      <c r="T1008" s="2"/>
      <c r="U1008" s="1"/>
      <c r="V1008" s="2"/>
      <c r="W1008" s="2"/>
      <c r="X1008" s="2"/>
      <c r="Y1008" s="2"/>
      <c r="Z1008" s="2"/>
    </row>
    <row r="1009" spans="1:26" ht="15.75" customHeight="1" x14ac:dyDescent="0.2">
      <c r="A1009" s="12"/>
      <c r="B1009" s="10"/>
      <c r="C1009" s="11"/>
      <c r="D1009" s="13"/>
      <c r="E1009" s="13"/>
      <c r="F1009" s="13"/>
      <c r="G1009" s="2"/>
      <c r="H1009" s="2"/>
      <c r="I1009" s="13"/>
      <c r="J1009" s="13"/>
      <c r="K1009" s="13"/>
      <c r="L1009" s="14"/>
      <c r="M1009" s="4"/>
      <c r="N1009" s="2"/>
      <c r="O1009" s="4"/>
      <c r="P1009" s="2"/>
      <c r="Q1009" s="2"/>
      <c r="R1009" s="4"/>
      <c r="S1009" s="2"/>
      <c r="T1009" s="2"/>
      <c r="U1009" s="1"/>
      <c r="V1009" s="2"/>
      <c r="W1009" s="2"/>
      <c r="X1009" s="2"/>
      <c r="Y1009" s="2"/>
      <c r="Z1009" s="2"/>
    </row>
    <row r="1010" spans="1:26" ht="15.75" customHeight="1" x14ac:dyDescent="0.2">
      <c r="A1010" s="12"/>
      <c r="B1010" s="10"/>
      <c r="C1010" s="11"/>
      <c r="D1010" s="13"/>
      <c r="E1010" s="13"/>
      <c r="F1010" s="13"/>
      <c r="G1010" s="2"/>
      <c r="H1010" s="2"/>
      <c r="I1010" s="13"/>
      <c r="J1010" s="13"/>
      <c r="K1010" s="13"/>
      <c r="L1010" s="14"/>
      <c r="M1010" s="4"/>
      <c r="N1010" s="2"/>
      <c r="O1010" s="4"/>
      <c r="P1010" s="2"/>
      <c r="Q1010" s="2"/>
      <c r="R1010" s="4"/>
      <c r="S1010" s="2"/>
      <c r="T1010" s="2"/>
      <c r="U1010" s="1"/>
      <c r="V1010" s="2"/>
      <c r="W1010" s="2"/>
      <c r="X1010" s="2"/>
      <c r="Y1010" s="2"/>
      <c r="Z1010" s="2"/>
    </row>
    <row r="1011" spans="1:26" ht="15.75" customHeight="1" x14ac:dyDescent="0.2">
      <c r="A1011" s="12"/>
      <c r="B1011" s="10"/>
      <c r="C1011" s="11"/>
      <c r="D1011" s="13"/>
      <c r="E1011" s="13"/>
      <c r="F1011" s="13"/>
      <c r="G1011" s="2"/>
      <c r="H1011" s="2"/>
      <c r="I1011" s="13"/>
      <c r="J1011" s="13"/>
      <c r="K1011" s="13"/>
      <c r="L1011" s="14"/>
      <c r="M1011" s="4"/>
      <c r="N1011" s="2"/>
      <c r="O1011" s="4"/>
      <c r="P1011" s="2"/>
      <c r="Q1011" s="2"/>
      <c r="R1011" s="4"/>
      <c r="S1011" s="2"/>
      <c r="T1011" s="2"/>
      <c r="U1011" s="1"/>
      <c r="V1011" s="2"/>
      <c r="W1011" s="2"/>
      <c r="X1011" s="2"/>
      <c r="Y1011" s="2"/>
      <c r="Z1011" s="2"/>
    </row>
    <row r="1012" spans="1:26" ht="15.75" customHeight="1" x14ac:dyDescent="0.2">
      <c r="A1012" s="12"/>
      <c r="B1012" s="10"/>
      <c r="C1012" s="11"/>
      <c r="D1012" s="13"/>
      <c r="E1012" s="13"/>
      <c r="F1012" s="13"/>
      <c r="G1012" s="2"/>
      <c r="H1012" s="2"/>
      <c r="I1012" s="13"/>
      <c r="J1012" s="13"/>
      <c r="K1012" s="13"/>
      <c r="L1012" s="14"/>
      <c r="M1012" s="4"/>
      <c r="N1012" s="2"/>
      <c r="O1012" s="4"/>
      <c r="P1012" s="2"/>
      <c r="Q1012" s="2"/>
      <c r="R1012" s="4"/>
      <c r="S1012" s="2"/>
      <c r="T1012" s="2"/>
      <c r="U1012" s="1"/>
      <c r="V1012" s="2"/>
      <c r="W1012" s="2"/>
      <c r="X1012" s="2"/>
      <c r="Y1012" s="2"/>
      <c r="Z1012" s="2"/>
    </row>
    <row r="1013" spans="1:26" ht="15.75" customHeight="1" x14ac:dyDescent="0.2">
      <c r="A1013" s="12"/>
      <c r="B1013" s="10"/>
      <c r="C1013" s="11"/>
      <c r="D1013" s="13"/>
      <c r="E1013" s="13"/>
      <c r="F1013" s="13"/>
      <c r="G1013" s="2"/>
      <c r="H1013" s="2"/>
      <c r="I1013" s="13"/>
      <c r="J1013" s="13"/>
      <c r="K1013" s="13"/>
      <c r="L1013" s="14"/>
      <c r="M1013" s="4"/>
      <c r="N1013" s="2"/>
      <c r="O1013" s="4"/>
      <c r="P1013" s="2"/>
      <c r="Q1013" s="2"/>
      <c r="R1013" s="4"/>
      <c r="S1013" s="2"/>
      <c r="T1013" s="2"/>
      <c r="U1013" s="1"/>
      <c r="V1013" s="2"/>
      <c r="W1013" s="2"/>
      <c r="X1013" s="2"/>
      <c r="Y1013" s="2"/>
      <c r="Z1013" s="2"/>
    </row>
    <row r="1014" spans="1:26" ht="15.75" customHeight="1" x14ac:dyDescent="0.2">
      <c r="A1014" s="12"/>
      <c r="B1014" s="10"/>
      <c r="C1014" s="11"/>
      <c r="D1014" s="13"/>
      <c r="E1014" s="13"/>
      <c r="F1014" s="13"/>
      <c r="G1014" s="2"/>
      <c r="H1014" s="2"/>
      <c r="I1014" s="13"/>
      <c r="J1014" s="13"/>
      <c r="K1014" s="13"/>
      <c r="L1014" s="14"/>
      <c r="M1014" s="4"/>
      <c r="N1014" s="2"/>
      <c r="O1014" s="4"/>
      <c r="P1014" s="2"/>
      <c r="Q1014" s="2"/>
      <c r="R1014" s="4"/>
      <c r="S1014" s="2"/>
      <c r="T1014" s="2"/>
      <c r="U1014" s="1"/>
      <c r="V1014" s="2"/>
      <c r="W1014" s="2"/>
      <c r="X1014" s="2"/>
      <c r="Y1014" s="2"/>
      <c r="Z1014" s="2"/>
    </row>
    <row r="1015" spans="1:26" ht="15.75" customHeight="1" x14ac:dyDescent="0.2">
      <c r="A1015" s="12"/>
      <c r="B1015" s="10"/>
      <c r="C1015" s="11"/>
      <c r="D1015" s="13"/>
      <c r="E1015" s="13"/>
      <c r="F1015" s="13"/>
      <c r="G1015" s="2"/>
      <c r="H1015" s="2"/>
      <c r="I1015" s="13"/>
      <c r="J1015" s="13"/>
      <c r="K1015" s="13"/>
      <c r="L1015" s="14"/>
      <c r="M1015" s="4"/>
      <c r="N1015" s="2"/>
      <c r="O1015" s="4"/>
      <c r="P1015" s="2"/>
      <c r="Q1015" s="2"/>
      <c r="R1015" s="4"/>
      <c r="S1015" s="2"/>
      <c r="T1015" s="2"/>
      <c r="U1015" s="1"/>
      <c r="V1015" s="2"/>
      <c r="W1015" s="2"/>
      <c r="X1015" s="2"/>
      <c r="Y1015" s="2"/>
      <c r="Z1015" s="2"/>
    </row>
    <row r="1016" spans="1:26" ht="15.75" customHeight="1" x14ac:dyDescent="0.2">
      <c r="A1016" s="12"/>
      <c r="B1016" s="10"/>
      <c r="C1016" s="11"/>
      <c r="D1016" s="13"/>
      <c r="E1016" s="13"/>
      <c r="F1016" s="13"/>
      <c r="G1016" s="2"/>
      <c r="H1016" s="2"/>
      <c r="I1016" s="13"/>
      <c r="J1016" s="13"/>
      <c r="K1016" s="13"/>
      <c r="L1016" s="14"/>
      <c r="M1016" s="4"/>
      <c r="N1016" s="2"/>
      <c r="O1016" s="4"/>
      <c r="P1016" s="2"/>
      <c r="Q1016" s="2"/>
      <c r="R1016" s="4"/>
      <c r="S1016" s="2"/>
      <c r="T1016" s="2"/>
      <c r="U1016" s="1"/>
      <c r="V1016" s="2"/>
      <c r="W1016" s="2"/>
      <c r="X1016" s="2"/>
      <c r="Y1016" s="2"/>
      <c r="Z1016" s="2"/>
    </row>
    <row r="1017" spans="1:26" ht="15.75" customHeight="1" x14ac:dyDescent="0.2">
      <c r="A1017" s="12"/>
      <c r="B1017" s="10"/>
      <c r="C1017" s="11"/>
      <c r="D1017" s="13"/>
      <c r="E1017" s="13"/>
      <c r="F1017" s="13"/>
      <c r="G1017" s="2"/>
      <c r="H1017" s="2"/>
      <c r="I1017" s="13"/>
      <c r="J1017" s="13"/>
      <c r="K1017" s="13"/>
      <c r="L1017" s="14"/>
      <c r="M1017" s="4"/>
      <c r="N1017" s="2"/>
      <c r="O1017" s="4"/>
      <c r="P1017" s="2"/>
      <c r="Q1017" s="2"/>
      <c r="R1017" s="4"/>
      <c r="S1017" s="2"/>
      <c r="T1017" s="2"/>
      <c r="U1017" s="1"/>
      <c r="V1017" s="2"/>
      <c r="W1017" s="2"/>
      <c r="X1017" s="2"/>
      <c r="Y1017" s="2"/>
      <c r="Z1017" s="2"/>
    </row>
    <row r="1018" spans="1:26" ht="15.75" customHeight="1" x14ac:dyDescent="0.2">
      <c r="A1018" s="12"/>
      <c r="B1018" s="10"/>
      <c r="C1018" s="11"/>
      <c r="D1018" s="13"/>
      <c r="E1018" s="13"/>
      <c r="F1018" s="13"/>
      <c r="G1018" s="2"/>
      <c r="H1018" s="2"/>
      <c r="I1018" s="13"/>
      <c r="J1018" s="13"/>
      <c r="K1018" s="13"/>
      <c r="L1018" s="14"/>
      <c r="M1018" s="4"/>
      <c r="N1018" s="2"/>
      <c r="O1018" s="4"/>
      <c r="P1018" s="2"/>
      <c r="Q1018" s="2"/>
      <c r="R1018" s="4"/>
      <c r="S1018" s="2"/>
      <c r="T1018" s="2"/>
      <c r="U1018" s="1"/>
      <c r="V1018" s="2"/>
      <c r="W1018" s="2"/>
      <c r="X1018" s="2"/>
      <c r="Y1018" s="2"/>
      <c r="Z1018" s="2"/>
    </row>
    <row r="1019" spans="1:26" ht="15.75" customHeight="1" x14ac:dyDescent="0.2">
      <c r="A1019" s="12"/>
      <c r="B1019" s="10"/>
      <c r="C1019" s="11"/>
      <c r="D1019" s="13"/>
      <c r="E1019" s="13"/>
      <c r="F1019" s="13"/>
      <c r="G1019" s="2"/>
      <c r="H1019" s="2"/>
      <c r="I1019" s="13"/>
      <c r="J1019" s="13"/>
      <c r="K1019" s="13"/>
      <c r="L1019" s="14"/>
      <c r="M1019" s="4"/>
      <c r="N1019" s="2"/>
      <c r="O1019" s="4"/>
      <c r="P1019" s="2"/>
      <c r="Q1019" s="2"/>
      <c r="R1019" s="4"/>
      <c r="S1019" s="2"/>
      <c r="T1019" s="2"/>
      <c r="U1019" s="1"/>
      <c r="V1019" s="2"/>
      <c r="W1019" s="2"/>
      <c r="X1019" s="2"/>
      <c r="Y1019" s="2"/>
      <c r="Z1019" s="2"/>
    </row>
    <row r="1020" spans="1:26" ht="15.75" customHeight="1" x14ac:dyDescent="0.2">
      <c r="A1020" s="12"/>
      <c r="B1020" s="10"/>
      <c r="C1020" s="11"/>
      <c r="D1020" s="13"/>
      <c r="E1020" s="13"/>
      <c r="F1020" s="13"/>
      <c r="G1020" s="2"/>
      <c r="H1020" s="2"/>
      <c r="I1020" s="13"/>
      <c r="J1020" s="13"/>
      <c r="K1020" s="13"/>
      <c r="L1020" s="14"/>
      <c r="M1020" s="4"/>
      <c r="N1020" s="2"/>
      <c r="O1020" s="4"/>
      <c r="P1020" s="2"/>
      <c r="Q1020" s="2"/>
      <c r="R1020" s="4"/>
      <c r="S1020" s="2"/>
      <c r="T1020" s="2"/>
      <c r="U1020" s="1"/>
      <c r="V1020" s="2"/>
      <c r="W1020" s="2"/>
      <c r="X1020" s="2"/>
      <c r="Y1020" s="2"/>
      <c r="Z1020" s="2"/>
    </row>
    <row r="1021" spans="1:26" ht="15.75" customHeight="1" x14ac:dyDescent="0.2">
      <c r="A1021" s="12"/>
      <c r="B1021" s="10"/>
      <c r="C1021" s="11"/>
      <c r="D1021" s="13"/>
      <c r="E1021" s="13"/>
      <c r="F1021" s="13"/>
      <c r="G1021" s="2"/>
      <c r="H1021" s="2"/>
      <c r="I1021" s="13"/>
      <c r="J1021" s="13"/>
      <c r="K1021" s="13"/>
      <c r="L1021" s="14"/>
      <c r="M1021" s="4"/>
      <c r="N1021" s="2"/>
      <c r="O1021" s="4"/>
      <c r="P1021" s="2"/>
      <c r="Q1021" s="2"/>
      <c r="R1021" s="4"/>
      <c r="S1021" s="2"/>
      <c r="T1021" s="2"/>
      <c r="U1021" s="1"/>
      <c r="V1021" s="2"/>
      <c r="W1021" s="2"/>
      <c r="X1021" s="2"/>
      <c r="Y1021" s="2"/>
      <c r="Z1021" s="2"/>
    </row>
    <row r="1022" spans="1:26" ht="15.75" customHeight="1" x14ac:dyDescent="0.2">
      <c r="A1022" s="12"/>
      <c r="B1022" s="10"/>
      <c r="C1022" s="11"/>
      <c r="D1022" s="13"/>
      <c r="E1022" s="13"/>
      <c r="F1022" s="13"/>
      <c r="G1022" s="2"/>
      <c r="H1022" s="2"/>
      <c r="I1022" s="13"/>
      <c r="J1022" s="13"/>
      <c r="K1022" s="13"/>
      <c r="L1022" s="14"/>
      <c r="M1022" s="4"/>
      <c r="N1022" s="2"/>
      <c r="O1022" s="4"/>
      <c r="P1022" s="2"/>
      <c r="Q1022" s="2"/>
      <c r="R1022" s="4"/>
      <c r="S1022" s="2"/>
      <c r="T1022" s="2"/>
      <c r="U1022" s="1"/>
      <c r="V1022" s="2"/>
      <c r="W1022" s="2"/>
      <c r="X1022" s="2"/>
      <c r="Y1022" s="2"/>
      <c r="Z1022" s="2"/>
    </row>
    <row r="1023" spans="1:26" ht="15.75" customHeight="1" x14ac:dyDescent="0.2">
      <c r="A1023" s="12"/>
      <c r="B1023" s="10"/>
      <c r="C1023" s="11"/>
      <c r="D1023" s="13"/>
      <c r="E1023" s="13"/>
      <c r="F1023" s="13"/>
      <c r="G1023" s="2"/>
      <c r="H1023" s="2"/>
      <c r="I1023" s="13"/>
      <c r="J1023" s="13"/>
      <c r="K1023" s="13"/>
      <c r="L1023" s="14"/>
      <c r="M1023" s="4"/>
      <c r="N1023" s="2"/>
      <c r="O1023" s="4"/>
      <c r="P1023" s="2"/>
      <c r="Q1023" s="2"/>
      <c r="R1023" s="4"/>
      <c r="S1023" s="2"/>
      <c r="T1023" s="2"/>
      <c r="U1023" s="1"/>
      <c r="V1023" s="2"/>
      <c r="W1023" s="2"/>
      <c r="X1023" s="2"/>
      <c r="Y1023" s="2"/>
      <c r="Z1023" s="2"/>
    </row>
    <row r="1024" spans="1:26" ht="15.75" customHeight="1" x14ac:dyDescent="0.2">
      <c r="A1024" s="12"/>
      <c r="B1024" s="10"/>
      <c r="C1024" s="11"/>
      <c r="D1024" s="13"/>
      <c r="E1024" s="13"/>
      <c r="F1024" s="13"/>
      <c r="G1024" s="2"/>
      <c r="H1024" s="2"/>
      <c r="I1024" s="13"/>
      <c r="J1024" s="13"/>
      <c r="K1024" s="13"/>
      <c r="L1024" s="14"/>
      <c r="M1024" s="4"/>
      <c r="N1024" s="2"/>
      <c r="O1024" s="4"/>
      <c r="P1024" s="2"/>
      <c r="Q1024" s="2"/>
      <c r="R1024" s="4"/>
      <c r="S1024" s="2"/>
      <c r="T1024" s="2"/>
      <c r="U1024" s="1"/>
      <c r="V1024" s="2"/>
      <c r="W1024" s="2"/>
      <c r="X1024" s="2"/>
      <c r="Y1024" s="2"/>
      <c r="Z1024" s="2"/>
    </row>
    <row r="1025" spans="1:26" ht="15.75" customHeight="1" x14ac:dyDescent="0.2">
      <c r="A1025" s="12"/>
      <c r="B1025" s="10"/>
      <c r="C1025" s="11"/>
      <c r="D1025" s="13"/>
      <c r="E1025" s="13"/>
      <c r="F1025" s="13"/>
      <c r="G1025" s="2"/>
      <c r="H1025" s="2"/>
      <c r="I1025" s="13"/>
      <c r="J1025" s="13"/>
      <c r="K1025" s="13"/>
      <c r="L1025" s="14"/>
      <c r="M1025" s="4"/>
      <c r="N1025" s="2"/>
      <c r="O1025" s="4"/>
      <c r="P1025" s="2"/>
      <c r="Q1025" s="2"/>
      <c r="R1025" s="4"/>
      <c r="S1025" s="2"/>
      <c r="T1025" s="2"/>
      <c r="U1025" s="1"/>
      <c r="V1025" s="2"/>
      <c r="W1025" s="2"/>
      <c r="X1025" s="2"/>
      <c r="Y1025" s="2"/>
      <c r="Z1025" s="2"/>
    </row>
    <row r="1026" spans="1:26" ht="15.75" customHeight="1" x14ac:dyDescent="0.2">
      <c r="A1026" s="12"/>
      <c r="B1026" s="10"/>
      <c r="C1026" s="11"/>
      <c r="D1026" s="13"/>
      <c r="E1026" s="13"/>
      <c r="F1026" s="13"/>
      <c r="G1026" s="2"/>
      <c r="H1026" s="2"/>
      <c r="I1026" s="13"/>
      <c r="J1026" s="13"/>
      <c r="K1026" s="13"/>
      <c r="L1026" s="14"/>
      <c r="M1026" s="4"/>
      <c r="N1026" s="2"/>
      <c r="O1026" s="4"/>
      <c r="P1026" s="2"/>
      <c r="Q1026" s="2"/>
      <c r="R1026" s="4"/>
      <c r="S1026" s="2"/>
      <c r="T1026" s="2"/>
      <c r="U1026" s="1"/>
      <c r="V1026" s="2"/>
      <c r="W1026" s="2"/>
      <c r="X1026" s="2"/>
      <c r="Y1026" s="2"/>
      <c r="Z1026" s="2"/>
    </row>
    <row r="1027" spans="1:26" ht="15.75" customHeight="1" x14ac:dyDescent="0.2">
      <c r="A1027" s="12"/>
      <c r="B1027" s="10"/>
      <c r="C1027" s="11"/>
      <c r="D1027" s="13"/>
      <c r="E1027" s="13"/>
      <c r="F1027" s="13"/>
      <c r="G1027" s="2"/>
      <c r="H1027" s="2"/>
      <c r="I1027" s="13"/>
      <c r="J1027" s="13"/>
      <c r="K1027" s="13"/>
      <c r="L1027" s="14"/>
      <c r="M1027" s="4"/>
      <c r="N1027" s="2"/>
      <c r="O1027" s="4"/>
      <c r="P1027" s="2"/>
      <c r="Q1027" s="2"/>
      <c r="R1027" s="4"/>
      <c r="S1027" s="2"/>
      <c r="T1027" s="2"/>
      <c r="U1027" s="1"/>
      <c r="V1027" s="2"/>
      <c r="W1027" s="2"/>
      <c r="X1027" s="2"/>
      <c r="Y1027" s="2"/>
      <c r="Z1027" s="2"/>
    </row>
    <row r="1028" spans="1:26" ht="15.75" customHeight="1" x14ac:dyDescent="0.2">
      <c r="A1028" s="12"/>
      <c r="B1028" s="10"/>
      <c r="C1028" s="11"/>
      <c r="D1028" s="13"/>
      <c r="E1028" s="13"/>
      <c r="F1028" s="13"/>
      <c r="G1028" s="2"/>
      <c r="H1028" s="2"/>
      <c r="I1028" s="13"/>
      <c r="J1028" s="13"/>
      <c r="K1028" s="13"/>
      <c r="L1028" s="14"/>
      <c r="M1028" s="4"/>
      <c r="N1028" s="2"/>
      <c r="O1028" s="4"/>
      <c r="P1028" s="2"/>
      <c r="Q1028" s="2"/>
      <c r="R1028" s="4"/>
      <c r="S1028" s="2"/>
      <c r="T1028" s="2"/>
      <c r="U1028" s="1"/>
      <c r="V1028" s="2"/>
      <c r="W1028" s="2"/>
      <c r="X1028" s="2"/>
      <c r="Y1028" s="2"/>
      <c r="Z1028" s="2"/>
    </row>
    <row r="1029" spans="1:26" ht="15.75" customHeight="1" x14ac:dyDescent="0.2">
      <c r="A1029" s="12"/>
      <c r="B1029" s="10"/>
      <c r="C1029" s="11"/>
      <c r="D1029" s="13"/>
      <c r="E1029" s="13"/>
      <c r="F1029" s="13"/>
      <c r="G1029" s="2"/>
      <c r="H1029" s="2"/>
      <c r="I1029" s="13"/>
      <c r="J1029" s="13"/>
      <c r="K1029" s="13"/>
      <c r="L1029" s="14"/>
      <c r="M1029" s="4"/>
      <c r="N1029" s="2"/>
      <c r="O1029" s="4"/>
      <c r="P1029" s="2"/>
      <c r="Q1029" s="2"/>
      <c r="R1029" s="4"/>
      <c r="S1029" s="2"/>
      <c r="T1029" s="2"/>
      <c r="U1029" s="1"/>
      <c r="V1029" s="2"/>
      <c r="W1029" s="2"/>
      <c r="X1029" s="2"/>
      <c r="Y1029" s="2"/>
      <c r="Z1029" s="2"/>
    </row>
    <row r="1030" spans="1:26" ht="15.75" customHeight="1" x14ac:dyDescent="0.2">
      <c r="A1030" s="12"/>
      <c r="B1030" s="10"/>
      <c r="C1030" s="11"/>
      <c r="D1030" s="13"/>
      <c r="E1030" s="13"/>
      <c r="F1030" s="13"/>
      <c r="G1030" s="2"/>
      <c r="H1030" s="2"/>
      <c r="I1030" s="13"/>
      <c r="J1030" s="13"/>
      <c r="K1030" s="13"/>
      <c r="L1030" s="14"/>
      <c r="M1030" s="4"/>
      <c r="N1030" s="2"/>
      <c r="O1030" s="4"/>
      <c r="P1030" s="2"/>
      <c r="Q1030" s="2"/>
      <c r="R1030" s="4"/>
      <c r="S1030" s="2"/>
      <c r="T1030" s="2"/>
      <c r="U1030" s="1"/>
      <c r="V1030" s="2"/>
      <c r="W1030" s="2"/>
      <c r="X1030" s="2"/>
      <c r="Y1030" s="2"/>
      <c r="Z1030" s="2"/>
    </row>
    <row r="1031" spans="1:26" ht="15.75" customHeight="1" x14ac:dyDescent="0.2">
      <c r="A1031" s="12"/>
      <c r="B1031" s="10"/>
      <c r="C1031" s="11"/>
      <c r="D1031" s="13"/>
      <c r="E1031" s="13"/>
      <c r="F1031" s="13"/>
      <c r="G1031" s="2"/>
      <c r="H1031" s="2"/>
      <c r="I1031" s="13"/>
      <c r="J1031" s="13"/>
      <c r="K1031" s="13"/>
      <c r="L1031" s="14"/>
      <c r="M1031" s="4"/>
      <c r="N1031" s="2"/>
      <c r="O1031" s="4"/>
      <c r="P1031" s="2"/>
      <c r="Q1031" s="2"/>
      <c r="R1031" s="4"/>
      <c r="S1031" s="2"/>
      <c r="T1031" s="2"/>
      <c r="U1031" s="1"/>
      <c r="V1031" s="2"/>
      <c r="W1031" s="2"/>
      <c r="X1031" s="2"/>
      <c r="Y1031" s="2"/>
      <c r="Z1031" s="2"/>
    </row>
    <row r="1032" spans="1:26" ht="15.75" customHeight="1" x14ac:dyDescent="0.2">
      <c r="A1032" s="12"/>
      <c r="B1032" s="10"/>
      <c r="C1032" s="11"/>
      <c r="D1032" s="13"/>
      <c r="E1032" s="13"/>
      <c r="F1032" s="13"/>
      <c r="G1032" s="2"/>
      <c r="H1032" s="2"/>
      <c r="I1032" s="13"/>
      <c r="J1032" s="13"/>
      <c r="K1032" s="13"/>
      <c r="L1032" s="14"/>
      <c r="M1032" s="4"/>
      <c r="N1032" s="2"/>
      <c r="O1032" s="4"/>
      <c r="P1032" s="2"/>
      <c r="Q1032" s="2"/>
      <c r="R1032" s="4"/>
      <c r="S1032" s="2"/>
      <c r="T1032" s="2"/>
      <c r="U1032" s="1"/>
      <c r="V1032" s="2"/>
      <c r="W1032" s="2"/>
      <c r="X1032" s="2"/>
      <c r="Y1032" s="2"/>
      <c r="Z1032" s="2"/>
    </row>
    <row r="1033" spans="1:26" ht="15.75" customHeight="1" x14ac:dyDescent="0.2">
      <c r="A1033" s="12"/>
      <c r="B1033" s="10"/>
      <c r="C1033" s="11"/>
      <c r="D1033" s="13"/>
      <c r="E1033" s="13"/>
      <c r="F1033" s="13"/>
      <c r="G1033" s="2"/>
      <c r="H1033" s="2"/>
      <c r="I1033" s="13"/>
      <c r="J1033" s="13"/>
      <c r="K1033" s="13"/>
      <c r="L1033" s="14"/>
      <c r="M1033" s="4"/>
      <c r="N1033" s="2"/>
      <c r="O1033" s="4"/>
      <c r="P1033" s="2"/>
      <c r="Q1033" s="2"/>
      <c r="R1033" s="4"/>
      <c r="S1033" s="2"/>
      <c r="T1033" s="2"/>
      <c r="U1033" s="1"/>
      <c r="V1033" s="2"/>
      <c r="W1033" s="2"/>
      <c r="X1033" s="2"/>
      <c r="Y1033" s="2"/>
      <c r="Z1033" s="2"/>
    </row>
    <row r="1034" spans="1:26" ht="15.75" customHeight="1" x14ac:dyDescent="0.2">
      <c r="A1034" s="12"/>
      <c r="B1034" s="10"/>
      <c r="C1034" s="11"/>
      <c r="D1034" s="13"/>
      <c r="E1034" s="13"/>
      <c r="F1034" s="13"/>
      <c r="G1034" s="2"/>
      <c r="H1034" s="2"/>
      <c r="I1034" s="13"/>
      <c r="J1034" s="13"/>
      <c r="K1034" s="13"/>
      <c r="L1034" s="14"/>
      <c r="M1034" s="4"/>
      <c r="N1034" s="2"/>
      <c r="O1034" s="4"/>
      <c r="P1034" s="2"/>
      <c r="Q1034" s="2"/>
      <c r="R1034" s="4"/>
      <c r="S1034" s="2"/>
      <c r="T1034" s="2"/>
      <c r="U1034" s="1"/>
      <c r="V1034" s="2"/>
      <c r="W1034" s="2"/>
      <c r="X1034" s="2"/>
      <c r="Y1034" s="2"/>
      <c r="Z1034" s="2"/>
    </row>
    <row r="1035" spans="1:26" ht="15.75" customHeight="1" x14ac:dyDescent="0.2">
      <c r="A1035" s="12"/>
      <c r="B1035" s="10"/>
      <c r="C1035" s="11"/>
      <c r="D1035" s="13"/>
      <c r="E1035" s="13"/>
      <c r="F1035" s="13"/>
      <c r="G1035" s="2"/>
      <c r="H1035" s="2"/>
      <c r="I1035" s="13"/>
      <c r="J1035" s="13"/>
      <c r="K1035" s="13"/>
      <c r="L1035" s="14"/>
      <c r="M1035" s="4"/>
      <c r="N1035" s="2"/>
      <c r="O1035" s="4"/>
      <c r="P1035" s="2"/>
      <c r="Q1035" s="2"/>
      <c r="R1035" s="4"/>
      <c r="S1035" s="2"/>
      <c r="T1035" s="2"/>
      <c r="U1035" s="1"/>
      <c r="V1035" s="2"/>
      <c r="W1035" s="2"/>
      <c r="X1035" s="2"/>
      <c r="Y1035" s="2"/>
      <c r="Z1035" s="2"/>
    </row>
    <row r="1036" spans="1:26" ht="15.75" customHeight="1" x14ac:dyDescent="0.2">
      <c r="A1036" s="12"/>
      <c r="B1036" s="10"/>
      <c r="C1036" s="11"/>
      <c r="D1036" s="13"/>
      <c r="E1036" s="13"/>
      <c r="F1036" s="13"/>
      <c r="G1036" s="2"/>
      <c r="H1036" s="2"/>
      <c r="I1036" s="13"/>
      <c r="J1036" s="13"/>
      <c r="K1036" s="13"/>
      <c r="L1036" s="14"/>
      <c r="M1036" s="4"/>
      <c r="N1036" s="2"/>
      <c r="O1036" s="4"/>
      <c r="P1036" s="2"/>
      <c r="Q1036" s="2"/>
      <c r="R1036" s="4"/>
      <c r="S1036" s="2"/>
      <c r="T1036" s="2"/>
      <c r="U1036" s="1"/>
      <c r="V1036" s="2"/>
      <c r="W1036" s="2"/>
      <c r="X1036" s="2"/>
      <c r="Y1036" s="2"/>
      <c r="Z1036" s="2"/>
    </row>
    <row r="1037" spans="1:26" ht="15.75" customHeight="1" x14ac:dyDescent="0.2">
      <c r="A1037" s="12"/>
      <c r="B1037" s="10"/>
      <c r="C1037" s="11"/>
      <c r="D1037" s="13"/>
      <c r="E1037" s="13"/>
      <c r="F1037" s="13"/>
      <c r="G1037" s="2"/>
      <c r="H1037" s="2"/>
      <c r="I1037" s="13"/>
      <c r="J1037" s="13"/>
      <c r="K1037" s="13"/>
      <c r="L1037" s="14"/>
      <c r="M1037" s="4"/>
      <c r="N1037" s="2"/>
      <c r="O1037" s="4"/>
      <c r="P1037" s="2"/>
      <c r="Q1037" s="2"/>
      <c r="R1037" s="4"/>
      <c r="S1037" s="2"/>
      <c r="T1037" s="2"/>
      <c r="U1037" s="1"/>
      <c r="V1037" s="2"/>
      <c r="W1037" s="2"/>
      <c r="X1037" s="2"/>
      <c r="Y1037" s="2"/>
      <c r="Z1037" s="2"/>
    </row>
    <row r="1038" spans="1:26" ht="15.75" customHeight="1" x14ac:dyDescent="0.2">
      <c r="A1038" s="12"/>
      <c r="B1038" s="10"/>
      <c r="C1038" s="11"/>
      <c r="D1038" s="13"/>
      <c r="E1038" s="13"/>
      <c r="F1038" s="13"/>
      <c r="G1038" s="2"/>
      <c r="H1038" s="2"/>
      <c r="I1038" s="13"/>
      <c r="J1038" s="13"/>
      <c r="K1038" s="13"/>
      <c r="L1038" s="14"/>
      <c r="M1038" s="4"/>
      <c r="N1038" s="2"/>
      <c r="O1038" s="4"/>
      <c r="P1038" s="2"/>
      <c r="Q1038" s="2"/>
      <c r="R1038" s="4"/>
      <c r="S1038" s="2"/>
      <c r="T1038" s="2"/>
      <c r="U1038" s="1"/>
      <c r="V1038" s="2"/>
      <c r="W1038" s="2"/>
      <c r="X1038" s="2"/>
      <c r="Y1038" s="2"/>
      <c r="Z1038" s="2"/>
    </row>
    <row r="1039" spans="1:26" ht="15.75" customHeight="1" x14ac:dyDescent="0.2">
      <c r="A1039" s="12"/>
      <c r="B1039" s="10"/>
      <c r="C1039" s="11"/>
      <c r="D1039" s="13"/>
      <c r="E1039" s="13"/>
      <c r="F1039" s="13"/>
      <c r="G1039" s="2"/>
      <c r="H1039" s="2"/>
      <c r="I1039" s="13"/>
      <c r="J1039" s="13"/>
      <c r="K1039" s="13"/>
      <c r="L1039" s="14"/>
      <c r="M1039" s="4"/>
      <c r="N1039" s="2"/>
      <c r="O1039" s="4"/>
      <c r="P1039" s="2"/>
      <c r="Q1039" s="2"/>
      <c r="R1039" s="4"/>
      <c r="S1039" s="2"/>
      <c r="T1039" s="2"/>
      <c r="U1039" s="1"/>
      <c r="V1039" s="2"/>
      <c r="W1039" s="2"/>
      <c r="X1039" s="2"/>
      <c r="Y1039" s="2"/>
      <c r="Z1039" s="2"/>
    </row>
    <row r="1040" spans="1:26" ht="15.75" customHeight="1" x14ac:dyDescent="0.2">
      <c r="A1040" s="12"/>
      <c r="B1040" s="10"/>
      <c r="C1040" s="11"/>
      <c r="D1040" s="13"/>
      <c r="E1040" s="13"/>
      <c r="F1040" s="13"/>
      <c r="G1040" s="2"/>
      <c r="H1040" s="2"/>
      <c r="I1040" s="13"/>
      <c r="J1040" s="13"/>
      <c r="K1040" s="13"/>
      <c r="L1040" s="14"/>
      <c r="M1040" s="4"/>
      <c r="N1040" s="2"/>
      <c r="O1040" s="4"/>
      <c r="P1040" s="2"/>
      <c r="Q1040" s="2"/>
      <c r="R1040" s="4"/>
      <c r="S1040" s="2"/>
      <c r="T1040" s="2"/>
      <c r="U1040" s="1"/>
      <c r="V1040" s="2"/>
      <c r="W1040" s="2"/>
      <c r="X1040" s="2"/>
      <c r="Y1040" s="2"/>
      <c r="Z1040" s="2"/>
    </row>
    <row r="1041" spans="1:26" ht="15.75" customHeight="1" x14ac:dyDescent="0.2">
      <c r="A1041" s="12"/>
      <c r="B1041" s="10"/>
      <c r="C1041" s="11"/>
      <c r="D1041" s="13"/>
      <c r="E1041" s="13"/>
      <c r="F1041" s="13"/>
      <c r="G1041" s="2"/>
      <c r="H1041" s="2"/>
      <c r="I1041" s="13"/>
      <c r="J1041" s="13"/>
      <c r="K1041" s="13"/>
      <c r="L1041" s="14"/>
      <c r="M1041" s="4"/>
      <c r="N1041" s="2"/>
      <c r="O1041" s="4"/>
      <c r="P1041" s="2"/>
      <c r="Q1041" s="2"/>
      <c r="R1041" s="4"/>
      <c r="S1041" s="2"/>
      <c r="T1041" s="2"/>
      <c r="U1041" s="1"/>
      <c r="V1041" s="2"/>
      <c r="W1041" s="2"/>
      <c r="X1041" s="2"/>
      <c r="Y1041" s="2"/>
      <c r="Z1041" s="2"/>
    </row>
    <row r="1042" spans="1:26" ht="15.75" customHeight="1" x14ac:dyDescent="0.2">
      <c r="A1042" s="12"/>
      <c r="B1042" s="10"/>
      <c r="C1042" s="11"/>
      <c r="D1042" s="13"/>
      <c r="E1042" s="13"/>
      <c r="F1042" s="13"/>
      <c r="G1042" s="2"/>
      <c r="H1042" s="2"/>
      <c r="I1042" s="13"/>
      <c r="J1042" s="13"/>
      <c r="K1042" s="13"/>
      <c r="L1042" s="14"/>
      <c r="M1042" s="4"/>
      <c r="N1042" s="2"/>
      <c r="O1042" s="4"/>
      <c r="P1042" s="2"/>
      <c r="Q1042" s="2"/>
      <c r="R1042" s="4"/>
      <c r="S1042" s="2"/>
      <c r="T1042" s="2"/>
      <c r="U1042" s="1"/>
      <c r="V1042" s="2"/>
      <c r="W1042" s="2"/>
      <c r="X1042" s="2"/>
      <c r="Y1042" s="2"/>
      <c r="Z1042" s="2"/>
    </row>
    <row r="1043" spans="1:26" ht="15.75" customHeight="1" x14ac:dyDescent="0.2">
      <c r="A1043" s="12"/>
      <c r="B1043" s="10"/>
      <c r="C1043" s="11"/>
      <c r="D1043" s="13"/>
      <c r="E1043" s="13"/>
      <c r="F1043" s="13"/>
      <c r="G1043" s="2"/>
      <c r="H1043" s="2"/>
      <c r="I1043" s="13"/>
      <c r="J1043" s="13"/>
      <c r="K1043" s="13"/>
      <c r="L1043" s="14"/>
      <c r="M1043" s="4"/>
      <c r="N1043" s="2"/>
      <c r="O1043" s="4"/>
      <c r="P1043" s="2"/>
      <c r="Q1043" s="2"/>
      <c r="R1043" s="4"/>
      <c r="S1043" s="2"/>
      <c r="T1043" s="2"/>
      <c r="U1043" s="1"/>
      <c r="V1043" s="2"/>
      <c r="W1043" s="2"/>
      <c r="X1043" s="2"/>
      <c r="Y1043" s="2"/>
      <c r="Z1043" s="2"/>
    </row>
    <row r="1044" spans="1:26" ht="15.75" customHeight="1" x14ac:dyDescent="0.2">
      <c r="A1044" s="12"/>
      <c r="B1044" s="10"/>
      <c r="C1044" s="11"/>
      <c r="D1044" s="13"/>
      <c r="E1044" s="13"/>
      <c r="F1044" s="13"/>
      <c r="G1044" s="2"/>
      <c r="H1044" s="2"/>
      <c r="I1044" s="13"/>
      <c r="J1044" s="13"/>
      <c r="K1044" s="13"/>
      <c r="L1044" s="14"/>
      <c r="M1044" s="4"/>
      <c r="N1044" s="2"/>
      <c r="O1044" s="4"/>
      <c r="P1044" s="2"/>
      <c r="Q1044" s="2"/>
      <c r="R1044" s="4"/>
      <c r="S1044" s="2"/>
      <c r="T1044" s="2"/>
      <c r="U1044" s="1"/>
      <c r="V1044" s="2"/>
      <c r="W1044" s="2"/>
      <c r="X1044" s="2"/>
      <c r="Y1044" s="2"/>
      <c r="Z1044" s="2"/>
    </row>
    <row r="1045" spans="1:26" ht="15.75" customHeight="1" x14ac:dyDescent="0.2">
      <c r="A1045" s="12"/>
      <c r="B1045" s="10"/>
      <c r="C1045" s="11"/>
      <c r="D1045" s="13"/>
      <c r="E1045" s="13"/>
      <c r="F1045" s="13"/>
      <c r="G1045" s="2"/>
      <c r="H1045" s="2"/>
      <c r="I1045" s="13"/>
      <c r="J1045" s="13"/>
      <c r="K1045" s="13"/>
      <c r="L1045" s="14"/>
      <c r="M1045" s="4"/>
      <c r="N1045" s="2"/>
      <c r="O1045" s="4"/>
      <c r="P1045" s="2"/>
      <c r="Q1045" s="2"/>
      <c r="R1045" s="4"/>
      <c r="S1045" s="2"/>
      <c r="T1045" s="2"/>
      <c r="U1045" s="1"/>
      <c r="V1045" s="2"/>
      <c r="W1045" s="2"/>
      <c r="X1045" s="2"/>
      <c r="Y1045" s="2"/>
      <c r="Z1045" s="2"/>
    </row>
    <row r="1046" spans="1:26" ht="15.75" customHeight="1" x14ac:dyDescent="0.2">
      <c r="A1046" s="12"/>
      <c r="B1046" s="10"/>
      <c r="C1046" s="11"/>
      <c r="D1046" s="13"/>
      <c r="E1046" s="13"/>
      <c r="F1046" s="13"/>
      <c r="G1046" s="2"/>
      <c r="H1046" s="2"/>
      <c r="I1046" s="13"/>
      <c r="J1046" s="13"/>
      <c r="K1046" s="13"/>
      <c r="L1046" s="14"/>
      <c r="M1046" s="4"/>
      <c r="N1046" s="2"/>
      <c r="O1046" s="4"/>
      <c r="P1046" s="2"/>
      <c r="Q1046" s="2"/>
      <c r="R1046" s="4"/>
      <c r="S1046" s="2"/>
      <c r="T1046" s="2"/>
      <c r="U1046" s="1"/>
      <c r="V1046" s="2"/>
      <c r="W1046" s="2"/>
      <c r="X1046" s="2"/>
      <c r="Y1046" s="2"/>
      <c r="Z1046" s="2"/>
    </row>
    <row r="1047" spans="1:26" ht="15.75" customHeight="1" x14ac:dyDescent="0.2">
      <c r="A1047" s="12"/>
      <c r="B1047" s="10"/>
      <c r="C1047" s="11"/>
      <c r="D1047" s="13"/>
      <c r="E1047" s="13"/>
      <c r="F1047" s="13"/>
      <c r="G1047" s="2"/>
      <c r="H1047" s="2"/>
      <c r="I1047" s="13"/>
      <c r="J1047" s="13"/>
      <c r="K1047" s="13"/>
      <c r="L1047" s="14"/>
      <c r="M1047" s="4"/>
      <c r="N1047" s="2"/>
      <c r="O1047" s="4"/>
      <c r="P1047" s="2"/>
      <c r="Q1047" s="2"/>
      <c r="R1047" s="4"/>
      <c r="S1047" s="2"/>
      <c r="T1047" s="2"/>
      <c r="U1047" s="1"/>
      <c r="V1047" s="2"/>
      <c r="W1047" s="2"/>
      <c r="X1047" s="2"/>
      <c r="Y1047" s="2"/>
      <c r="Z1047" s="2"/>
    </row>
    <row r="1048" spans="1:26" ht="15.75" customHeight="1" x14ac:dyDescent="0.2">
      <c r="A1048" s="12"/>
      <c r="B1048" s="10"/>
      <c r="C1048" s="11"/>
      <c r="D1048" s="13"/>
      <c r="E1048" s="13"/>
      <c r="F1048" s="13"/>
      <c r="G1048" s="2"/>
      <c r="H1048" s="2"/>
      <c r="I1048" s="13"/>
      <c r="J1048" s="13"/>
      <c r="K1048" s="13"/>
      <c r="L1048" s="14"/>
      <c r="M1048" s="4"/>
      <c r="N1048" s="2"/>
      <c r="O1048" s="4"/>
      <c r="P1048" s="2"/>
      <c r="Q1048" s="2"/>
      <c r="R1048" s="4"/>
      <c r="S1048" s="2"/>
      <c r="T1048" s="2"/>
      <c r="U1048" s="1"/>
      <c r="V1048" s="2"/>
      <c r="W1048" s="2"/>
      <c r="X1048" s="2"/>
      <c r="Y1048" s="2"/>
      <c r="Z1048" s="2"/>
    </row>
    <row r="1049" spans="1:26" ht="15.75" customHeight="1" x14ac:dyDescent="0.2">
      <c r="A1049" s="12"/>
      <c r="B1049" s="10"/>
      <c r="C1049" s="11"/>
      <c r="D1049" s="13"/>
      <c r="E1049" s="13"/>
      <c r="F1049" s="13"/>
      <c r="G1049" s="2"/>
      <c r="H1049" s="2"/>
      <c r="I1049" s="13"/>
      <c r="J1049" s="13"/>
      <c r="K1049" s="13"/>
      <c r="L1049" s="14"/>
      <c r="M1049" s="4"/>
      <c r="N1049" s="2"/>
      <c r="O1049" s="4"/>
      <c r="P1049" s="2"/>
      <c r="Q1049" s="2"/>
      <c r="R1049" s="4"/>
      <c r="S1049" s="2"/>
      <c r="T1049" s="2"/>
      <c r="U1049" s="1"/>
      <c r="V1049" s="2"/>
      <c r="W1049" s="2"/>
      <c r="X1049" s="2"/>
      <c r="Y1049" s="2"/>
      <c r="Z1049" s="2"/>
    </row>
    <row r="1050" spans="1:26" ht="15.75" customHeight="1" x14ac:dyDescent="0.2">
      <c r="A1050" s="12"/>
      <c r="B1050" s="10"/>
      <c r="C1050" s="11"/>
      <c r="D1050" s="13"/>
      <c r="E1050" s="13"/>
      <c r="F1050" s="13"/>
      <c r="G1050" s="2"/>
      <c r="H1050" s="2"/>
      <c r="I1050" s="13"/>
      <c r="J1050" s="13"/>
      <c r="K1050" s="13"/>
      <c r="L1050" s="14"/>
      <c r="M1050" s="4"/>
      <c r="N1050" s="2"/>
      <c r="O1050" s="4"/>
      <c r="P1050" s="2"/>
      <c r="Q1050" s="2"/>
      <c r="R1050" s="4"/>
      <c r="S1050" s="2"/>
      <c r="T1050" s="2"/>
      <c r="U1050" s="1"/>
      <c r="V1050" s="2"/>
      <c r="W1050" s="2"/>
      <c r="X1050" s="2"/>
      <c r="Y1050" s="2"/>
      <c r="Z1050" s="2"/>
    </row>
    <row r="1051" spans="1:26" ht="15.75" customHeight="1" x14ac:dyDescent="0.2">
      <c r="A1051" s="12"/>
      <c r="B1051" s="10"/>
      <c r="C1051" s="11"/>
      <c r="D1051" s="13"/>
      <c r="E1051" s="13"/>
      <c r="F1051" s="13"/>
      <c r="G1051" s="2"/>
      <c r="H1051" s="2"/>
      <c r="I1051" s="13"/>
      <c r="J1051" s="13"/>
      <c r="K1051" s="13"/>
      <c r="L1051" s="14"/>
      <c r="M1051" s="4"/>
      <c r="N1051" s="2"/>
      <c r="O1051" s="4"/>
      <c r="P1051" s="2"/>
      <c r="Q1051" s="2"/>
      <c r="R1051" s="4"/>
      <c r="S1051" s="2"/>
      <c r="T1051" s="2"/>
      <c r="U1051" s="1"/>
      <c r="V1051" s="2"/>
      <c r="W1051" s="2"/>
      <c r="X1051" s="2"/>
      <c r="Y1051" s="2"/>
      <c r="Z1051" s="2"/>
    </row>
    <row r="1052" spans="1:26" ht="15.75" customHeight="1" x14ac:dyDescent="0.2">
      <c r="A1052" s="12"/>
      <c r="B1052" s="10"/>
      <c r="C1052" s="11"/>
      <c r="D1052" s="13"/>
      <c r="E1052" s="13"/>
      <c r="F1052" s="13"/>
      <c r="G1052" s="2"/>
      <c r="H1052" s="2"/>
      <c r="I1052" s="13"/>
      <c r="J1052" s="13"/>
      <c r="K1052" s="13"/>
      <c r="L1052" s="14"/>
      <c r="M1052" s="4"/>
      <c r="N1052" s="2"/>
      <c r="O1052" s="4"/>
      <c r="P1052" s="2"/>
      <c r="Q1052" s="2"/>
      <c r="R1052" s="4"/>
      <c r="S1052" s="2"/>
      <c r="T1052" s="2"/>
      <c r="U1052" s="1"/>
      <c r="V1052" s="2"/>
      <c r="W1052" s="2"/>
      <c r="X1052" s="2"/>
      <c r="Y1052" s="2"/>
      <c r="Z1052" s="2"/>
    </row>
    <row r="1053" spans="1:26" ht="15.75" customHeight="1" x14ac:dyDescent="0.2">
      <c r="A1053" s="12"/>
      <c r="B1053" s="10"/>
      <c r="C1053" s="11"/>
      <c r="D1053" s="13"/>
      <c r="E1053" s="13"/>
      <c r="F1053" s="13"/>
      <c r="G1053" s="2"/>
      <c r="H1053" s="2"/>
      <c r="I1053" s="13"/>
      <c r="J1053" s="13"/>
      <c r="K1053" s="13"/>
      <c r="L1053" s="14"/>
      <c r="M1053" s="4"/>
      <c r="N1053" s="2"/>
      <c r="O1053" s="4"/>
      <c r="P1053" s="2"/>
      <c r="Q1053" s="2"/>
      <c r="R1053" s="4"/>
      <c r="S1053" s="2"/>
      <c r="T1053" s="2"/>
      <c r="U1053" s="1"/>
      <c r="V1053" s="2"/>
      <c r="W1053" s="2"/>
      <c r="X1053" s="2"/>
      <c r="Y1053" s="2"/>
      <c r="Z1053" s="2"/>
    </row>
    <row r="1054" spans="1:26" ht="15.75" customHeight="1" x14ac:dyDescent="0.2">
      <c r="A1054" s="12"/>
      <c r="B1054" s="10"/>
      <c r="C1054" s="11"/>
      <c r="D1054" s="13"/>
      <c r="E1054" s="13"/>
      <c r="F1054" s="13"/>
      <c r="G1054" s="2"/>
      <c r="H1054" s="2"/>
      <c r="I1054" s="13"/>
      <c r="J1054" s="13"/>
      <c r="K1054" s="13"/>
      <c r="L1054" s="14"/>
      <c r="M1054" s="4"/>
      <c r="N1054" s="2"/>
      <c r="O1054" s="4"/>
      <c r="P1054" s="2"/>
      <c r="Q1054" s="2"/>
      <c r="R1054" s="4"/>
      <c r="S1054" s="2"/>
      <c r="T1054" s="2"/>
      <c r="U1054" s="1"/>
      <c r="V1054" s="2"/>
      <c r="W1054" s="2"/>
      <c r="X1054" s="2"/>
      <c r="Y1054" s="2"/>
      <c r="Z1054" s="2"/>
    </row>
    <row r="1055" spans="1:26" ht="15.75" customHeight="1" x14ac:dyDescent="0.2">
      <c r="A1055" s="12"/>
      <c r="B1055" s="10"/>
      <c r="C1055" s="11"/>
      <c r="D1055" s="13"/>
      <c r="E1055" s="13"/>
      <c r="F1055" s="13"/>
      <c r="G1055" s="2"/>
      <c r="H1055" s="2"/>
      <c r="I1055" s="13"/>
      <c r="J1055" s="13"/>
      <c r="K1055" s="13"/>
      <c r="L1055" s="14"/>
      <c r="M1055" s="4"/>
      <c r="N1055" s="2"/>
      <c r="O1055" s="4"/>
      <c r="P1055" s="2"/>
      <c r="Q1055" s="2"/>
      <c r="R1055" s="4"/>
      <c r="S1055" s="2"/>
      <c r="T1055" s="2"/>
      <c r="U1055" s="1"/>
      <c r="V1055" s="2"/>
      <c r="W1055" s="2"/>
      <c r="X1055" s="2"/>
      <c r="Y1055" s="2"/>
      <c r="Z1055" s="2"/>
    </row>
    <row r="1056" spans="1:26" ht="15.75" customHeight="1" x14ac:dyDescent="0.2">
      <c r="A1056" s="12"/>
      <c r="B1056" s="10"/>
      <c r="C1056" s="11"/>
      <c r="D1056" s="13"/>
      <c r="E1056" s="13"/>
      <c r="F1056" s="13"/>
      <c r="G1056" s="2"/>
      <c r="H1056" s="2"/>
      <c r="I1056" s="13"/>
      <c r="J1056" s="13"/>
      <c r="K1056" s="13"/>
      <c r="L1056" s="14"/>
      <c r="M1056" s="4"/>
      <c r="N1056" s="2"/>
      <c r="O1056" s="4"/>
      <c r="P1056" s="2"/>
      <c r="Q1056" s="2"/>
      <c r="R1056" s="4"/>
      <c r="S1056" s="2"/>
      <c r="T1056" s="2"/>
      <c r="U1056" s="1"/>
      <c r="V1056" s="2"/>
      <c r="W1056" s="2"/>
      <c r="X1056" s="2"/>
      <c r="Y1056" s="2"/>
      <c r="Z1056" s="2"/>
    </row>
    <row r="1057" spans="1:26" ht="15.75" customHeight="1" x14ac:dyDescent="0.2">
      <c r="A1057" s="12"/>
      <c r="B1057" s="10"/>
      <c r="C1057" s="11"/>
      <c r="D1057" s="13"/>
      <c r="E1057" s="13"/>
      <c r="F1057" s="13"/>
      <c r="G1057" s="2"/>
      <c r="H1057" s="2"/>
      <c r="I1057" s="13"/>
      <c r="J1057" s="13"/>
      <c r="K1057" s="13"/>
      <c r="L1057" s="14"/>
      <c r="M1057" s="4"/>
      <c r="N1057" s="2"/>
      <c r="O1057" s="4"/>
      <c r="P1057" s="2"/>
      <c r="Q1057" s="2"/>
      <c r="R1057" s="4"/>
      <c r="S1057" s="2"/>
      <c r="T1057" s="2"/>
      <c r="U1057" s="1"/>
      <c r="V1057" s="2"/>
      <c r="W1057" s="2"/>
      <c r="X1057" s="2"/>
      <c r="Y1057" s="2"/>
      <c r="Z1057" s="2"/>
    </row>
    <row r="1058" spans="1:26" ht="15.75" customHeight="1" x14ac:dyDescent="0.2">
      <c r="A1058" s="12"/>
      <c r="B1058" s="10"/>
      <c r="C1058" s="11"/>
      <c r="D1058" s="13"/>
      <c r="E1058" s="13"/>
      <c r="F1058" s="13"/>
      <c r="G1058" s="2"/>
      <c r="H1058" s="2"/>
      <c r="I1058" s="13"/>
      <c r="J1058" s="13"/>
      <c r="K1058" s="13"/>
      <c r="L1058" s="14"/>
      <c r="M1058" s="4"/>
      <c r="N1058" s="2"/>
      <c r="O1058" s="4"/>
      <c r="P1058" s="2"/>
      <c r="Q1058" s="2"/>
      <c r="R1058" s="4"/>
      <c r="S1058" s="2"/>
      <c r="T1058" s="2"/>
      <c r="U1058" s="1"/>
      <c r="V1058" s="2"/>
      <c r="W1058" s="2"/>
      <c r="X1058" s="2"/>
      <c r="Y1058" s="2"/>
      <c r="Z1058" s="2"/>
    </row>
    <row r="1059" spans="1:26" ht="15.75" customHeight="1" x14ac:dyDescent="0.2">
      <c r="A1059" s="12"/>
      <c r="B1059" s="10"/>
      <c r="C1059" s="11"/>
      <c r="D1059" s="13"/>
      <c r="E1059" s="13"/>
      <c r="F1059" s="13"/>
      <c r="G1059" s="2"/>
      <c r="H1059" s="2"/>
      <c r="I1059" s="13"/>
      <c r="J1059" s="13"/>
      <c r="K1059" s="13"/>
      <c r="L1059" s="14"/>
      <c r="M1059" s="4"/>
      <c r="N1059" s="2"/>
      <c r="O1059" s="4"/>
      <c r="P1059" s="2"/>
      <c r="Q1059" s="2"/>
      <c r="R1059" s="4"/>
      <c r="S1059" s="2"/>
      <c r="T1059" s="2"/>
      <c r="U1059" s="1"/>
      <c r="V1059" s="2"/>
      <c r="W1059" s="2"/>
      <c r="X1059" s="2"/>
      <c r="Y1059" s="2"/>
      <c r="Z1059" s="2"/>
    </row>
    <row r="1060" spans="1:26" ht="15.75" customHeight="1" x14ac:dyDescent="0.2">
      <c r="A1060" s="12"/>
      <c r="B1060" s="10"/>
      <c r="C1060" s="11"/>
      <c r="D1060" s="13"/>
      <c r="E1060" s="13"/>
      <c r="F1060" s="13"/>
      <c r="G1060" s="2"/>
      <c r="H1060" s="2"/>
      <c r="I1060" s="13"/>
      <c r="J1060" s="13"/>
      <c r="K1060" s="13"/>
      <c r="L1060" s="14"/>
      <c r="M1060" s="4"/>
      <c r="N1060" s="2"/>
      <c r="O1060" s="4"/>
      <c r="P1060" s="2"/>
      <c r="Q1060" s="2"/>
      <c r="R1060" s="4"/>
      <c r="S1060" s="2"/>
      <c r="T1060" s="2"/>
      <c r="U1060" s="1"/>
      <c r="V1060" s="2"/>
      <c r="W1060" s="2"/>
      <c r="X1060" s="2"/>
      <c r="Y1060" s="2"/>
      <c r="Z1060" s="2"/>
    </row>
    <row r="1061" spans="1:26" ht="15.75" customHeight="1" x14ac:dyDescent="0.2">
      <c r="A1061" s="12"/>
      <c r="B1061" s="10"/>
      <c r="C1061" s="11"/>
      <c r="D1061" s="13"/>
      <c r="E1061" s="13"/>
      <c r="F1061" s="13"/>
      <c r="G1061" s="2"/>
      <c r="H1061" s="2"/>
      <c r="I1061" s="13"/>
      <c r="J1061" s="13"/>
      <c r="K1061" s="13"/>
      <c r="L1061" s="14"/>
      <c r="M1061" s="4"/>
      <c r="N1061" s="2"/>
      <c r="O1061" s="4"/>
      <c r="P1061" s="2"/>
      <c r="Q1061" s="2"/>
      <c r="R1061" s="4"/>
      <c r="S1061" s="2"/>
      <c r="T1061" s="2"/>
      <c r="U1061" s="1"/>
      <c r="V1061" s="2"/>
      <c r="W1061" s="2"/>
      <c r="X1061" s="2"/>
      <c r="Y1061" s="2"/>
      <c r="Z1061" s="2"/>
    </row>
    <row r="1062" spans="1:26" ht="15.75" customHeight="1" x14ac:dyDescent="0.2">
      <c r="A1062" s="12"/>
      <c r="B1062" s="10"/>
      <c r="C1062" s="11"/>
      <c r="D1062" s="13"/>
      <c r="E1062" s="13"/>
      <c r="F1062" s="13"/>
      <c r="G1062" s="2"/>
      <c r="H1062" s="2"/>
      <c r="I1062" s="13"/>
      <c r="J1062" s="13"/>
      <c r="K1062" s="13"/>
      <c r="L1062" s="14"/>
      <c r="M1062" s="4"/>
      <c r="N1062" s="2"/>
      <c r="O1062" s="4"/>
      <c r="P1062" s="2"/>
      <c r="Q1062" s="2"/>
      <c r="R1062" s="4"/>
      <c r="S1062" s="2"/>
      <c r="T1062" s="2"/>
      <c r="U1062" s="1"/>
      <c r="V1062" s="2"/>
      <c r="W1062" s="2"/>
      <c r="X1062" s="2"/>
      <c r="Y1062" s="2"/>
      <c r="Z1062" s="2"/>
    </row>
    <row r="1063" spans="1:26" ht="15.75" customHeight="1" x14ac:dyDescent="0.2">
      <c r="A1063" s="12"/>
      <c r="B1063" s="10"/>
      <c r="C1063" s="11"/>
      <c r="D1063" s="13"/>
      <c r="E1063" s="13"/>
      <c r="F1063" s="13"/>
      <c r="G1063" s="2"/>
      <c r="H1063" s="2"/>
      <c r="I1063" s="13"/>
      <c r="J1063" s="13"/>
      <c r="K1063" s="13"/>
      <c r="L1063" s="14"/>
      <c r="M1063" s="4"/>
      <c r="N1063" s="2"/>
      <c r="O1063" s="4"/>
      <c r="P1063" s="2"/>
      <c r="Q1063" s="2"/>
      <c r="R1063" s="4"/>
      <c r="S1063" s="2"/>
      <c r="T1063" s="2"/>
      <c r="U1063" s="1"/>
      <c r="V1063" s="2"/>
      <c r="W1063" s="2"/>
      <c r="X1063" s="2"/>
      <c r="Y1063" s="2"/>
      <c r="Z1063" s="2"/>
    </row>
    <row r="1064" spans="1:26" ht="15.75" customHeight="1" x14ac:dyDescent="0.2">
      <c r="A1064" s="12"/>
      <c r="B1064" s="10"/>
      <c r="C1064" s="11"/>
      <c r="D1064" s="13"/>
      <c r="E1064" s="13"/>
      <c r="F1064" s="13"/>
      <c r="G1064" s="2"/>
      <c r="H1064" s="2"/>
      <c r="I1064" s="13"/>
      <c r="J1064" s="13"/>
      <c r="K1064" s="13"/>
      <c r="L1064" s="14"/>
      <c r="M1064" s="4"/>
      <c r="N1064" s="2"/>
      <c r="O1064" s="4"/>
      <c r="P1064" s="2"/>
      <c r="Q1064" s="2"/>
      <c r="R1064" s="4"/>
      <c r="S1064" s="2"/>
      <c r="T1064" s="2"/>
      <c r="U1064" s="1"/>
      <c r="V1064" s="2"/>
      <c r="W1064" s="2"/>
      <c r="X1064" s="2"/>
      <c r="Y1064" s="2"/>
      <c r="Z1064" s="2"/>
    </row>
    <row r="1065" spans="1:26" ht="15.75" customHeight="1" x14ac:dyDescent="0.2">
      <c r="A1065" s="12"/>
      <c r="B1065" s="10"/>
      <c r="C1065" s="11"/>
      <c r="D1065" s="13"/>
      <c r="E1065" s="13"/>
      <c r="F1065" s="13"/>
      <c r="G1065" s="2"/>
      <c r="H1065" s="2"/>
      <c r="I1065" s="13"/>
      <c r="J1065" s="13"/>
      <c r="K1065" s="13"/>
      <c r="L1065" s="14"/>
      <c r="M1065" s="4"/>
      <c r="N1065" s="2"/>
      <c r="O1065" s="4"/>
      <c r="P1065" s="2"/>
      <c r="Q1065" s="2"/>
      <c r="R1065" s="4"/>
      <c r="S1065" s="2"/>
      <c r="T1065" s="2"/>
      <c r="U1065" s="1"/>
      <c r="V1065" s="2"/>
      <c r="W1065" s="2"/>
      <c r="X1065" s="2"/>
      <c r="Y1065" s="2"/>
      <c r="Z1065" s="2"/>
    </row>
    <row r="1066" spans="1:26" ht="15.75" customHeight="1" x14ac:dyDescent="0.2">
      <c r="A1066" s="12"/>
      <c r="B1066" s="10"/>
      <c r="C1066" s="11"/>
      <c r="D1066" s="13"/>
      <c r="E1066" s="13"/>
      <c r="F1066" s="13"/>
      <c r="G1066" s="2"/>
      <c r="H1066" s="2"/>
      <c r="I1066" s="13"/>
      <c r="J1066" s="13"/>
      <c r="K1066" s="13"/>
      <c r="L1066" s="14"/>
      <c r="M1066" s="4"/>
      <c r="N1066" s="2"/>
      <c r="O1066" s="4"/>
      <c r="P1066" s="2"/>
      <c r="Q1066" s="2"/>
      <c r="R1066" s="4"/>
      <c r="S1066" s="2"/>
      <c r="T1066" s="2"/>
      <c r="U1066" s="1"/>
      <c r="V1066" s="2"/>
      <c r="W1066" s="2"/>
      <c r="X1066" s="2"/>
      <c r="Y1066" s="2"/>
      <c r="Z1066" s="2"/>
    </row>
    <row r="1067" spans="1:26" ht="15.75" customHeight="1" x14ac:dyDescent="0.2">
      <c r="A1067" s="12"/>
      <c r="B1067" s="10"/>
      <c r="C1067" s="11"/>
      <c r="D1067" s="13"/>
      <c r="E1067" s="13"/>
      <c r="F1067" s="13"/>
      <c r="G1067" s="2"/>
      <c r="H1067" s="2"/>
      <c r="I1067" s="13"/>
      <c r="J1067" s="13"/>
      <c r="K1067" s="13"/>
      <c r="L1067" s="14"/>
      <c r="M1067" s="4"/>
      <c r="N1067" s="2"/>
      <c r="O1067" s="4"/>
      <c r="P1067" s="2"/>
      <c r="Q1067" s="2"/>
      <c r="R1067" s="4"/>
      <c r="S1067" s="2"/>
      <c r="T1067" s="2"/>
      <c r="U1067" s="1"/>
      <c r="V1067" s="2"/>
      <c r="W1067" s="2"/>
      <c r="X1067" s="2"/>
      <c r="Y1067" s="2"/>
      <c r="Z1067" s="2"/>
    </row>
    <row r="1068" spans="1:26" ht="15.75" customHeight="1" x14ac:dyDescent="0.2">
      <c r="A1068" s="12"/>
      <c r="B1068" s="10"/>
      <c r="C1068" s="11"/>
      <c r="D1068" s="13"/>
      <c r="E1068" s="13"/>
      <c r="F1068" s="13"/>
      <c r="G1068" s="2"/>
      <c r="H1068" s="2"/>
      <c r="I1068" s="13"/>
      <c r="J1068" s="13"/>
      <c r="K1068" s="13"/>
      <c r="L1068" s="14"/>
      <c r="M1068" s="4"/>
      <c r="N1068" s="2"/>
      <c r="O1068" s="4"/>
      <c r="P1068" s="2"/>
      <c r="Q1068" s="2"/>
      <c r="R1068" s="4"/>
      <c r="S1068" s="2"/>
      <c r="T1068" s="2"/>
      <c r="U1068" s="1"/>
      <c r="V1068" s="2"/>
      <c r="W1068" s="2"/>
      <c r="X1068" s="2"/>
      <c r="Y1068" s="2"/>
      <c r="Z1068" s="2"/>
    </row>
  </sheetData>
  <mergeCells count="6">
    <mergeCell ref="A80:B80"/>
    <mergeCell ref="A3:C3"/>
    <mergeCell ref="I3:K3"/>
    <mergeCell ref="A26:C26"/>
    <mergeCell ref="A43:C43"/>
    <mergeCell ref="I43:K43"/>
  </mergeCells>
  <conditionalFormatting sqref="L1:L1068">
    <cfRule type="cellIs" dxfId="78" priority="8" operator="between">
      <formula>"25%"</formula>
      <formula>"30%"</formula>
    </cfRule>
    <cfRule type="cellIs" dxfId="77" priority="7" operator="lessThan">
      <formula>"25%"</formula>
    </cfRule>
    <cfRule type="cellIs" dxfId="76" priority="6" operator="greaterThan">
      <formula>"30%"</formula>
    </cfRule>
  </conditionalFormatting>
  <conditionalFormatting sqref="L26:L40">
    <cfRule type="cellIs" dxfId="75" priority="1" operator="greaterThanOrEqual">
      <formula>"30%"</formula>
    </cfRule>
  </conditionalFormatting>
  <conditionalFormatting sqref="L73:L80">
    <cfRule type="cellIs" dxfId="74" priority="4" operator="between">
      <formula>"20.01%"</formula>
      <formula>"25%"</formula>
    </cfRule>
    <cfRule type="cellIs" dxfId="73" priority="3" operator="lessThanOrEqual">
      <formula>"20%"</formula>
    </cfRule>
    <cfRule type="cellIs" dxfId="72" priority="2" operator="between">
      <formula>"20%"</formula>
      <formula>"25%"</formula>
    </cfRule>
    <cfRule type="cellIs" dxfId="71" priority="5" operator="greater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F133-D415-A447-B21C-A8C0FFA73CAD}">
  <sheetPr>
    <outlinePr summaryBelow="0" summaryRight="0"/>
  </sheetPr>
  <dimension ref="A1:Z94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11" t="s">
        <v>0</v>
      </c>
      <c r="C3" s="24" t="s">
        <v>194</v>
      </c>
      <c r="D3" s="11" t="s">
        <v>268</v>
      </c>
      <c r="G3" s="11" t="s">
        <v>2</v>
      </c>
      <c r="M3" s="4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M4" s="4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I5" s="11" t="s">
        <v>9</v>
      </c>
      <c r="J5" s="11" t="s">
        <v>7</v>
      </c>
      <c r="K5" s="11" t="s">
        <v>10</v>
      </c>
      <c r="M5" s="4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1" t="s">
        <v>269</v>
      </c>
      <c r="B6" s="11" t="s">
        <v>17</v>
      </c>
      <c r="C6" s="11" t="s">
        <v>42</v>
      </c>
      <c r="D6" s="11" t="s">
        <v>270</v>
      </c>
      <c r="E6" s="11" t="s">
        <v>271</v>
      </c>
      <c r="F6" s="11" t="s">
        <v>272</v>
      </c>
      <c r="I6" s="11" t="s">
        <v>273</v>
      </c>
      <c r="J6" s="11" t="s">
        <v>274</v>
      </c>
      <c r="K6" s="11" t="s">
        <v>275</v>
      </c>
      <c r="L6" s="75" t="s">
        <v>276</v>
      </c>
      <c r="M6" s="4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1" t="s">
        <v>277</v>
      </c>
      <c r="B7" s="11" t="s">
        <v>21</v>
      </c>
      <c r="C7" s="11" t="s">
        <v>51</v>
      </c>
      <c r="D7" s="11" t="s">
        <v>273</v>
      </c>
      <c r="E7" s="11" t="s">
        <v>273</v>
      </c>
      <c r="F7" s="11" t="s">
        <v>278</v>
      </c>
      <c r="I7" s="11" t="s">
        <v>279</v>
      </c>
      <c r="J7" s="11" t="s">
        <v>279</v>
      </c>
      <c r="K7" s="11" t="s">
        <v>280</v>
      </c>
      <c r="L7" s="75" t="s">
        <v>281</v>
      </c>
      <c r="M7" s="4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1" t="s">
        <v>282</v>
      </c>
      <c r="B8" s="11" t="s">
        <v>17</v>
      </c>
      <c r="C8" s="11" t="s">
        <v>62</v>
      </c>
      <c r="D8" s="11" t="s">
        <v>283</v>
      </c>
      <c r="E8" s="11" t="s">
        <v>284</v>
      </c>
      <c r="F8" s="11" t="s">
        <v>285</v>
      </c>
      <c r="I8" s="11" t="s">
        <v>286</v>
      </c>
      <c r="J8" s="11" t="s">
        <v>287</v>
      </c>
      <c r="K8" s="11" t="s">
        <v>288</v>
      </c>
      <c r="L8" s="75" t="s">
        <v>289</v>
      </c>
      <c r="M8" s="4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1" t="s">
        <v>290</v>
      </c>
      <c r="B9" s="11" t="s">
        <v>4</v>
      </c>
      <c r="C9" s="11" t="s">
        <v>14</v>
      </c>
      <c r="D9" s="11" t="s">
        <v>291</v>
      </c>
      <c r="E9" s="11" t="s">
        <v>292</v>
      </c>
      <c r="F9" s="11" t="s">
        <v>293</v>
      </c>
      <c r="I9" s="11" t="s">
        <v>294</v>
      </c>
      <c r="J9" s="11" t="s">
        <v>270</v>
      </c>
      <c r="K9" s="11" t="s">
        <v>295</v>
      </c>
      <c r="L9" s="75" t="s">
        <v>296</v>
      </c>
      <c r="M9" s="4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1" t="s">
        <v>277</v>
      </c>
      <c r="B10" s="11" t="s">
        <v>15</v>
      </c>
      <c r="C10" s="11" t="s">
        <v>48</v>
      </c>
      <c r="D10" s="11" t="s">
        <v>297</v>
      </c>
      <c r="E10" s="11" t="s">
        <v>297</v>
      </c>
      <c r="F10" s="11" t="s">
        <v>298</v>
      </c>
      <c r="I10" s="11" t="s">
        <v>299</v>
      </c>
      <c r="J10" s="11" t="s">
        <v>299</v>
      </c>
      <c r="K10" s="11" t="s">
        <v>300</v>
      </c>
      <c r="L10" s="75" t="s">
        <v>301</v>
      </c>
      <c r="M10" s="4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1" t="s">
        <v>302</v>
      </c>
      <c r="B11" s="11" t="s">
        <v>17</v>
      </c>
      <c r="C11" s="11" t="s">
        <v>18</v>
      </c>
      <c r="D11" s="11" t="s">
        <v>303</v>
      </c>
      <c r="E11" s="11" t="s">
        <v>304</v>
      </c>
      <c r="F11" s="11" t="s">
        <v>305</v>
      </c>
      <c r="I11" s="11" t="s">
        <v>306</v>
      </c>
      <c r="J11" s="11" t="s">
        <v>273</v>
      </c>
      <c r="K11" s="11" t="s">
        <v>307</v>
      </c>
      <c r="L11" s="75" t="s">
        <v>308</v>
      </c>
      <c r="M11" s="4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ht="15.75" customHeight="1" x14ac:dyDescent="0.2">
      <c r="A12" s="11" t="s">
        <v>309</v>
      </c>
      <c r="B12" s="11" t="s">
        <v>17</v>
      </c>
      <c r="C12" s="11" t="s">
        <v>55</v>
      </c>
      <c r="D12" s="11" t="s">
        <v>310</v>
      </c>
      <c r="E12" s="11" t="s">
        <v>311</v>
      </c>
      <c r="F12" s="11" t="s">
        <v>312</v>
      </c>
      <c r="I12" s="11" t="s">
        <v>313</v>
      </c>
      <c r="J12" s="11" t="s">
        <v>314</v>
      </c>
      <c r="K12" s="11" t="s">
        <v>315</v>
      </c>
      <c r="L12" s="75" t="s">
        <v>316</v>
      </c>
      <c r="M12" s="4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2"/>
    </row>
    <row r="13" spans="1:26" ht="15.75" customHeight="1" x14ac:dyDescent="0.2">
      <c r="A13" s="11" t="s">
        <v>277</v>
      </c>
      <c r="B13" s="11" t="s">
        <v>17</v>
      </c>
      <c r="C13" s="11" t="s">
        <v>19</v>
      </c>
      <c r="D13" s="11" t="s">
        <v>317</v>
      </c>
      <c r="E13" s="11" t="s">
        <v>317</v>
      </c>
      <c r="F13" s="11" t="s">
        <v>318</v>
      </c>
      <c r="I13" s="11" t="s">
        <v>319</v>
      </c>
      <c r="J13" s="11" t="s">
        <v>319</v>
      </c>
      <c r="K13" s="11" t="s">
        <v>320</v>
      </c>
      <c r="L13" s="75" t="s">
        <v>321</v>
      </c>
      <c r="M13" s="4"/>
      <c r="N13" s="2"/>
      <c r="O13" s="4"/>
      <c r="P13" s="2"/>
      <c r="Q13" s="2"/>
      <c r="R13" s="4"/>
      <c r="S13" s="2"/>
      <c r="T13" s="2"/>
      <c r="U13" s="1"/>
      <c r="V13" s="2"/>
      <c r="W13" s="2"/>
      <c r="X13" s="2"/>
      <c r="Y13" s="2"/>
      <c r="Z13" s="2"/>
    </row>
    <row r="14" spans="1:26" ht="15.75" customHeight="1" x14ac:dyDescent="0.2">
      <c r="A14" s="11" t="s">
        <v>322</v>
      </c>
      <c r="B14" s="11" t="s">
        <v>21</v>
      </c>
      <c r="C14" s="11" t="s">
        <v>22</v>
      </c>
      <c r="D14" s="11" t="s">
        <v>323</v>
      </c>
      <c r="E14" s="11" t="s">
        <v>324</v>
      </c>
      <c r="F14" s="11" t="s">
        <v>325</v>
      </c>
      <c r="I14" s="11" t="s">
        <v>326</v>
      </c>
      <c r="J14" s="11" t="s">
        <v>327</v>
      </c>
      <c r="K14" s="11" t="s">
        <v>328</v>
      </c>
      <c r="L14" s="75" t="s">
        <v>329</v>
      </c>
      <c r="M14" s="4"/>
      <c r="N14" s="2"/>
      <c r="O14" s="4"/>
      <c r="P14" s="2"/>
      <c r="Q14" s="2"/>
      <c r="R14" s="4"/>
      <c r="S14" s="2"/>
      <c r="T14" s="2"/>
      <c r="U14" s="1"/>
      <c r="V14" s="2"/>
      <c r="W14" s="2"/>
      <c r="X14" s="2"/>
      <c r="Y14" s="2"/>
      <c r="Z14" s="2"/>
    </row>
    <row r="15" spans="1:26" ht="15.75" customHeight="1" x14ac:dyDescent="0.2">
      <c r="A15" s="11" t="s">
        <v>277</v>
      </c>
      <c r="B15" s="11" t="s">
        <v>17</v>
      </c>
      <c r="C15" s="11" t="s">
        <v>89</v>
      </c>
      <c r="D15" s="11" t="s">
        <v>330</v>
      </c>
      <c r="E15" s="11" t="s">
        <v>330</v>
      </c>
      <c r="F15" s="11" t="s">
        <v>331</v>
      </c>
      <c r="I15" s="11" t="s">
        <v>332</v>
      </c>
      <c r="J15" s="11" t="s">
        <v>332</v>
      </c>
      <c r="K15" s="11" t="s">
        <v>333</v>
      </c>
      <c r="L15" s="75" t="s">
        <v>334</v>
      </c>
      <c r="M15" s="4"/>
      <c r="N15" s="2"/>
      <c r="O15" s="4"/>
      <c r="P15" s="2"/>
      <c r="Q15" s="2"/>
      <c r="R15" s="4"/>
      <c r="S15" s="2"/>
      <c r="T15" s="2"/>
      <c r="U15" s="1"/>
      <c r="V15" s="2"/>
      <c r="W15" s="2"/>
      <c r="X15" s="2"/>
      <c r="Y15" s="2"/>
      <c r="Z15" s="2"/>
    </row>
    <row r="16" spans="1:26" ht="15.75" customHeight="1" x14ac:dyDescent="0.2">
      <c r="A16" s="11" t="s">
        <v>282</v>
      </c>
      <c r="B16" s="11" t="s">
        <v>17</v>
      </c>
      <c r="C16" s="11" t="s">
        <v>67</v>
      </c>
      <c r="D16" s="11" t="s">
        <v>326</v>
      </c>
      <c r="E16" s="11" t="s">
        <v>335</v>
      </c>
      <c r="F16" s="11" t="s">
        <v>336</v>
      </c>
      <c r="I16" s="11" t="s">
        <v>337</v>
      </c>
      <c r="J16" s="11" t="s">
        <v>338</v>
      </c>
      <c r="K16" s="11" t="s">
        <v>339</v>
      </c>
      <c r="L16" s="75" t="s">
        <v>340</v>
      </c>
      <c r="M16" s="4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A17" s="11" t="s">
        <v>341</v>
      </c>
      <c r="B17" s="11" t="s">
        <v>23</v>
      </c>
      <c r="C17" s="11" t="s">
        <v>24</v>
      </c>
      <c r="D17" s="11" t="s">
        <v>342</v>
      </c>
      <c r="E17" s="11" t="s">
        <v>343</v>
      </c>
      <c r="F17" s="11" t="s">
        <v>344</v>
      </c>
      <c r="I17" s="11" t="s">
        <v>345</v>
      </c>
      <c r="J17" s="11" t="s">
        <v>346</v>
      </c>
      <c r="K17" s="11" t="s">
        <v>347</v>
      </c>
      <c r="L17" s="75" t="s">
        <v>348</v>
      </c>
      <c r="M17" s="4"/>
      <c r="N17" s="2"/>
      <c r="O17" s="4"/>
      <c r="P17" s="2"/>
      <c r="Q17" s="2"/>
      <c r="R17" s="4"/>
      <c r="S17" s="2"/>
      <c r="T17" s="2"/>
      <c r="U17" s="1"/>
      <c r="V17" s="2"/>
      <c r="W17" s="2"/>
      <c r="X17" s="2"/>
      <c r="Y17" s="2"/>
      <c r="Z17" s="2"/>
    </row>
    <row r="18" spans="1:26" ht="15.75" customHeight="1" x14ac:dyDescent="0.2">
      <c r="A18" s="11" t="s">
        <v>341</v>
      </c>
      <c r="B18" s="11" t="s">
        <v>23</v>
      </c>
      <c r="C18" s="11" t="s">
        <v>25</v>
      </c>
      <c r="D18" s="11" t="s">
        <v>349</v>
      </c>
      <c r="E18" s="11" t="s">
        <v>350</v>
      </c>
      <c r="F18" s="11" t="s">
        <v>351</v>
      </c>
      <c r="I18" s="11" t="s">
        <v>342</v>
      </c>
      <c r="J18" s="11" t="s">
        <v>343</v>
      </c>
      <c r="K18" s="11" t="s">
        <v>352</v>
      </c>
      <c r="L18" s="75" t="s">
        <v>348</v>
      </c>
      <c r="M18" s="4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ht="15.75" customHeight="1" x14ac:dyDescent="0.2">
      <c r="A19" s="11" t="s">
        <v>302</v>
      </c>
      <c r="B19" s="11" t="s">
        <v>23</v>
      </c>
      <c r="C19" s="11" t="s">
        <v>26</v>
      </c>
      <c r="D19" s="11" t="s">
        <v>353</v>
      </c>
      <c r="E19" s="11" t="s">
        <v>354</v>
      </c>
      <c r="F19" s="11" t="s">
        <v>355</v>
      </c>
      <c r="I19" s="11" t="s">
        <v>356</v>
      </c>
      <c r="J19" s="11" t="s">
        <v>357</v>
      </c>
      <c r="K19" s="11" t="s">
        <v>358</v>
      </c>
      <c r="L19" s="75" t="s">
        <v>359</v>
      </c>
      <c r="M19" s="4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ht="15.75" customHeight="1" x14ac:dyDescent="0.2">
      <c r="A20" s="11" t="s">
        <v>290</v>
      </c>
      <c r="B20" s="11" t="s">
        <v>15</v>
      </c>
      <c r="C20" s="11" t="s">
        <v>27</v>
      </c>
      <c r="D20" s="11" t="s">
        <v>346</v>
      </c>
      <c r="E20" s="11" t="s">
        <v>345</v>
      </c>
      <c r="F20" s="11" t="s">
        <v>360</v>
      </c>
      <c r="I20" s="11" t="s">
        <v>361</v>
      </c>
      <c r="J20" s="11" t="s">
        <v>362</v>
      </c>
      <c r="K20" s="11" t="s">
        <v>363</v>
      </c>
      <c r="L20" s="75" t="s">
        <v>364</v>
      </c>
      <c r="M20" s="4"/>
      <c r="N20" s="2"/>
      <c r="O20" s="4"/>
      <c r="P20" s="2"/>
      <c r="Q20" s="2"/>
      <c r="R20" s="4"/>
      <c r="S20" s="2"/>
      <c r="T20" s="2"/>
      <c r="U20" s="1"/>
      <c r="V20" s="2"/>
      <c r="W20" s="2"/>
      <c r="X20" s="2"/>
      <c r="Y20" s="2"/>
      <c r="Z20" s="2"/>
    </row>
    <row r="21" spans="1:26" ht="15.75" customHeight="1" x14ac:dyDescent="0.2">
      <c r="A21" s="11" t="s">
        <v>277</v>
      </c>
      <c r="B21" s="11" t="s">
        <v>21</v>
      </c>
      <c r="C21" s="11" t="s">
        <v>28</v>
      </c>
      <c r="D21" s="11" t="s">
        <v>283</v>
      </c>
      <c r="E21" s="11" t="s">
        <v>283</v>
      </c>
      <c r="F21" s="11" t="s">
        <v>365</v>
      </c>
      <c r="I21" s="11" t="s">
        <v>366</v>
      </c>
      <c r="J21" s="11" t="s">
        <v>366</v>
      </c>
      <c r="K21" s="11" t="s">
        <v>367</v>
      </c>
      <c r="L21" s="75" t="s">
        <v>348</v>
      </c>
      <c r="M21" s="4"/>
      <c r="N21" s="2"/>
      <c r="O21" s="4"/>
      <c r="P21" s="2"/>
      <c r="Q21" s="2"/>
      <c r="R21" s="4"/>
      <c r="S21" s="2"/>
      <c r="T21" s="2"/>
      <c r="U21" s="1"/>
      <c r="V21" s="2"/>
      <c r="W21" s="2"/>
      <c r="X21" s="2"/>
      <c r="Y21" s="2"/>
      <c r="Z21" s="2"/>
    </row>
    <row r="22" spans="1:26" ht="15.75" customHeight="1" x14ac:dyDescent="0.2">
      <c r="A22" s="11" t="s">
        <v>277</v>
      </c>
      <c r="B22" s="11" t="s">
        <v>21</v>
      </c>
      <c r="C22" s="11" t="s">
        <v>133</v>
      </c>
      <c r="D22" s="11" t="s">
        <v>283</v>
      </c>
      <c r="E22" s="11" t="s">
        <v>283</v>
      </c>
      <c r="F22" s="11" t="s">
        <v>365</v>
      </c>
      <c r="I22" s="11" t="s">
        <v>306</v>
      </c>
      <c r="J22" s="11" t="s">
        <v>306</v>
      </c>
      <c r="K22" s="11" t="s">
        <v>368</v>
      </c>
      <c r="L22" s="75" t="s">
        <v>276</v>
      </c>
      <c r="M22" s="4"/>
      <c r="N22" s="2"/>
      <c r="O22" s="4"/>
      <c r="P22" s="2"/>
      <c r="Q22" s="2"/>
      <c r="R22" s="4"/>
      <c r="S22" s="2"/>
      <c r="T22" s="2"/>
      <c r="U22" s="1"/>
      <c r="V22" s="2"/>
      <c r="W22" s="2"/>
      <c r="X22" s="2"/>
      <c r="Y22" s="2"/>
      <c r="Z22" s="2"/>
    </row>
    <row r="23" spans="1:26" ht="15.75" customHeight="1" x14ac:dyDescent="0.2">
      <c r="A23" s="11" t="s">
        <v>269</v>
      </c>
      <c r="B23" s="11" t="s">
        <v>17</v>
      </c>
      <c r="C23" s="11" t="s">
        <v>29</v>
      </c>
      <c r="D23" s="11" t="s">
        <v>369</v>
      </c>
      <c r="E23" s="11" t="s">
        <v>370</v>
      </c>
      <c r="F23" s="11" t="s">
        <v>371</v>
      </c>
      <c r="I23" s="11" t="s">
        <v>273</v>
      </c>
      <c r="J23" s="11" t="s">
        <v>274</v>
      </c>
      <c r="K23" s="11" t="s">
        <v>372</v>
      </c>
      <c r="L23" s="75" t="s">
        <v>373</v>
      </c>
      <c r="M23" s="4"/>
      <c r="N23" s="2"/>
      <c r="O23" s="4"/>
      <c r="P23" s="2"/>
      <c r="Q23" s="2"/>
      <c r="R23" s="4"/>
      <c r="S23" s="2"/>
      <c r="T23" s="2"/>
      <c r="U23" s="1"/>
      <c r="V23" s="2"/>
      <c r="W23" s="2"/>
      <c r="X23" s="2"/>
      <c r="Y23" s="2"/>
      <c r="Z23" s="2"/>
    </row>
    <row r="24" spans="1:26" ht="15.75" customHeight="1" x14ac:dyDescent="0.2">
      <c r="A24" s="11" t="s">
        <v>277</v>
      </c>
      <c r="B24" s="11" t="s">
        <v>17</v>
      </c>
      <c r="C24" s="11" t="s">
        <v>31</v>
      </c>
      <c r="D24" s="11" t="s">
        <v>291</v>
      </c>
      <c r="E24" s="11" t="s">
        <v>291</v>
      </c>
      <c r="F24" s="11" t="s">
        <v>374</v>
      </c>
      <c r="I24" s="11" t="s">
        <v>375</v>
      </c>
      <c r="J24" s="11" t="s">
        <v>375</v>
      </c>
      <c r="K24" s="11" t="s">
        <v>376</v>
      </c>
      <c r="L24" s="75" t="s">
        <v>377</v>
      </c>
      <c r="M24" s="4"/>
      <c r="N24" s="2"/>
      <c r="O24" s="4"/>
      <c r="P24" s="2"/>
      <c r="Q24" s="2"/>
      <c r="R24" s="4"/>
      <c r="S24" s="2"/>
      <c r="T24" s="2"/>
      <c r="U24" s="1"/>
      <c r="V24" s="2"/>
      <c r="W24" s="2"/>
      <c r="X24" s="2"/>
      <c r="Y24" s="2"/>
      <c r="Z24" s="2"/>
    </row>
    <row r="25" spans="1:26" ht="15.75" customHeight="1" x14ac:dyDescent="0.2">
      <c r="A25" s="11" t="s">
        <v>341</v>
      </c>
      <c r="B25" s="11" t="s">
        <v>17</v>
      </c>
      <c r="C25" s="11" t="s">
        <v>32</v>
      </c>
      <c r="D25" s="11" t="s">
        <v>304</v>
      </c>
      <c r="E25" s="11" t="s">
        <v>326</v>
      </c>
      <c r="F25" s="11" t="s">
        <v>378</v>
      </c>
      <c r="I25" s="11" t="s">
        <v>379</v>
      </c>
      <c r="J25" s="11" t="s">
        <v>380</v>
      </c>
      <c r="K25" s="11" t="s">
        <v>381</v>
      </c>
      <c r="L25" s="75" t="s">
        <v>382</v>
      </c>
      <c r="M25" s="4"/>
      <c r="N25" s="2"/>
      <c r="O25" s="4"/>
      <c r="P25" s="2"/>
      <c r="Q25" s="2"/>
      <c r="R25" s="4"/>
      <c r="S25" s="2"/>
      <c r="T25" s="2"/>
      <c r="U25" s="1"/>
      <c r="V25" s="2"/>
      <c r="W25" s="2"/>
      <c r="X25" s="2"/>
      <c r="Y25" s="2"/>
      <c r="Z25" s="2"/>
    </row>
    <row r="26" spans="1:26" ht="15.75" customHeight="1" x14ac:dyDescent="0.2">
      <c r="A26" s="11" t="s">
        <v>341</v>
      </c>
      <c r="B26" s="11" t="s">
        <v>17</v>
      </c>
      <c r="C26" s="11" t="s">
        <v>33</v>
      </c>
      <c r="D26" s="11" t="s">
        <v>383</v>
      </c>
      <c r="E26" s="11" t="s">
        <v>384</v>
      </c>
      <c r="F26" s="11" t="s">
        <v>385</v>
      </c>
      <c r="I26" s="11" t="s">
        <v>386</v>
      </c>
      <c r="J26" s="11" t="s">
        <v>387</v>
      </c>
      <c r="K26" s="11" t="s">
        <v>388</v>
      </c>
      <c r="L26" s="75" t="s">
        <v>389</v>
      </c>
      <c r="M26" s="4"/>
      <c r="N26" s="2"/>
      <c r="O26" s="4"/>
      <c r="P26" s="2"/>
      <c r="Q26" s="2"/>
      <c r="R26" s="4"/>
      <c r="S26" s="2"/>
      <c r="T26" s="2"/>
      <c r="U26" s="1"/>
      <c r="V26" s="2"/>
      <c r="W26" s="2"/>
      <c r="X26" s="2"/>
      <c r="Y26" s="2"/>
      <c r="Z26" s="2"/>
    </row>
    <row r="27" spans="1:26" ht="15.75" customHeight="1" x14ac:dyDescent="0.2">
      <c r="A27" s="11" t="s">
        <v>277</v>
      </c>
      <c r="B27" s="11" t="s">
        <v>17</v>
      </c>
      <c r="C27" s="11" t="s">
        <v>34</v>
      </c>
      <c r="D27" s="11" t="s">
        <v>390</v>
      </c>
      <c r="E27" s="11" t="s">
        <v>390</v>
      </c>
      <c r="F27" s="11" t="s">
        <v>391</v>
      </c>
      <c r="I27" s="11" t="s">
        <v>392</v>
      </c>
      <c r="J27" s="11" t="s">
        <v>392</v>
      </c>
      <c r="K27" s="11" t="s">
        <v>393</v>
      </c>
      <c r="L27" s="75" t="s">
        <v>394</v>
      </c>
      <c r="M27" s="4"/>
      <c r="N27" s="2"/>
      <c r="O27" s="4"/>
      <c r="P27" s="2"/>
      <c r="Q27" s="2"/>
      <c r="R27" s="4"/>
      <c r="S27" s="2"/>
      <c r="T27" s="2"/>
      <c r="U27" s="1"/>
      <c r="V27" s="2"/>
      <c r="W27" s="2"/>
      <c r="X27" s="2"/>
      <c r="Y27" s="2"/>
      <c r="Z27" s="2"/>
    </row>
    <row r="28" spans="1:26" ht="15.75" customHeight="1" x14ac:dyDescent="0.2">
      <c r="A28" s="11" t="s">
        <v>302</v>
      </c>
      <c r="B28" s="11" t="s">
        <v>17</v>
      </c>
      <c r="C28" s="11" t="s">
        <v>36</v>
      </c>
      <c r="D28" s="11" t="s">
        <v>395</v>
      </c>
      <c r="E28" s="11" t="s">
        <v>320</v>
      </c>
      <c r="F28" s="11" t="s">
        <v>396</v>
      </c>
      <c r="I28" s="11" t="s">
        <v>306</v>
      </c>
      <c r="J28" s="11" t="s">
        <v>273</v>
      </c>
      <c r="K28" s="11" t="s">
        <v>397</v>
      </c>
      <c r="L28" s="75" t="s">
        <v>398</v>
      </c>
      <c r="M28" s="4"/>
      <c r="N28" s="2"/>
      <c r="O28" s="4"/>
      <c r="P28" s="2"/>
      <c r="Q28" s="2"/>
      <c r="R28" s="4"/>
      <c r="S28" s="2"/>
      <c r="T28" s="2"/>
      <c r="U28" s="1"/>
      <c r="V28" s="2"/>
      <c r="W28" s="2"/>
      <c r="X28" s="2"/>
      <c r="Y28" s="2"/>
      <c r="Z28" s="2"/>
    </row>
    <row r="29" spans="1:26" ht="15.75" customHeight="1" x14ac:dyDescent="0.2">
      <c r="A29" s="11" t="s">
        <v>277</v>
      </c>
      <c r="B29" s="11" t="s">
        <v>17</v>
      </c>
      <c r="C29" s="11" t="s">
        <v>38</v>
      </c>
      <c r="D29" s="11" t="s">
        <v>395</v>
      </c>
      <c r="E29" s="11" t="s">
        <v>395</v>
      </c>
      <c r="F29" s="11" t="s">
        <v>399</v>
      </c>
      <c r="I29" s="11" t="s">
        <v>306</v>
      </c>
      <c r="J29" s="11" t="s">
        <v>306</v>
      </c>
      <c r="K29" s="11" t="s">
        <v>400</v>
      </c>
      <c r="L29" s="75" t="s">
        <v>398</v>
      </c>
      <c r="M29" s="4"/>
      <c r="N29" s="2"/>
      <c r="O29" s="4"/>
      <c r="P29" s="2"/>
      <c r="Q29" s="2"/>
      <c r="R29" s="4"/>
      <c r="S29" s="2"/>
      <c r="T29" s="2"/>
      <c r="U29" s="1"/>
      <c r="V29" s="2"/>
      <c r="W29" s="2"/>
      <c r="X29" s="2"/>
      <c r="Y29" s="2"/>
      <c r="Z29" s="2"/>
    </row>
    <row r="30" spans="1:26" ht="15.75" customHeight="1" x14ac:dyDescent="0.2">
      <c r="A30" s="11" t="s">
        <v>401</v>
      </c>
      <c r="B30" s="11" t="s">
        <v>17</v>
      </c>
      <c r="C30" s="11" t="s">
        <v>39</v>
      </c>
      <c r="D30" s="11" t="s">
        <v>304</v>
      </c>
      <c r="E30" s="11" t="s">
        <v>402</v>
      </c>
      <c r="F30" s="11" t="s">
        <v>403</v>
      </c>
      <c r="I30" s="11" t="s">
        <v>404</v>
      </c>
      <c r="J30" s="11" t="s">
        <v>405</v>
      </c>
      <c r="K30" s="11" t="s">
        <v>406</v>
      </c>
      <c r="L30" s="75" t="s">
        <v>407</v>
      </c>
      <c r="M30" s="4"/>
      <c r="N30" s="2"/>
      <c r="O30" s="4"/>
      <c r="P30" s="2"/>
      <c r="Q30" s="2"/>
      <c r="R30" s="4"/>
      <c r="S30" s="2"/>
      <c r="T30" s="2"/>
      <c r="U30" s="1"/>
      <c r="V30" s="2"/>
      <c r="W30" s="2"/>
      <c r="X30" s="2"/>
      <c r="Y30" s="2"/>
      <c r="Z30" s="2"/>
    </row>
    <row r="31" spans="1:26" ht="15.75" customHeight="1" x14ac:dyDescent="0.2">
      <c r="A31" s="11" t="s">
        <v>277</v>
      </c>
      <c r="B31" s="11" t="s">
        <v>15</v>
      </c>
      <c r="C31" s="11" t="s">
        <v>40</v>
      </c>
      <c r="D31" s="11" t="s">
        <v>284</v>
      </c>
      <c r="E31" s="11" t="s">
        <v>284</v>
      </c>
      <c r="F31" s="11" t="s">
        <v>285</v>
      </c>
      <c r="I31" s="11" t="s">
        <v>408</v>
      </c>
      <c r="J31" s="11" t="s">
        <v>408</v>
      </c>
      <c r="K31" s="11" t="s">
        <v>409</v>
      </c>
      <c r="L31" s="75" t="s">
        <v>410</v>
      </c>
      <c r="M31" s="4"/>
      <c r="N31" s="2"/>
      <c r="O31" s="4"/>
      <c r="P31" s="2"/>
      <c r="Q31" s="2"/>
      <c r="R31" s="4"/>
      <c r="S31" s="2"/>
      <c r="T31" s="2"/>
      <c r="U31" s="1"/>
      <c r="V31" s="2"/>
      <c r="W31" s="2"/>
      <c r="X31" s="2"/>
      <c r="Y31" s="2"/>
      <c r="Z31" s="2"/>
    </row>
    <row r="32" spans="1:26" ht="15.75" customHeight="1" x14ac:dyDescent="0.2">
      <c r="A32" s="11" t="s">
        <v>411</v>
      </c>
      <c r="B32" s="11" t="s">
        <v>17</v>
      </c>
      <c r="C32" s="11" t="s">
        <v>40</v>
      </c>
      <c r="D32" s="11" t="s">
        <v>412</v>
      </c>
      <c r="E32" s="11" t="s">
        <v>413</v>
      </c>
      <c r="F32" s="11" t="s">
        <v>414</v>
      </c>
      <c r="I32" s="11" t="s">
        <v>415</v>
      </c>
      <c r="J32" s="11" t="s">
        <v>416</v>
      </c>
      <c r="K32" s="11" t="s">
        <v>417</v>
      </c>
      <c r="L32" s="75" t="s">
        <v>418</v>
      </c>
      <c r="M32" s="4"/>
      <c r="N32" s="2"/>
      <c r="O32" s="4"/>
      <c r="P32" s="2"/>
      <c r="Q32" s="2"/>
      <c r="R32" s="4"/>
      <c r="S32" s="2"/>
      <c r="T32" s="2"/>
      <c r="U32" s="1"/>
      <c r="V32" s="2"/>
      <c r="W32" s="2"/>
      <c r="X32" s="2"/>
      <c r="Y32" s="2"/>
      <c r="Z32" s="2"/>
    </row>
    <row r="33" spans="1:26" ht="15.75" customHeight="1" x14ac:dyDescent="0.2">
      <c r="A33" s="11" t="s">
        <v>419</v>
      </c>
      <c r="B33" s="11" t="s">
        <v>17</v>
      </c>
      <c r="C33" s="11" t="s">
        <v>82</v>
      </c>
      <c r="D33" s="11" t="s">
        <v>304</v>
      </c>
      <c r="E33" s="11" t="s">
        <v>420</v>
      </c>
      <c r="F33" s="11" t="s">
        <v>421</v>
      </c>
      <c r="I33" s="11" t="s">
        <v>422</v>
      </c>
      <c r="J33" s="11" t="s">
        <v>423</v>
      </c>
      <c r="K33" s="11" t="s">
        <v>424</v>
      </c>
      <c r="L33" s="75" t="s">
        <v>425</v>
      </c>
      <c r="M33" s="4"/>
      <c r="N33" s="2"/>
      <c r="O33" s="4"/>
      <c r="P33" s="2"/>
      <c r="Q33" s="2"/>
      <c r="R33" s="4"/>
      <c r="S33" s="2"/>
      <c r="T33" s="2"/>
      <c r="U33" s="1"/>
      <c r="V33" s="2"/>
      <c r="W33" s="2"/>
      <c r="X33" s="2"/>
      <c r="Y33" s="2"/>
      <c r="Z33" s="2"/>
    </row>
    <row r="34" spans="1:26" ht="15.75" customHeight="1" x14ac:dyDescent="0.2">
      <c r="A34" s="11" t="s">
        <v>277</v>
      </c>
      <c r="B34" s="11" t="s">
        <v>17</v>
      </c>
      <c r="C34" s="11" t="s">
        <v>61</v>
      </c>
      <c r="D34" s="11" t="s">
        <v>426</v>
      </c>
      <c r="E34" s="11" t="s">
        <v>426</v>
      </c>
      <c r="F34" s="11" t="s">
        <v>427</v>
      </c>
      <c r="I34" s="11" t="s">
        <v>386</v>
      </c>
      <c r="J34" s="11" t="s">
        <v>386</v>
      </c>
      <c r="K34" s="11" t="s">
        <v>428</v>
      </c>
      <c r="L34" s="75" t="s">
        <v>429</v>
      </c>
      <c r="M34" s="4"/>
      <c r="N34" s="2"/>
      <c r="O34" s="4"/>
      <c r="P34" s="2"/>
      <c r="Q34" s="2"/>
      <c r="R34" s="4"/>
      <c r="S34" s="2"/>
      <c r="T34" s="2"/>
      <c r="U34" s="1"/>
      <c r="V34" s="2"/>
      <c r="W34" s="2"/>
      <c r="X34" s="2"/>
      <c r="Y34" s="2"/>
      <c r="Z34" s="2"/>
    </row>
    <row r="35" spans="1:26" ht="15.75" customHeight="1" x14ac:dyDescent="0.2">
      <c r="A35" s="11" t="s">
        <v>430</v>
      </c>
      <c r="B35" s="11" t="s">
        <v>21</v>
      </c>
      <c r="C35" s="11" t="s">
        <v>46</v>
      </c>
      <c r="D35" s="11" t="s">
        <v>431</v>
      </c>
      <c r="E35" s="11" t="s">
        <v>327</v>
      </c>
      <c r="F35" s="11" t="s">
        <v>432</v>
      </c>
      <c r="I35" s="11" t="s">
        <v>433</v>
      </c>
      <c r="J35" s="11" t="s">
        <v>434</v>
      </c>
      <c r="K35" s="11" t="s">
        <v>435</v>
      </c>
      <c r="L35" s="75" t="s">
        <v>308</v>
      </c>
      <c r="M35" s="4"/>
      <c r="N35" s="2"/>
      <c r="O35" s="4"/>
      <c r="P35" s="2"/>
      <c r="Q35" s="2"/>
      <c r="R35" s="4"/>
      <c r="S35" s="2"/>
      <c r="T35" s="2"/>
      <c r="U35" s="1"/>
      <c r="V35" s="2"/>
      <c r="W35" s="2"/>
      <c r="X35" s="2"/>
      <c r="Y35" s="2"/>
      <c r="Z35" s="2"/>
    </row>
    <row r="36" spans="1:26" ht="15.75" customHeight="1" x14ac:dyDescent="0.2">
      <c r="A36" s="11" t="s">
        <v>302</v>
      </c>
      <c r="B36" s="11" t="s">
        <v>17</v>
      </c>
      <c r="C36" s="11" t="s">
        <v>43</v>
      </c>
      <c r="D36" s="11" t="s">
        <v>327</v>
      </c>
      <c r="E36" s="11" t="s">
        <v>436</v>
      </c>
      <c r="F36" s="11" t="s">
        <v>437</v>
      </c>
      <c r="I36" s="11" t="s">
        <v>390</v>
      </c>
      <c r="J36" s="11" t="s">
        <v>438</v>
      </c>
      <c r="K36" s="11" t="s">
        <v>439</v>
      </c>
      <c r="L36" s="75" t="s">
        <v>348</v>
      </c>
      <c r="M36" s="4"/>
      <c r="N36" s="2"/>
      <c r="O36" s="4"/>
      <c r="P36" s="2"/>
      <c r="Q36" s="2"/>
      <c r="R36" s="4"/>
      <c r="S36" s="2"/>
      <c r="T36" s="2"/>
      <c r="U36" s="1"/>
      <c r="V36" s="2"/>
      <c r="W36" s="2"/>
      <c r="X36" s="2"/>
      <c r="Y36" s="2"/>
      <c r="Z36" s="2"/>
    </row>
    <row r="37" spans="1:26" ht="15.75" customHeight="1" x14ac:dyDescent="0.2">
      <c r="M37" s="4"/>
      <c r="N37" s="2"/>
      <c r="O37" s="4"/>
      <c r="P37" s="2"/>
      <c r="Q37" s="2"/>
      <c r="R37" s="4"/>
      <c r="S37" s="2"/>
      <c r="T37" s="2"/>
      <c r="U37" s="1"/>
      <c r="V37" s="2"/>
      <c r="W37" s="2"/>
      <c r="X37" s="2"/>
      <c r="Y37" s="2"/>
      <c r="Z37" s="2"/>
    </row>
    <row r="38" spans="1:26" ht="15.75" customHeight="1" x14ac:dyDescent="0.2">
      <c r="E38" s="11" t="s">
        <v>440</v>
      </c>
      <c r="F38" s="11" t="s">
        <v>441</v>
      </c>
      <c r="K38" s="11" t="s">
        <v>442</v>
      </c>
      <c r="L38" s="75" t="s">
        <v>443</v>
      </c>
      <c r="M38" s="4"/>
      <c r="N38" s="2"/>
      <c r="O38" s="4"/>
      <c r="P38" s="2"/>
      <c r="Q38" s="2"/>
      <c r="R38" s="4"/>
      <c r="S38" s="2"/>
      <c r="T38" s="2"/>
      <c r="U38" s="1"/>
      <c r="V38" s="2"/>
      <c r="W38" s="2"/>
      <c r="X38" s="2"/>
      <c r="Y38" s="2"/>
      <c r="Z38" s="2"/>
    </row>
    <row r="39" spans="1:26" ht="15.75" customHeight="1" x14ac:dyDescent="0.2">
      <c r="M39" s="4"/>
      <c r="N39" s="2"/>
      <c r="O39" s="4"/>
      <c r="P39" s="2"/>
      <c r="Q39" s="2"/>
      <c r="R39" s="4"/>
      <c r="S39" s="2"/>
      <c r="T39" s="2"/>
      <c r="U39" s="1"/>
      <c r="V39" s="2"/>
      <c r="W39" s="2"/>
      <c r="X39" s="2"/>
      <c r="Y39" s="2"/>
      <c r="Z39" s="2"/>
    </row>
    <row r="40" spans="1:26" ht="15.75" customHeight="1" x14ac:dyDescent="0.2">
      <c r="M40" s="4"/>
      <c r="N40" s="2"/>
      <c r="O40" s="4"/>
      <c r="P40" s="2"/>
      <c r="Q40" s="2"/>
      <c r="R40" s="4"/>
      <c r="S40" s="2"/>
      <c r="T40" s="2"/>
      <c r="U40" s="1"/>
      <c r="V40" s="2"/>
      <c r="W40" s="2"/>
      <c r="X40" s="2"/>
      <c r="Y40" s="2"/>
      <c r="Z40" s="2"/>
    </row>
    <row r="41" spans="1:26" ht="15.75" customHeight="1" x14ac:dyDescent="0.2">
      <c r="M41" s="4"/>
      <c r="N41" s="2"/>
      <c r="O41" s="4"/>
      <c r="P41" s="2"/>
      <c r="Q41" s="2"/>
      <c r="R41" s="4"/>
      <c r="S41" s="2"/>
      <c r="T41" s="2"/>
      <c r="U41" s="1"/>
      <c r="V41" s="2"/>
      <c r="W41" s="2"/>
      <c r="X41" s="2"/>
      <c r="Y41" s="2"/>
      <c r="Z41" s="2"/>
    </row>
    <row r="42" spans="1:26" ht="15.75" customHeight="1" x14ac:dyDescent="0.2">
      <c r="M42" s="4"/>
      <c r="N42" s="2"/>
      <c r="O42" s="4"/>
      <c r="P42" s="2"/>
      <c r="Q42" s="2"/>
      <c r="R42" s="4"/>
      <c r="S42" s="2"/>
      <c r="T42" s="2"/>
      <c r="U42" s="1"/>
      <c r="V42" s="2"/>
      <c r="W42" s="2"/>
      <c r="X42" s="2"/>
      <c r="Y42" s="2"/>
      <c r="Z42" s="2"/>
    </row>
    <row r="43" spans="1:26" ht="15.75" customHeight="1" x14ac:dyDescent="0.2">
      <c r="A43" s="11" t="s">
        <v>47</v>
      </c>
      <c r="C43" s="24" t="s">
        <v>143</v>
      </c>
      <c r="D43" s="11" t="s">
        <v>268</v>
      </c>
      <c r="G43" s="11" t="s">
        <v>2</v>
      </c>
      <c r="M43" s="4"/>
      <c r="N43" s="2"/>
      <c r="O43" s="4"/>
      <c r="P43" s="2"/>
      <c r="Q43" s="2"/>
      <c r="R43" s="4"/>
      <c r="S43" s="2"/>
      <c r="T43" s="2"/>
      <c r="U43" s="1"/>
      <c r="V43" s="2"/>
      <c r="W43" s="2"/>
      <c r="X43" s="2"/>
      <c r="Y43" s="2"/>
      <c r="Z43" s="2"/>
    </row>
    <row r="44" spans="1:26" ht="15.75" customHeight="1" x14ac:dyDescent="0.2">
      <c r="M44" s="4"/>
      <c r="N44" s="2"/>
      <c r="O44" s="4"/>
      <c r="P44" s="2"/>
      <c r="Q44" s="2"/>
      <c r="R44" s="4"/>
      <c r="S44" s="2"/>
      <c r="T44" s="2"/>
      <c r="U44" s="1"/>
      <c r="V44" s="2"/>
      <c r="W44" s="2"/>
      <c r="X44" s="2"/>
      <c r="Y44" s="2"/>
      <c r="Z44" s="2"/>
    </row>
    <row r="45" spans="1:26" ht="15.75" customHeight="1" x14ac:dyDescent="0.2">
      <c r="A45" s="11" t="s">
        <v>3</v>
      </c>
      <c r="B45" s="11" t="s">
        <v>4</v>
      </c>
      <c r="C45" s="11" t="s">
        <v>5</v>
      </c>
      <c r="D45" s="11" t="s">
        <v>6</v>
      </c>
      <c r="E45" s="11" t="s">
        <v>7</v>
      </c>
      <c r="F45" s="11" t="s">
        <v>8</v>
      </c>
      <c r="I45" s="11" t="s">
        <v>9</v>
      </c>
      <c r="J45" s="11" t="s">
        <v>7</v>
      </c>
      <c r="K45" s="11" t="s">
        <v>10</v>
      </c>
      <c r="M45" s="4"/>
      <c r="N45" s="2"/>
      <c r="O45" s="4"/>
      <c r="P45" s="2"/>
      <c r="Q45" s="2"/>
      <c r="R45" s="4"/>
      <c r="S45" s="2"/>
      <c r="T45" s="2"/>
      <c r="U45" s="1"/>
      <c r="V45" s="2"/>
      <c r="W45" s="2"/>
      <c r="X45" s="2"/>
      <c r="Y45" s="2"/>
      <c r="Z45" s="2"/>
    </row>
    <row r="46" spans="1:26" ht="15.75" customHeight="1" x14ac:dyDescent="0.2">
      <c r="A46" s="11" t="s">
        <v>290</v>
      </c>
      <c r="B46" s="11" t="s">
        <v>15</v>
      </c>
      <c r="C46" s="11" t="s">
        <v>27</v>
      </c>
      <c r="D46" s="11" t="s">
        <v>346</v>
      </c>
      <c r="E46" s="11" t="s">
        <v>345</v>
      </c>
      <c r="F46" s="11" t="s">
        <v>360</v>
      </c>
      <c r="I46" s="11" t="s">
        <v>361</v>
      </c>
      <c r="J46" s="11" t="s">
        <v>362</v>
      </c>
      <c r="K46" s="11" t="s">
        <v>363</v>
      </c>
      <c r="L46" s="75" t="s">
        <v>364</v>
      </c>
      <c r="M46" s="4"/>
      <c r="N46" s="2"/>
      <c r="O46" s="4"/>
      <c r="P46" s="2"/>
      <c r="Q46" s="2"/>
      <c r="R46" s="4"/>
      <c r="S46" s="2"/>
      <c r="T46" s="2"/>
      <c r="U46" s="1"/>
      <c r="V46" s="2"/>
      <c r="W46" s="2"/>
      <c r="X46" s="2"/>
      <c r="Y46" s="2"/>
      <c r="Z46" s="2"/>
    </row>
    <row r="47" spans="1:26" ht="15.75" customHeight="1" x14ac:dyDescent="0.2">
      <c r="A47" s="11" t="s">
        <v>277</v>
      </c>
      <c r="B47" s="11" t="s">
        <v>15</v>
      </c>
      <c r="C47" s="11" t="s">
        <v>40</v>
      </c>
      <c r="D47" s="11" t="s">
        <v>284</v>
      </c>
      <c r="E47" s="11" t="s">
        <v>284</v>
      </c>
      <c r="F47" s="11" t="s">
        <v>285</v>
      </c>
      <c r="I47" s="11" t="s">
        <v>408</v>
      </c>
      <c r="J47" s="11" t="s">
        <v>408</v>
      </c>
      <c r="K47" s="11" t="s">
        <v>409</v>
      </c>
      <c r="L47" s="75" t="s">
        <v>410</v>
      </c>
      <c r="M47" s="4"/>
      <c r="N47" s="2"/>
      <c r="O47" s="4"/>
      <c r="P47" s="2"/>
      <c r="Q47" s="2"/>
      <c r="R47" s="4"/>
      <c r="S47" s="2"/>
      <c r="T47" s="2"/>
      <c r="U47" s="1"/>
      <c r="V47" s="2"/>
      <c r="W47" s="2"/>
      <c r="X47" s="2"/>
      <c r="Y47" s="2"/>
      <c r="Z47" s="2"/>
    </row>
    <row r="48" spans="1:26" ht="15.75" customHeight="1" x14ac:dyDescent="0.2">
      <c r="A48" s="11" t="s">
        <v>401</v>
      </c>
      <c r="B48" s="11" t="s">
        <v>17</v>
      </c>
      <c r="C48" s="11" t="s">
        <v>39</v>
      </c>
      <c r="D48" s="11" t="s">
        <v>304</v>
      </c>
      <c r="E48" s="11" t="s">
        <v>402</v>
      </c>
      <c r="F48" s="11" t="s">
        <v>403</v>
      </c>
      <c r="I48" s="11" t="s">
        <v>404</v>
      </c>
      <c r="J48" s="11" t="s">
        <v>405</v>
      </c>
      <c r="K48" s="11" t="s">
        <v>406</v>
      </c>
      <c r="L48" s="75" t="s">
        <v>407</v>
      </c>
      <c r="M48" s="4"/>
      <c r="N48" s="2"/>
      <c r="O48" s="4"/>
      <c r="P48" s="2"/>
      <c r="Q48" s="2"/>
      <c r="R48" s="4"/>
      <c r="S48" s="2"/>
      <c r="T48" s="2"/>
      <c r="U48" s="1"/>
      <c r="V48" s="2"/>
      <c r="W48" s="2"/>
      <c r="X48" s="2"/>
      <c r="Y48" s="2"/>
      <c r="Z48" s="2"/>
    </row>
    <row r="49" spans="1:26" ht="15.75" customHeight="1" x14ac:dyDescent="0.2">
      <c r="A49" s="11" t="s">
        <v>282</v>
      </c>
      <c r="B49" s="11" t="s">
        <v>17</v>
      </c>
      <c r="C49" s="11" t="s">
        <v>82</v>
      </c>
      <c r="D49" s="11" t="s">
        <v>304</v>
      </c>
      <c r="E49" s="11" t="s">
        <v>314</v>
      </c>
      <c r="F49" s="11" t="s">
        <v>444</v>
      </c>
      <c r="I49" s="11" t="s">
        <v>422</v>
      </c>
      <c r="J49" s="11" t="s">
        <v>445</v>
      </c>
      <c r="K49" s="11" t="s">
        <v>446</v>
      </c>
      <c r="L49" s="75" t="s">
        <v>425</v>
      </c>
      <c r="M49" s="4"/>
      <c r="N49" s="2"/>
      <c r="O49" s="4"/>
      <c r="P49" s="2"/>
      <c r="Q49" s="2"/>
      <c r="R49" s="4"/>
      <c r="S49" s="2"/>
      <c r="T49" s="2"/>
      <c r="U49" s="1"/>
      <c r="V49" s="2"/>
      <c r="W49" s="2"/>
      <c r="X49" s="2"/>
      <c r="Y49" s="2"/>
      <c r="Z49" s="2"/>
    </row>
    <row r="50" spans="1:26" ht="15.75" customHeight="1" x14ac:dyDescent="0.2">
      <c r="A50" s="11" t="s">
        <v>447</v>
      </c>
      <c r="B50" s="11" t="s">
        <v>21</v>
      </c>
      <c r="C50" s="11" t="s">
        <v>22</v>
      </c>
      <c r="D50" s="11" t="s">
        <v>323</v>
      </c>
      <c r="E50" s="11" t="s">
        <v>448</v>
      </c>
      <c r="F50" s="11" t="s">
        <v>449</v>
      </c>
      <c r="I50" s="11" t="s">
        <v>326</v>
      </c>
      <c r="J50" s="11" t="s">
        <v>450</v>
      </c>
      <c r="K50" s="11" t="s">
        <v>451</v>
      </c>
      <c r="L50" s="75" t="s">
        <v>329</v>
      </c>
      <c r="M50" s="4"/>
      <c r="N50" s="2"/>
      <c r="O50" s="4"/>
      <c r="P50" s="2"/>
      <c r="Q50" s="2"/>
      <c r="R50" s="4"/>
      <c r="S50" s="2"/>
      <c r="T50" s="2"/>
      <c r="U50" s="1"/>
      <c r="V50" s="2"/>
      <c r="W50" s="2"/>
      <c r="X50" s="2"/>
      <c r="Y50" s="2"/>
      <c r="Z50" s="2"/>
    </row>
    <row r="51" spans="1:26" ht="15.75" customHeight="1" x14ac:dyDescent="0.2">
      <c r="A51" s="11" t="s">
        <v>277</v>
      </c>
      <c r="B51" s="11" t="s">
        <v>17</v>
      </c>
      <c r="C51" s="11" t="s">
        <v>31</v>
      </c>
      <c r="D51" s="11" t="s">
        <v>291</v>
      </c>
      <c r="E51" s="11" t="s">
        <v>291</v>
      </c>
      <c r="F51" s="11" t="s">
        <v>374</v>
      </c>
      <c r="I51" s="11" t="s">
        <v>375</v>
      </c>
      <c r="J51" s="11" t="s">
        <v>375</v>
      </c>
      <c r="K51" s="11" t="s">
        <v>376</v>
      </c>
      <c r="L51" s="75" t="s">
        <v>377</v>
      </c>
      <c r="M51" s="4"/>
      <c r="N51" s="2"/>
      <c r="O51" s="4"/>
      <c r="P51" s="2"/>
      <c r="Q51" s="2"/>
      <c r="R51" s="4"/>
      <c r="S51" s="2"/>
      <c r="T51" s="2"/>
      <c r="U51" s="1"/>
      <c r="V51" s="2"/>
      <c r="W51" s="2"/>
      <c r="X51" s="2"/>
      <c r="Y51" s="2"/>
      <c r="Z51" s="2"/>
    </row>
    <row r="52" spans="1:26" ht="15.75" customHeight="1" x14ac:dyDescent="0.2">
      <c r="A52" s="11" t="s">
        <v>341</v>
      </c>
      <c r="B52" s="11" t="s">
        <v>17</v>
      </c>
      <c r="C52" s="11" t="s">
        <v>32</v>
      </c>
      <c r="D52" s="11" t="s">
        <v>304</v>
      </c>
      <c r="E52" s="11" t="s">
        <v>326</v>
      </c>
      <c r="F52" s="11" t="s">
        <v>378</v>
      </c>
      <c r="I52" s="11" t="s">
        <v>379</v>
      </c>
      <c r="J52" s="11" t="s">
        <v>380</v>
      </c>
      <c r="K52" s="11" t="s">
        <v>381</v>
      </c>
      <c r="L52" s="75" t="s">
        <v>382</v>
      </c>
      <c r="M52" s="4"/>
      <c r="N52" s="2"/>
      <c r="O52" s="4"/>
      <c r="P52" s="2"/>
      <c r="Q52" s="2"/>
      <c r="R52" s="4"/>
      <c r="S52" s="2"/>
      <c r="T52" s="2"/>
      <c r="U52" s="1"/>
      <c r="V52" s="2"/>
      <c r="W52" s="2"/>
      <c r="X52" s="2"/>
      <c r="Y52" s="2"/>
      <c r="Z52" s="2"/>
    </row>
    <row r="53" spans="1:26" ht="15.75" customHeight="1" x14ac:dyDescent="0.2">
      <c r="A53" s="11" t="s">
        <v>277</v>
      </c>
      <c r="B53" s="11" t="s">
        <v>17</v>
      </c>
      <c r="C53" s="11" t="s">
        <v>19</v>
      </c>
      <c r="D53" s="11" t="s">
        <v>317</v>
      </c>
      <c r="E53" s="11" t="s">
        <v>317</v>
      </c>
      <c r="F53" s="11" t="s">
        <v>318</v>
      </c>
      <c r="I53" s="11" t="s">
        <v>319</v>
      </c>
      <c r="J53" s="11" t="s">
        <v>319</v>
      </c>
      <c r="K53" s="11" t="s">
        <v>320</v>
      </c>
      <c r="L53" s="75" t="s">
        <v>321</v>
      </c>
      <c r="M53" s="4"/>
      <c r="N53" s="2"/>
      <c r="O53" s="4"/>
      <c r="P53" s="2"/>
      <c r="Q53" s="2"/>
      <c r="R53" s="4"/>
      <c r="S53" s="2"/>
      <c r="T53" s="2"/>
      <c r="U53" s="1"/>
      <c r="V53" s="2"/>
      <c r="W53" s="2"/>
      <c r="X53" s="2"/>
      <c r="Y53" s="2"/>
      <c r="Z53" s="2"/>
    </row>
    <row r="54" spans="1:26" ht="15.75" customHeight="1" x14ac:dyDescent="0.2">
      <c r="A54" s="11" t="s">
        <v>277</v>
      </c>
      <c r="B54" s="11" t="s">
        <v>17</v>
      </c>
      <c r="C54" s="11" t="s">
        <v>99</v>
      </c>
      <c r="D54" s="11" t="s">
        <v>392</v>
      </c>
      <c r="E54" s="11" t="s">
        <v>392</v>
      </c>
      <c r="F54" s="11" t="s">
        <v>452</v>
      </c>
      <c r="I54" s="11" t="s">
        <v>453</v>
      </c>
      <c r="J54" s="11" t="s">
        <v>453</v>
      </c>
      <c r="K54" s="11" t="s">
        <v>454</v>
      </c>
      <c r="L54" s="75" t="s">
        <v>455</v>
      </c>
      <c r="M54" s="4"/>
      <c r="N54" s="2"/>
      <c r="O54" s="4"/>
      <c r="P54" s="2"/>
      <c r="Q54" s="2"/>
      <c r="R54" s="4"/>
      <c r="S54" s="2"/>
      <c r="T54" s="2"/>
      <c r="U54" s="1"/>
      <c r="V54" s="2"/>
      <c r="W54" s="2"/>
      <c r="X54" s="2"/>
      <c r="Y54" s="2"/>
      <c r="Z54" s="2"/>
    </row>
    <row r="55" spans="1:26" ht="15.75" customHeight="1" x14ac:dyDescent="0.2">
      <c r="A55" s="11" t="s">
        <v>277</v>
      </c>
      <c r="B55" s="11" t="s">
        <v>17</v>
      </c>
      <c r="C55" s="11" t="s">
        <v>61</v>
      </c>
      <c r="D55" s="11" t="s">
        <v>426</v>
      </c>
      <c r="E55" s="11" t="s">
        <v>426</v>
      </c>
      <c r="F55" s="11" t="s">
        <v>427</v>
      </c>
      <c r="I55" s="11" t="s">
        <v>386</v>
      </c>
      <c r="J55" s="11" t="s">
        <v>386</v>
      </c>
      <c r="K55" s="11" t="s">
        <v>428</v>
      </c>
      <c r="L55" s="75" t="s">
        <v>429</v>
      </c>
      <c r="M55" s="4"/>
      <c r="N55" s="2"/>
      <c r="O55" s="4"/>
      <c r="P55" s="2"/>
      <c r="Q55" s="2"/>
      <c r="R55" s="4"/>
      <c r="S55" s="2"/>
      <c r="T55" s="2"/>
      <c r="U55" s="1"/>
      <c r="V55" s="2"/>
      <c r="W55" s="2"/>
      <c r="X55" s="2"/>
      <c r="Y55" s="2"/>
      <c r="Z55" s="2"/>
    </row>
    <row r="56" spans="1:26" ht="15.75" customHeight="1" x14ac:dyDescent="0.2">
      <c r="A56" s="11" t="s">
        <v>430</v>
      </c>
      <c r="B56" s="11" t="s">
        <v>21</v>
      </c>
      <c r="C56" s="11" t="s">
        <v>46</v>
      </c>
      <c r="D56" s="11" t="s">
        <v>431</v>
      </c>
      <c r="E56" s="11" t="s">
        <v>327</v>
      </c>
      <c r="F56" s="11" t="s">
        <v>432</v>
      </c>
      <c r="I56" s="11" t="s">
        <v>433</v>
      </c>
      <c r="J56" s="11" t="s">
        <v>434</v>
      </c>
      <c r="K56" s="11" t="s">
        <v>435</v>
      </c>
      <c r="L56" s="75" t="s">
        <v>308</v>
      </c>
      <c r="M56" s="4"/>
      <c r="N56" s="2"/>
      <c r="O56" s="4"/>
      <c r="P56" s="2"/>
      <c r="Q56" s="2"/>
      <c r="R56" s="4"/>
      <c r="S56" s="2"/>
      <c r="T56" s="2"/>
      <c r="U56" s="1"/>
      <c r="V56" s="2"/>
      <c r="W56" s="2"/>
      <c r="X56" s="2"/>
      <c r="Y56" s="2"/>
      <c r="Z56" s="2"/>
    </row>
    <row r="57" spans="1:26" ht="15.75" customHeight="1" x14ac:dyDescent="0.2">
      <c r="A57" s="11" t="s">
        <v>456</v>
      </c>
      <c r="B57" s="11" t="s">
        <v>17</v>
      </c>
      <c r="C57" s="11" t="s">
        <v>55</v>
      </c>
      <c r="D57" s="11" t="s">
        <v>310</v>
      </c>
      <c r="E57" s="11" t="s">
        <v>420</v>
      </c>
      <c r="F57" s="11" t="s">
        <v>421</v>
      </c>
      <c r="I57" s="11" t="s">
        <v>313</v>
      </c>
      <c r="J57" s="11" t="s">
        <v>292</v>
      </c>
      <c r="K57" s="11" t="s">
        <v>457</v>
      </c>
      <c r="L57" s="75" t="s">
        <v>316</v>
      </c>
      <c r="M57" s="4"/>
      <c r="N57" s="2"/>
      <c r="O57" s="4"/>
      <c r="P57" s="2"/>
      <c r="Q57" s="2"/>
      <c r="R57" s="4"/>
      <c r="S57" s="2"/>
      <c r="T57" s="2"/>
      <c r="U57" s="1"/>
      <c r="V57" s="2"/>
      <c r="W57" s="2"/>
      <c r="X57" s="2"/>
      <c r="Y57" s="2"/>
      <c r="Z57" s="2"/>
    </row>
    <row r="58" spans="1:26" ht="15.75" customHeight="1" x14ac:dyDescent="0.2">
      <c r="A58" s="11" t="s">
        <v>277</v>
      </c>
      <c r="B58" s="11" t="s">
        <v>23</v>
      </c>
      <c r="C58" s="11" t="s">
        <v>26</v>
      </c>
      <c r="D58" s="11" t="s">
        <v>353</v>
      </c>
      <c r="E58" s="11" t="s">
        <v>353</v>
      </c>
      <c r="F58" s="11" t="s">
        <v>458</v>
      </c>
      <c r="I58" s="11" t="s">
        <v>356</v>
      </c>
      <c r="J58" s="11" t="s">
        <v>356</v>
      </c>
      <c r="K58" s="11" t="s">
        <v>459</v>
      </c>
      <c r="L58" s="75" t="s">
        <v>359</v>
      </c>
      <c r="M58" s="4"/>
      <c r="N58" s="2"/>
      <c r="O58" s="4"/>
      <c r="P58" s="2"/>
      <c r="Q58" s="2"/>
      <c r="R58" s="4"/>
      <c r="S58" s="2"/>
      <c r="T58" s="2"/>
      <c r="U58" s="1"/>
      <c r="V58" s="2"/>
      <c r="W58" s="2"/>
      <c r="X58" s="2"/>
      <c r="Y58" s="2"/>
      <c r="Z58" s="2"/>
    </row>
    <row r="59" spans="1:26" ht="15.75" customHeight="1" x14ac:dyDescent="0.2">
      <c r="A59" s="11" t="s">
        <v>282</v>
      </c>
      <c r="B59" s="11" t="s">
        <v>17</v>
      </c>
      <c r="C59" s="11" t="s">
        <v>24</v>
      </c>
      <c r="D59" s="11" t="s">
        <v>460</v>
      </c>
      <c r="E59" s="11" t="s">
        <v>461</v>
      </c>
      <c r="F59" s="11" t="s">
        <v>462</v>
      </c>
      <c r="I59" s="11" t="s">
        <v>463</v>
      </c>
      <c r="J59" s="11" t="s">
        <v>464</v>
      </c>
      <c r="K59" s="11" t="s">
        <v>465</v>
      </c>
      <c r="L59" s="75" t="s">
        <v>466</v>
      </c>
      <c r="M59" s="4"/>
      <c r="N59" s="2"/>
      <c r="O59" s="4"/>
      <c r="P59" s="2"/>
      <c r="Q59" s="2"/>
      <c r="R59" s="4"/>
      <c r="S59" s="2"/>
      <c r="T59" s="2"/>
      <c r="U59" s="1"/>
      <c r="V59" s="2"/>
      <c r="W59" s="2"/>
      <c r="X59" s="2"/>
      <c r="Y59" s="2"/>
      <c r="Z59" s="2"/>
    </row>
    <row r="60" spans="1:26" ht="15.75" customHeight="1" x14ac:dyDescent="0.2">
      <c r="A60" s="11" t="s">
        <v>411</v>
      </c>
      <c r="B60" s="11" t="s">
        <v>17</v>
      </c>
      <c r="C60" s="11" t="s">
        <v>25</v>
      </c>
      <c r="D60" s="11" t="s">
        <v>270</v>
      </c>
      <c r="E60" s="11" t="s">
        <v>467</v>
      </c>
      <c r="F60" s="11" t="s">
        <v>468</v>
      </c>
      <c r="I60" s="11" t="s">
        <v>469</v>
      </c>
      <c r="J60" s="11" t="s">
        <v>470</v>
      </c>
      <c r="K60" s="11" t="s">
        <v>471</v>
      </c>
      <c r="L60" s="75" t="s">
        <v>472</v>
      </c>
      <c r="M60" s="4"/>
      <c r="N60" s="2"/>
      <c r="O60" s="4"/>
      <c r="P60" s="2"/>
      <c r="Q60" s="2"/>
      <c r="R60" s="4"/>
      <c r="S60" s="2"/>
      <c r="T60" s="2"/>
      <c r="U60" s="1"/>
      <c r="V60" s="2"/>
      <c r="W60" s="2"/>
      <c r="X60" s="2"/>
      <c r="Y60" s="2"/>
      <c r="Z60" s="2"/>
    </row>
    <row r="61" spans="1:26" ht="15.75" customHeight="1" x14ac:dyDescent="0.2">
      <c r="A61" s="11" t="s">
        <v>411</v>
      </c>
      <c r="B61" s="11" t="s">
        <v>17</v>
      </c>
      <c r="C61" s="11" t="s">
        <v>49</v>
      </c>
      <c r="D61" s="11" t="s">
        <v>283</v>
      </c>
      <c r="E61" s="11" t="s">
        <v>436</v>
      </c>
      <c r="F61" s="11" t="s">
        <v>437</v>
      </c>
      <c r="I61" s="11" t="s">
        <v>473</v>
      </c>
      <c r="J61" s="11" t="s">
        <v>474</v>
      </c>
      <c r="K61" s="11" t="s">
        <v>475</v>
      </c>
      <c r="L61" s="75" t="s">
        <v>476</v>
      </c>
      <c r="M61" s="4"/>
      <c r="N61" s="2"/>
      <c r="O61" s="4"/>
      <c r="P61" s="2"/>
      <c r="Q61" s="2"/>
      <c r="R61" s="4"/>
      <c r="S61" s="2"/>
      <c r="T61" s="2"/>
      <c r="U61" s="1"/>
      <c r="V61" s="2"/>
      <c r="W61" s="2"/>
      <c r="X61" s="2"/>
      <c r="Y61" s="2"/>
      <c r="Z61" s="2"/>
    </row>
    <row r="62" spans="1:26" ht="15.75" customHeight="1" x14ac:dyDescent="0.2">
      <c r="A62" s="11" t="s">
        <v>290</v>
      </c>
      <c r="B62" s="11" t="s">
        <v>17</v>
      </c>
      <c r="C62" s="11" t="s">
        <v>62</v>
      </c>
      <c r="D62" s="11" t="s">
        <v>283</v>
      </c>
      <c r="E62" s="11" t="s">
        <v>327</v>
      </c>
      <c r="F62" s="11" t="s">
        <v>432</v>
      </c>
      <c r="I62" s="11" t="s">
        <v>286</v>
      </c>
      <c r="J62" s="11" t="s">
        <v>477</v>
      </c>
      <c r="K62" s="11" t="s">
        <v>478</v>
      </c>
      <c r="L62" s="75" t="s">
        <v>289</v>
      </c>
      <c r="M62" s="4"/>
      <c r="N62" s="2"/>
      <c r="O62" s="4"/>
      <c r="P62" s="2"/>
      <c r="Q62" s="2"/>
      <c r="R62" s="4"/>
      <c r="S62" s="2"/>
      <c r="T62" s="2"/>
      <c r="U62" s="1"/>
      <c r="V62" s="2"/>
      <c r="W62" s="2"/>
      <c r="X62" s="2"/>
      <c r="Y62" s="2"/>
      <c r="Z62" s="2"/>
    </row>
    <row r="63" spans="1:26" ht="15.75" customHeight="1" x14ac:dyDescent="0.2">
      <c r="A63" s="11" t="s">
        <v>277</v>
      </c>
      <c r="B63" s="11" t="s">
        <v>17</v>
      </c>
      <c r="C63" s="11" t="s">
        <v>89</v>
      </c>
      <c r="D63" s="11" t="s">
        <v>330</v>
      </c>
      <c r="E63" s="11" t="s">
        <v>330</v>
      </c>
      <c r="F63" s="11" t="s">
        <v>331</v>
      </c>
      <c r="I63" s="11" t="s">
        <v>332</v>
      </c>
      <c r="J63" s="11" t="s">
        <v>332</v>
      </c>
      <c r="K63" s="11" t="s">
        <v>333</v>
      </c>
      <c r="L63" s="75" t="s">
        <v>334</v>
      </c>
      <c r="M63" s="4"/>
      <c r="N63" s="2"/>
      <c r="O63" s="4"/>
      <c r="P63" s="2"/>
      <c r="Q63" s="2"/>
      <c r="R63" s="4"/>
      <c r="S63" s="2"/>
      <c r="T63" s="2"/>
      <c r="U63" s="1"/>
      <c r="V63" s="2"/>
      <c r="W63" s="2"/>
      <c r="X63" s="2"/>
      <c r="Y63" s="2"/>
      <c r="Z63" s="2"/>
    </row>
    <row r="64" spans="1:26" ht="15.75" customHeight="1" x14ac:dyDescent="0.2">
      <c r="M64" s="4"/>
      <c r="N64" s="2"/>
      <c r="O64" s="4"/>
      <c r="P64" s="2"/>
      <c r="Q64" s="2"/>
      <c r="R64" s="4"/>
      <c r="S64" s="2"/>
      <c r="T64" s="2"/>
      <c r="U64" s="1"/>
      <c r="V64" s="2"/>
      <c r="W64" s="2"/>
      <c r="X64" s="2"/>
      <c r="Y64" s="2"/>
      <c r="Z64" s="2"/>
    </row>
    <row r="65" spans="1:26" ht="15.75" customHeight="1" x14ac:dyDescent="0.2">
      <c r="E65" s="11" t="s">
        <v>479</v>
      </c>
      <c r="F65" s="11" t="s">
        <v>480</v>
      </c>
      <c r="K65" s="11" t="s">
        <v>481</v>
      </c>
      <c r="L65" s="75" t="s">
        <v>482</v>
      </c>
      <c r="M65" s="4"/>
      <c r="N65" s="2"/>
      <c r="O65" s="4"/>
      <c r="P65" s="2"/>
      <c r="Q65" s="2"/>
      <c r="R65" s="4"/>
      <c r="S65" s="2"/>
      <c r="T65" s="2"/>
      <c r="U65" s="1"/>
      <c r="V65" s="2"/>
      <c r="W65" s="2"/>
      <c r="X65" s="2"/>
      <c r="Y65" s="2"/>
      <c r="Z65" s="2"/>
    </row>
    <row r="66" spans="1:26" ht="15.75" customHeight="1" x14ac:dyDescent="0.2">
      <c r="M66" s="4"/>
      <c r="N66" s="2"/>
      <c r="O66" s="4"/>
      <c r="P66" s="2"/>
      <c r="Q66" s="2"/>
      <c r="R66" s="4"/>
      <c r="S66" s="2"/>
      <c r="T66" s="2"/>
      <c r="U66" s="1"/>
      <c r="V66" s="2"/>
      <c r="W66" s="2"/>
      <c r="X66" s="2"/>
      <c r="Y66" s="2"/>
      <c r="Z66" s="2"/>
    </row>
    <row r="67" spans="1:26" ht="15.75" customHeight="1" x14ac:dyDescent="0.2">
      <c r="M67" s="4"/>
      <c r="N67" s="2"/>
      <c r="O67" s="4"/>
      <c r="P67" s="2"/>
      <c r="Q67" s="2"/>
      <c r="R67" s="4"/>
      <c r="S67" s="2"/>
      <c r="T67" s="2"/>
      <c r="U67" s="1"/>
      <c r="V67" s="2"/>
      <c r="W67" s="2"/>
      <c r="X67" s="2"/>
      <c r="Y67" s="2"/>
      <c r="Z67" s="2"/>
    </row>
    <row r="68" spans="1:26" ht="15.75" customHeight="1" x14ac:dyDescent="0.2">
      <c r="A68" s="11" t="s">
        <v>50</v>
      </c>
      <c r="C68" s="24" t="s">
        <v>143</v>
      </c>
      <c r="D68" s="11" t="s">
        <v>268</v>
      </c>
      <c r="G68" s="11" t="s">
        <v>2</v>
      </c>
      <c r="M68" s="4"/>
      <c r="N68" s="2"/>
      <c r="O68" s="4"/>
      <c r="P68" s="2"/>
      <c r="Q68" s="2"/>
      <c r="R68" s="4"/>
      <c r="S68" s="2"/>
      <c r="T68" s="2"/>
      <c r="U68" s="1"/>
      <c r="V68" s="2"/>
      <c r="W68" s="2"/>
      <c r="X68" s="2"/>
      <c r="Y68" s="2"/>
      <c r="Z68" s="2"/>
    </row>
    <row r="69" spans="1:26" ht="15.75" customHeight="1" x14ac:dyDescent="0.2">
      <c r="M69" s="4"/>
      <c r="N69" s="2"/>
      <c r="O69" s="4"/>
      <c r="P69" s="2"/>
      <c r="Q69" s="2"/>
      <c r="R69" s="4"/>
      <c r="S69" s="2"/>
      <c r="T69" s="2"/>
      <c r="U69" s="1"/>
      <c r="V69" s="2"/>
      <c r="W69" s="2"/>
      <c r="X69" s="2"/>
      <c r="Y69" s="2"/>
      <c r="Z69" s="2"/>
    </row>
    <row r="70" spans="1:26" ht="15.75" customHeight="1" x14ac:dyDescent="0.2">
      <c r="A70" s="11" t="s">
        <v>3</v>
      </c>
      <c r="B70" s="11" t="s">
        <v>4</v>
      </c>
      <c r="C70" s="11" t="s">
        <v>5</v>
      </c>
      <c r="D70" s="11" t="s">
        <v>6</v>
      </c>
      <c r="E70" s="11" t="s">
        <v>7</v>
      </c>
      <c r="F70" s="11" t="s">
        <v>8</v>
      </c>
      <c r="I70" s="11" t="s">
        <v>9</v>
      </c>
      <c r="J70" s="11" t="s">
        <v>7</v>
      </c>
      <c r="K70" s="11" t="s">
        <v>10</v>
      </c>
      <c r="M70" s="4"/>
      <c r="N70" s="2"/>
      <c r="O70" s="4"/>
      <c r="P70" s="2"/>
      <c r="Q70" s="2"/>
      <c r="R70" s="4"/>
      <c r="S70" s="2"/>
      <c r="T70" s="2"/>
      <c r="U70" s="1"/>
      <c r="V70" s="2"/>
      <c r="W70" s="2"/>
      <c r="X70" s="2"/>
      <c r="Y70" s="2"/>
      <c r="Z70" s="2"/>
    </row>
    <row r="71" spans="1:26" ht="15.75" customHeight="1" x14ac:dyDescent="0.2">
      <c r="A71" s="11" t="s">
        <v>290</v>
      </c>
      <c r="B71" s="11" t="s">
        <v>4</v>
      </c>
      <c r="C71" s="11" t="s">
        <v>13</v>
      </c>
      <c r="D71" s="11" t="s">
        <v>271</v>
      </c>
      <c r="E71" s="11" t="s">
        <v>395</v>
      </c>
      <c r="F71" s="11" t="s">
        <v>399</v>
      </c>
      <c r="I71" s="11" t="s">
        <v>483</v>
      </c>
      <c r="J71" s="11" t="s">
        <v>484</v>
      </c>
      <c r="K71" s="11" t="s">
        <v>485</v>
      </c>
      <c r="L71" s="75" t="s">
        <v>486</v>
      </c>
      <c r="M71" s="4"/>
      <c r="N71" s="2"/>
      <c r="O71" s="4"/>
      <c r="P71" s="2"/>
      <c r="Q71" s="2"/>
      <c r="R71" s="4"/>
      <c r="S71" s="2"/>
      <c r="T71" s="2"/>
      <c r="U71" s="1"/>
      <c r="V71" s="2"/>
      <c r="W71" s="2"/>
      <c r="X71" s="2"/>
      <c r="Y71" s="2"/>
      <c r="Z71" s="2"/>
    </row>
    <row r="72" spans="1:26" ht="15.75" customHeight="1" x14ac:dyDescent="0.2">
      <c r="A72" s="11" t="s">
        <v>277</v>
      </c>
      <c r="B72" s="11" t="s">
        <v>21</v>
      </c>
      <c r="C72" s="11" t="s">
        <v>51</v>
      </c>
      <c r="D72" s="11" t="s">
        <v>273</v>
      </c>
      <c r="E72" s="11" t="s">
        <v>273</v>
      </c>
      <c r="F72" s="11" t="s">
        <v>278</v>
      </c>
      <c r="I72" s="11" t="s">
        <v>279</v>
      </c>
      <c r="J72" s="11" t="s">
        <v>279</v>
      </c>
      <c r="K72" s="11" t="s">
        <v>280</v>
      </c>
      <c r="L72" s="75" t="s">
        <v>281</v>
      </c>
      <c r="M72" s="4"/>
      <c r="N72" s="2"/>
      <c r="O72" s="4"/>
      <c r="P72" s="2"/>
      <c r="Q72" s="2"/>
      <c r="R72" s="4"/>
      <c r="S72" s="2"/>
      <c r="T72" s="2"/>
      <c r="U72" s="1"/>
      <c r="V72" s="2"/>
      <c r="W72" s="2"/>
      <c r="X72" s="2"/>
      <c r="Y72" s="2"/>
      <c r="Z72" s="2"/>
    </row>
    <row r="73" spans="1:26" ht="15.75" customHeight="1" x14ac:dyDescent="0.2">
      <c r="A73" s="11" t="s">
        <v>322</v>
      </c>
      <c r="B73" s="11" t="s">
        <v>17</v>
      </c>
      <c r="C73" s="11" t="s">
        <v>62</v>
      </c>
      <c r="D73" s="11" t="s">
        <v>283</v>
      </c>
      <c r="E73" s="11" t="s">
        <v>487</v>
      </c>
      <c r="F73" s="11" t="s">
        <v>488</v>
      </c>
      <c r="I73" s="11" t="s">
        <v>286</v>
      </c>
      <c r="J73" s="11" t="s">
        <v>489</v>
      </c>
      <c r="K73" s="11" t="s">
        <v>490</v>
      </c>
      <c r="L73" s="75" t="s">
        <v>289</v>
      </c>
      <c r="M73" s="4"/>
      <c r="N73" s="2"/>
      <c r="O73" s="4"/>
      <c r="P73" s="2"/>
      <c r="Q73" s="2"/>
      <c r="R73" s="4"/>
      <c r="S73" s="2"/>
      <c r="T73" s="2"/>
      <c r="U73" s="1"/>
      <c r="V73" s="2"/>
      <c r="W73" s="2"/>
      <c r="X73" s="2"/>
      <c r="Y73" s="2"/>
      <c r="Z73" s="2"/>
    </row>
    <row r="74" spans="1:26" ht="15.75" customHeight="1" x14ac:dyDescent="0.2">
      <c r="A74" s="11" t="s">
        <v>290</v>
      </c>
      <c r="B74" s="11" t="s">
        <v>17</v>
      </c>
      <c r="C74" s="11" t="s">
        <v>129</v>
      </c>
      <c r="D74" s="11" t="s">
        <v>303</v>
      </c>
      <c r="E74" s="11" t="s">
        <v>291</v>
      </c>
      <c r="F74" s="11" t="s">
        <v>374</v>
      </c>
      <c r="I74" s="11" t="s">
        <v>326</v>
      </c>
      <c r="J74" s="11" t="s">
        <v>304</v>
      </c>
      <c r="K74" s="11" t="s">
        <v>491</v>
      </c>
      <c r="L74" s="75" t="s">
        <v>492</v>
      </c>
      <c r="M74" s="4"/>
      <c r="N74" s="2"/>
      <c r="O74" s="4"/>
      <c r="P74" s="2"/>
      <c r="Q74" s="2"/>
      <c r="R74" s="4"/>
      <c r="S74" s="2"/>
      <c r="T74" s="2"/>
      <c r="U74" s="1"/>
      <c r="V74" s="2"/>
      <c r="W74" s="2"/>
      <c r="X74" s="2"/>
      <c r="Y74" s="2"/>
      <c r="Z74" s="2"/>
    </row>
    <row r="75" spans="1:26" ht="15.75" customHeight="1" x14ac:dyDescent="0.2">
      <c r="A75" s="11" t="s">
        <v>277</v>
      </c>
      <c r="B75" s="11" t="s">
        <v>4</v>
      </c>
      <c r="C75" s="11" t="s">
        <v>14</v>
      </c>
      <c r="D75" s="11" t="s">
        <v>291</v>
      </c>
      <c r="E75" s="11" t="s">
        <v>291</v>
      </c>
      <c r="F75" s="11" t="s">
        <v>374</v>
      </c>
      <c r="I75" s="11" t="s">
        <v>294</v>
      </c>
      <c r="J75" s="11" t="s">
        <v>294</v>
      </c>
      <c r="K75" s="11" t="s">
        <v>493</v>
      </c>
      <c r="L75" s="75" t="s">
        <v>296</v>
      </c>
      <c r="M75" s="4"/>
      <c r="N75" s="2"/>
      <c r="O75" s="4"/>
      <c r="P75" s="2"/>
      <c r="Q75" s="2"/>
      <c r="R75" s="4"/>
      <c r="S75" s="2"/>
      <c r="T75" s="2"/>
      <c r="U75" s="1"/>
      <c r="V75" s="2"/>
      <c r="W75" s="2"/>
      <c r="X75" s="2"/>
      <c r="Y75" s="2"/>
      <c r="Z75" s="2"/>
    </row>
    <row r="76" spans="1:26" ht="15.75" customHeight="1" x14ac:dyDescent="0.2">
      <c r="A76" s="11" t="s">
        <v>290</v>
      </c>
      <c r="B76" s="11" t="s">
        <v>15</v>
      </c>
      <c r="C76" s="11" t="s">
        <v>27</v>
      </c>
      <c r="D76" s="11" t="s">
        <v>346</v>
      </c>
      <c r="E76" s="11" t="s">
        <v>345</v>
      </c>
      <c r="F76" s="11" t="s">
        <v>360</v>
      </c>
      <c r="I76" s="11" t="s">
        <v>361</v>
      </c>
      <c r="J76" s="11" t="s">
        <v>362</v>
      </c>
      <c r="K76" s="11" t="s">
        <v>363</v>
      </c>
      <c r="L76" s="75" t="s">
        <v>364</v>
      </c>
      <c r="M76" s="4"/>
      <c r="N76" s="2"/>
      <c r="O76" s="4"/>
      <c r="P76" s="2"/>
      <c r="Q76" s="2"/>
      <c r="R76" s="4"/>
      <c r="S76" s="2"/>
      <c r="T76" s="2"/>
      <c r="U76" s="1"/>
      <c r="V76" s="2"/>
      <c r="W76" s="2"/>
      <c r="X76" s="2"/>
      <c r="Y76" s="2"/>
      <c r="Z76" s="2"/>
    </row>
    <row r="77" spans="1:26" ht="15.75" customHeight="1" x14ac:dyDescent="0.2">
      <c r="A77" s="11" t="s">
        <v>401</v>
      </c>
      <c r="B77" s="11" t="s">
        <v>17</v>
      </c>
      <c r="C77" s="11" t="s">
        <v>48</v>
      </c>
      <c r="D77" s="11" t="s">
        <v>306</v>
      </c>
      <c r="E77" s="11" t="s">
        <v>299</v>
      </c>
      <c r="F77" s="11" t="s">
        <v>494</v>
      </c>
      <c r="I77" s="11" t="s">
        <v>495</v>
      </c>
      <c r="J77" s="11" t="s">
        <v>317</v>
      </c>
      <c r="K77" s="11" t="s">
        <v>496</v>
      </c>
      <c r="L77" s="75" t="s">
        <v>497</v>
      </c>
      <c r="M77" s="4"/>
      <c r="N77" s="2"/>
      <c r="O77" s="4"/>
      <c r="P77" s="2"/>
      <c r="Q77" s="2"/>
      <c r="R77" s="4"/>
      <c r="S77" s="2"/>
      <c r="T77" s="2"/>
      <c r="U77" s="1"/>
      <c r="V77" s="2"/>
      <c r="W77" s="2"/>
      <c r="X77" s="2"/>
      <c r="Y77" s="2"/>
      <c r="Z77" s="2"/>
    </row>
    <row r="78" spans="1:26" ht="15.75" customHeight="1" x14ac:dyDescent="0.2">
      <c r="A78" s="11" t="s">
        <v>277</v>
      </c>
      <c r="B78" s="11" t="s">
        <v>21</v>
      </c>
      <c r="C78" s="11" t="s">
        <v>42</v>
      </c>
      <c r="D78" s="11" t="s">
        <v>270</v>
      </c>
      <c r="E78" s="11" t="s">
        <v>270</v>
      </c>
      <c r="F78" s="11" t="s">
        <v>498</v>
      </c>
      <c r="I78" s="11" t="s">
        <v>273</v>
      </c>
      <c r="J78" s="11" t="s">
        <v>273</v>
      </c>
      <c r="K78" s="11" t="s">
        <v>499</v>
      </c>
      <c r="L78" s="75" t="s">
        <v>276</v>
      </c>
      <c r="M78" s="4"/>
      <c r="N78" s="2"/>
      <c r="O78" s="4"/>
      <c r="P78" s="2"/>
      <c r="Q78" s="2"/>
      <c r="R78" s="4"/>
      <c r="S78" s="2"/>
      <c r="T78" s="2"/>
      <c r="U78" s="1"/>
      <c r="V78" s="2"/>
      <c r="W78" s="2"/>
      <c r="X78" s="2"/>
      <c r="Y78" s="2"/>
      <c r="Z78" s="2"/>
    </row>
    <row r="79" spans="1:26" ht="15.75" customHeight="1" x14ac:dyDescent="0.2">
      <c r="A79" s="11" t="s">
        <v>282</v>
      </c>
      <c r="B79" s="11" t="s">
        <v>17</v>
      </c>
      <c r="C79" s="11" t="s">
        <v>18</v>
      </c>
      <c r="D79" s="11" t="s">
        <v>303</v>
      </c>
      <c r="E79" s="11" t="s">
        <v>292</v>
      </c>
      <c r="F79" s="11" t="s">
        <v>293</v>
      </c>
      <c r="I79" s="11" t="s">
        <v>306</v>
      </c>
      <c r="J79" s="11" t="s">
        <v>317</v>
      </c>
      <c r="K79" s="11" t="s">
        <v>500</v>
      </c>
      <c r="L79" s="75" t="s">
        <v>308</v>
      </c>
      <c r="M79" s="4"/>
      <c r="N79" s="2"/>
      <c r="O79" s="4"/>
      <c r="P79" s="2"/>
      <c r="Q79" s="2"/>
      <c r="R79" s="4"/>
      <c r="S79" s="2"/>
      <c r="T79" s="2"/>
      <c r="U79" s="1"/>
      <c r="V79" s="2"/>
      <c r="W79" s="2"/>
      <c r="X79" s="2"/>
      <c r="Y79" s="2"/>
      <c r="Z79" s="2"/>
    </row>
    <row r="80" spans="1:26" ht="15.75" customHeight="1" x14ac:dyDescent="0.2">
      <c r="A80" s="11" t="s">
        <v>309</v>
      </c>
      <c r="B80" s="11" t="s">
        <v>17</v>
      </c>
      <c r="C80" s="11" t="s">
        <v>55</v>
      </c>
      <c r="D80" s="11" t="s">
        <v>310</v>
      </c>
      <c r="E80" s="11" t="s">
        <v>311</v>
      </c>
      <c r="F80" s="11" t="s">
        <v>312</v>
      </c>
      <c r="I80" s="11" t="s">
        <v>313</v>
      </c>
      <c r="J80" s="11" t="s">
        <v>314</v>
      </c>
      <c r="K80" s="11" t="s">
        <v>315</v>
      </c>
      <c r="L80" s="75" t="s">
        <v>316</v>
      </c>
      <c r="M80" s="4"/>
      <c r="N80" s="2"/>
      <c r="O80" s="4"/>
      <c r="P80" s="2"/>
      <c r="Q80" s="2"/>
      <c r="R80" s="4"/>
      <c r="S80" s="2"/>
      <c r="T80" s="2"/>
      <c r="U80" s="1"/>
      <c r="V80" s="2"/>
      <c r="W80" s="2"/>
      <c r="X80" s="2"/>
      <c r="Y80" s="2"/>
      <c r="Z80" s="2"/>
    </row>
    <row r="81" spans="1:26" ht="15.75" customHeight="1" x14ac:dyDescent="0.2">
      <c r="A81" s="11" t="s">
        <v>277</v>
      </c>
      <c r="B81" s="11" t="s">
        <v>17</v>
      </c>
      <c r="C81" s="11" t="s">
        <v>19</v>
      </c>
      <c r="D81" s="11" t="s">
        <v>317</v>
      </c>
      <c r="E81" s="11" t="s">
        <v>317</v>
      </c>
      <c r="F81" s="11" t="s">
        <v>318</v>
      </c>
      <c r="I81" s="11" t="s">
        <v>319</v>
      </c>
      <c r="J81" s="11" t="s">
        <v>319</v>
      </c>
      <c r="K81" s="11" t="s">
        <v>320</v>
      </c>
      <c r="L81" s="75" t="s">
        <v>321</v>
      </c>
      <c r="M81" s="4"/>
      <c r="N81" s="2"/>
      <c r="O81" s="4"/>
      <c r="P81" s="2"/>
      <c r="Q81" s="2"/>
      <c r="R81" s="4"/>
      <c r="S81" s="2"/>
      <c r="T81" s="2"/>
      <c r="U81" s="1"/>
      <c r="V81" s="2"/>
      <c r="W81" s="2"/>
      <c r="X81" s="2"/>
      <c r="Y81" s="2"/>
      <c r="Z81" s="2"/>
    </row>
    <row r="82" spans="1:26" ht="15.75" customHeight="1" x14ac:dyDescent="0.2">
      <c r="A82" s="11" t="s">
        <v>277</v>
      </c>
      <c r="B82" s="11" t="s">
        <v>21</v>
      </c>
      <c r="C82" s="11" t="s">
        <v>28</v>
      </c>
      <c r="D82" s="11" t="s">
        <v>283</v>
      </c>
      <c r="E82" s="11" t="s">
        <v>283</v>
      </c>
      <c r="F82" s="11" t="s">
        <v>365</v>
      </c>
      <c r="I82" s="11" t="s">
        <v>366</v>
      </c>
      <c r="J82" s="11" t="s">
        <v>366</v>
      </c>
      <c r="K82" s="11" t="s">
        <v>367</v>
      </c>
      <c r="L82" s="75" t="s">
        <v>348</v>
      </c>
      <c r="M82" s="4"/>
      <c r="N82" s="2"/>
      <c r="O82" s="4"/>
      <c r="P82" s="2"/>
      <c r="Q82" s="2"/>
      <c r="R82" s="4"/>
      <c r="S82" s="2"/>
      <c r="T82" s="2"/>
      <c r="U82" s="1"/>
      <c r="V82" s="2"/>
      <c r="W82" s="2"/>
      <c r="X82" s="2"/>
      <c r="Y82" s="2"/>
      <c r="Z82" s="2"/>
    </row>
    <row r="83" spans="1:26" ht="15.75" customHeight="1" x14ac:dyDescent="0.2">
      <c r="A83" s="11" t="s">
        <v>290</v>
      </c>
      <c r="B83" s="11" t="s">
        <v>21</v>
      </c>
      <c r="C83" s="11" t="s">
        <v>133</v>
      </c>
      <c r="D83" s="11" t="s">
        <v>283</v>
      </c>
      <c r="E83" s="11" t="s">
        <v>327</v>
      </c>
      <c r="F83" s="11" t="s">
        <v>432</v>
      </c>
      <c r="I83" s="11" t="s">
        <v>306</v>
      </c>
      <c r="J83" s="11" t="s">
        <v>392</v>
      </c>
      <c r="K83" s="11" t="s">
        <v>501</v>
      </c>
      <c r="L83" s="75" t="s">
        <v>276</v>
      </c>
      <c r="M83" s="4"/>
      <c r="N83" s="2"/>
      <c r="O83" s="4"/>
      <c r="P83" s="2"/>
      <c r="Q83" s="2"/>
      <c r="R83" s="4"/>
      <c r="S83" s="2"/>
      <c r="T83" s="2"/>
      <c r="U83" s="1"/>
      <c r="V83" s="2"/>
      <c r="W83" s="2"/>
      <c r="X83" s="2"/>
      <c r="Y83" s="2"/>
      <c r="Z83" s="2"/>
    </row>
    <row r="84" spans="1:26" ht="15.75" customHeight="1" x14ac:dyDescent="0.2">
      <c r="A84" s="11" t="s">
        <v>502</v>
      </c>
      <c r="B84" s="11" t="s">
        <v>21</v>
      </c>
      <c r="C84" s="11" t="s">
        <v>22</v>
      </c>
      <c r="D84" s="11" t="s">
        <v>323</v>
      </c>
      <c r="E84" s="11" t="s">
        <v>503</v>
      </c>
      <c r="F84" s="11" t="s">
        <v>504</v>
      </c>
      <c r="I84" s="11" t="s">
        <v>326</v>
      </c>
      <c r="J84" s="11" t="s">
        <v>420</v>
      </c>
      <c r="K84" s="11" t="s">
        <v>505</v>
      </c>
      <c r="L84" s="75" t="s">
        <v>329</v>
      </c>
      <c r="M84" s="4"/>
      <c r="N84" s="2"/>
      <c r="O84" s="4"/>
      <c r="P84" s="2"/>
      <c r="Q84" s="2"/>
      <c r="R84" s="4"/>
      <c r="S84" s="2"/>
      <c r="T84" s="2"/>
      <c r="U84" s="1"/>
      <c r="V84" s="2"/>
      <c r="W84" s="2"/>
      <c r="X84" s="2"/>
      <c r="Y84" s="2"/>
      <c r="Z84" s="2"/>
    </row>
    <row r="85" spans="1:26" ht="15.75" customHeight="1" x14ac:dyDescent="0.2">
      <c r="A85" s="11" t="s">
        <v>290</v>
      </c>
      <c r="B85" s="11" t="s">
        <v>17</v>
      </c>
      <c r="C85" s="11" t="s">
        <v>43</v>
      </c>
      <c r="D85" s="11" t="s">
        <v>327</v>
      </c>
      <c r="E85" s="11" t="s">
        <v>284</v>
      </c>
      <c r="F85" s="11" t="s">
        <v>285</v>
      </c>
      <c r="I85" s="11" t="s">
        <v>390</v>
      </c>
      <c r="J85" s="11" t="s">
        <v>332</v>
      </c>
      <c r="K85" s="11" t="s">
        <v>506</v>
      </c>
      <c r="L85" s="75" t="s">
        <v>348</v>
      </c>
      <c r="M85" s="4"/>
      <c r="N85" s="2"/>
      <c r="O85" s="4"/>
      <c r="P85" s="2"/>
      <c r="Q85" s="2"/>
      <c r="R85" s="4"/>
      <c r="S85" s="2"/>
      <c r="T85" s="2"/>
      <c r="U85" s="1"/>
      <c r="V85" s="2"/>
      <c r="W85" s="2"/>
      <c r="X85" s="2"/>
      <c r="Y85" s="2"/>
      <c r="Z85" s="2"/>
    </row>
    <row r="86" spans="1:26" ht="15.75" customHeight="1" x14ac:dyDescent="0.2">
      <c r="A86" s="11" t="s">
        <v>290</v>
      </c>
      <c r="B86" s="11" t="s">
        <v>17</v>
      </c>
      <c r="C86" s="11" t="s">
        <v>31</v>
      </c>
      <c r="D86" s="11" t="s">
        <v>291</v>
      </c>
      <c r="E86" s="11" t="s">
        <v>292</v>
      </c>
      <c r="F86" s="11" t="s">
        <v>293</v>
      </c>
      <c r="I86" s="11" t="s">
        <v>375</v>
      </c>
      <c r="J86" s="11" t="s">
        <v>507</v>
      </c>
      <c r="K86" s="11" t="s">
        <v>508</v>
      </c>
      <c r="L86" s="75" t="s">
        <v>377</v>
      </c>
      <c r="M86" s="4"/>
      <c r="N86" s="2"/>
      <c r="O86" s="4"/>
      <c r="P86" s="2"/>
      <c r="Q86" s="2"/>
      <c r="R86" s="4"/>
      <c r="S86" s="2"/>
      <c r="T86" s="2"/>
      <c r="U86" s="1"/>
      <c r="V86" s="2"/>
      <c r="W86" s="2"/>
      <c r="X86" s="2"/>
      <c r="Y86" s="2"/>
      <c r="Z86" s="2"/>
    </row>
    <row r="87" spans="1:26" ht="15.75" customHeight="1" x14ac:dyDescent="0.2">
      <c r="A87" s="11" t="s">
        <v>277</v>
      </c>
      <c r="B87" s="11" t="s">
        <v>17</v>
      </c>
      <c r="C87" s="11" t="s">
        <v>32</v>
      </c>
      <c r="D87" s="11" t="s">
        <v>304</v>
      </c>
      <c r="E87" s="11" t="s">
        <v>304</v>
      </c>
      <c r="F87" s="11" t="s">
        <v>305</v>
      </c>
      <c r="I87" s="11" t="s">
        <v>379</v>
      </c>
      <c r="J87" s="11" t="s">
        <v>379</v>
      </c>
      <c r="K87" s="11" t="s">
        <v>509</v>
      </c>
      <c r="L87" s="75" t="s">
        <v>382</v>
      </c>
      <c r="M87" s="4"/>
      <c r="N87" s="2"/>
      <c r="O87" s="4"/>
      <c r="P87" s="2"/>
      <c r="Q87" s="2"/>
      <c r="R87" s="4"/>
      <c r="S87" s="2"/>
      <c r="T87" s="2"/>
      <c r="U87" s="1"/>
      <c r="V87" s="2"/>
      <c r="W87" s="2"/>
      <c r="X87" s="2"/>
      <c r="Y87" s="2"/>
      <c r="Z87" s="2"/>
    </row>
    <row r="88" spans="1:26" ht="15.75" customHeight="1" x14ac:dyDescent="0.2">
      <c r="A88" s="11" t="s">
        <v>290</v>
      </c>
      <c r="B88" s="11" t="s">
        <v>23</v>
      </c>
      <c r="C88" s="11" t="s">
        <v>26</v>
      </c>
      <c r="D88" s="11" t="s">
        <v>353</v>
      </c>
      <c r="E88" s="11" t="s">
        <v>510</v>
      </c>
      <c r="F88" s="11" t="s">
        <v>511</v>
      </c>
      <c r="I88" s="11" t="s">
        <v>356</v>
      </c>
      <c r="J88" s="11" t="s">
        <v>512</v>
      </c>
      <c r="K88" s="11" t="s">
        <v>513</v>
      </c>
      <c r="L88" s="75" t="s">
        <v>359</v>
      </c>
      <c r="M88" s="4"/>
      <c r="N88" s="2"/>
      <c r="O88" s="4"/>
      <c r="P88" s="2"/>
      <c r="Q88" s="2"/>
      <c r="R88" s="4"/>
      <c r="S88" s="2"/>
      <c r="T88" s="2"/>
      <c r="U88" s="1"/>
      <c r="V88" s="2"/>
      <c r="W88" s="2"/>
      <c r="X88" s="2"/>
      <c r="Y88" s="2"/>
      <c r="Z88" s="2"/>
    </row>
    <row r="89" spans="1:26" ht="15.75" customHeight="1" x14ac:dyDescent="0.2">
      <c r="A89" s="11" t="s">
        <v>277</v>
      </c>
      <c r="B89" s="11" t="s">
        <v>17</v>
      </c>
      <c r="C89" s="11" t="s">
        <v>30</v>
      </c>
      <c r="D89" s="11" t="s">
        <v>273</v>
      </c>
      <c r="E89" s="11" t="s">
        <v>273</v>
      </c>
      <c r="F89" s="11" t="s">
        <v>278</v>
      </c>
      <c r="I89" s="11" t="s">
        <v>514</v>
      </c>
      <c r="J89" s="11" t="s">
        <v>514</v>
      </c>
      <c r="K89" s="11" t="s">
        <v>515</v>
      </c>
      <c r="L89" s="75" t="s">
        <v>516</v>
      </c>
      <c r="M89" s="4"/>
      <c r="N89" s="2"/>
      <c r="O89" s="4"/>
      <c r="P89" s="2"/>
      <c r="Q89" s="2"/>
      <c r="R89" s="4"/>
      <c r="S89" s="2"/>
      <c r="T89" s="2"/>
      <c r="U89" s="1"/>
      <c r="V89" s="2"/>
      <c r="W89" s="2"/>
      <c r="X89" s="2"/>
      <c r="Y89" s="2"/>
      <c r="Z89" s="2"/>
    </row>
    <row r="90" spans="1:26" ht="15.75" customHeight="1" x14ac:dyDescent="0.2">
      <c r="A90" s="11" t="s">
        <v>341</v>
      </c>
      <c r="B90" s="11" t="s">
        <v>21</v>
      </c>
      <c r="C90" s="11" t="s">
        <v>29</v>
      </c>
      <c r="D90" s="11" t="s">
        <v>369</v>
      </c>
      <c r="E90" s="11" t="s">
        <v>517</v>
      </c>
      <c r="F90" s="11" t="s">
        <v>518</v>
      </c>
      <c r="I90" s="11" t="s">
        <v>273</v>
      </c>
      <c r="J90" s="11" t="s">
        <v>519</v>
      </c>
      <c r="K90" s="11" t="s">
        <v>520</v>
      </c>
      <c r="L90" s="75" t="s">
        <v>373</v>
      </c>
      <c r="M90" s="4"/>
      <c r="N90" s="2"/>
      <c r="O90" s="4"/>
      <c r="P90" s="2"/>
      <c r="Q90" s="2"/>
      <c r="R90" s="4"/>
      <c r="S90" s="2"/>
      <c r="T90" s="2"/>
      <c r="U90" s="1"/>
      <c r="V90" s="2"/>
      <c r="W90" s="2"/>
      <c r="X90" s="2"/>
      <c r="Y90" s="2"/>
      <c r="Z90" s="2"/>
    </row>
    <row r="91" spans="1:26" ht="15.75" customHeight="1" x14ac:dyDescent="0.2">
      <c r="A91" s="11" t="s">
        <v>290</v>
      </c>
      <c r="B91" s="11" t="s">
        <v>21</v>
      </c>
      <c r="C91" s="11" t="s">
        <v>34</v>
      </c>
      <c r="D91" s="11" t="s">
        <v>390</v>
      </c>
      <c r="E91" s="11" t="s">
        <v>332</v>
      </c>
      <c r="F91" s="11" t="s">
        <v>521</v>
      </c>
      <c r="I91" s="11" t="s">
        <v>392</v>
      </c>
      <c r="J91" s="11" t="s">
        <v>317</v>
      </c>
      <c r="K91" s="11" t="s">
        <v>522</v>
      </c>
      <c r="L91" s="75" t="s">
        <v>394</v>
      </c>
      <c r="M91" s="4"/>
      <c r="N91" s="2"/>
      <c r="O91" s="4"/>
      <c r="P91" s="2"/>
      <c r="Q91" s="2"/>
      <c r="R91" s="4"/>
      <c r="S91" s="2"/>
      <c r="T91" s="2"/>
      <c r="U91" s="1"/>
      <c r="V91" s="2"/>
      <c r="W91" s="2"/>
      <c r="X91" s="2"/>
      <c r="Y91" s="2"/>
      <c r="Z91" s="2"/>
    </row>
    <row r="92" spans="1:26" ht="15.75" customHeight="1" x14ac:dyDescent="0.2">
      <c r="A92" s="11" t="s">
        <v>277</v>
      </c>
      <c r="B92" s="11" t="s">
        <v>17</v>
      </c>
      <c r="C92" s="11" t="s">
        <v>35</v>
      </c>
      <c r="D92" s="11" t="s">
        <v>366</v>
      </c>
      <c r="E92" s="11" t="s">
        <v>366</v>
      </c>
      <c r="F92" s="11" t="s">
        <v>523</v>
      </c>
      <c r="I92" s="11" t="s">
        <v>384</v>
      </c>
      <c r="J92" s="11" t="s">
        <v>384</v>
      </c>
      <c r="K92" s="11" t="s">
        <v>524</v>
      </c>
      <c r="L92" s="75" t="s">
        <v>525</v>
      </c>
      <c r="M92" s="4"/>
      <c r="N92" s="2"/>
      <c r="O92" s="4"/>
      <c r="P92" s="2"/>
      <c r="Q92" s="2"/>
      <c r="R92" s="4"/>
      <c r="S92" s="2"/>
      <c r="T92" s="2"/>
      <c r="U92" s="1"/>
      <c r="V92" s="2"/>
      <c r="W92" s="2"/>
      <c r="X92" s="2"/>
      <c r="Y92" s="2"/>
      <c r="Z92" s="2"/>
    </row>
    <row r="93" spans="1:26" ht="15.75" customHeight="1" x14ac:dyDescent="0.2">
      <c r="A93" s="11" t="s">
        <v>526</v>
      </c>
      <c r="B93" s="11" t="s">
        <v>17</v>
      </c>
      <c r="C93" s="11" t="s">
        <v>36</v>
      </c>
      <c r="D93" s="11" t="s">
        <v>395</v>
      </c>
      <c r="E93" s="11" t="s">
        <v>435</v>
      </c>
      <c r="F93" s="11" t="s">
        <v>527</v>
      </c>
      <c r="I93" s="11" t="s">
        <v>306</v>
      </c>
      <c r="J93" s="11" t="s">
        <v>303</v>
      </c>
      <c r="K93" s="11" t="s">
        <v>528</v>
      </c>
      <c r="L93" s="75" t="s">
        <v>398</v>
      </c>
      <c r="M93" s="4"/>
      <c r="N93" s="2"/>
      <c r="O93" s="4"/>
      <c r="P93" s="2"/>
      <c r="Q93" s="2"/>
      <c r="R93" s="4"/>
      <c r="S93" s="2"/>
      <c r="T93" s="2"/>
      <c r="U93" s="1"/>
      <c r="V93" s="2"/>
      <c r="W93" s="2"/>
      <c r="X93" s="2"/>
      <c r="Y93" s="2"/>
      <c r="Z93" s="2"/>
    </row>
    <row r="94" spans="1:26" ht="15.75" customHeight="1" x14ac:dyDescent="0.2">
      <c r="A94" s="11" t="s">
        <v>529</v>
      </c>
      <c r="B94" s="11" t="s">
        <v>21</v>
      </c>
      <c r="C94" s="11" t="s">
        <v>46</v>
      </c>
      <c r="D94" s="11" t="s">
        <v>431</v>
      </c>
      <c r="E94" s="11" t="s">
        <v>436</v>
      </c>
      <c r="F94" s="11" t="s">
        <v>437</v>
      </c>
      <c r="I94" s="11" t="s">
        <v>433</v>
      </c>
      <c r="J94" s="11" t="s">
        <v>530</v>
      </c>
      <c r="K94" s="11" t="s">
        <v>531</v>
      </c>
      <c r="L94" s="75" t="s">
        <v>308</v>
      </c>
      <c r="M94" s="4"/>
      <c r="N94" s="2"/>
      <c r="O94" s="4"/>
      <c r="P94" s="2"/>
      <c r="Q94" s="2"/>
      <c r="R94" s="4"/>
      <c r="S94" s="2"/>
      <c r="T94" s="2"/>
      <c r="U94" s="1"/>
      <c r="V94" s="2"/>
      <c r="W94" s="2"/>
      <c r="X94" s="2"/>
      <c r="Y94" s="2"/>
      <c r="Z94" s="2"/>
    </row>
    <row r="95" spans="1:26" ht="15.75" customHeight="1" x14ac:dyDescent="0.2">
      <c r="A95" s="11" t="s">
        <v>447</v>
      </c>
      <c r="B95" s="11" t="s">
        <v>17</v>
      </c>
      <c r="C95" s="11" t="s">
        <v>39</v>
      </c>
      <c r="D95" s="11" t="s">
        <v>304</v>
      </c>
      <c r="E95" s="11" t="s">
        <v>461</v>
      </c>
      <c r="F95" s="11" t="s">
        <v>462</v>
      </c>
      <c r="I95" s="11" t="s">
        <v>404</v>
      </c>
      <c r="J95" s="11" t="s">
        <v>532</v>
      </c>
      <c r="K95" s="11" t="s">
        <v>533</v>
      </c>
      <c r="L95" s="75" t="s">
        <v>407</v>
      </c>
      <c r="M95" s="4"/>
      <c r="N95" s="2"/>
      <c r="O95" s="4"/>
      <c r="P95" s="2"/>
      <c r="Q95" s="2"/>
      <c r="R95" s="4"/>
      <c r="S95" s="2"/>
      <c r="T95" s="2"/>
      <c r="U95" s="1"/>
      <c r="V95" s="2"/>
      <c r="W95" s="2"/>
      <c r="X95" s="2"/>
      <c r="Y95" s="2"/>
      <c r="Z95" s="2"/>
    </row>
    <row r="96" spans="1:26" ht="15.75" customHeight="1" x14ac:dyDescent="0.2">
      <c r="A96" s="11" t="s">
        <v>277</v>
      </c>
      <c r="B96" s="11" t="s">
        <v>17</v>
      </c>
      <c r="C96" s="11" t="s">
        <v>89</v>
      </c>
      <c r="D96" s="11" t="s">
        <v>330</v>
      </c>
      <c r="E96" s="11" t="s">
        <v>330</v>
      </c>
      <c r="F96" s="11" t="s">
        <v>331</v>
      </c>
      <c r="I96" s="11" t="s">
        <v>332</v>
      </c>
      <c r="J96" s="11" t="s">
        <v>332</v>
      </c>
      <c r="K96" s="11" t="s">
        <v>333</v>
      </c>
      <c r="L96" s="75" t="s">
        <v>334</v>
      </c>
      <c r="M96" s="4"/>
      <c r="N96" s="2"/>
      <c r="O96" s="4"/>
      <c r="P96" s="2"/>
      <c r="Q96" s="2"/>
      <c r="R96" s="4"/>
      <c r="S96" s="2"/>
      <c r="T96" s="2"/>
      <c r="U96" s="1"/>
      <c r="V96" s="2"/>
      <c r="W96" s="2"/>
      <c r="X96" s="2"/>
      <c r="Y96" s="2"/>
      <c r="Z96" s="2"/>
    </row>
    <row r="97" spans="1:26" ht="15.75" customHeight="1" x14ac:dyDescent="0.2">
      <c r="A97" s="11" t="s">
        <v>401</v>
      </c>
      <c r="B97" s="11" t="s">
        <v>17</v>
      </c>
      <c r="C97" s="11" t="s">
        <v>40</v>
      </c>
      <c r="D97" s="11" t="s">
        <v>412</v>
      </c>
      <c r="E97" s="11" t="s">
        <v>534</v>
      </c>
      <c r="F97" s="11" t="s">
        <v>535</v>
      </c>
      <c r="I97" s="11" t="s">
        <v>415</v>
      </c>
      <c r="J97" s="11" t="s">
        <v>536</v>
      </c>
      <c r="K97" s="11" t="s">
        <v>537</v>
      </c>
      <c r="L97" s="75" t="s">
        <v>418</v>
      </c>
      <c r="M97" s="4"/>
      <c r="N97" s="2"/>
      <c r="O97" s="4"/>
      <c r="P97" s="2"/>
      <c r="Q97" s="2"/>
      <c r="R97" s="4"/>
      <c r="S97" s="2"/>
      <c r="T97" s="2"/>
      <c r="U97" s="1"/>
      <c r="V97" s="2"/>
      <c r="W97" s="2"/>
      <c r="X97" s="2"/>
      <c r="Y97" s="2"/>
      <c r="Z97" s="2"/>
    </row>
    <row r="98" spans="1:26" ht="15.75" customHeight="1" x14ac:dyDescent="0.2">
      <c r="A98" s="11" t="s">
        <v>538</v>
      </c>
      <c r="B98" s="11" t="s">
        <v>17</v>
      </c>
      <c r="C98" s="11" t="s">
        <v>82</v>
      </c>
      <c r="D98" s="11" t="s">
        <v>304</v>
      </c>
      <c r="E98" s="11" t="s">
        <v>539</v>
      </c>
      <c r="F98" s="11" t="s">
        <v>540</v>
      </c>
      <c r="I98" s="11" t="s">
        <v>422</v>
      </c>
      <c r="J98" s="11" t="s">
        <v>541</v>
      </c>
      <c r="K98" s="11" t="s">
        <v>542</v>
      </c>
      <c r="L98" s="75" t="s">
        <v>425</v>
      </c>
      <c r="M98" s="4"/>
      <c r="N98" s="2"/>
      <c r="O98" s="4"/>
      <c r="P98" s="2"/>
      <c r="Q98" s="2"/>
      <c r="R98" s="4"/>
      <c r="S98" s="2"/>
      <c r="T98" s="2"/>
      <c r="U98" s="1"/>
      <c r="V98" s="2"/>
      <c r="W98" s="2"/>
      <c r="X98" s="2"/>
      <c r="Y98" s="2"/>
      <c r="Z98" s="2"/>
    </row>
    <row r="99" spans="1:26" ht="15.75" customHeight="1" x14ac:dyDescent="0.2">
      <c r="A99" s="11" t="s">
        <v>277</v>
      </c>
      <c r="B99" s="11" t="s">
        <v>17</v>
      </c>
      <c r="C99" s="11" t="s">
        <v>61</v>
      </c>
      <c r="D99" s="11" t="s">
        <v>426</v>
      </c>
      <c r="E99" s="11" t="s">
        <v>426</v>
      </c>
      <c r="F99" s="11" t="s">
        <v>427</v>
      </c>
      <c r="I99" s="11" t="s">
        <v>386</v>
      </c>
      <c r="J99" s="11" t="s">
        <v>386</v>
      </c>
      <c r="K99" s="11" t="s">
        <v>428</v>
      </c>
      <c r="L99" s="75" t="s">
        <v>429</v>
      </c>
      <c r="M99" s="4"/>
      <c r="N99" s="2"/>
      <c r="O99" s="4"/>
      <c r="P99" s="2"/>
      <c r="Q99" s="2"/>
      <c r="R99" s="4"/>
      <c r="S99" s="2"/>
      <c r="T99" s="2"/>
      <c r="U99" s="1"/>
      <c r="V99" s="2"/>
      <c r="W99" s="2"/>
      <c r="X99" s="2"/>
      <c r="Y99" s="2"/>
      <c r="Z99" s="2"/>
    </row>
    <row r="100" spans="1:26" ht="15.75" customHeight="1" x14ac:dyDescent="0.2">
      <c r="A100" s="11" t="s">
        <v>277</v>
      </c>
      <c r="B100" s="11" t="s">
        <v>23</v>
      </c>
      <c r="C100" s="11" t="s">
        <v>12</v>
      </c>
      <c r="D100" s="11" t="s">
        <v>543</v>
      </c>
      <c r="E100" s="11" t="s">
        <v>543</v>
      </c>
      <c r="F100" s="11" t="s">
        <v>544</v>
      </c>
      <c r="I100" s="11" t="s">
        <v>543</v>
      </c>
      <c r="J100" s="11" t="s">
        <v>543</v>
      </c>
      <c r="K100" s="11" t="s">
        <v>545</v>
      </c>
      <c r="L100" s="75" t="s">
        <v>546</v>
      </c>
      <c r="M100" s="4"/>
      <c r="N100" s="2"/>
      <c r="O100" s="4"/>
      <c r="P100" s="2"/>
      <c r="Q100" s="2"/>
      <c r="R100" s="4"/>
      <c r="S100" s="2"/>
      <c r="T100" s="2"/>
      <c r="U100" s="1"/>
      <c r="V100" s="2"/>
      <c r="W100" s="2"/>
      <c r="X100" s="2"/>
      <c r="Y100" s="2"/>
      <c r="Z100" s="2"/>
    </row>
    <row r="101" spans="1:26" ht="15.75" customHeight="1" x14ac:dyDescent="0.2">
      <c r="A101" s="11" t="s">
        <v>547</v>
      </c>
      <c r="B101" s="11" t="s">
        <v>17</v>
      </c>
      <c r="C101" s="11" t="s">
        <v>82</v>
      </c>
      <c r="D101" s="11" t="s">
        <v>304</v>
      </c>
      <c r="E101" s="11" t="s">
        <v>548</v>
      </c>
      <c r="F101" s="11" t="s">
        <v>549</v>
      </c>
      <c r="I101" s="11" t="s">
        <v>422</v>
      </c>
      <c r="J101" s="11" t="s">
        <v>550</v>
      </c>
      <c r="K101" s="11" t="s">
        <v>551</v>
      </c>
      <c r="L101" s="75" t="s">
        <v>425</v>
      </c>
      <c r="M101" s="4"/>
      <c r="N101" s="2"/>
      <c r="O101" s="4"/>
      <c r="P101" s="2"/>
      <c r="Q101" s="2"/>
      <c r="R101" s="4"/>
      <c r="S101" s="2"/>
      <c r="T101" s="2"/>
      <c r="U101" s="1"/>
      <c r="V101" s="2"/>
      <c r="W101" s="2"/>
      <c r="X101" s="2"/>
      <c r="Y101" s="2"/>
      <c r="Z101" s="2"/>
    </row>
    <row r="102" spans="1:26" ht="15.75" customHeight="1" x14ac:dyDescent="0.2">
      <c r="M102" s="4"/>
      <c r="N102" s="2"/>
      <c r="O102" s="4"/>
      <c r="P102" s="2"/>
      <c r="Q102" s="2"/>
      <c r="R102" s="4"/>
      <c r="S102" s="2"/>
      <c r="T102" s="2"/>
      <c r="U102" s="1"/>
      <c r="V102" s="2"/>
      <c r="W102" s="2"/>
      <c r="X102" s="2"/>
      <c r="Y102" s="2"/>
      <c r="Z102" s="2"/>
    </row>
    <row r="103" spans="1:26" ht="15.75" customHeight="1" x14ac:dyDescent="0.2">
      <c r="E103" s="11" t="s">
        <v>552</v>
      </c>
      <c r="F103" s="11" t="s">
        <v>553</v>
      </c>
      <c r="K103" s="11" t="s">
        <v>554</v>
      </c>
      <c r="L103" s="75" t="s">
        <v>555</v>
      </c>
      <c r="M103" s="4"/>
      <c r="N103" s="2"/>
      <c r="O103" s="4"/>
      <c r="P103" s="2"/>
      <c r="Q103" s="2"/>
      <c r="R103" s="4"/>
      <c r="S103" s="2"/>
      <c r="T103" s="2"/>
      <c r="U103" s="1"/>
      <c r="V103" s="2"/>
      <c r="W103" s="2"/>
      <c r="X103" s="2"/>
      <c r="Y103" s="2"/>
      <c r="Z103" s="2"/>
    </row>
    <row r="104" spans="1:26" ht="15.75" customHeight="1" x14ac:dyDescent="0.2">
      <c r="M104" s="4"/>
      <c r="N104" s="2"/>
      <c r="O104" s="4"/>
      <c r="P104" s="2"/>
      <c r="Q104" s="2"/>
      <c r="R104" s="4"/>
      <c r="S104" s="2"/>
      <c r="T104" s="2"/>
      <c r="U104" s="1"/>
      <c r="V104" s="2"/>
      <c r="W104" s="2"/>
      <c r="X104" s="2"/>
      <c r="Y104" s="2"/>
      <c r="Z104" s="2"/>
    </row>
    <row r="105" spans="1:26" ht="15.75" customHeight="1" x14ac:dyDescent="0.2">
      <c r="M105" s="4"/>
      <c r="N105" s="2"/>
      <c r="O105" s="4"/>
      <c r="P105" s="2"/>
      <c r="Q105" s="2"/>
      <c r="R105" s="4"/>
      <c r="S105" s="2"/>
      <c r="T105" s="2"/>
      <c r="U105" s="1"/>
      <c r="V105" s="2"/>
      <c r="W105" s="2"/>
      <c r="X105" s="2"/>
      <c r="Y105" s="2"/>
      <c r="Z105" s="2"/>
    </row>
    <row r="106" spans="1:26" ht="15.75" customHeight="1" x14ac:dyDescent="0.2">
      <c r="A106" s="11" t="s">
        <v>53</v>
      </c>
      <c r="C106" s="24" t="s">
        <v>45</v>
      </c>
      <c r="D106" s="11" t="s">
        <v>268</v>
      </c>
      <c r="G106" s="11" t="s">
        <v>2</v>
      </c>
      <c r="M106" s="4"/>
      <c r="N106" s="2"/>
      <c r="O106" s="4"/>
      <c r="P106" s="2"/>
      <c r="Q106" s="2"/>
      <c r="R106" s="4"/>
      <c r="S106" s="2"/>
      <c r="T106" s="2"/>
      <c r="U106" s="1"/>
      <c r="V106" s="2"/>
      <c r="W106" s="2"/>
      <c r="X106" s="2"/>
      <c r="Y106" s="2"/>
      <c r="Z106" s="2"/>
    </row>
    <row r="107" spans="1:26" ht="15.75" customHeight="1" x14ac:dyDescent="0.2">
      <c r="M107" s="4"/>
      <c r="N107" s="2"/>
      <c r="O107" s="4"/>
      <c r="P107" s="2"/>
      <c r="Q107" s="2"/>
      <c r="R107" s="4"/>
      <c r="S107" s="2"/>
      <c r="T107" s="2"/>
      <c r="U107" s="1"/>
      <c r="V107" s="2"/>
      <c r="W107" s="2"/>
      <c r="X107" s="2"/>
      <c r="Y107" s="2"/>
      <c r="Z107" s="2"/>
    </row>
    <row r="108" spans="1:26" ht="15.75" customHeight="1" x14ac:dyDescent="0.2">
      <c r="A108" s="11" t="s">
        <v>3</v>
      </c>
      <c r="B108" s="11" t="s">
        <v>4</v>
      </c>
      <c r="C108" s="11" t="s">
        <v>5</v>
      </c>
      <c r="D108" s="11" t="s">
        <v>6</v>
      </c>
      <c r="E108" s="11" t="s">
        <v>7</v>
      </c>
      <c r="F108" s="11" t="s">
        <v>8</v>
      </c>
      <c r="I108" s="11" t="s">
        <v>9</v>
      </c>
      <c r="J108" s="11" t="s">
        <v>7</v>
      </c>
      <c r="K108" s="11" t="s">
        <v>10</v>
      </c>
      <c r="M108" s="4"/>
      <c r="N108" s="2"/>
      <c r="O108" s="4"/>
      <c r="P108" s="2"/>
      <c r="Q108" s="2"/>
      <c r="R108" s="4"/>
      <c r="S108" s="2"/>
      <c r="T108" s="2"/>
      <c r="U108" s="1"/>
      <c r="V108" s="2"/>
      <c r="W108" s="2"/>
      <c r="X108" s="2"/>
      <c r="Y108" s="2"/>
      <c r="Z108" s="2"/>
    </row>
    <row r="109" spans="1:26" ht="15.75" customHeight="1" x14ac:dyDescent="0.2">
      <c r="A109" s="11" t="s">
        <v>290</v>
      </c>
      <c r="B109" s="11" t="s">
        <v>23</v>
      </c>
      <c r="C109" s="11" t="s">
        <v>39</v>
      </c>
      <c r="D109" s="11" t="s">
        <v>350</v>
      </c>
      <c r="E109" s="11" t="s">
        <v>349</v>
      </c>
      <c r="F109" s="11" t="s">
        <v>556</v>
      </c>
      <c r="I109" s="11" t="s">
        <v>557</v>
      </c>
      <c r="J109" s="11" t="s">
        <v>558</v>
      </c>
      <c r="K109" s="11" t="s">
        <v>559</v>
      </c>
      <c r="L109" s="75" t="s">
        <v>398</v>
      </c>
      <c r="M109" s="4"/>
      <c r="N109" s="2"/>
      <c r="O109" s="4"/>
      <c r="P109" s="2"/>
      <c r="Q109" s="2"/>
      <c r="R109" s="4"/>
      <c r="S109" s="2"/>
      <c r="T109" s="2"/>
      <c r="U109" s="1"/>
      <c r="V109" s="2"/>
      <c r="W109" s="2"/>
      <c r="X109" s="2"/>
      <c r="Y109" s="2"/>
      <c r="Z109" s="2"/>
    </row>
    <row r="110" spans="1:26" ht="15.75" customHeight="1" x14ac:dyDescent="0.2">
      <c r="A110" s="11" t="s">
        <v>277</v>
      </c>
      <c r="B110" s="11" t="s">
        <v>23</v>
      </c>
      <c r="C110" s="11" t="s">
        <v>43</v>
      </c>
      <c r="D110" s="11" t="s">
        <v>560</v>
      </c>
      <c r="E110" s="11" t="s">
        <v>560</v>
      </c>
      <c r="F110" s="11" t="s">
        <v>561</v>
      </c>
      <c r="I110" s="11" t="s">
        <v>557</v>
      </c>
      <c r="J110" s="11" t="s">
        <v>557</v>
      </c>
      <c r="K110" s="11" t="s">
        <v>562</v>
      </c>
      <c r="L110" s="75" t="s">
        <v>348</v>
      </c>
      <c r="M110" s="4"/>
      <c r="N110" s="2"/>
      <c r="O110" s="4"/>
      <c r="P110" s="2"/>
      <c r="Q110" s="2"/>
      <c r="R110" s="4"/>
      <c r="S110" s="2"/>
      <c r="T110" s="2"/>
      <c r="U110" s="1"/>
      <c r="V110" s="2"/>
      <c r="W110" s="2"/>
      <c r="X110" s="2"/>
      <c r="Y110" s="2"/>
      <c r="Z110" s="2"/>
    </row>
    <row r="111" spans="1:26" ht="15.75" customHeight="1" x14ac:dyDescent="0.2">
      <c r="A111" s="11" t="s">
        <v>290</v>
      </c>
      <c r="B111" s="11" t="s">
        <v>23</v>
      </c>
      <c r="C111" s="11" t="s">
        <v>46</v>
      </c>
      <c r="D111" s="11" t="s">
        <v>297</v>
      </c>
      <c r="E111" s="11" t="s">
        <v>563</v>
      </c>
      <c r="F111" s="11" t="s">
        <v>564</v>
      </c>
      <c r="I111" s="11" t="s">
        <v>436</v>
      </c>
      <c r="J111" s="11" t="s">
        <v>565</v>
      </c>
      <c r="K111" s="11" t="s">
        <v>566</v>
      </c>
      <c r="L111" s="75" t="s">
        <v>567</v>
      </c>
      <c r="M111" s="4"/>
      <c r="N111" s="2"/>
      <c r="O111" s="4"/>
      <c r="P111" s="2"/>
      <c r="Q111" s="2"/>
      <c r="R111" s="4"/>
      <c r="S111" s="2"/>
      <c r="T111" s="2"/>
      <c r="U111" s="1"/>
      <c r="V111" s="2"/>
      <c r="W111" s="2"/>
      <c r="X111" s="2"/>
      <c r="Y111" s="2"/>
      <c r="Z111" s="2"/>
    </row>
    <row r="112" spans="1:26" ht="15.75" customHeight="1" x14ac:dyDescent="0.2">
      <c r="A112" s="11" t="s">
        <v>282</v>
      </c>
      <c r="B112" s="11" t="s">
        <v>15</v>
      </c>
      <c r="C112" s="11" t="s">
        <v>40</v>
      </c>
      <c r="D112" s="11" t="s">
        <v>284</v>
      </c>
      <c r="E112" s="11" t="s">
        <v>568</v>
      </c>
      <c r="F112" s="11" t="s">
        <v>569</v>
      </c>
      <c r="I112" s="11" t="s">
        <v>408</v>
      </c>
      <c r="J112" s="11" t="s">
        <v>353</v>
      </c>
      <c r="K112" s="11" t="s">
        <v>570</v>
      </c>
      <c r="L112" s="75" t="s">
        <v>410</v>
      </c>
      <c r="M112" s="4"/>
      <c r="N112" s="2"/>
      <c r="O112" s="4"/>
      <c r="P112" s="2"/>
      <c r="Q112" s="2"/>
      <c r="R112" s="4"/>
      <c r="S112" s="2"/>
      <c r="T112" s="2"/>
      <c r="U112" s="1"/>
      <c r="V112" s="2"/>
      <c r="W112" s="2"/>
      <c r="X112" s="2"/>
      <c r="Y112" s="2"/>
      <c r="Z112" s="2"/>
    </row>
    <row r="113" spans="1:26" ht="15.75" customHeight="1" x14ac:dyDescent="0.2">
      <c r="A113" s="11" t="s">
        <v>322</v>
      </c>
      <c r="B113" s="11" t="s">
        <v>15</v>
      </c>
      <c r="C113" s="11" t="s">
        <v>27</v>
      </c>
      <c r="D113" s="11" t="s">
        <v>346</v>
      </c>
      <c r="E113" s="11" t="s">
        <v>571</v>
      </c>
      <c r="F113" s="11" t="s">
        <v>572</v>
      </c>
      <c r="I113" s="11" t="s">
        <v>361</v>
      </c>
      <c r="J113" s="11" t="s">
        <v>573</v>
      </c>
      <c r="K113" s="11" t="s">
        <v>574</v>
      </c>
      <c r="L113" s="75" t="s">
        <v>364</v>
      </c>
      <c r="M113" s="4"/>
      <c r="N113" s="2"/>
      <c r="O113" s="4"/>
      <c r="P113" s="2"/>
      <c r="Q113" s="2"/>
      <c r="R113" s="4"/>
      <c r="S113" s="2"/>
      <c r="T113" s="2"/>
      <c r="U113" s="1"/>
      <c r="V113" s="2"/>
      <c r="W113" s="2"/>
      <c r="X113" s="2"/>
      <c r="Y113" s="2"/>
      <c r="Z113" s="2"/>
    </row>
    <row r="114" spans="1:26" ht="15.75" customHeight="1" x14ac:dyDescent="0.2">
      <c r="A114" s="11" t="s">
        <v>290</v>
      </c>
      <c r="B114" s="11" t="s">
        <v>15</v>
      </c>
      <c r="C114" s="11" t="s">
        <v>16</v>
      </c>
      <c r="D114" s="11" t="s">
        <v>297</v>
      </c>
      <c r="E114" s="11" t="s">
        <v>563</v>
      </c>
      <c r="F114" s="11" t="s">
        <v>564</v>
      </c>
      <c r="I114" s="11" t="s">
        <v>299</v>
      </c>
      <c r="J114" s="11" t="s">
        <v>313</v>
      </c>
      <c r="K114" s="11" t="s">
        <v>575</v>
      </c>
      <c r="L114" s="75" t="s">
        <v>301</v>
      </c>
      <c r="M114" s="4"/>
      <c r="N114" s="2"/>
      <c r="O114" s="4"/>
      <c r="P114" s="2"/>
      <c r="Q114" s="2"/>
      <c r="R114" s="4"/>
      <c r="S114" s="2"/>
      <c r="T114" s="2"/>
      <c r="U114" s="1"/>
      <c r="V114" s="2"/>
      <c r="W114" s="2"/>
      <c r="X114" s="2"/>
      <c r="Y114" s="2"/>
      <c r="Z114" s="2"/>
    </row>
    <row r="115" spans="1:26" ht="15.75" customHeight="1" x14ac:dyDescent="0.2">
      <c r="A115" s="11" t="s">
        <v>277</v>
      </c>
      <c r="B115" s="11" t="s">
        <v>15</v>
      </c>
      <c r="C115" s="11" t="s">
        <v>129</v>
      </c>
      <c r="D115" s="11" t="s">
        <v>313</v>
      </c>
      <c r="E115" s="11" t="s">
        <v>313</v>
      </c>
      <c r="F115" s="11" t="s">
        <v>576</v>
      </c>
      <c r="I115" s="11" t="s">
        <v>284</v>
      </c>
      <c r="J115" s="11" t="s">
        <v>284</v>
      </c>
      <c r="K115" s="11" t="s">
        <v>577</v>
      </c>
      <c r="L115" s="75" t="s">
        <v>492</v>
      </c>
      <c r="M115" s="4"/>
      <c r="N115" s="2"/>
      <c r="O115" s="4"/>
      <c r="P115" s="2"/>
      <c r="Q115" s="2"/>
      <c r="R115" s="4"/>
      <c r="S115" s="2"/>
      <c r="T115" s="2"/>
      <c r="U115" s="1"/>
      <c r="V115" s="2"/>
      <c r="W115" s="2"/>
      <c r="X115" s="2"/>
      <c r="Y115" s="2"/>
      <c r="Z115" s="2"/>
    </row>
    <row r="116" spans="1:26" ht="15.75" customHeight="1" x14ac:dyDescent="0.2">
      <c r="A116" s="11" t="s">
        <v>578</v>
      </c>
      <c r="B116" s="11" t="s">
        <v>17</v>
      </c>
      <c r="C116" s="11" t="s">
        <v>36</v>
      </c>
      <c r="D116" s="11" t="s">
        <v>395</v>
      </c>
      <c r="E116" s="11" t="s">
        <v>579</v>
      </c>
      <c r="F116" s="11" t="s">
        <v>580</v>
      </c>
      <c r="I116" s="11" t="s">
        <v>306</v>
      </c>
      <c r="J116" s="11" t="s">
        <v>581</v>
      </c>
      <c r="K116" s="11" t="s">
        <v>582</v>
      </c>
      <c r="L116" s="75" t="s">
        <v>398</v>
      </c>
      <c r="M116" s="4"/>
      <c r="N116" s="2"/>
      <c r="O116" s="4"/>
      <c r="P116" s="2"/>
      <c r="Q116" s="2"/>
      <c r="R116" s="4"/>
      <c r="S116" s="2"/>
      <c r="T116" s="2"/>
      <c r="U116" s="1"/>
      <c r="V116" s="2"/>
      <c r="W116" s="2"/>
      <c r="X116" s="2"/>
      <c r="Y116" s="2"/>
      <c r="Z116" s="2"/>
    </row>
    <row r="117" spans="1:26" ht="15.75" customHeight="1" x14ac:dyDescent="0.2">
      <c r="A117" s="11" t="s">
        <v>583</v>
      </c>
      <c r="B117" s="11" t="s">
        <v>17</v>
      </c>
      <c r="C117" s="11" t="s">
        <v>38</v>
      </c>
      <c r="D117" s="11" t="s">
        <v>395</v>
      </c>
      <c r="E117" s="11" t="s">
        <v>584</v>
      </c>
      <c r="F117" s="11" t="s">
        <v>585</v>
      </c>
      <c r="I117" s="11" t="s">
        <v>306</v>
      </c>
      <c r="J117" s="11" t="s">
        <v>586</v>
      </c>
      <c r="K117" s="11" t="s">
        <v>587</v>
      </c>
      <c r="L117" s="75" t="s">
        <v>398</v>
      </c>
      <c r="M117" s="4"/>
      <c r="N117" s="2"/>
      <c r="O117" s="4"/>
      <c r="P117" s="2"/>
      <c r="Q117" s="2"/>
      <c r="R117" s="4"/>
      <c r="S117" s="2"/>
      <c r="T117" s="2"/>
      <c r="U117" s="1"/>
      <c r="V117" s="2"/>
      <c r="W117" s="2"/>
      <c r="X117" s="2"/>
      <c r="Y117" s="2"/>
      <c r="Z117" s="2"/>
    </row>
    <row r="118" spans="1:26" ht="15.75" customHeight="1" x14ac:dyDescent="0.2">
      <c r="A118" s="11" t="s">
        <v>588</v>
      </c>
      <c r="B118" s="11" t="s">
        <v>17</v>
      </c>
      <c r="C118" s="11" t="s">
        <v>82</v>
      </c>
      <c r="D118" s="11" t="s">
        <v>304</v>
      </c>
      <c r="E118" s="11" t="s">
        <v>589</v>
      </c>
      <c r="F118" s="11" t="s">
        <v>590</v>
      </c>
      <c r="I118" s="11" t="s">
        <v>422</v>
      </c>
      <c r="J118" s="11" t="s">
        <v>591</v>
      </c>
      <c r="K118" s="11" t="s">
        <v>592</v>
      </c>
      <c r="L118" s="75" t="s">
        <v>425</v>
      </c>
      <c r="M118" s="4"/>
      <c r="N118" s="2"/>
      <c r="O118" s="4"/>
      <c r="P118" s="2"/>
      <c r="Q118" s="2"/>
      <c r="R118" s="4"/>
      <c r="S118" s="2"/>
      <c r="T118" s="2"/>
      <c r="U118" s="1"/>
      <c r="V118" s="2"/>
      <c r="W118" s="2"/>
      <c r="X118" s="2"/>
      <c r="Y118" s="2"/>
      <c r="Z118" s="2"/>
    </row>
    <row r="119" spans="1:26" ht="15.75" customHeight="1" x14ac:dyDescent="0.2">
      <c r="A119" s="11" t="s">
        <v>411</v>
      </c>
      <c r="B119" s="11" t="s">
        <v>17</v>
      </c>
      <c r="C119" s="11" t="s">
        <v>31</v>
      </c>
      <c r="D119" s="11" t="s">
        <v>291</v>
      </c>
      <c r="E119" s="11" t="s">
        <v>314</v>
      </c>
      <c r="F119" s="11" t="s">
        <v>444</v>
      </c>
      <c r="I119" s="11" t="s">
        <v>375</v>
      </c>
      <c r="J119" s="11" t="s">
        <v>593</v>
      </c>
      <c r="K119" s="11" t="s">
        <v>594</v>
      </c>
      <c r="L119" s="75" t="s">
        <v>377</v>
      </c>
      <c r="M119" s="4"/>
      <c r="N119" s="2"/>
      <c r="O119" s="4"/>
      <c r="P119" s="2"/>
      <c r="Q119" s="2"/>
      <c r="R119" s="4"/>
      <c r="S119" s="2"/>
      <c r="T119" s="2"/>
      <c r="U119" s="1"/>
      <c r="V119" s="2"/>
      <c r="W119" s="2"/>
      <c r="X119" s="2"/>
      <c r="Y119" s="2"/>
      <c r="Z119" s="2"/>
    </row>
    <row r="120" spans="1:26" ht="15.75" customHeight="1" x14ac:dyDescent="0.2">
      <c r="A120" s="11" t="s">
        <v>290</v>
      </c>
      <c r="B120" s="11" t="s">
        <v>17</v>
      </c>
      <c r="C120" s="11" t="s">
        <v>32</v>
      </c>
      <c r="D120" s="11" t="s">
        <v>304</v>
      </c>
      <c r="E120" s="11" t="s">
        <v>335</v>
      </c>
      <c r="F120" s="11" t="s">
        <v>336</v>
      </c>
      <c r="I120" s="11" t="s">
        <v>379</v>
      </c>
      <c r="J120" s="11" t="s">
        <v>595</v>
      </c>
      <c r="K120" s="11" t="s">
        <v>596</v>
      </c>
      <c r="L120" s="75" t="s">
        <v>382</v>
      </c>
      <c r="M120" s="4"/>
      <c r="N120" s="2"/>
      <c r="O120" s="4"/>
      <c r="P120" s="2"/>
      <c r="Q120" s="2"/>
      <c r="R120" s="4"/>
      <c r="S120" s="2"/>
      <c r="T120" s="2"/>
      <c r="U120" s="1"/>
      <c r="V120" s="2"/>
      <c r="W120" s="2"/>
      <c r="X120" s="2"/>
      <c r="Y120" s="2"/>
      <c r="Z120" s="2"/>
    </row>
    <row r="121" spans="1:26" ht="15.75" customHeight="1" x14ac:dyDescent="0.2">
      <c r="A121" s="11" t="s">
        <v>290</v>
      </c>
      <c r="B121" s="11" t="s">
        <v>17</v>
      </c>
      <c r="C121" s="11" t="s">
        <v>33</v>
      </c>
      <c r="D121" s="11" t="s">
        <v>383</v>
      </c>
      <c r="E121" s="11" t="s">
        <v>597</v>
      </c>
      <c r="F121" s="11" t="s">
        <v>598</v>
      </c>
      <c r="I121" s="11" t="s">
        <v>386</v>
      </c>
      <c r="J121" s="11" t="s">
        <v>599</v>
      </c>
      <c r="K121" s="11" t="s">
        <v>600</v>
      </c>
      <c r="L121" s="75" t="s">
        <v>389</v>
      </c>
      <c r="M121" s="4"/>
      <c r="N121" s="2"/>
      <c r="O121" s="4"/>
      <c r="P121" s="2"/>
      <c r="Q121" s="2"/>
      <c r="R121" s="4"/>
      <c r="S121" s="2"/>
      <c r="T121" s="2"/>
      <c r="U121" s="1"/>
      <c r="V121" s="2"/>
      <c r="W121" s="2"/>
      <c r="X121" s="2"/>
      <c r="Y121" s="2"/>
      <c r="Z121" s="2"/>
    </row>
    <row r="122" spans="1:26" ht="15.75" customHeight="1" x14ac:dyDescent="0.2">
      <c r="A122" s="11" t="s">
        <v>277</v>
      </c>
      <c r="B122" s="11" t="s">
        <v>17</v>
      </c>
      <c r="C122" s="11" t="s">
        <v>55</v>
      </c>
      <c r="D122" s="11" t="s">
        <v>310</v>
      </c>
      <c r="E122" s="11" t="s">
        <v>310</v>
      </c>
      <c r="F122" s="11" t="s">
        <v>601</v>
      </c>
      <c r="I122" s="11" t="s">
        <v>313</v>
      </c>
      <c r="J122" s="11" t="s">
        <v>313</v>
      </c>
      <c r="K122" s="11" t="s">
        <v>602</v>
      </c>
      <c r="L122" s="75" t="s">
        <v>316</v>
      </c>
      <c r="M122" s="4"/>
      <c r="N122" s="2"/>
      <c r="O122" s="4"/>
      <c r="P122" s="2"/>
      <c r="Q122" s="2"/>
      <c r="R122" s="4"/>
      <c r="S122" s="2"/>
      <c r="T122" s="2"/>
      <c r="U122" s="1"/>
      <c r="V122" s="2"/>
      <c r="W122" s="2"/>
      <c r="X122" s="2"/>
      <c r="Y122" s="2"/>
      <c r="Z122" s="2"/>
    </row>
    <row r="123" spans="1:26" ht="15.75" customHeight="1" x14ac:dyDescent="0.2">
      <c r="A123" s="11" t="s">
        <v>290</v>
      </c>
      <c r="B123" s="11" t="s">
        <v>4</v>
      </c>
      <c r="C123" s="11" t="s">
        <v>14</v>
      </c>
      <c r="D123" s="11" t="s">
        <v>291</v>
      </c>
      <c r="E123" s="11" t="s">
        <v>292</v>
      </c>
      <c r="F123" s="11" t="s">
        <v>293</v>
      </c>
      <c r="I123" s="11" t="s">
        <v>294</v>
      </c>
      <c r="J123" s="11" t="s">
        <v>270</v>
      </c>
      <c r="K123" s="11" t="s">
        <v>295</v>
      </c>
      <c r="L123" s="75" t="s">
        <v>296</v>
      </c>
      <c r="M123" s="4"/>
      <c r="N123" s="2"/>
      <c r="O123" s="4"/>
      <c r="P123" s="2"/>
      <c r="Q123" s="2"/>
      <c r="R123" s="4"/>
      <c r="S123" s="2"/>
      <c r="T123" s="2"/>
      <c r="U123" s="1"/>
      <c r="V123" s="2"/>
      <c r="W123" s="2"/>
      <c r="X123" s="2"/>
      <c r="Y123" s="2"/>
      <c r="Z123" s="2"/>
    </row>
    <row r="124" spans="1:26" ht="15.75" customHeight="1" x14ac:dyDescent="0.2">
      <c r="A124" s="11" t="s">
        <v>341</v>
      </c>
      <c r="B124" s="11" t="s">
        <v>17</v>
      </c>
      <c r="C124" s="11" t="s">
        <v>99</v>
      </c>
      <c r="D124" s="11" t="s">
        <v>392</v>
      </c>
      <c r="E124" s="11" t="s">
        <v>306</v>
      </c>
      <c r="F124" s="11" t="s">
        <v>603</v>
      </c>
      <c r="I124" s="11" t="s">
        <v>453</v>
      </c>
      <c r="J124" s="11" t="s">
        <v>604</v>
      </c>
      <c r="K124" s="11" t="s">
        <v>605</v>
      </c>
      <c r="L124" s="75" t="s">
        <v>455</v>
      </c>
      <c r="M124" s="4"/>
      <c r="N124" s="2"/>
      <c r="O124" s="4"/>
      <c r="P124" s="2"/>
      <c r="Q124" s="2"/>
      <c r="R124" s="4"/>
      <c r="S124" s="2"/>
      <c r="T124" s="2"/>
      <c r="U124" s="1"/>
      <c r="V124" s="2"/>
      <c r="W124" s="2"/>
      <c r="X124" s="2"/>
      <c r="Y124" s="2"/>
      <c r="Z124" s="2"/>
    </row>
    <row r="125" spans="1:26" ht="15.75" customHeight="1" x14ac:dyDescent="0.2">
      <c r="A125" s="11" t="s">
        <v>277</v>
      </c>
      <c r="B125" s="11" t="s">
        <v>21</v>
      </c>
      <c r="C125" s="11" t="s">
        <v>34</v>
      </c>
      <c r="D125" s="11" t="s">
        <v>390</v>
      </c>
      <c r="E125" s="11" t="s">
        <v>390</v>
      </c>
      <c r="F125" s="11" t="s">
        <v>391</v>
      </c>
      <c r="I125" s="11" t="s">
        <v>392</v>
      </c>
      <c r="J125" s="11" t="s">
        <v>392</v>
      </c>
      <c r="K125" s="11" t="s">
        <v>393</v>
      </c>
      <c r="L125" s="75" t="s">
        <v>394</v>
      </c>
      <c r="M125" s="4"/>
      <c r="N125" s="2"/>
      <c r="O125" s="4"/>
      <c r="P125" s="2"/>
      <c r="Q125" s="2"/>
      <c r="R125" s="4"/>
      <c r="S125" s="2"/>
      <c r="T125" s="2"/>
      <c r="U125" s="1"/>
      <c r="V125" s="2"/>
      <c r="W125" s="2"/>
      <c r="X125" s="2"/>
      <c r="Y125" s="2"/>
      <c r="Z125" s="2"/>
    </row>
    <row r="126" spans="1:26" ht="15.75" customHeight="1" x14ac:dyDescent="0.2">
      <c r="A126" s="11" t="s">
        <v>277</v>
      </c>
      <c r="B126" s="11" t="s">
        <v>21</v>
      </c>
      <c r="C126" s="11" t="s">
        <v>42</v>
      </c>
      <c r="D126" s="11" t="s">
        <v>270</v>
      </c>
      <c r="E126" s="11" t="s">
        <v>270</v>
      </c>
      <c r="F126" s="11" t="s">
        <v>498</v>
      </c>
      <c r="I126" s="11" t="s">
        <v>273</v>
      </c>
      <c r="J126" s="11" t="s">
        <v>273</v>
      </c>
      <c r="K126" s="11" t="s">
        <v>499</v>
      </c>
      <c r="L126" s="75" t="s">
        <v>276</v>
      </c>
      <c r="M126" s="4"/>
      <c r="N126" s="2"/>
      <c r="O126" s="4"/>
      <c r="P126" s="2"/>
      <c r="Q126" s="2"/>
      <c r="R126" s="4"/>
      <c r="S126" s="2"/>
      <c r="T126" s="2"/>
      <c r="U126" s="1"/>
      <c r="V126" s="2"/>
      <c r="W126" s="2"/>
      <c r="X126" s="2"/>
      <c r="Y126" s="2"/>
      <c r="Z126" s="2"/>
    </row>
    <row r="127" spans="1:26" ht="15.75" customHeight="1" x14ac:dyDescent="0.2">
      <c r="A127" s="11" t="s">
        <v>277</v>
      </c>
      <c r="B127" s="11" t="s">
        <v>4</v>
      </c>
      <c r="C127" s="11" t="s">
        <v>64</v>
      </c>
      <c r="D127" s="11" t="s">
        <v>366</v>
      </c>
      <c r="E127" s="11" t="s">
        <v>366</v>
      </c>
      <c r="F127" s="11" t="s">
        <v>523</v>
      </c>
      <c r="I127" s="11" t="s">
        <v>306</v>
      </c>
      <c r="J127" s="11" t="s">
        <v>306</v>
      </c>
      <c r="K127" s="11" t="s">
        <v>606</v>
      </c>
      <c r="L127" s="75" t="s">
        <v>394</v>
      </c>
      <c r="M127" s="4"/>
      <c r="N127" s="2"/>
      <c r="O127" s="4"/>
      <c r="P127" s="2"/>
      <c r="Q127" s="2"/>
      <c r="R127" s="4"/>
      <c r="S127" s="2"/>
      <c r="T127" s="2"/>
      <c r="U127" s="1"/>
      <c r="V127" s="2"/>
      <c r="W127" s="2"/>
      <c r="X127" s="2"/>
      <c r="Y127" s="2"/>
      <c r="Z127" s="2"/>
    </row>
    <row r="128" spans="1:26" ht="15.75" customHeight="1" x14ac:dyDescent="0.2">
      <c r="A128" s="11" t="s">
        <v>290</v>
      </c>
      <c r="B128" s="11" t="s">
        <v>4</v>
      </c>
      <c r="C128" s="11" t="s">
        <v>52</v>
      </c>
      <c r="D128" s="11" t="s">
        <v>392</v>
      </c>
      <c r="E128" s="11" t="s">
        <v>317</v>
      </c>
      <c r="F128" s="11" t="s">
        <v>318</v>
      </c>
      <c r="I128" s="11" t="s">
        <v>607</v>
      </c>
      <c r="J128" s="11" t="s">
        <v>303</v>
      </c>
      <c r="K128" s="11" t="s">
        <v>608</v>
      </c>
      <c r="L128" s="75" t="s">
        <v>394</v>
      </c>
      <c r="M128" s="4"/>
      <c r="N128" s="2"/>
      <c r="O128" s="4"/>
      <c r="P128" s="2"/>
      <c r="Q128" s="2"/>
      <c r="R128" s="4"/>
      <c r="S128" s="2"/>
      <c r="T128" s="2"/>
      <c r="U128" s="1"/>
      <c r="V128" s="2"/>
      <c r="W128" s="2"/>
      <c r="X128" s="2"/>
      <c r="Y128" s="2"/>
      <c r="Z128" s="2"/>
    </row>
    <row r="129" spans="1:26" ht="15.75" customHeight="1" x14ac:dyDescent="0.2">
      <c r="A129" s="11" t="s">
        <v>282</v>
      </c>
      <c r="B129" s="11" t="s">
        <v>4</v>
      </c>
      <c r="C129" s="11" t="s">
        <v>65</v>
      </c>
      <c r="D129" s="11" t="s">
        <v>303</v>
      </c>
      <c r="E129" s="11" t="s">
        <v>292</v>
      </c>
      <c r="F129" s="11" t="s">
        <v>293</v>
      </c>
      <c r="I129" s="11" t="s">
        <v>609</v>
      </c>
      <c r="J129" s="11" t="s">
        <v>390</v>
      </c>
      <c r="K129" s="11" t="s">
        <v>610</v>
      </c>
      <c r="L129" s="75" t="s">
        <v>611</v>
      </c>
      <c r="M129" s="4"/>
      <c r="N129" s="2"/>
      <c r="O129" s="4"/>
      <c r="P129" s="2"/>
      <c r="Q129" s="2"/>
      <c r="R129" s="4"/>
      <c r="S129" s="2"/>
      <c r="T129" s="2"/>
      <c r="U129" s="1"/>
      <c r="V129" s="2"/>
      <c r="W129" s="2"/>
      <c r="X129" s="2"/>
      <c r="Y129" s="2"/>
      <c r="Z129" s="2"/>
    </row>
    <row r="130" spans="1:26" ht="15.75" customHeight="1" x14ac:dyDescent="0.2">
      <c r="A130" s="11" t="s">
        <v>277</v>
      </c>
      <c r="B130" s="11" t="s">
        <v>17</v>
      </c>
      <c r="C130" s="11" t="s">
        <v>93</v>
      </c>
      <c r="D130" s="11" t="s">
        <v>283</v>
      </c>
      <c r="E130" s="11" t="s">
        <v>283</v>
      </c>
      <c r="F130" s="11" t="s">
        <v>365</v>
      </c>
      <c r="I130" s="11" t="s">
        <v>612</v>
      </c>
      <c r="J130" s="11" t="s">
        <v>612</v>
      </c>
      <c r="K130" s="11" t="s">
        <v>613</v>
      </c>
      <c r="L130" s="75" t="s">
        <v>614</v>
      </c>
      <c r="M130" s="4"/>
      <c r="N130" s="2"/>
      <c r="O130" s="4"/>
      <c r="P130" s="2"/>
      <c r="Q130" s="2"/>
      <c r="R130" s="4"/>
      <c r="S130" s="2"/>
      <c r="T130" s="2"/>
      <c r="U130" s="1"/>
      <c r="V130" s="2"/>
      <c r="W130" s="2"/>
      <c r="X130" s="2"/>
      <c r="Y130" s="2"/>
      <c r="Z130" s="2"/>
    </row>
    <row r="131" spans="1:26" ht="15.75" customHeight="1" x14ac:dyDescent="0.2">
      <c r="A131" s="11" t="s">
        <v>290</v>
      </c>
      <c r="B131" s="11" t="s">
        <v>21</v>
      </c>
      <c r="C131" s="11" t="s">
        <v>133</v>
      </c>
      <c r="D131" s="11" t="s">
        <v>283</v>
      </c>
      <c r="E131" s="11" t="s">
        <v>327</v>
      </c>
      <c r="F131" s="11" t="s">
        <v>432</v>
      </c>
      <c r="I131" s="11" t="s">
        <v>306</v>
      </c>
      <c r="J131" s="11" t="s">
        <v>392</v>
      </c>
      <c r="K131" s="11" t="s">
        <v>501</v>
      </c>
      <c r="L131" s="75" t="s">
        <v>276</v>
      </c>
      <c r="M131" s="4"/>
      <c r="N131" s="2"/>
      <c r="O131" s="4"/>
      <c r="P131" s="2"/>
      <c r="Q131" s="2"/>
      <c r="R131" s="4"/>
      <c r="S131" s="2"/>
      <c r="T131" s="2"/>
      <c r="U131" s="1"/>
      <c r="V131" s="2"/>
      <c r="W131" s="2"/>
      <c r="X131" s="2"/>
      <c r="Y131" s="2"/>
      <c r="Z131" s="2"/>
    </row>
    <row r="132" spans="1:26" ht="15.75" customHeight="1" x14ac:dyDescent="0.2">
      <c r="A132" s="11" t="s">
        <v>290</v>
      </c>
      <c r="B132" s="11" t="s">
        <v>21</v>
      </c>
      <c r="C132" s="11" t="s">
        <v>28</v>
      </c>
      <c r="D132" s="11" t="s">
        <v>283</v>
      </c>
      <c r="E132" s="11" t="s">
        <v>327</v>
      </c>
      <c r="F132" s="11" t="s">
        <v>432</v>
      </c>
      <c r="I132" s="11" t="s">
        <v>366</v>
      </c>
      <c r="J132" s="11" t="s">
        <v>390</v>
      </c>
      <c r="K132" s="11" t="s">
        <v>615</v>
      </c>
      <c r="L132" s="75" t="s">
        <v>348</v>
      </c>
      <c r="M132" s="4"/>
      <c r="N132" s="2"/>
      <c r="O132" s="4"/>
      <c r="P132" s="2"/>
      <c r="Q132" s="2"/>
      <c r="R132" s="4"/>
      <c r="S132" s="2"/>
      <c r="T132" s="2"/>
      <c r="U132" s="1"/>
      <c r="V132" s="2"/>
      <c r="W132" s="2"/>
      <c r="X132" s="2"/>
      <c r="Y132" s="2"/>
      <c r="Z132" s="2"/>
    </row>
    <row r="133" spans="1:26" ht="15.75" customHeight="1" x14ac:dyDescent="0.2">
      <c r="A133" s="11" t="s">
        <v>277</v>
      </c>
      <c r="B133" s="11" t="s">
        <v>21</v>
      </c>
      <c r="C133" s="11" t="s">
        <v>29</v>
      </c>
      <c r="D133" s="11" t="s">
        <v>369</v>
      </c>
      <c r="E133" s="11" t="s">
        <v>369</v>
      </c>
      <c r="F133" s="11" t="s">
        <v>616</v>
      </c>
      <c r="I133" s="11" t="s">
        <v>273</v>
      </c>
      <c r="J133" s="11" t="s">
        <v>273</v>
      </c>
      <c r="K133" s="11" t="s">
        <v>617</v>
      </c>
      <c r="L133" s="75" t="s">
        <v>373</v>
      </c>
      <c r="M133" s="4"/>
      <c r="N133" s="2"/>
      <c r="O133" s="4"/>
      <c r="P133" s="2"/>
      <c r="Q133" s="2"/>
      <c r="R133" s="4"/>
      <c r="S133" s="2"/>
      <c r="T133" s="2"/>
      <c r="U133" s="1"/>
      <c r="V133" s="2"/>
      <c r="W133" s="2"/>
      <c r="X133" s="2"/>
      <c r="Y133" s="2"/>
      <c r="Z133" s="2"/>
    </row>
    <row r="134" spans="1:26" ht="15.75" customHeight="1" x14ac:dyDescent="0.2">
      <c r="A134" s="11" t="s">
        <v>290</v>
      </c>
      <c r="B134" s="11" t="s">
        <v>4</v>
      </c>
      <c r="C134" s="11" t="s">
        <v>13</v>
      </c>
      <c r="D134" s="11" t="s">
        <v>271</v>
      </c>
      <c r="E134" s="11" t="s">
        <v>395</v>
      </c>
      <c r="F134" s="11" t="s">
        <v>399</v>
      </c>
      <c r="I134" s="11" t="s">
        <v>483</v>
      </c>
      <c r="J134" s="11" t="s">
        <v>484</v>
      </c>
      <c r="K134" s="11" t="s">
        <v>485</v>
      </c>
      <c r="L134" s="75" t="s">
        <v>486</v>
      </c>
      <c r="M134" s="4"/>
      <c r="N134" s="2"/>
      <c r="O134" s="4"/>
      <c r="P134" s="2"/>
      <c r="Q134" s="2"/>
      <c r="R134" s="4"/>
      <c r="S134" s="2"/>
      <c r="T134" s="2"/>
      <c r="U134" s="1"/>
      <c r="V134" s="2"/>
      <c r="W134" s="2"/>
      <c r="X134" s="2"/>
      <c r="Y134" s="2"/>
      <c r="Z134" s="2"/>
    </row>
    <row r="135" spans="1:26" ht="15.75" customHeight="1" x14ac:dyDescent="0.2">
      <c r="A135" s="11" t="s">
        <v>277</v>
      </c>
      <c r="B135" s="11" t="s">
        <v>17</v>
      </c>
      <c r="C135" s="11" t="s">
        <v>30</v>
      </c>
      <c r="D135" s="11" t="s">
        <v>273</v>
      </c>
      <c r="E135" s="11" t="s">
        <v>273</v>
      </c>
      <c r="F135" s="11" t="s">
        <v>278</v>
      </c>
      <c r="I135" s="11" t="s">
        <v>514</v>
      </c>
      <c r="J135" s="11" t="s">
        <v>514</v>
      </c>
      <c r="K135" s="11" t="s">
        <v>515</v>
      </c>
      <c r="L135" s="75" t="s">
        <v>516</v>
      </c>
      <c r="M135" s="4"/>
      <c r="N135" s="2"/>
      <c r="O135" s="4"/>
      <c r="P135" s="2"/>
      <c r="Q135" s="2"/>
      <c r="R135" s="4"/>
      <c r="S135" s="2"/>
      <c r="T135" s="2"/>
      <c r="U135" s="1"/>
      <c r="V135" s="2"/>
      <c r="W135" s="2"/>
      <c r="X135" s="2"/>
      <c r="Y135" s="2"/>
      <c r="Z135" s="2"/>
    </row>
    <row r="136" spans="1:26" ht="15.75" customHeight="1" x14ac:dyDescent="0.2">
      <c r="A136" s="11" t="s">
        <v>290</v>
      </c>
      <c r="B136" s="11" t="s">
        <v>17</v>
      </c>
      <c r="C136" s="11" t="s">
        <v>61</v>
      </c>
      <c r="D136" s="11" t="s">
        <v>426</v>
      </c>
      <c r="E136" s="11" t="s">
        <v>618</v>
      </c>
      <c r="F136" s="11" t="s">
        <v>619</v>
      </c>
      <c r="I136" s="11" t="s">
        <v>386</v>
      </c>
      <c r="J136" s="11" t="s">
        <v>599</v>
      </c>
      <c r="K136" s="11" t="s">
        <v>620</v>
      </c>
      <c r="L136" s="75" t="s">
        <v>429</v>
      </c>
      <c r="M136" s="4"/>
      <c r="N136" s="2"/>
      <c r="O136" s="4"/>
      <c r="P136" s="2"/>
      <c r="Q136" s="2"/>
      <c r="R136" s="4"/>
      <c r="S136" s="2"/>
      <c r="T136" s="2"/>
      <c r="U136" s="1"/>
      <c r="V136" s="2"/>
      <c r="W136" s="2"/>
      <c r="X136" s="2"/>
      <c r="Y136" s="2"/>
      <c r="Z136" s="2"/>
    </row>
    <row r="137" spans="1:26" ht="15.75" customHeight="1" x14ac:dyDescent="0.2">
      <c r="A137" s="11" t="s">
        <v>322</v>
      </c>
      <c r="B137" s="11" t="s">
        <v>17</v>
      </c>
      <c r="C137" s="11" t="s">
        <v>56</v>
      </c>
      <c r="D137" s="11" t="s">
        <v>326</v>
      </c>
      <c r="E137" s="11" t="s">
        <v>327</v>
      </c>
      <c r="F137" s="11" t="s">
        <v>432</v>
      </c>
      <c r="I137" s="11" t="s">
        <v>607</v>
      </c>
      <c r="J137" s="11" t="s">
        <v>317</v>
      </c>
      <c r="K137" s="11" t="s">
        <v>621</v>
      </c>
      <c r="L137" s="75" t="s">
        <v>622</v>
      </c>
      <c r="M137" s="4"/>
      <c r="N137" s="2"/>
      <c r="O137" s="4"/>
      <c r="P137" s="2"/>
      <c r="Q137" s="2"/>
      <c r="R137" s="4"/>
      <c r="S137" s="2"/>
      <c r="T137" s="2"/>
      <c r="U137" s="1"/>
      <c r="V137" s="2"/>
      <c r="W137" s="2"/>
      <c r="X137" s="2"/>
      <c r="Y137" s="2"/>
      <c r="Z137" s="2"/>
    </row>
    <row r="138" spans="1:26" ht="15.75" customHeight="1" x14ac:dyDescent="0.2">
      <c r="A138" s="11" t="s">
        <v>322</v>
      </c>
      <c r="B138" s="11" t="s">
        <v>17</v>
      </c>
      <c r="C138" s="11" t="s">
        <v>18</v>
      </c>
      <c r="D138" s="11" t="s">
        <v>303</v>
      </c>
      <c r="E138" s="11" t="s">
        <v>299</v>
      </c>
      <c r="F138" s="11" t="s">
        <v>494</v>
      </c>
      <c r="I138" s="11" t="s">
        <v>306</v>
      </c>
      <c r="J138" s="11" t="s">
        <v>390</v>
      </c>
      <c r="K138" s="11" t="s">
        <v>623</v>
      </c>
      <c r="L138" s="75" t="s">
        <v>308</v>
      </c>
      <c r="M138" s="4"/>
      <c r="N138" s="2"/>
      <c r="O138" s="4"/>
      <c r="P138" s="2"/>
      <c r="Q138" s="2"/>
      <c r="R138" s="4"/>
      <c r="S138" s="2"/>
      <c r="T138" s="2"/>
      <c r="U138" s="1"/>
      <c r="V138" s="2"/>
      <c r="W138" s="2"/>
      <c r="X138" s="2"/>
      <c r="Y138" s="2"/>
      <c r="Z138" s="2"/>
    </row>
    <row r="139" spans="1:26" ht="15.75" customHeight="1" x14ac:dyDescent="0.2">
      <c r="A139" s="11" t="s">
        <v>447</v>
      </c>
      <c r="B139" s="11" t="s">
        <v>21</v>
      </c>
      <c r="C139" s="11" t="s">
        <v>22</v>
      </c>
      <c r="D139" s="11" t="s">
        <v>323</v>
      </c>
      <c r="E139" s="11" t="s">
        <v>448</v>
      </c>
      <c r="F139" s="11" t="s">
        <v>449</v>
      </c>
      <c r="I139" s="11" t="s">
        <v>326</v>
      </c>
      <c r="J139" s="11" t="s">
        <v>450</v>
      </c>
      <c r="K139" s="11" t="s">
        <v>451</v>
      </c>
      <c r="L139" s="75" t="s">
        <v>329</v>
      </c>
      <c r="M139" s="4"/>
      <c r="N139" s="2"/>
      <c r="O139" s="4"/>
      <c r="P139" s="2"/>
      <c r="Q139" s="2"/>
      <c r="R139" s="4"/>
      <c r="S139" s="2"/>
      <c r="T139" s="2"/>
      <c r="U139" s="1"/>
      <c r="V139" s="2"/>
      <c r="W139" s="2"/>
      <c r="X139" s="2"/>
      <c r="Y139" s="2"/>
      <c r="Z139" s="2"/>
    </row>
    <row r="140" spans="1:26" ht="15.75" customHeight="1" x14ac:dyDescent="0.2">
      <c r="A140" s="11" t="s">
        <v>277</v>
      </c>
      <c r="B140" s="11" t="s">
        <v>21</v>
      </c>
      <c r="C140" s="11" t="s">
        <v>51</v>
      </c>
      <c r="D140" s="11" t="s">
        <v>273</v>
      </c>
      <c r="E140" s="11" t="s">
        <v>273</v>
      </c>
      <c r="F140" s="11" t="s">
        <v>278</v>
      </c>
      <c r="I140" s="11" t="s">
        <v>279</v>
      </c>
      <c r="J140" s="11" t="s">
        <v>279</v>
      </c>
      <c r="K140" s="11" t="s">
        <v>280</v>
      </c>
      <c r="L140" s="75" t="s">
        <v>281</v>
      </c>
      <c r="M140" s="4"/>
      <c r="N140" s="2"/>
      <c r="O140" s="4"/>
      <c r="P140" s="2"/>
      <c r="Q140" s="2"/>
      <c r="R140" s="4"/>
      <c r="S140" s="2"/>
      <c r="T140" s="2"/>
      <c r="U140" s="1"/>
      <c r="V140" s="2"/>
      <c r="W140" s="2"/>
      <c r="X140" s="2"/>
      <c r="Y140" s="2"/>
      <c r="Z140" s="2"/>
    </row>
    <row r="141" spans="1:26" ht="15.75" customHeight="1" x14ac:dyDescent="0.2">
      <c r="A141" s="11" t="s">
        <v>277</v>
      </c>
      <c r="B141" s="11" t="s">
        <v>17</v>
      </c>
      <c r="C141" s="11" t="s">
        <v>19</v>
      </c>
      <c r="D141" s="11" t="s">
        <v>317</v>
      </c>
      <c r="E141" s="11" t="s">
        <v>317</v>
      </c>
      <c r="F141" s="11" t="s">
        <v>318</v>
      </c>
      <c r="I141" s="11" t="s">
        <v>319</v>
      </c>
      <c r="J141" s="11" t="s">
        <v>319</v>
      </c>
      <c r="K141" s="11" t="s">
        <v>320</v>
      </c>
      <c r="L141" s="75" t="s">
        <v>321</v>
      </c>
      <c r="M141" s="4"/>
      <c r="N141" s="2"/>
      <c r="O141" s="4"/>
      <c r="P141" s="2"/>
      <c r="Q141" s="2"/>
      <c r="R141" s="4"/>
      <c r="S141" s="2"/>
      <c r="T141" s="2"/>
      <c r="U141" s="1"/>
      <c r="V141" s="2"/>
      <c r="W141" s="2"/>
      <c r="X141" s="2"/>
      <c r="Y141" s="2"/>
      <c r="Z141" s="2"/>
    </row>
    <row r="142" spans="1:26" ht="15.75" customHeight="1" x14ac:dyDescent="0.2">
      <c r="A142" s="11" t="s">
        <v>277</v>
      </c>
      <c r="B142" s="11" t="s">
        <v>23</v>
      </c>
      <c r="C142" s="11" t="s">
        <v>24</v>
      </c>
      <c r="D142" s="11" t="s">
        <v>342</v>
      </c>
      <c r="E142" s="11" t="s">
        <v>342</v>
      </c>
      <c r="F142" s="11" t="s">
        <v>624</v>
      </c>
      <c r="I142" s="11" t="s">
        <v>345</v>
      </c>
      <c r="J142" s="11" t="s">
        <v>345</v>
      </c>
      <c r="K142" s="11" t="s">
        <v>625</v>
      </c>
      <c r="L142" s="75" t="s">
        <v>348</v>
      </c>
      <c r="M142" s="4"/>
      <c r="N142" s="2"/>
      <c r="O142" s="4"/>
      <c r="P142" s="2"/>
      <c r="Q142" s="2"/>
      <c r="R142" s="4"/>
      <c r="S142" s="2"/>
      <c r="T142" s="2"/>
      <c r="U142" s="1"/>
      <c r="V142" s="2"/>
      <c r="W142" s="2"/>
      <c r="X142" s="2"/>
      <c r="Y142" s="2"/>
      <c r="Z142" s="2"/>
    </row>
    <row r="143" spans="1:26" ht="15.75" customHeight="1" x14ac:dyDescent="0.2">
      <c r="A143" s="11" t="s">
        <v>277</v>
      </c>
      <c r="B143" s="11" t="s">
        <v>23</v>
      </c>
      <c r="C143" s="11" t="s">
        <v>25</v>
      </c>
      <c r="D143" s="11" t="s">
        <v>349</v>
      </c>
      <c r="E143" s="11" t="s">
        <v>349</v>
      </c>
      <c r="F143" s="11" t="s">
        <v>556</v>
      </c>
      <c r="I143" s="11" t="s">
        <v>342</v>
      </c>
      <c r="J143" s="11" t="s">
        <v>342</v>
      </c>
      <c r="K143" s="11" t="s">
        <v>626</v>
      </c>
      <c r="L143" s="75" t="s">
        <v>348</v>
      </c>
      <c r="M143" s="4"/>
      <c r="N143" s="2"/>
      <c r="O143" s="4"/>
      <c r="P143" s="2"/>
      <c r="Q143" s="2"/>
      <c r="R143" s="4"/>
      <c r="S143" s="2"/>
      <c r="T143" s="2"/>
      <c r="U143" s="1"/>
      <c r="V143" s="2"/>
      <c r="W143" s="2"/>
      <c r="X143" s="2"/>
      <c r="Y143" s="2"/>
      <c r="Z143" s="2"/>
    </row>
    <row r="144" spans="1:26" ht="15.75" customHeight="1" x14ac:dyDescent="0.2">
      <c r="A144" s="11" t="s">
        <v>290</v>
      </c>
      <c r="B144" s="11" t="s">
        <v>23</v>
      </c>
      <c r="C144" s="11" t="s">
        <v>26</v>
      </c>
      <c r="D144" s="11" t="s">
        <v>353</v>
      </c>
      <c r="E144" s="11" t="s">
        <v>510</v>
      </c>
      <c r="F144" s="11" t="s">
        <v>511</v>
      </c>
      <c r="I144" s="11" t="s">
        <v>356</v>
      </c>
      <c r="J144" s="11" t="s">
        <v>512</v>
      </c>
      <c r="K144" s="11" t="s">
        <v>513</v>
      </c>
      <c r="L144" s="75" t="s">
        <v>359</v>
      </c>
      <c r="M144" s="4"/>
      <c r="N144" s="2"/>
      <c r="O144" s="4"/>
      <c r="P144" s="2"/>
      <c r="Q144" s="2"/>
      <c r="R144" s="4"/>
      <c r="S144" s="2"/>
      <c r="T144" s="2"/>
      <c r="U144" s="1"/>
      <c r="V144" s="2"/>
      <c r="W144" s="2"/>
      <c r="X144" s="2"/>
      <c r="Y144" s="2"/>
      <c r="Z144" s="2"/>
    </row>
    <row r="145" spans="1:26" ht="15.75" customHeight="1" x14ac:dyDescent="0.2">
      <c r="A145" s="11" t="s">
        <v>277</v>
      </c>
      <c r="B145" s="11" t="s">
        <v>86</v>
      </c>
      <c r="C145" s="11" t="s">
        <v>49</v>
      </c>
      <c r="D145" s="11" t="s">
        <v>627</v>
      </c>
      <c r="E145" s="11" t="s">
        <v>627</v>
      </c>
      <c r="F145" s="11" t="s">
        <v>628</v>
      </c>
      <c r="I145" s="11" t="s">
        <v>350</v>
      </c>
      <c r="J145" s="11" t="s">
        <v>350</v>
      </c>
      <c r="K145" s="11" t="s">
        <v>629</v>
      </c>
      <c r="L145" s="75" t="s">
        <v>630</v>
      </c>
      <c r="M145" s="4"/>
      <c r="N145" s="2"/>
      <c r="O145" s="4"/>
      <c r="P145" s="2"/>
      <c r="Q145" s="2"/>
      <c r="R145" s="4"/>
      <c r="S145" s="2"/>
      <c r="T145" s="2"/>
      <c r="U145" s="1"/>
      <c r="V145" s="2"/>
      <c r="W145" s="2"/>
      <c r="X145" s="2"/>
      <c r="Y145" s="2"/>
      <c r="Z145" s="2"/>
    </row>
    <row r="146" spans="1:26" ht="15.75" customHeight="1" x14ac:dyDescent="0.2">
      <c r="A146" s="11" t="s">
        <v>631</v>
      </c>
      <c r="B146" s="11" t="s">
        <v>17</v>
      </c>
      <c r="C146" s="11" t="s">
        <v>62</v>
      </c>
      <c r="D146" s="11" t="s">
        <v>283</v>
      </c>
      <c r="E146" s="11" t="s">
        <v>632</v>
      </c>
      <c r="F146" s="11" t="s">
        <v>633</v>
      </c>
      <c r="H146" s="24"/>
      <c r="I146" s="11" t="s">
        <v>286</v>
      </c>
      <c r="J146" s="11" t="s">
        <v>634</v>
      </c>
      <c r="K146" s="11" t="s">
        <v>635</v>
      </c>
      <c r="L146" s="75" t="s">
        <v>289</v>
      </c>
      <c r="M146" s="4"/>
      <c r="N146" s="2"/>
      <c r="O146" s="4"/>
      <c r="P146" s="2"/>
      <c r="Q146" s="2"/>
      <c r="R146" s="4"/>
      <c r="S146" s="2"/>
      <c r="T146" s="2"/>
      <c r="U146" s="1"/>
      <c r="V146" s="2"/>
      <c r="W146" s="2"/>
      <c r="X146" s="2"/>
      <c r="Y146" s="2"/>
      <c r="Z146" s="2"/>
    </row>
    <row r="147" spans="1:26" ht="15.75" customHeight="1" x14ac:dyDescent="0.2">
      <c r="A147" s="11" t="s">
        <v>290</v>
      </c>
      <c r="B147" s="11" t="s">
        <v>17</v>
      </c>
      <c r="C147" s="11" t="s">
        <v>89</v>
      </c>
      <c r="D147" s="11" t="s">
        <v>330</v>
      </c>
      <c r="E147" s="11" t="s">
        <v>356</v>
      </c>
      <c r="F147" s="11" t="s">
        <v>636</v>
      </c>
      <c r="I147" s="11" t="s">
        <v>332</v>
      </c>
      <c r="J147" s="11" t="s">
        <v>557</v>
      </c>
      <c r="K147" s="11" t="s">
        <v>637</v>
      </c>
      <c r="L147" s="75" t="s">
        <v>334</v>
      </c>
      <c r="M147" s="4"/>
      <c r="N147" s="2"/>
      <c r="O147" s="4"/>
      <c r="P147" s="2"/>
      <c r="Q147" s="2"/>
      <c r="R147" s="4"/>
      <c r="S147" s="2"/>
      <c r="T147" s="2"/>
      <c r="U147" s="1"/>
      <c r="V147" s="2"/>
      <c r="W147" s="2"/>
      <c r="X147" s="2"/>
      <c r="Y147" s="2"/>
      <c r="Z147" s="2"/>
    </row>
    <row r="148" spans="1:26" ht="15.75" customHeight="1" x14ac:dyDescent="0.2">
      <c r="A148" s="11" t="s">
        <v>277</v>
      </c>
      <c r="B148" s="11" t="s">
        <v>23</v>
      </c>
      <c r="C148" s="11" t="s">
        <v>12</v>
      </c>
      <c r="D148" s="11" t="s">
        <v>543</v>
      </c>
      <c r="E148" s="11" t="s">
        <v>543</v>
      </c>
      <c r="F148" s="11" t="s">
        <v>544</v>
      </c>
      <c r="I148" s="11" t="s">
        <v>543</v>
      </c>
      <c r="J148" s="11" t="s">
        <v>543</v>
      </c>
      <c r="K148" s="11" t="s">
        <v>545</v>
      </c>
      <c r="L148" s="75" t="s">
        <v>546</v>
      </c>
      <c r="M148" s="4"/>
      <c r="N148" s="2"/>
      <c r="O148" s="4"/>
      <c r="P148" s="2"/>
      <c r="Q148" s="2"/>
      <c r="R148" s="4"/>
      <c r="S148" s="2"/>
      <c r="T148" s="2"/>
      <c r="U148" s="1"/>
      <c r="V148" s="2"/>
      <c r="W148" s="2"/>
      <c r="X148" s="2"/>
      <c r="Y148" s="2"/>
      <c r="Z148" s="2"/>
    </row>
    <row r="149" spans="1:26" ht="15.75" customHeight="1" x14ac:dyDescent="0.2">
      <c r="M149" s="4"/>
      <c r="N149" s="2"/>
      <c r="O149" s="4"/>
      <c r="P149" s="2"/>
      <c r="Q149" s="2"/>
      <c r="R149" s="4"/>
      <c r="S149" s="2"/>
      <c r="T149" s="2"/>
      <c r="U149" s="1"/>
      <c r="V149" s="2"/>
      <c r="W149" s="2"/>
      <c r="X149" s="2"/>
      <c r="Y149" s="2"/>
      <c r="Z149" s="2"/>
    </row>
    <row r="150" spans="1:26" ht="15.75" customHeight="1" x14ac:dyDescent="0.2">
      <c r="E150" s="11" t="s">
        <v>638</v>
      </c>
      <c r="F150" s="11" t="s">
        <v>639</v>
      </c>
      <c r="K150" s="11" t="s">
        <v>640</v>
      </c>
      <c r="L150" s="75" t="s">
        <v>641</v>
      </c>
      <c r="M150" s="4"/>
      <c r="N150" s="2"/>
      <c r="O150" s="4"/>
      <c r="P150" s="2"/>
      <c r="Q150" s="2"/>
      <c r="R150" s="4"/>
      <c r="S150" s="2"/>
      <c r="T150" s="2"/>
      <c r="U150" s="1"/>
      <c r="V150" s="2"/>
      <c r="W150" s="2"/>
      <c r="X150" s="2"/>
      <c r="Y150" s="2"/>
      <c r="Z150" s="2"/>
    </row>
    <row r="151" spans="1:26" ht="15.75" customHeight="1" x14ac:dyDescent="0.2">
      <c r="M151" s="4"/>
      <c r="N151" s="2"/>
      <c r="O151" s="4"/>
      <c r="P151" s="2"/>
      <c r="Q151" s="2"/>
      <c r="R151" s="4"/>
      <c r="S151" s="2"/>
      <c r="T151" s="2"/>
      <c r="U151" s="1"/>
      <c r="V151" s="2"/>
      <c r="W151" s="2"/>
      <c r="X151" s="2"/>
      <c r="Y151" s="2"/>
      <c r="Z151" s="2"/>
    </row>
    <row r="152" spans="1:26" ht="15.75" customHeight="1" x14ac:dyDescent="0.2">
      <c r="M152" s="4"/>
      <c r="N152" s="2"/>
      <c r="O152" s="4"/>
      <c r="P152" s="2"/>
      <c r="Q152" s="2"/>
      <c r="R152" s="4"/>
      <c r="S152" s="2"/>
      <c r="T152" s="2"/>
      <c r="U152" s="1"/>
      <c r="V152" s="2"/>
      <c r="W152" s="2"/>
      <c r="X152" s="2"/>
      <c r="Y152" s="2"/>
      <c r="Z152" s="2"/>
    </row>
    <row r="153" spans="1:26" ht="15.75" customHeight="1" x14ac:dyDescent="0.2">
      <c r="M153" s="4"/>
      <c r="N153" s="2"/>
      <c r="O153" s="4"/>
      <c r="P153" s="2"/>
      <c r="Q153" s="2"/>
      <c r="R153" s="4"/>
      <c r="S153" s="2"/>
      <c r="T153" s="2"/>
      <c r="U153" s="1"/>
      <c r="V153" s="2"/>
      <c r="W153" s="2"/>
      <c r="X153" s="2"/>
      <c r="Y153" s="2"/>
      <c r="Z153" s="2"/>
    </row>
    <row r="154" spans="1:26" ht="15.75" customHeight="1" x14ac:dyDescent="0.2">
      <c r="M154" s="4"/>
      <c r="N154" s="2"/>
      <c r="O154" s="4"/>
      <c r="P154" s="2"/>
      <c r="Q154" s="2"/>
      <c r="R154" s="4"/>
      <c r="S154" s="2"/>
      <c r="T154" s="2"/>
      <c r="U154" s="1"/>
      <c r="V154" s="2"/>
      <c r="W154" s="2"/>
      <c r="X154" s="2"/>
      <c r="Y154" s="2"/>
      <c r="Z154" s="2"/>
    </row>
    <row r="155" spans="1:26" ht="15.75" customHeight="1" x14ac:dyDescent="0.2">
      <c r="A155" s="11" t="s">
        <v>57</v>
      </c>
      <c r="C155" s="24" t="s">
        <v>143</v>
      </c>
      <c r="D155" s="11" t="s">
        <v>268</v>
      </c>
      <c r="G155" s="11" t="s">
        <v>2</v>
      </c>
      <c r="M155" s="4"/>
      <c r="N155" s="2"/>
      <c r="O155" s="4"/>
      <c r="P155" s="2"/>
      <c r="Q155" s="2"/>
      <c r="R155" s="4"/>
      <c r="S155" s="2"/>
      <c r="T155" s="2"/>
      <c r="U155" s="1"/>
      <c r="V155" s="2"/>
      <c r="W155" s="2"/>
      <c r="X155" s="2"/>
      <c r="Y155" s="2"/>
      <c r="Z155" s="2"/>
    </row>
    <row r="156" spans="1:26" ht="15.75" customHeight="1" x14ac:dyDescent="0.2">
      <c r="M156" s="4"/>
      <c r="N156" s="2"/>
      <c r="O156" s="4"/>
      <c r="P156" s="2"/>
      <c r="Q156" s="2"/>
      <c r="R156" s="4"/>
      <c r="S156" s="2"/>
      <c r="T156" s="2"/>
      <c r="U156" s="1"/>
      <c r="V156" s="2"/>
      <c r="W156" s="2"/>
      <c r="X156" s="2"/>
      <c r="Y156" s="2"/>
      <c r="Z156" s="2"/>
    </row>
    <row r="157" spans="1:26" ht="15.75" customHeight="1" x14ac:dyDescent="0.2">
      <c r="A157" s="11" t="s">
        <v>3</v>
      </c>
      <c r="B157" s="11" t="s">
        <v>4</v>
      </c>
      <c r="C157" s="11" t="s">
        <v>5</v>
      </c>
      <c r="D157" s="11" t="s">
        <v>6</v>
      </c>
      <c r="E157" s="11" t="s">
        <v>7</v>
      </c>
      <c r="F157" s="11" t="s">
        <v>8</v>
      </c>
      <c r="I157" s="11" t="s">
        <v>9</v>
      </c>
      <c r="J157" s="11" t="s">
        <v>7</v>
      </c>
      <c r="K157" s="11" t="s">
        <v>10</v>
      </c>
      <c r="M157" s="4"/>
      <c r="N157" s="2"/>
      <c r="O157" s="4"/>
      <c r="P157" s="2"/>
      <c r="Q157" s="2"/>
      <c r="R157" s="4"/>
      <c r="S157" s="2"/>
      <c r="T157" s="2"/>
      <c r="U157" s="1"/>
      <c r="V157" s="2"/>
      <c r="W157" s="2"/>
      <c r="X157" s="2"/>
      <c r="Y157" s="2"/>
      <c r="Z157" s="2"/>
    </row>
    <row r="158" spans="1:26" ht="15.75" customHeight="1" x14ac:dyDescent="0.2">
      <c r="A158" s="11" t="s">
        <v>642</v>
      </c>
      <c r="B158" s="11" t="s">
        <v>17</v>
      </c>
      <c r="C158" s="11" t="s">
        <v>93</v>
      </c>
      <c r="D158" s="11" t="s">
        <v>283</v>
      </c>
      <c r="E158" s="11" t="s">
        <v>304</v>
      </c>
      <c r="F158" s="11" t="s">
        <v>305</v>
      </c>
      <c r="I158" s="11" t="s">
        <v>612</v>
      </c>
      <c r="J158" s="11" t="s">
        <v>412</v>
      </c>
      <c r="K158" s="11" t="s">
        <v>643</v>
      </c>
      <c r="L158" s="75" t="s">
        <v>614</v>
      </c>
      <c r="M158" s="4"/>
      <c r="N158" s="2"/>
      <c r="O158" s="4"/>
      <c r="P158" s="2"/>
      <c r="Q158" s="2"/>
      <c r="R158" s="4"/>
      <c r="S158" s="2"/>
      <c r="T158" s="2"/>
      <c r="U158" s="1"/>
      <c r="V158" s="2"/>
      <c r="W158" s="2"/>
      <c r="X158" s="2"/>
      <c r="Y158" s="2"/>
      <c r="Z158" s="2"/>
    </row>
    <row r="159" spans="1:26" ht="15.75" customHeight="1" x14ac:dyDescent="0.2">
      <c r="A159" s="11" t="s">
        <v>644</v>
      </c>
      <c r="B159" s="11" t="s">
        <v>17</v>
      </c>
      <c r="C159" s="11" t="s">
        <v>39</v>
      </c>
      <c r="D159" s="11" t="s">
        <v>304</v>
      </c>
      <c r="E159" s="11" t="s">
        <v>645</v>
      </c>
      <c r="F159" s="11" t="s">
        <v>646</v>
      </c>
      <c r="I159" s="11" t="s">
        <v>404</v>
      </c>
      <c r="J159" s="11" t="s">
        <v>647</v>
      </c>
      <c r="K159" s="11" t="s">
        <v>648</v>
      </c>
      <c r="L159" s="75" t="s">
        <v>407</v>
      </c>
      <c r="M159" s="4"/>
      <c r="N159" s="2"/>
      <c r="O159" s="4"/>
      <c r="P159" s="2"/>
      <c r="Q159" s="2"/>
      <c r="R159" s="4"/>
      <c r="S159" s="2"/>
      <c r="T159" s="2"/>
      <c r="U159" s="1"/>
      <c r="V159" s="2"/>
      <c r="W159" s="2"/>
      <c r="X159" s="2"/>
      <c r="Y159" s="2"/>
      <c r="Z159" s="2"/>
    </row>
    <row r="160" spans="1:26" ht="15.75" customHeight="1" x14ac:dyDescent="0.2">
      <c r="A160" s="11" t="s">
        <v>277</v>
      </c>
      <c r="B160" s="11" t="s">
        <v>21</v>
      </c>
      <c r="C160" s="11" t="s">
        <v>51</v>
      </c>
      <c r="D160" s="11" t="s">
        <v>273</v>
      </c>
      <c r="E160" s="11" t="s">
        <v>273</v>
      </c>
      <c r="F160" s="11" t="s">
        <v>278</v>
      </c>
      <c r="I160" s="11" t="s">
        <v>279</v>
      </c>
      <c r="J160" s="11" t="s">
        <v>279</v>
      </c>
      <c r="K160" s="11" t="s">
        <v>280</v>
      </c>
      <c r="L160" s="75" t="s">
        <v>281</v>
      </c>
      <c r="M160" s="4"/>
      <c r="N160" s="2"/>
      <c r="O160" s="4"/>
      <c r="P160" s="2"/>
      <c r="Q160" s="2"/>
      <c r="R160" s="4"/>
      <c r="S160" s="2"/>
      <c r="T160" s="2"/>
      <c r="U160" s="1"/>
      <c r="V160" s="2"/>
      <c r="W160" s="2"/>
      <c r="X160" s="2"/>
      <c r="Y160" s="2"/>
      <c r="Z160" s="2"/>
    </row>
    <row r="161" spans="1:26" ht="15.75" customHeight="1" x14ac:dyDescent="0.2">
      <c r="A161" s="11" t="s">
        <v>290</v>
      </c>
      <c r="B161" s="11" t="s">
        <v>17</v>
      </c>
      <c r="C161" s="11" t="s">
        <v>43</v>
      </c>
      <c r="D161" s="11" t="s">
        <v>327</v>
      </c>
      <c r="E161" s="11" t="s">
        <v>284</v>
      </c>
      <c r="F161" s="11" t="s">
        <v>285</v>
      </c>
      <c r="I161" s="11" t="s">
        <v>390</v>
      </c>
      <c r="J161" s="11" t="s">
        <v>332</v>
      </c>
      <c r="K161" s="11" t="s">
        <v>506</v>
      </c>
      <c r="L161" s="75" t="s">
        <v>348</v>
      </c>
      <c r="M161" s="4"/>
      <c r="N161" s="2"/>
      <c r="O161" s="4"/>
      <c r="P161" s="2"/>
      <c r="Q161" s="2"/>
      <c r="R161" s="4"/>
      <c r="S161" s="2"/>
      <c r="T161" s="2"/>
      <c r="U161" s="1"/>
      <c r="V161" s="2"/>
      <c r="W161" s="2"/>
      <c r="X161" s="2"/>
      <c r="Y161" s="2"/>
      <c r="Z161" s="2"/>
    </row>
    <row r="162" spans="1:26" ht="15.75" customHeight="1" x14ac:dyDescent="0.2">
      <c r="A162" s="11" t="s">
        <v>430</v>
      </c>
      <c r="B162" s="11" t="s">
        <v>21</v>
      </c>
      <c r="C162" s="11" t="s">
        <v>46</v>
      </c>
      <c r="D162" s="11" t="s">
        <v>431</v>
      </c>
      <c r="E162" s="11" t="s">
        <v>327</v>
      </c>
      <c r="F162" s="11" t="s">
        <v>432</v>
      </c>
      <c r="I162" s="11" t="s">
        <v>433</v>
      </c>
      <c r="J162" s="11" t="s">
        <v>434</v>
      </c>
      <c r="K162" s="11" t="s">
        <v>435</v>
      </c>
      <c r="L162" s="75" t="s">
        <v>308</v>
      </c>
      <c r="M162" s="4"/>
      <c r="N162" s="2"/>
      <c r="O162" s="4"/>
      <c r="P162" s="2"/>
      <c r="Q162" s="2"/>
      <c r="R162" s="4"/>
      <c r="S162" s="2"/>
      <c r="T162" s="2"/>
      <c r="U162" s="1"/>
      <c r="V162" s="2"/>
      <c r="W162" s="2"/>
      <c r="X162" s="2"/>
      <c r="Y162" s="2"/>
      <c r="Z162" s="2"/>
    </row>
    <row r="163" spans="1:26" ht="15.75" customHeight="1" x14ac:dyDescent="0.2">
      <c r="A163" s="11" t="s">
        <v>282</v>
      </c>
      <c r="B163" s="11" t="s">
        <v>17</v>
      </c>
      <c r="C163" s="11" t="s">
        <v>31</v>
      </c>
      <c r="D163" s="11" t="s">
        <v>291</v>
      </c>
      <c r="E163" s="11" t="s">
        <v>649</v>
      </c>
      <c r="F163" s="11" t="s">
        <v>650</v>
      </c>
      <c r="I163" s="11" t="s">
        <v>375</v>
      </c>
      <c r="J163" s="11" t="s">
        <v>651</v>
      </c>
      <c r="K163" s="11" t="s">
        <v>652</v>
      </c>
      <c r="L163" s="75" t="s">
        <v>377</v>
      </c>
      <c r="M163" s="4"/>
      <c r="N163" s="2"/>
      <c r="O163" s="4"/>
      <c r="P163" s="2"/>
      <c r="Q163" s="2"/>
      <c r="R163" s="4"/>
      <c r="S163" s="2"/>
      <c r="T163" s="2"/>
      <c r="U163" s="1"/>
      <c r="V163" s="2"/>
      <c r="W163" s="2"/>
      <c r="X163" s="2"/>
      <c r="Y163" s="2"/>
      <c r="Z163" s="2"/>
    </row>
    <row r="164" spans="1:26" ht="15.75" customHeight="1" x14ac:dyDescent="0.2">
      <c r="A164" s="11" t="s">
        <v>290</v>
      </c>
      <c r="B164" s="11" t="s">
        <v>17</v>
      </c>
      <c r="C164" s="11" t="s">
        <v>32</v>
      </c>
      <c r="D164" s="11" t="s">
        <v>304</v>
      </c>
      <c r="E164" s="11" t="s">
        <v>335</v>
      </c>
      <c r="F164" s="11" t="s">
        <v>336</v>
      </c>
      <c r="I164" s="11" t="s">
        <v>379</v>
      </c>
      <c r="J164" s="11" t="s">
        <v>595</v>
      </c>
      <c r="K164" s="11" t="s">
        <v>596</v>
      </c>
      <c r="L164" s="75" t="s">
        <v>382</v>
      </c>
      <c r="M164" s="4"/>
      <c r="N164" s="2"/>
      <c r="O164" s="4"/>
      <c r="P164" s="2"/>
      <c r="Q164" s="2"/>
      <c r="R164" s="4"/>
      <c r="S164" s="2"/>
      <c r="T164" s="2"/>
      <c r="U164" s="1"/>
      <c r="V164" s="2"/>
      <c r="W164" s="2"/>
      <c r="X164" s="2"/>
      <c r="Y164" s="2"/>
      <c r="Z164" s="2"/>
    </row>
    <row r="165" spans="1:26" ht="15.75" customHeight="1" x14ac:dyDescent="0.2">
      <c r="A165" s="11" t="s">
        <v>290</v>
      </c>
      <c r="B165" s="11" t="s">
        <v>17</v>
      </c>
      <c r="C165" s="11" t="s">
        <v>33</v>
      </c>
      <c r="D165" s="11" t="s">
        <v>383</v>
      </c>
      <c r="E165" s="11" t="s">
        <v>597</v>
      </c>
      <c r="F165" s="11" t="s">
        <v>598</v>
      </c>
      <c r="I165" s="11" t="s">
        <v>386</v>
      </c>
      <c r="J165" s="11" t="s">
        <v>599</v>
      </c>
      <c r="K165" s="11" t="s">
        <v>600</v>
      </c>
      <c r="L165" s="75" t="s">
        <v>389</v>
      </c>
      <c r="M165" s="4"/>
      <c r="N165" s="2"/>
      <c r="O165" s="4"/>
      <c r="P165" s="2"/>
      <c r="Q165" s="2"/>
      <c r="R165" s="4"/>
      <c r="S165" s="2"/>
      <c r="T165" s="2"/>
      <c r="U165" s="1"/>
      <c r="V165" s="2"/>
      <c r="W165" s="2"/>
      <c r="X165" s="2"/>
      <c r="Y165" s="2"/>
      <c r="Z165" s="2"/>
    </row>
    <row r="166" spans="1:26" ht="15.75" customHeight="1" x14ac:dyDescent="0.2">
      <c r="A166" s="11" t="s">
        <v>290</v>
      </c>
      <c r="B166" s="11" t="s">
        <v>17</v>
      </c>
      <c r="C166" s="11" t="s">
        <v>38</v>
      </c>
      <c r="D166" s="11" t="s">
        <v>395</v>
      </c>
      <c r="E166" s="11" t="s">
        <v>460</v>
      </c>
      <c r="F166" s="11" t="s">
        <v>653</v>
      </c>
      <c r="I166" s="11" t="s">
        <v>306</v>
      </c>
      <c r="J166" s="11" t="s">
        <v>392</v>
      </c>
      <c r="K166" s="11" t="s">
        <v>654</v>
      </c>
      <c r="L166" s="75" t="s">
        <v>398</v>
      </c>
      <c r="M166" s="4"/>
      <c r="N166" s="2"/>
      <c r="O166" s="4"/>
      <c r="P166" s="2"/>
      <c r="Q166" s="2"/>
      <c r="R166" s="4"/>
      <c r="S166" s="2"/>
      <c r="T166" s="2"/>
      <c r="U166" s="1"/>
      <c r="V166" s="2"/>
      <c r="W166" s="2"/>
      <c r="X166" s="2"/>
      <c r="Y166" s="2"/>
      <c r="Z166" s="2"/>
    </row>
    <row r="167" spans="1:26" ht="15.75" customHeight="1" x14ac:dyDescent="0.2">
      <c r="A167" s="11" t="s">
        <v>655</v>
      </c>
      <c r="B167" s="11" t="s">
        <v>17</v>
      </c>
      <c r="C167" s="11" t="s">
        <v>36</v>
      </c>
      <c r="D167" s="11" t="s">
        <v>395</v>
      </c>
      <c r="E167" s="11" t="s">
        <v>656</v>
      </c>
      <c r="F167" s="11" t="s">
        <v>657</v>
      </c>
      <c r="I167" s="11" t="s">
        <v>306</v>
      </c>
      <c r="J167" s="11" t="s">
        <v>460</v>
      </c>
      <c r="K167" s="11" t="s">
        <v>658</v>
      </c>
      <c r="L167" s="75" t="s">
        <v>398</v>
      </c>
      <c r="M167" s="4"/>
      <c r="N167" s="2"/>
      <c r="O167" s="4"/>
      <c r="P167" s="2"/>
      <c r="Q167" s="2"/>
      <c r="R167" s="4"/>
      <c r="S167" s="2"/>
      <c r="T167" s="2"/>
      <c r="U167" s="1"/>
      <c r="V167" s="2"/>
      <c r="W167" s="2"/>
      <c r="X167" s="2"/>
      <c r="Y167" s="2"/>
      <c r="Z167" s="2"/>
    </row>
    <row r="168" spans="1:26" ht="15.75" customHeight="1" x14ac:dyDescent="0.2">
      <c r="A168" s="11" t="s">
        <v>277</v>
      </c>
      <c r="B168" s="11" t="s">
        <v>15</v>
      </c>
      <c r="C168" s="11" t="s">
        <v>16</v>
      </c>
      <c r="D168" s="11" t="s">
        <v>297</v>
      </c>
      <c r="E168" s="11" t="s">
        <v>297</v>
      </c>
      <c r="F168" s="11" t="s">
        <v>298</v>
      </c>
      <c r="I168" s="11" t="s">
        <v>299</v>
      </c>
      <c r="J168" s="11" t="s">
        <v>299</v>
      </c>
      <c r="K168" s="11" t="s">
        <v>300</v>
      </c>
      <c r="L168" s="75" t="s">
        <v>301</v>
      </c>
      <c r="M168" s="4"/>
      <c r="N168" s="2"/>
      <c r="O168" s="4"/>
      <c r="P168" s="2"/>
      <c r="Q168" s="2"/>
      <c r="R168" s="4"/>
      <c r="S168" s="2"/>
      <c r="T168" s="2"/>
      <c r="U168" s="1"/>
      <c r="V168" s="2"/>
      <c r="W168" s="2"/>
      <c r="X168" s="2"/>
      <c r="Y168" s="2"/>
      <c r="Z168" s="2"/>
    </row>
    <row r="169" spans="1:26" ht="15.75" customHeight="1" x14ac:dyDescent="0.2">
      <c r="A169" s="11" t="s">
        <v>290</v>
      </c>
      <c r="B169" s="11" t="s">
        <v>4</v>
      </c>
      <c r="C169" s="11" t="s">
        <v>14</v>
      </c>
      <c r="D169" s="11" t="s">
        <v>291</v>
      </c>
      <c r="E169" s="11" t="s">
        <v>292</v>
      </c>
      <c r="F169" s="11" t="s">
        <v>293</v>
      </c>
      <c r="I169" s="11" t="s">
        <v>294</v>
      </c>
      <c r="J169" s="11" t="s">
        <v>270</v>
      </c>
      <c r="K169" s="11" t="s">
        <v>295</v>
      </c>
      <c r="L169" s="75" t="s">
        <v>296</v>
      </c>
      <c r="M169" s="4"/>
      <c r="N169" s="2"/>
      <c r="O169" s="4"/>
      <c r="P169" s="2"/>
      <c r="Q169" s="2"/>
      <c r="R169" s="4"/>
      <c r="S169" s="2"/>
      <c r="T169" s="2"/>
      <c r="U169" s="1"/>
      <c r="V169" s="2"/>
      <c r="W169" s="2"/>
      <c r="X169" s="2"/>
      <c r="Y169" s="2"/>
      <c r="Z169" s="2"/>
    </row>
    <row r="170" spans="1:26" ht="15.75" customHeight="1" x14ac:dyDescent="0.2">
      <c r="A170" s="11" t="s">
        <v>309</v>
      </c>
      <c r="B170" s="11" t="s">
        <v>17</v>
      </c>
      <c r="C170" s="11" t="s">
        <v>659</v>
      </c>
      <c r="D170" s="11" t="s">
        <v>310</v>
      </c>
      <c r="E170" s="11" t="s">
        <v>311</v>
      </c>
      <c r="F170" s="11" t="s">
        <v>312</v>
      </c>
      <c r="I170" s="11" t="s">
        <v>313</v>
      </c>
      <c r="J170" s="11" t="s">
        <v>314</v>
      </c>
      <c r="K170" s="11" t="s">
        <v>315</v>
      </c>
      <c r="L170" s="75" t="s">
        <v>316</v>
      </c>
      <c r="M170" s="4"/>
      <c r="N170" s="2"/>
      <c r="O170" s="4"/>
      <c r="P170" s="2"/>
      <c r="Q170" s="2"/>
      <c r="R170" s="4"/>
      <c r="S170" s="2"/>
      <c r="T170" s="2"/>
      <c r="U170" s="1"/>
      <c r="V170" s="2"/>
      <c r="W170" s="2"/>
      <c r="X170" s="2"/>
      <c r="Y170" s="2"/>
      <c r="Z170" s="2"/>
    </row>
    <row r="171" spans="1:26" ht="15.75" customHeight="1" x14ac:dyDescent="0.2">
      <c r="A171" s="11" t="s">
        <v>341</v>
      </c>
      <c r="B171" s="11" t="s">
        <v>21</v>
      </c>
      <c r="C171" s="11" t="s">
        <v>34</v>
      </c>
      <c r="D171" s="11" t="s">
        <v>390</v>
      </c>
      <c r="E171" s="11" t="s">
        <v>366</v>
      </c>
      <c r="F171" s="11" t="s">
        <v>523</v>
      </c>
      <c r="I171" s="11" t="s">
        <v>392</v>
      </c>
      <c r="J171" s="11" t="s">
        <v>306</v>
      </c>
      <c r="K171" s="11" t="s">
        <v>606</v>
      </c>
      <c r="L171" s="75" t="s">
        <v>394</v>
      </c>
      <c r="M171" s="4"/>
      <c r="N171" s="2"/>
      <c r="O171" s="4"/>
      <c r="P171" s="2"/>
      <c r="Q171" s="2"/>
      <c r="R171" s="4"/>
      <c r="S171" s="2"/>
      <c r="T171" s="2"/>
      <c r="U171" s="1"/>
      <c r="V171" s="2"/>
      <c r="W171" s="2"/>
      <c r="X171" s="2"/>
      <c r="Y171" s="2"/>
      <c r="Z171" s="2"/>
    </row>
    <row r="172" spans="1:26" ht="15.75" customHeight="1" x14ac:dyDescent="0.2">
      <c r="A172" s="11" t="s">
        <v>277</v>
      </c>
      <c r="B172" s="11" t="s">
        <v>17</v>
      </c>
      <c r="C172" s="11" t="s">
        <v>19</v>
      </c>
      <c r="D172" s="11" t="s">
        <v>317</v>
      </c>
      <c r="E172" s="11" t="s">
        <v>317</v>
      </c>
      <c r="F172" s="11" t="s">
        <v>318</v>
      </c>
      <c r="I172" s="11" t="s">
        <v>319</v>
      </c>
      <c r="J172" s="11" t="s">
        <v>319</v>
      </c>
      <c r="K172" s="11" t="s">
        <v>320</v>
      </c>
      <c r="L172" s="75" t="s">
        <v>321</v>
      </c>
      <c r="M172" s="4"/>
      <c r="N172" s="2"/>
      <c r="O172" s="4"/>
      <c r="P172" s="2"/>
      <c r="Q172" s="2"/>
      <c r="R172" s="4"/>
      <c r="S172" s="2"/>
      <c r="T172" s="2"/>
      <c r="U172" s="1"/>
      <c r="V172" s="2"/>
      <c r="W172" s="2"/>
      <c r="X172" s="2"/>
      <c r="Y172" s="2"/>
      <c r="Z172" s="2"/>
    </row>
    <row r="173" spans="1:26" ht="15.75" customHeight="1" x14ac:dyDescent="0.2">
      <c r="A173" s="11" t="s">
        <v>401</v>
      </c>
      <c r="B173" s="11" t="s">
        <v>21</v>
      </c>
      <c r="C173" s="11" t="s">
        <v>22</v>
      </c>
      <c r="D173" s="11" t="s">
        <v>323</v>
      </c>
      <c r="E173" s="11" t="s">
        <v>660</v>
      </c>
      <c r="F173" s="11" t="s">
        <v>661</v>
      </c>
      <c r="I173" s="11" t="s">
        <v>326</v>
      </c>
      <c r="J173" s="11" t="s">
        <v>314</v>
      </c>
      <c r="K173" s="11" t="s">
        <v>662</v>
      </c>
      <c r="L173" s="75" t="s">
        <v>329</v>
      </c>
      <c r="M173" s="4"/>
      <c r="N173" s="2"/>
      <c r="O173" s="4"/>
      <c r="P173" s="2"/>
      <c r="Q173" s="2"/>
      <c r="R173" s="4"/>
      <c r="S173" s="2"/>
      <c r="T173" s="2"/>
      <c r="U173" s="1"/>
      <c r="V173" s="2"/>
      <c r="W173" s="2"/>
      <c r="X173" s="2"/>
      <c r="Y173" s="2"/>
      <c r="Z173" s="2"/>
    </row>
    <row r="174" spans="1:26" ht="15.75" customHeight="1" x14ac:dyDescent="0.2">
      <c r="A174" s="11" t="s">
        <v>277</v>
      </c>
      <c r="B174" s="11" t="s">
        <v>15</v>
      </c>
      <c r="C174" s="11" t="s">
        <v>40</v>
      </c>
      <c r="D174" s="11" t="s">
        <v>284</v>
      </c>
      <c r="E174" s="11" t="s">
        <v>284</v>
      </c>
      <c r="F174" s="11" t="s">
        <v>285</v>
      </c>
      <c r="I174" s="11" t="s">
        <v>408</v>
      </c>
      <c r="J174" s="11" t="s">
        <v>408</v>
      </c>
      <c r="K174" s="11" t="s">
        <v>409</v>
      </c>
      <c r="L174" s="75" t="s">
        <v>410</v>
      </c>
      <c r="M174" s="4"/>
      <c r="N174" s="2"/>
      <c r="O174" s="4"/>
      <c r="P174" s="2"/>
      <c r="Q174" s="2"/>
      <c r="R174" s="4"/>
      <c r="S174" s="2"/>
      <c r="T174" s="2"/>
      <c r="U174" s="1"/>
      <c r="V174" s="2"/>
      <c r="W174" s="2"/>
      <c r="X174" s="2"/>
      <c r="Y174" s="2"/>
      <c r="Z174" s="2"/>
    </row>
    <row r="175" spans="1:26" ht="15.75" customHeight="1" x14ac:dyDescent="0.2">
      <c r="A175" s="11" t="s">
        <v>290</v>
      </c>
      <c r="B175" s="11" t="s">
        <v>17</v>
      </c>
      <c r="C175" s="11" t="s">
        <v>61</v>
      </c>
      <c r="D175" s="11" t="s">
        <v>426</v>
      </c>
      <c r="E175" s="11" t="s">
        <v>618</v>
      </c>
      <c r="F175" s="11" t="s">
        <v>619</v>
      </c>
      <c r="I175" s="11" t="s">
        <v>386</v>
      </c>
      <c r="J175" s="11" t="s">
        <v>599</v>
      </c>
      <c r="K175" s="11" t="s">
        <v>620</v>
      </c>
      <c r="L175" s="75" t="s">
        <v>429</v>
      </c>
      <c r="M175" s="4"/>
      <c r="N175" s="2"/>
      <c r="O175" s="4"/>
      <c r="P175" s="2"/>
      <c r="Q175" s="2"/>
      <c r="R175" s="4"/>
      <c r="S175" s="2"/>
      <c r="T175" s="2"/>
      <c r="U175" s="1"/>
      <c r="V175" s="2"/>
      <c r="W175" s="2"/>
      <c r="X175" s="2"/>
      <c r="Y175" s="2"/>
      <c r="Z175" s="2"/>
    </row>
    <row r="176" spans="1:26" ht="15.75" customHeight="1" x14ac:dyDescent="0.2">
      <c r="A176" s="11" t="s">
        <v>290</v>
      </c>
      <c r="B176" s="11" t="s">
        <v>15</v>
      </c>
      <c r="C176" s="11" t="s">
        <v>27</v>
      </c>
      <c r="D176" s="11" t="s">
        <v>346</v>
      </c>
      <c r="E176" s="11" t="s">
        <v>345</v>
      </c>
      <c r="F176" s="11" t="s">
        <v>360</v>
      </c>
      <c r="I176" s="11" t="s">
        <v>361</v>
      </c>
      <c r="J176" s="11" t="s">
        <v>362</v>
      </c>
      <c r="K176" s="11" t="s">
        <v>363</v>
      </c>
      <c r="L176" s="75" t="s">
        <v>364</v>
      </c>
      <c r="M176" s="4"/>
      <c r="N176" s="2"/>
      <c r="O176" s="4"/>
      <c r="P176" s="2"/>
      <c r="Q176" s="2"/>
      <c r="R176" s="4"/>
      <c r="S176" s="2"/>
      <c r="T176" s="2"/>
      <c r="U176" s="1"/>
      <c r="V176" s="2"/>
      <c r="W176" s="2"/>
      <c r="X176" s="2"/>
      <c r="Y176" s="2"/>
      <c r="Z176" s="2"/>
    </row>
    <row r="177" spans="1:26" ht="15.75" customHeight="1" x14ac:dyDescent="0.2">
      <c r="A177" s="11" t="s">
        <v>269</v>
      </c>
      <c r="B177" s="11" t="s">
        <v>17</v>
      </c>
      <c r="C177" s="11" t="s">
        <v>64</v>
      </c>
      <c r="D177" s="11" t="s">
        <v>366</v>
      </c>
      <c r="E177" s="11" t="s">
        <v>495</v>
      </c>
      <c r="F177" s="11" t="s">
        <v>663</v>
      </c>
      <c r="I177" s="11" t="s">
        <v>306</v>
      </c>
      <c r="J177" s="11" t="s">
        <v>664</v>
      </c>
      <c r="K177" s="11" t="s">
        <v>665</v>
      </c>
      <c r="L177" s="75" t="s">
        <v>394</v>
      </c>
      <c r="M177" s="4"/>
      <c r="N177" s="2"/>
      <c r="O177" s="4"/>
      <c r="P177" s="2"/>
      <c r="Q177" s="2"/>
      <c r="R177" s="4"/>
      <c r="S177" s="2"/>
      <c r="T177" s="2"/>
      <c r="U177" s="1"/>
      <c r="V177" s="2"/>
      <c r="W177" s="2"/>
      <c r="X177" s="2"/>
      <c r="Y177" s="2"/>
      <c r="Z177" s="2"/>
    </row>
    <row r="178" spans="1:26" ht="15.75" customHeight="1" x14ac:dyDescent="0.2">
      <c r="A178" s="11" t="s">
        <v>502</v>
      </c>
      <c r="B178" s="11" t="s">
        <v>17</v>
      </c>
      <c r="C178" s="11" t="s">
        <v>129</v>
      </c>
      <c r="D178" s="11" t="s">
        <v>303</v>
      </c>
      <c r="E178" s="11" t="s">
        <v>666</v>
      </c>
      <c r="F178" s="11" t="s">
        <v>667</v>
      </c>
      <c r="I178" s="11" t="s">
        <v>326</v>
      </c>
      <c r="J178" s="11" t="s">
        <v>420</v>
      </c>
      <c r="K178" s="11" t="s">
        <v>668</v>
      </c>
      <c r="L178" s="75" t="s">
        <v>492</v>
      </c>
      <c r="M178" s="4"/>
      <c r="N178" s="2"/>
      <c r="O178" s="4"/>
      <c r="P178" s="2"/>
      <c r="Q178" s="2"/>
      <c r="R178" s="4"/>
      <c r="S178" s="2"/>
      <c r="T178" s="2"/>
      <c r="U178" s="1"/>
      <c r="V178" s="2"/>
      <c r="W178" s="2"/>
      <c r="X178" s="2"/>
      <c r="Y178" s="2"/>
      <c r="Z178" s="2"/>
    </row>
    <row r="179" spans="1:26" ht="15.75" customHeight="1" x14ac:dyDescent="0.2">
      <c r="A179" s="11" t="s">
        <v>277</v>
      </c>
      <c r="B179" s="11" t="s">
        <v>17</v>
      </c>
      <c r="C179" s="11" t="s">
        <v>56</v>
      </c>
      <c r="D179" s="11" t="s">
        <v>326</v>
      </c>
      <c r="E179" s="11" t="s">
        <v>326</v>
      </c>
      <c r="F179" s="11" t="s">
        <v>378</v>
      </c>
      <c r="I179" s="11" t="s">
        <v>607</v>
      </c>
      <c r="J179" s="11" t="s">
        <v>607</v>
      </c>
      <c r="K179" s="11" t="s">
        <v>669</v>
      </c>
      <c r="L179" s="75" t="s">
        <v>622</v>
      </c>
      <c r="M179" s="4"/>
      <c r="N179" s="2"/>
      <c r="O179" s="4"/>
      <c r="P179" s="2"/>
      <c r="Q179" s="2"/>
      <c r="R179" s="4"/>
      <c r="S179" s="2"/>
      <c r="T179" s="2"/>
      <c r="U179" s="1"/>
      <c r="V179" s="2"/>
      <c r="W179" s="2"/>
      <c r="X179" s="2"/>
      <c r="Y179" s="2"/>
      <c r="Z179" s="2"/>
    </row>
    <row r="180" spans="1:26" ht="15.75" customHeight="1" x14ac:dyDescent="0.2">
      <c r="A180" s="11" t="s">
        <v>277</v>
      </c>
      <c r="B180" s="11" t="s">
        <v>17</v>
      </c>
      <c r="C180" s="11" t="s">
        <v>18</v>
      </c>
      <c r="D180" s="11" t="s">
        <v>303</v>
      </c>
      <c r="E180" s="11" t="s">
        <v>303</v>
      </c>
      <c r="F180" s="11" t="s">
        <v>670</v>
      </c>
      <c r="I180" s="11" t="s">
        <v>306</v>
      </c>
      <c r="J180" s="11" t="s">
        <v>306</v>
      </c>
      <c r="K180" s="11" t="s">
        <v>671</v>
      </c>
      <c r="L180" s="75" t="s">
        <v>308</v>
      </c>
      <c r="M180" s="4"/>
      <c r="N180" s="2"/>
      <c r="O180" s="4"/>
      <c r="P180" s="2"/>
      <c r="Q180" s="2"/>
      <c r="R180" s="4"/>
      <c r="S180" s="2"/>
      <c r="T180" s="2"/>
      <c r="U180" s="1"/>
      <c r="V180" s="2"/>
      <c r="W180" s="2"/>
      <c r="X180" s="2"/>
      <c r="Y180" s="2"/>
      <c r="Z180" s="2"/>
    </row>
    <row r="181" spans="1:26" ht="15.75" customHeight="1" x14ac:dyDescent="0.2">
      <c r="A181" s="11" t="s">
        <v>277</v>
      </c>
      <c r="B181" s="11" t="s">
        <v>21</v>
      </c>
      <c r="C181" s="11" t="s">
        <v>133</v>
      </c>
      <c r="D181" s="11" t="s">
        <v>283</v>
      </c>
      <c r="E181" s="11" t="s">
        <v>283</v>
      </c>
      <c r="F181" s="11" t="s">
        <v>365</v>
      </c>
      <c r="I181" s="11" t="s">
        <v>306</v>
      </c>
      <c r="J181" s="11" t="s">
        <v>306</v>
      </c>
      <c r="K181" s="11" t="s">
        <v>368</v>
      </c>
      <c r="L181" s="75" t="s">
        <v>276</v>
      </c>
      <c r="M181" s="4"/>
      <c r="N181" s="2"/>
      <c r="O181" s="4"/>
      <c r="P181" s="2"/>
      <c r="Q181" s="2"/>
      <c r="R181" s="4"/>
      <c r="S181" s="2"/>
      <c r="T181" s="2"/>
      <c r="U181" s="1"/>
      <c r="V181" s="2"/>
      <c r="W181" s="2"/>
      <c r="X181" s="2"/>
      <c r="Y181" s="2"/>
      <c r="Z181" s="2"/>
    </row>
    <row r="182" spans="1:26" ht="15.75" customHeight="1" x14ac:dyDescent="0.2">
      <c r="A182" s="11" t="s">
        <v>277</v>
      </c>
      <c r="B182" s="11" t="s">
        <v>21</v>
      </c>
      <c r="C182" s="11" t="s">
        <v>28</v>
      </c>
      <c r="D182" s="11" t="s">
        <v>283</v>
      </c>
      <c r="E182" s="11" t="s">
        <v>283</v>
      </c>
      <c r="F182" s="11" t="s">
        <v>365</v>
      </c>
      <c r="I182" s="11" t="s">
        <v>366</v>
      </c>
      <c r="J182" s="11" t="s">
        <v>366</v>
      </c>
      <c r="K182" s="11" t="s">
        <v>367</v>
      </c>
      <c r="L182" s="75" t="s">
        <v>348</v>
      </c>
      <c r="M182" s="4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ht="15.75" customHeight="1" x14ac:dyDescent="0.2">
      <c r="A183" s="11" t="s">
        <v>277</v>
      </c>
      <c r="B183" s="11" t="s">
        <v>17</v>
      </c>
      <c r="C183" s="11" t="s">
        <v>42</v>
      </c>
      <c r="D183" s="11" t="s">
        <v>270</v>
      </c>
      <c r="E183" s="11" t="s">
        <v>270</v>
      </c>
      <c r="F183" s="11" t="s">
        <v>498</v>
      </c>
      <c r="I183" s="11" t="s">
        <v>273</v>
      </c>
      <c r="J183" s="11" t="s">
        <v>273</v>
      </c>
      <c r="K183" s="11" t="s">
        <v>499</v>
      </c>
      <c r="L183" s="75" t="s">
        <v>276</v>
      </c>
      <c r="M183" s="4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ht="15.75" customHeight="1" x14ac:dyDescent="0.2">
      <c r="A184" s="11" t="s">
        <v>547</v>
      </c>
      <c r="B184" s="11" t="s">
        <v>17</v>
      </c>
      <c r="C184" s="11" t="s">
        <v>82</v>
      </c>
      <c r="D184" s="11" t="s">
        <v>304</v>
      </c>
      <c r="E184" s="11" t="s">
        <v>548</v>
      </c>
      <c r="F184" s="11" t="s">
        <v>549</v>
      </c>
      <c r="I184" s="11" t="s">
        <v>422</v>
      </c>
      <c r="J184" s="11" t="s">
        <v>550</v>
      </c>
      <c r="K184" s="11" t="s">
        <v>551</v>
      </c>
      <c r="L184" s="75" t="s">
        <v>425</v>
      </c>
      <c r="M184" s="4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ht="15.75" customHeight="1" x14ac:dyDescent="0.2">
      <c r="A185" s="11" t="s">
        <v>341</v>
      </c>
      <c r="B185" s="11" t="s">
        <v>17</v>
      </c>
      <c r="C185" s="11" t="s">
        <v>89</v>
      </c>
      <c r="D185" s="11" t="s">
        <v>330</v>
      </c>
      <c r="E185" s="11" t="s">
        <v>672</v>
      </c>
      <c r="F185" s="11" t="s">
        <v>673</v>
      </c>
      <c r="I185" s="11" t="s">
        <v>332</v>
      </c>
      <c r="J185" s="11" t="s">
        <v>390</v>
      </c>
      <c r="K185" s="11" t="s">
        <v>674</v>
      </c>
      <c r="L185" s="75" t="s">
        <v>334</v>
      </c>
      <c r="M185" s="4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ht="15.75" customHeight="1" x14ac:dyDescent="0.2">
      <c r="A186" s="11" t="s">
        <v>277</v>
      </c>
      <c r="B186" s="11" t="s">
        <v>23</v>
      </c>
      <c r="C186" s="11" t="s">
        <v>24</v>
      </c>
      <c r="D186" s="11" t="s">
        <v>342</v>
      </c>
      <c r="E186" s="11" t="s">
        <v>342</v>
      </c>
      <c r="F186" s="11" t="s">
        <v>624</v>
      </c>
      <c r="I186" s="11" t="s">
        <v>345</v>
      </c>
      <c r="J186" s="11" t="s">
        <v>345</v>
      </c>
      <c r="K186" s="11" t="s">
        <v>625</v>
      </c>
      <c r="L186" s="75" t="s">
        <v>348</v>
      </c>
      <c r="M186" s="4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ht="15.75" customHeight="1" x14ac:dyDescent="0.2">
      <c r="A187" s="11" t="s">
        <v>277</v>
      </c>
      <c r="B187" s="11" t="s">
        <v>23</v>
      </c>
      <c r="C187" s="11" t="s">
        <v>25</v>
      </c>
      <c r="D187" s="11" t="s">
        <v>349</v>
      </c>
      <c r="E187" s="11" t="s">
        <v>349</v>
      </c>
      <c r="F187" s="11" t="s">
        <v>556</v>
      </c>
      <c r="I187" s="11" t="s">
        <v>342</v>
      </c>
      <c r="J187" s="11" t="s">
        <v>342</v>
      </c>
      <c r="K187" s="11" t="s">
        <v>626</v>
      </c>
      <c r="L187" s="75" t="s">
        <v>348</v>
      </c>
      <c r="M187" s="4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ht="15.75" customHeight="1" x14ac:dyDescent="0.2">
      <c r="A188" s="11" t="s">
        <v>290</v>
      </c>
      <c r="B188" s="11" t="s">
        <v>23</v>
      </c>
      <c r="C188" s="11" t="s">
        <v>26</v>
      </c>
      <c r="D188" s="11" t="s">
        <v>353</v>
      </c>
      <c r="E188" s="11" t="s">
        <v>510</v>
      </c>
      <c r="F188" s="11" t="s">
        <v>511</v>
      </c>
      <c r="I188" s="11" t="s">
        <v>356</v>
      </c>
      <c r="J188" s="11" t="s">
        <v>512</v>
      </c>
      <c r="K188" s="11" t="s">
        <v>513</v>
      </c>
      <c r="L188" s="75" t="s">
        <v>359</v>
      </c>
      <c r="M188" s="4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ht="15.75" customHeight="1" x14ac:dyDescent="0.2">
      <c r="A189" s="11" t="s">
        <v>502</v>
      </c>
      <c r="B189" s="11" t="s">
        <v>4</v>
      </c>
      <c r="C189" s="11" t="s">
        <v>12</v>
      </c>
      <c r="D189" s="11" t="s">
        <v>270</v>
      </c>
      <c r="E189" s="11" t="s">
        <v>675</v>
      </c>
      <c r="F189" s="11" t="s">
        <v>676</v>
      </c>
      <c r="I189" s="11" t="s">
        <v>270</v>
      </c>
      <c r="J189" s="11" t="s">
        <v>675</v>
      </c>
      <c r="K189" s="11" t="s">
        <v>677</v>
      </c>
      <c r="L189" s="75" t="s">
        <v>546</v>
      </c>
      <c r="M189" s="4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ht="15.75" customHeight="1" x14ac:dyDescent="0.2">
      <c r="M190" s="4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ht="15.75" customHeight="1" x14ac:dyDescent="0.2">
      <c r="E191" s="11" t="s">
        <v>678</v>
      </c>
      <c r="F191" s="11" t="s">
        <v>679</v>
      </c>
      <c r="K191" s="11" t="s">
        <v>680</v>
      </c>
      <c r="L191" s="75" t="s">
        <v>681</v>
      </c>
      <c r="M191" s="4"/>
      <c r="N191" s="2"/>
      <c r="O191" s="4"/>
      <c r="P191" s="2"/>
      <c r="Q191" s="2"/>
      <c r="R191" s="4"/>
      <c r="S191" s="2"/>
      <c r="T191" s="2"/>
      <c r="U191" s="1"/>
      <c r="V191" s="2"/>
      <c r="W191" s="2"/>
      <c r="X191" s="2"/>
      <c r="Y191" s="2"/>
      <c r="Z191" s="2"/>
    </row>
    <row r="192" spans="1:26" ht="15.75" customHeight="1" x14ac:dyDescent="0.2">
      <c r="M192" s="4"/>
      <c r="N192" s="2"/>
      <c r="O192" s="4"/>
      <c r="P192" s="2"/>
      <c r="Q192" s="2"/>
      <c r="R192" s="4"/>
      <c r="S192" s="2"/>
      <c r="T192" s="2"/>
      <c r="U192" s="1"/>
      <c r="V192" s="2"/>
      <c r="W192" s="2"/>
      <c r="X192" s="2"/>
      <c r="Y192" s="2"/>
      <c r="Z192" s="2"/>
    </row>
    <row r="193" spans="1:26" ht="15.75" customHeight="1" x14ac:dyDescent="0.2">
      <c r="M193" s="4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ht="15.75" customHeight="1" x14ac:dyDescent="0.2">
      <c r="A194" s="11" t="s">
        <v>682</v>
      </c>
      <c r="C194" s="24" t="s">
        <v>76</v>
      </c>
      <c r="D194" s="11" t="s">
        <v>268</v>
      </c>
      <c r="G194" s="11" t="s">
        <v>2</v>
      </c>
      <c r="M194" s="4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ht="15.75" customHeight="1" x14ac:dyDescent="0.2"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A196" s="11" t="s">
        <v>3</v>
      </c>
      <c r="B196" s="11" t="s">
        <v>4</v>
      </c>
      <c r="C196" s="11" t="s">
        <v>5</v>
      </c>
      <c r="D196" s="11" t="s">
        <v>6</v>
      </c>
      <c r="E196" s="11" t="s">
        <v>7</v>
      </c>
      <c r="F196" s="11" t="s">
        <v>8</v>
      </c>
      <c r="I196" s="11" t="s">
        <v>9</v>
      </c>
      <c r="J196" s="11" t="s">
        <v>7</v>
      </c>
      <c r="K196" s="11" t="s">
        <v>10</v>
      </c>
      <c r="M196" s="4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ht="15.75" customHeight="1" x14ac:dyDescent="0.2">
      <c r="A197" s="11" t="s">
        <v>322</v>
      </c>
      <c r="B197" s="11" t="s">
        <v>17</v>
      </c>
      <c r="C197" s="11" t="s">
        <v>39</v>
      </c>
      <c r="D197" s="11" t="s">
        <v>304</v>
      </c>
      <c r="E197" s="11" t="s">
        <v>284</v>
      </c>
      <c r="F197" s="11" t="s">
        <v>285</v>
      </c>
      <c r="I197" s="11" t="s">
        <v>404</v>
      </c>
      <c r="J197" s="11" t="s">
        <v>683</v>
      </c>
      <c r="K197" s="11" t="s">
        <v>684</v>
      </c>
      <c r="L197" s="75" t="s">
        <v>407</v>
      </c>
      <c r="M197" s="4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ht="15.75" customHeight="1" x14ac:dyDescent="0.2">
      <c r="A198" s="11" t="s">
        <v>322</v>
      </c>
      <c r="B198" s="11" t="s">
        <v>17</v>
      </c>
      <c r="C198" s="11" t="s">
        <v>43</v>
      </c>
      <c r="D198" s="11" t="s">
        <v>327</v>
      </c>
      <c r="E198" s="11" t="s">
        <v>343</v>
      </c>
      <c r="F198" s="11" t="s">
        <v>344</v>
      </c>
      <c r="I198" s="11" t="s">
        <v>390</v>
      </c>
      <c r="J198" s="11" t="s">
        <v>346</v>
      </c>
      <c r="K198" s="11" t="s">
        <v>347</v>
      </c>
      <c r="L198" s="75" t="s">
        <v>348</v>
      </c>
      <c r="M198" s="4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ht="15.75" customHeight="1" x14ac:dyDescent="0.2">
      <c r="A199" s="11" t="s">
        <v>277</v>
      </c>
      <c r="B199" s="11" t="s">
        <v>21</v>
      </c>
      <c r="C199" s="11" t="s">
        <v>29</v>
      </c>
      <c r="D199" s="11" t="s">
        <v>369</v>
      </c>
      <c r="E199" s="11" t="s">
        <v>369</v>
      </c>
      <c r="F199" s="11" t="s">
        <v>616</v>
      </c>
      <c r="I199" s="11" t="s">
        <v>273</v>
      </c>
      <c r="J199" s="11" t="s">
        <v>273</v>
      </c>
      <c r="K199" s="11" t="s">
        <v>617</v>
      </c>
      <c r="L199" s="75" t="s">
        <v>373</v>
      </c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ht="15.75" customHeight="1" x14ac:dyDescent="0.2">
      <c r="A200" s="11" t="s">
        <v>277</v>
      </c>
      <c r="B200" s="11" t="s">
        <v>21</v>
      </c>
      <c r="C200" s="11" t="s">
        <v>133</v>
      </c>
      <c r="D200" s="11" t="s">
        <v>283</v>
      </c>
      <c r="E200" s="11" t="s">
        <v>283</v>
      </c>
      <c r="F200" s="11" t="s">
        <v>365</v>
      </c>
      <c r="I200" s="11" t="s">
        <v>306</v>
      </c>
      <c r="J200" s="11" t="s">
        <v>306</v>
      </c>
      <c r="K200" s="11" t="s">
        <v>368</v>
      </c>
      <c r="L200" s="75" t="s">
        <v>276</v>
      </c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1" t="s">
        <v>277</v>
      </c>
      <c r="B201" s="11" t="s">
        <v>21</v>
      </c>
      <c r="C201" s="11" t="s">
        <v>52</v>
      </c>
      <c r="D201" s="11" t="s">
        <v>392</v>
      </c>
      <c r="E201" s="11" t="s">
        <v>392</v>
      </c>
      <c r="F201" s="11" t="s">
        <v>452</v>
      </c>
      <c r="I201" s="11" t="s">
        <v>607</v>
      </c>
      <c r="J201" s="11" t="s">
        <v>607</v>
      </c>
      <c r="K201" s="11" t="s">
        <v>685</v>
      </c>
      <c r="L201" s="75" t="s">
        <v>394</v>
      </c>
      <c r="M201" s="4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ht="15.75" customHeight="1" x14ac:dyDescent="0.2">
      <c r="A202" s="11" t="s">
        <v>290</v>
      </c>
      <c r="B202" s="11" t="s">
        <v>17</v>
      </c>
      <c r="C202" s="11" t="s">
        <v>31</v>
      </c>
      <c r="D202" s="11" t="s">
        <v>291</v>
      </c>
      <c r="E202" s="11" t="s">
        <v>292</v>
      </c>
      <c r="F202" s="11" t="s">
        <v>293</v>
      </c>
      <c r="I202" s="11" t="s">
        <v>375</v>
      </c>
      <c r="J202" s="11" t="s">
        <v>507</v>
      </c>
      <c r="K202" s="11" t="s">
        <v>508</v>
      </c>
      <c r="L202" s="75" t="s">
        <v>377</v>
      </c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A203" s="11" t="s">
        <v>290</v>
      </c>
      <c r="B203" s="11" t="s">
        <v>17</v>
      </c>
      <c r="C203" s="11" t="s">
        <v>33</v>
      </c>
      <c r="D203" s="11" t="s">
        <v>383</v>
      </c>
      <c r="E203" s="11" t="s">
        <v>597</v>
      </c>
      <c r="F203" s="11" t="s">
        <v>598</v>
      </c>
      <c r="I203" s="11" t="s">
        <v>386</v>
      </c>
      <c r="J203" s="11" t="s">
        <v>599</v>
      </c>
      <c r="K203" s="11" t="s">
        <v>600</v>
      </c>
      <c r="L203" s="75" t="s">
        <v>389</v>
      </c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11" t="s">
        <v>290</v>
      </c>
      <c r="B204" s="11" t="s">
        <v>17</v>
      </c>
      <c r="C204" s="11" t="s">
        <v>32</v>
      </c>
      <c r="D204" s="11" t="s">
        <v>304</v>
      </c>
      <c r="E204" s="11" t="s">
        <v>335</v>
      </c>
      <c r="F204" s="11" t="s">
        <v>336</v>
      </c>
      <c r="I204" s="11" t="s">
        <v>379</v>
      </c>
      <c r="J204" s="11" t="s">
        <v>595</v>
      </c>
      <c r="K204" s="11" t="s">
        <v>596</v>
      </c>
      <c r="L204" s="75" t="s">
        <v>382</v>
      </c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1" t="s">
        <v>322</v>
      </c>
      <c r="B205" s="11" t="s">
        <v>17</v>
      </c>
      <c r="C205" s="11" t="s">
        <v>82</v>
      </c>
      <c r="D205" s="11" t="s">
        <v>304</v>
      </c>
      <c r="E205" s="11" t="s">
        <v>284</v>
      </c>
      <c r="F205" s="11" t="s">
        <v>285</v>
      </c>
      <c r="I205" s="11" t="s">
        <v>422</v>
      </c>
      <c r="J205" s="11" t="s">
        <v>686</v>
      </c>
      <c r="K205" s="11" t="s">
        <v>687</v>
      </c>
      <c r="L205" s="75" t="s">
        <v>425</v>
      </c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1" t="s">
        <v>277</v>
      </c>
      <c r="B206" s="11" t="s">
        <v>17</v>
      </c>
      <c r="C206" s="11" t="s">
        <v>61</v>
      </c>
      <c r="D206" s="11" t="s">
        <v>426</v>
      </c>
      <c r="E206" s="11" t="s">
        <v>426</v>
      </c>
      <c r="F206" s="11" t="s">
        <v>427</v>
      </c>
      <c r="I206" s="11" t="s">
        <v>386</v>
      </c>
      <c r="J206" s="11" t="s">
        <v>386</v>
      </c>
      <c r="K206" s="11" t="s">
        <v>428</v>
      </c>
      <c r="L206" s="75" t="s">
        <v>429</v>
      </c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1" t="s">
        <v>277</v>
      </c>
      <c r="B207" s="11" t="s">
        <v>15</v>
      </c>
      <c r="C207" s="11" t="s">
        <v>40</v>
      </c>
      <c r="D207" s="11" t="s">
        <v>284</v>
      </c>
      <c r="E207" s="11" t="s">
        <v>284</v>
      </c>
      <c r="F207" s="11" t="s">
        <v>285</v>
      </c>
      <c r="I207" s="11" t="s">
        <v>408</v>
      </c>
      <c r="J207" s="11" t="s">
        <v>408</v>
      </c>
      <c r="K207" s="11" t="s">
        <v>409</v>
      </c>
      <c r="L207" s="75" t="s">
        <v>410</v>
      </c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1" t="s">
        <v>277</v>
      </c>
      <c r="B208" s="11" t="s">
        <v>15</v>
      </c>
      <c r="C208" s="11" t="s">
        <v>48</v>
      </c>
      <c r="D208" s="11" t="s">
        <v>297</v>
      </c>
      <c r="E208" s="11" t="s">
        <v>297</v>
      </c>
      <c r="F208" s="11" t="s">
        <v>298</v>
      </c>
      <c r="I208" s="11" t="s">
        <v>299</v>
      </c>
      <c r="J208" s="11" t="s">
        <v>299</v>
      </c>
      <c r="K208" s="11" t="s">
        <v>300</v>
      </c>
      <c r="L208" s="75" t="s">
        <v>301</v>
      </c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1" t="s">
        <v>277</v>
      </c>
      <c r="B209" s="11" t="s">
        <v>15</v>
      </c>
      <c r="C209" s="11" t="s">
        <v>129</v>
      </c>
      <c r="D209" s="11" t="s">
        <v>313</v>
      </c>
      <c r="E209" s="11" t="s">
        <v>313</v>
      </c>
      <c r="F209" s="11" t="s">
        <v>576</v>
      </c>
      <c r="I209" s="11" t="s">
        <v>284</v>
      </c>
      <c r="J209" s="11" t="s">
        <v>284</v>
      </c>
      <c r="K209" s="11" t="s">
        <v>577</v>
      </c>
      <c r="L209" s="75" t="s">
        <v>492</v>
      </c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1" t="s">
        <v>290</v>
      </c>
      <c r="B210" s="11" t="s">
        <v>15</v>
      </c>
      <c r="C210" s="11" t="s">
        <v>27</v>
      </c>
      <c r="D210" s="11" t="s">
        <v>346</v>
      </c>
      <c r="E210" s="11" t="s">
        <v>345</v>
      </c>
      <c r="F210" s="11" t="s">
        <v>360</v>
      </c>
      <c r="I210" s="11" t="s">
        <v>361</v>
      </c>
      <c r="J210" s="11" t="s">
        <v>362</v>
      </c>
      <c r="K210" s="11" t="s">
        <v>363</v>
      </c>
      <c r="L210" s="75" t="s">
        <v>364</v>
      </c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1" t="s">
        <v>282</v>
      </c>
      <c r="B211" s="11" t="s">
        <v>21</v>
      </c>
      <c r="C211" s="11" t="s">
        <v>22</v>
      </c>
      <c r="D211" s="11" t="s">
        <v>323</v>
      </c>
      <c r="E211" s="11" t="s">
        <v>688</v>
      </c>
      <c r="F211" s="11" t="s">
        <v>689</v>
      </c>
      <c r="I211" s="11" t="s">
        <v>326</v>
      </c>
      <c r="J211" s="11" t="s">
        <v>335</v>
      </c>
      <c r="K211" s="11" t="s">
        <v>690</v>
      </c>
      <c r="L211" s="75" t="s">
        <v>329</v>
      </c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15.75" customHeight="1" x14ac:dyDescent="0.2">
      <c r="A212" s="11" t="s">
        <v>411</v>
      </c>
      <c r="B212" s="11" t="s">
        <v>4</v>
      </c>
      <c r="C212" s="11" t="s">
        <v>14</v>
      </c>
      <c r="D212" s="11" t="s">
        <v>291</v>
      </c>
      <c r="E212" s="11" t="s">
        <v>314</v>
      </c>
      <c r="F212" s="11" t="s">
        <v>444</v>
      </c>
      <c r="I212" s="11" t="s">
        <v>294</v>
      </c>
      <c r="J212" s="11" t="s">
        <v>683</v>
      </c>
      <c r="K212" s="11" t="s">
        <v>691</v>
      </c>
      <c r="L212" s="75" t="s">
        <v>296</v>
      </c>
      <c r="M212" s="4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ht="15.75" customHeight="1" x14ac:dyDescent="0.2">
      <c r="A213" s="11" t="s">
        <v>277</v>
      </c>
      <c r="B213" s="11" t="s">
        <v>17</v>
      </c>
      <c r="C213" s="11" t="s">
        <v>19</v>
      </c>
      <c r="D213" s="11" t="s">
        <v>317</v>
      </c>
      <c r="E213" s="11" t="s">
        <v>317</v>
      </c>
      <c r="F213" s="11" t="s">
        <v>318</v>
      </c>
      <c r="I213" s="11" t="s">
        <v>319</v>
      </c>
      <c r="J213" s="11" t="s">
        <v>319</v>
      </c>
      <c r="K213" s="11" t="s">
        <v>320</v>
      </c>
      <c r="L213" s="75" t="s">
        <v>321</v>
      </c>
      <c r="M213" s="4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ht="15.75" customHeight="1" x14ac:dyDescent="0.2">
      <c r="A214" s="11" t="s">
        <v>309</v>
      </c>
      <c r="B214" s="11" t="s">
        <v>17</v>
      </c>
      <c r="C214" s="11" t="s">
        <v>55</v>
      </c>
      <c r="D214" s="11" t="s">
        <v>310</v>
      </c>
      <c r="E214" s="11" t="s">
        <v>311</v>
      </c>
      <c r="F214" s="11" t="s">
        <v>312</v>
      </c>
      <c r="I214" s="11" t="s">
        <v>313</v>
      </c>
      <c r="J214" s="11" t="s">
        <v>314</v>
      </c>
      <c r="K214" s="11" t="s">
        <v>315</v>
      </c>
      <c r="L214" s="75" t="s">
        <v>316</v>
      </c>
      <c r="M214" s="4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ht="15.75" customHeight="1" x14ac:dyDescent="0.2">
      <c r="A215" s="11" t="s">
        <v>277</v>
      </c>
      <c r="B215" s="11" t="s">
        <v>17</v>
      </c>
      <c r="C215" s="11" t="s">
        <v>34</v>
      </c>
      <c r="D215" s="11" t="s">
        <v>390</v>
      </c>
      <c r="E215" s="11" t="s">
        <v>390</v>
      </c>
      <c r="F215" s="11" t="s">
        <v>391</v>
      </c>
      <c r="I215" s="11" t="s">
        <v>392</v>
      </c>
      <c r="J215" s="11" t="s">
        <v>392</v>
      </c>
      <c r="K215" s="11" t="s">
        <v>393</v>
      </c>
      <c r="L215" s="75" t="s">
        <v>394</v>
      </c>
      <c r="M215" s="4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ht="15.75" customHeight="1" x14ac:dyDescent="0.2">
      <c r="A216" s="11" t="s">
        <v>277</v>
      </c>
      <c r="B216" s="11" t="s">
        <v>4</v>
      </c>
      <c r="C216" s="11" t="s">
        <v>64</v>
      </c>
      <c r="D216" s="11" t="s">
        <v>366</v>
      </c>
      <c r="E216" s="11" t="s">
        <v>366</v>
      </c>
      <c r="F216" s="11" t="s">
        <v>523</v>
      </c>
      <c r="I216" s="11" t="s">
        <v>306</v>
      </c>
      <c r="J216" s="11" t="s">
        <v>306</v>
      </c>
      <c r="K216" s="11" t="s">
        <v>606</v>
      </c>
      <c r="L216" s="75" t="s">
        <v>394</v>
      </c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ht="15.75" customHeight="1" x14ac:dyDescent="0.2">
      <c r="A217" s="11" t="s">
        <v>290</v>
      </c>
      <c r="B217" s="11" t="s">
        <v>4</v>
      </c>
      <c r="C217" s="11" t="s">
        <v>65</v>
      </c>
      <c r="D217" s="11" t="s">
        <v>303</v>
      </c>
      <c r="E217" s="11" t="s">
        <v>291</v>
      </c>
      <c r="F217" s="11" t="s">
        <v>374</v>
      </c>
      <c r="I217" s="11" t="s">
        <v>609</v>
      </c>
      <c r="J217" s="11" t="s">
        <v>366</v>
      </c>
      <c r="K217" s="11" t="s">
        <v>692</v>
      </c>
      <c r="L217" s="75" t="s">
        <v>611</v>
      </c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1" t="s">
        <v>341</v>
      </c>
      <c r="B218" s="11" t="s">
        <v>17</v>
      </c>
      <c r="C218" s="11" t="s">
        <v>93</v>
      </c>
      <c r="D218" s="11" t="s">
        <v>283</v>
      </c>
      <c r="E218" s="11" t="s">
        <v>273</v>
      </c>
      <c r="F218" s="11" t="s">
        <v>278</v>
      </c>
      <c r="I218" s="11" t="s">
        <v>612</v>
      </c>
      <c r="J218" s="11" t="s">
        <v>693</v>
      </c>
      <c r="K218" s="11" t="s">
        <v>694</v>
      </c>
      <c r="L218" s="75" t="s">
        <v>614</v>
      </c>
      <c r="M218" s="4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ht="15.75" customHeight="1" x14ac:dyDescent="0.2">
      <c r="A219" s="11" t="s">
        <v>290</v>
      </c>
      <c r="B219" s="11" t="s">
        <v>17</v>
      </c>
      <c r="C219" s="11" t="s">
        <v>18</v>
      </c>
      <c r="D219" s="11" t="s">
        <v>303</v>
      </c>
      <c r="E219" s="11" t="s">
        <v>291</v>
      </c>
      <c r="F219" s="11" t="s">
        <v>374</v>
      </c>
      <c r="I219" s="11" t="s">
        <v>306</v>
      </c>
      <c r="J219" s="11" t="s">
        <v>392</v>
      </c>
      <c r="K219" s="11" t="s">
        <v>695</v>
      </c>
      <c r="L219" s="75" t="s">
        <v>308</v>
      </c>
      <c r="M219" s="4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ht="15.75" customHeight="1" x14ac:dyDescent="0.2">
      <c r="A220" s="11" t="s">
        <v>696</v>
      </c>
      <c r="B220" s="11" t="s">
        <v>21</v>
      </c>
      <c r="C220" s="11" t="s">
        <v>46</v>
      </c>
      <c r="D220" s="11" t="s">
        <v>431</v>
      </c>
      <c r="E220" s="11" t="s">
        <v>450</v>
      </c>
      <c r="F220" s="11" t="s">
        <v>697</v>
      </c>
      <c r="I220" s="11" t="s">
        <v>433</v>
      </c>
      <c r="J220" s="11" t="s">
        <v>270</v>
      </c>
      <c r="K220" s="11" t="s">
        <v>698</v>
      </c>
      <c r="L220" s="75" t="s">
        <v>308</v>
      </c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1" t="s">
        <v>341</v>
      </c>
      <c r="B221" s="11" t="s">
        <v>23</v>
      </c>
      <c r="C221" s="11" t="s">
        <v>12</v>
      </c>
      <c r="D221" s="11" t="s">
        <v>543</v>
      </c>
      <c r="E221" s="11" t="s">
        <v>699</v>
      </c>
      <c r="F221" s="11" t="s">
        <v>700</v>
      </c>
      <c r="I221" s="11" t="s">
        <v>543</v>
      </c>
      <c r="J221" s="11" t="s">
        <v>699</v>
      </c>
      <c r="K221" s="11" t="s">
        <v>701</v>
      </c>
      <c r="L221" s="75" t="s">
        <v>546</v>
      </c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1" t="s">
        <v>290</v>
      </c>
      <c r="B222" s="11" t="s">
        <v>23</v>
      </c>
      <c r="C222" s="11" t="s">
        <v>26</v>
      </c>
      <c r="D222" s="11" t="s">
        <v>353</v>
      </c>
      <c r="E222" s="11" t="s">
        <v>510</v>
      </c>
      <c r="F222" s="11" t="s">
        <v>511</v>
      </c>
      <c r="I222" s="11" t="s">
        <v>356</v>
      </c>
      <c r="J222" s="11" t="s">
        <v>512</v>
      </c>
      <c r="K222" s="11" t="s">
        <v>513</v>
      </c>
      <c r="L222" s="75" t="s">
        <v>359</v>
      </c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1" t="s">
        <v>282</v>
      </c>
      <c r="B223" s="11" t="s">
        <v>17</v>
      </c>
      <c r="C223" s="11" t="s">
        <v>24</v>
      </c>
      <c r="D223" s="11" t="s">
        <v>460</v>
      </c>
      <c r="E223" s="11" t="s">
        <v>461</v>
      </c>
      <c r="F223" s="11" t="s">
        <v>462</v>
      </c>
      <c r="I223" s="11" t="s">
        <v>463</v>
      </c>
      <c r="J223" s="11" t="s">
        <v>464</v>
      </c>
      <c r="K223" s="11" t="s">
        <v>465</v>
      </c>
      <c r="L223" s="75" t="s">
        <v>466</v>
      </c>
      <c r="M223" s="4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ht="15.75" customHeight="1" x14ac:dyDescent="0.2">
      <c r="A224" s="11" t="s">
        <v>411</v>
      </c>
      <c r="B224" s="11" t="s">
        <v>17</v>
      </c>
      <c r="C224" s="11" t="s">
        <v>25</v>
      </c>
      <c r="D224" s="11" t="s">
        <v>270</v>
      </c>
      <c r="E224" s="11" t="s">
        <v>467</v>
      </c>
      <c r="F224" s="11" t="s">
        <v>468</v>
      </c>
      <c r="I224" s="11" t="s">
        <v>469</v>
      </c>
      <c r="J224" s="11" t="s">
        <v>470</v>
      </c>
      <c r="K224" s="11" t="s">
        <v>471</v>
      </c>
      <c r="L224" s="75" t="s">
        <v>472</v>
      </c>
      <c r="M224" s="4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ht="15.75" customHeight="1" x14ac:dyDescent="0.2">
      <c r="A225" s="11" t="s">
        <v>322</v>
      </c>
      <c r="B225" s="11" t="s">
        <v>17</v>
      </c>
      <c r="C225" s="11" t="s">
        <v>62</v>
      </c>
      <c r="D225" s="11" t="s">
        <v>283</v>
      </c>
      <c r="E225" s="11" t="s">
        <v>487</v>
      </c>
      <c r="F225" s="11" t="s">
        <v>488</v>
      </c>
      <c r="I225" s="11" t="s">
        <v>286</v>
      </c>
      <c r="J225" s="11" t="s">
        <v>489</v>
      </c>
      <c r="K225" s="11" t="s">
        <v>490</v>
      </c>
      <c r="L225" s="75" t="s">
        <v>289</v>
      </c>
      <c r="M225" s="4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ht="15.75" customHeight="1" x14ac:dyDescent="0.2">
      <c r="A226" s="11" t="s">
        <v>411</v>
      </c>
      <c r="B226" s="11" t="s">
        <v>17</v>
      </c>
      <c r="C226" s="11" t="s">
        <v>67</v>
      </c>
      <c r="D226" s="11" t="s">
        <v>326</v>
      </c>
      <c r="E226" s="11" t="s">
        <v>460</v>
      </c>
      <c r="F226" s="11" t="s">
        <v>653</v>
      </c>
      <c r="I226" s="11" t="s">
        <v>337</v>
      </c>
      <c r="J226" s="11" t="s">
        <v>702</v>
      </c>
      <c r="K226" s="11" t="s">
        <v>703</v>
      </c>
      <c r="L226" s="75" t="s">
        <v>340</v>
      </c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M227" s="4"/>
      <c r="N227" s="2"/>
      <c r="O227" s="4"/>
      <c r="P227" s="2"/>
      <c r="Q227" s="2"/>
      <c r="R227" s="4"/>
      <c r="S227" s="2"/>
      <c r="T227" s="2"/>
      <c r="U227" s="1"/>
      <c r="V227" s="2"/>
      <c r="W227" s="2"/>
      <c r="X227" s="2"/>
      <c r="Y227" s="2"/>
      <c r="Z227" s="2"/>
    </row>
    <row r="228" spans="1:26" ht="15.75" customHeight="1" x14ac:dyDescent="0.2">
      <c r="E228" s="11" t="s">
        <v>704</v>
      </c>
      <c r="F228" s="11" t="s">
        <v>705</v>
      </c>
      <c r="K228" s="11" t="s">
        <v>706</v>
      </c>
      <c r="L228" s="75" t="s">
        <v>707</v>
      </c>
      <c r="M228" s="4"/>
      <c r="N228" s="2"/>
      <c r="O228" s="4"/>
      <c r="P228" s="2"/>
      <c r="Q228" s="2"/>
      <c r="R228" s="4"/>
      <c r="S228" s="2"/>
      <c r="T228" s="2"/>
      <c r="U228" s="1"/>
      <c r="V228" s="2"/>
      <c r="W228" s="2"/>
      <c r="X228" s="2"/>
      <c r="Y228" s="2"/>
      <c r="Z228" s="2"/>
    </row>
    <row r="229" spans="1:26" ht="15.75" customHeight="1" x14ac:dyDescent="0.2">
      <c r="M229" s="4"/>
      <c r="N229" s="2"/>
      <c r="O229" s="4"/>
      <c r="P229" s="2"/>
      <c r="Q229" s="2"/>
      <c r="R229" s="4"/>
      <c r="S229" s="2"/>
      <c r="T229" s="2"/>
      <c r="U229" s="1"/>
      <c r="V229" s="2"/>
      <c r="W229" s="2"/>
      <c r="X229" s="2"/>
      <c r="Y229" s="2"/>
      <c r="Z229" s="2"/>
    </row>
    <row r="230" spans="1:26" ht="15.75" customHeight="1" x14ac:dyDescent="0.2">
      <c r="M230" s="4"/>
      <c r="N230" s="2"/>
      <c r="O230" s="4"/>
      <c r="P230" s="2"/>
      <c r="Q230" s="2"/>
      <c r="R230" s="4"/>
      <c r="S230" s="2"/>
      <c r="T230" s="2"/>
      <c r="U230" s="1"/>
      <c r="V230" s="2"/>
      <c r="W230" s="2"/>
      <c r="X230" s="2"/>
      <c r="Y230" s="2"/>
      <c r="Z230" s="2"/>
    </row>
    <row r="231" spans="1:26" ht="15.75" customHeight="1" x14ac:dyDescent="0.2">
      <c r="A231" s="11" t="s">
        <v>63</v>
      </c>
      <c r="C231" s="24" t="s">
        <v>194</v>
      </c>
      <c r="D231" s="11" t="s">
        <v>268</v>
      </c>
      <c r="G231" s="11" t="s">
        <v>2</v>
      </c>
      <c r="M231" s="4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5.75" customHeight="1" x14ac:dyDescent="0.2">
      <c r="M232" s="4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1" t="s">
        <v>3</v>
      </c>
      <c r="B233" s="11" t="s">
        <v>4</v>
      </c>
      <c r="C233" s="11" t="s">
        <v>5</v>
      </c>
      <c r="D233" s="11" t="s">
        <v>6</v>
      </c>
      <c r="E233" s="11" t="s">
        <v>7</v>
      </c>
      <c r="F233" s="11" t="s">
        <v>8</v>
      </c>
      <c r="I233" s="11" t="s">
        <v>9</v>
      </c>
      <c r="J233" s="11" t="s">
        <v>7</v>
      </c>
      <c r="K233" s="11" t="s">
        <v>10</v>
      </c>
      <c r="M233" s="4"/>
      <c r="N233" s="2"/>
      <c r="O233" s="4"/>
      <c r="P233" s="2"/>
      <c r="Q233" s="2"/>
      <c r="R233" s="4"/>
      <c r="S233" s="2"/>
      <c r="T233" s="2"/>
      <c r="U233" s="1"/>
      <c r="V233" s="2"/>
      <c r="W233" s="2"/>
      <c r="X233" s="2"/>
      <c r="Y233" s="2"/>
      <c r="Z233" s="2"/>
    </row>
    <row r="234" spans="1:26" ht="15.75" customHeight="1" x14ac:dyDescent="0.2">
      <c r="A234" s="11" t="s">
        <v>411</v>
      </c>
      <c r="B234" s="11" t="s">
        <v>4</v>
      </c>
      <c r="C234" s="11" t="s">
        <v>13</v>
      </c>
      <c r="D234" s="11" t="s">
        <v>271</v>
      </c>
      <c r="E234" s="11" t="s">
        <v>320</v>
      </c>
      <c r="F234" s="11" t="s">
        <v>396</v>
      </c>
      <c r="I234" s="11" t="s">
        <v>483</v>
      </c>
      <c r="J234" s="11" t="s">
        <v>708</v>
      </c>
      <c r="K234" s="11" t="s">
        <v>709</v>
      </c>
      <c r="L234" s="75" t="s">
        <v>486</v>
      </c>
      <c r="M234" s="4"/>
      <c r="N234" s="2"/>
      <c r="O234" s="4"/>
      <c r="P234" s="2"/>
      <c r="Q234" s="2"/>
      <c r="R234" s="4"/>
      <c r="S234" s="2"/>
      <c r="T234" s="2"/>
      <c r="U234" s="1"/>
      <c r="V234" s="2"/>
      <c r="W234" s="2"/>
      <c r="X234" s="2"/>
      <c r="Y234" s="2"/>
      <c r="Z234" s="2"/>
    </row>
    <row r="235" spans="1:26" ht="15.75" customHeight="1" x14ac:dyDescent="0.2">
      <c r="A235" s="11" t="s">
        <v>277</v>
      </c>
      <c r="B235" s="11" t="s">
        <v>21</v>
      </c>
      <c r="C235" s="11" t="s">
        <v>51</v>
      </c>
      <c r="D235" s="11" t="s">
        <v>273</v>
      </c>
      <c r="E235" s="11" t="s">
        <v>273</v>
      </c>
      <c r="F235" s="11" t="s">
        <v>278</v>
      </c>
      <c r="I235" s="11" t="s">
        <v>279</v>
      </c>
      <c r="J235" s="11" t="s">
        <v>279</v>
      </c>
      <c r="K235" s="11" t="s">
        <v>280</v>
      </c>
      <c r="L235" s="75" t="s">
        <v>281</v>
      </c>
      <c r="M235" s="4"/>
      <c r="N235" s="2"/>
      <c r="O235" s="4"/>
      <c r="P235" s="2"/>
      <c r="Q235" s="2"/>
      <c r="R235" s="4"/>
      <c r="S235" s="2"/>
      <c r="T235" s="2"/>
      <c r="U235" s="1"/>
      <c r="V235" s="2"/>
      <c r="W235" s="2"/>
      <c r="X235" s="2"/>
      <c r="Y235" s="2"/>
      <c r="Z235" s="2"/>
    </row>
    <row r="236" spans="1:26" ht="15.75" customHeight="1" x14ac:dyDescent="0.2">
      <c r="A236" s="11" t="s">
        <v>502</v>
      </c>
      <c r="B236" s="11" t="s">
        <v>17</v>
      </c>
      <c r="C236" s="11" t="s">
        <v>62</v>
      </c>
      <c r="D236" s="11" t="s">
        <v>283</v>
      </c>
      <c r="E236" s="11" t="s">
        <v>310</v>
      </c>
      <c r="F236" s="11" t="s">
        <v>601</v>
      </c>
      <c r="I236" s="11" t="s">
        <v>286</v>
      </c>
      <c r="J236" s="11" t="s">
        <v>710</v>
      </c>
      <c r="K236" s="11" t="s">
        <v>711</v>
      </c>
      <c r="L236" s="75" t="s">
        <v>289</v>
      </c>
      <c r="M236" s="4"/>
      <c r="N236" s="2"/>
      <c r="O236" s="4"/>
      <c r="P236" s="2"/>
      <c r="Q236" s="2"/>
      <c r="R236" s="4"/>
      <c r="S236" s="2"/>
      <c r="T236" s="2"/>
      <c r="U236" s="1"/>
      <c r="V236" s="2"/>
      <c r="W236" s="2"/>
      <c r="X236" s="2"/>
      <c r="Y236" s="2"/>
      <c r="Z236" s="2"/>
    </row>
    <row r="237" spans="1:26" ht="15.75" customHeight="1" x14ac:dyDescent="0.2">
      <c r="A237" s="11" t="s">
        <v>290</v>
      </c>
      <c r="B237" s="11" t="s">
        <v>15</v>
      </c>
      <c r="C237" s="11" t="s">
        <v>16</v>
      </c>
      <c r="D237" s="11" t="s">
        <v>297</v>
      </c>
      <c r="E237" s="11" t="s">
        <v>563</v>
      </c>
      <c r="F237" s="11" t="s">
        <v>564</v>
      </c>
      <c r="I237" s="11" t="s">
        <v>299</v>
      </c>
      <c r="J237" s="11" t="s">
        <v>313</v>
      </c>
      <c r="K237" s="11" t="s">
        <v>575</v>
      </c>
      <c r="L237" s="75" t="s">
        <v>301</v>
      </c>
      <c r="M237" s="4"/>
      <c r="N237" s="2"/>
      <c r="O237" s="4"/>
      <c r="P237" s="2"/>
      <c r="Q237" s="2"/>
      <c r="R237" s="4"/>
      <c r="S237" s="2"/>
      <c r="T237" s="2"/>
      <c r="U237" s="1"/>
      <c r="V237" s="2"/>
      <c r="W237" s="2"/>
      <c r="X237" s="2"/>
      <c r="Y237" s="2"/>
      <c r="Z237" s="2"/>
    </row>
    <row r="238" spans="1:26" ht="15.75" customHeight="1" x14ac:dyDescent="0.2">
      <c r="A238" s="11" t="s">
        <v>322</v>
      </c>
      <c r="B238" s="11" t="s">
        <v>4</v>
      </c>
      <c r="C238" s="11" t="s">
        <v>14</v>
      </c>
      <c r="D238" s="11" t="s">
        <v>291</v>
      </c>
      <c r="E238" s="11" t="s">
        <v>313</v>
      </c>
      <c r="F238" s="11" t="s">
        <v>576</v>
      </c>
      <c r="I238" s="11" t="s">
        <v>294</v>
      </c>
      <c r="J238" s="11" t="s">
        <v>712</v>
      </c>
      <c r="K238" s="11" t="s">
        <v>713</v>
      </c>
      <c r="L238" s="75" t="s">
        <v>296</v>
      </c>
      <c r="M238" s="4"/>
      <c r="N238" s="2"/>
      <c r="O238" s="4"/>
      <c r="P238" s="2"/>
      <c r="Q238" s="2"/>
      <c r="R238" s="4"/>
      <c r="S238" s="2"/>
      <c r="T238" s="2"/>
      <c r="U238" s="1"/>
      <c r="V238" s="2"/>
      <c r="W238" s="2"/>
      <c r="X238" s="2"/>
      <c r="Y238" s="2"/>
      <c r="Z238" s="2"/>
    </row>
    <row r="239" spans="1:26" ht="15.75" customHeight="1" x14ac:dyDescent="0.2">
      <c r="A239" s="11" t="s">
        <v>341</v>
      </c>
      <c r="B239" s="11" t="s">
        <v>17</v>
      </c>
      <c r="C239" s="11" t="s">
        <v>42</v>
      </c>
      <c r="D239" s="11" t="s">
        <v>270</v>
      </c>
      <c r="E239" s="11" t="s">
        <v>294</v>
      </c>
      <c r="F239" s="11" t="s">
        <v>714</v>
      </c>
      <c r="I239" s="11" t="s">
        <v>273</v>
      </c>
      <c r="J239" s="11" t="s">
        <v>519</v>
      </c>
      <c r="K239" s="11" t="s">
        <v>715</v>
      </c>
      <c r="L239" s="75" t="s">
        <v>276</v>
      </c>
      <c r="M239" s="4"/>
      <c r="N239" s="2"/>
      <c r="O239" s="4"/>
      <c r="P239" s="2"/>
      <c r="Q239" s="2"/>
      <c r="R239" s="4"/>
      <c r="S239" s="2"/>
      <c r="T239" s="2"/>
      <c r="U239" s="1"/>
      <c r="V239" s="2"/>
      <c r="W239" s="2"/>
      <c r="X239" s="2"/>
      <c r="Y239" s="2"/>
      <c r="Z239" s="2"/>
    </row>
    <row r="240" spans="1:26" ht="15.75" customHeight="1" x14ac:dyDescent="0.2">
      <c r="A240" s="11" t="s">
        <v>282</v>
      </c>
      <c r="B240" s="11" t="s">
        <v>17</v>
      </c>
      <c r="C240" s="11" t="s">
        <v>18</v>
      </c>
      <c r="D240" s="11" t="s">
        <v>303</v>
      </c>
      <c r="E240" s="11" t="s">
        <v>292</v>
      </c>
      <c r="F240" s="11" t="s">
        <v>293</v>
      </c>
      <c r="I240" s="11" t="s">
        <v>306</v>
      </c>
      <c r="J240" s="11" t="s">
        <v>317</v>
      </c>
      <c r="K240" s="11" t="s">
        <v>500</v>
      </c>
      <c r="L240" s="75" t="s">
        <v>308</v>
      </c>
      <c r="M240" s="4"/>
      <c r="N240" s="2"/>
      <c r="O240" s="4"/>
      <c r="P240" s="2"/>
      <c r="Q240" s="2"/>
      <c r="R240" s="4"/>
      <c r="S240" s="2"/>
      <c r="T240" s="2"/>
      <c r="U240" s="1"/>
      <c r="V240" s="2"/>
      <c r="W240" s="2"/>
      <c r="X240" s="2"/>
      <c r="Y240" s="2"/>
      <c r="Z240" s="2"/>
    </row>
    <row r="241" spans="1:26" ht="15.75" customHeight="1" x14ac:dyDescent="0.2">
      <c r="A241" s="11" t="s">
        <v>716</v>
      </c>
      <c r="B241" s="11" t="s">
        <v>17</v>
      </c>
      <c r="C241" s="11" t="s">
        <v>19</v>
      </c>
      <c r="D241" s="11" t="s">
        <v>317</v>
      </c>
      <c r="E241" s="11" t="s">
        <v>618</v>
      </c>
      <c r="F241" s="11" t="s">
        <v>619</v>
      </c>
      <c r="I241" s="11" t="s">
        <v>319</v>
      </c>
      <c r="J241" s="11" t="s">
        <v>717</v>
      </c>
      <c r="K241" s="11" t="s">
        <v>718</v>
      </c>
      <c r="L241" s="75" t="s">
        <v>321</v>
      </c>
      <c r="M241" s="4"/>
      <c r="N241" s="2"/>
      <c r="O241" s="4"/>
      <c r="P241" s="2"/>
      <c r="Q241" s="2"/>
      <c r="R241" s="4"/>
      <c r="S241" s="2"/>
      <c r="T241" s="2"/>
      <c r="U241" s="1"/>
      <c r="V241" s="2"/>
      <c r="W241" s="2"/>
      <c r="X241" s="2"/>
      <c r="Y241" s="2"/>
      <c r="Z241" s="2"/>
    </row>
    <row r="242" spans="1:26" ht="15.75" customHeight="1" x14ac:dyDescent="0.2">
      <c r="A242" s="11" t="s">
        <v>277</v>
      </c>
      <c r="B242" s="11" t="s">
        <v>21</v>
      </c>
      <c r="C242" s="11" t="s">
        <v>133</v>
      </c>
      <c r="D242" s="11" t="s">
        <v>283</v>
      </c>
      <c r="E242" s="11" t="s">
        <v>283</v>
      </c>
      <c r="F242" s="11" t="s">
        <v>365</v>
      </c>
      <c r="I242" s="11" t="s">
        <v>306</v>
      </c>
      <c r="J242" s="11" t="s">
        <v>306</v>
      </c>
      <c r="K242" s="11" t="s">
        <v>368</v>
      </c>
      <c r="L242" s="75" t="s">
        <v>276</v>
      </c>
      <c r="M242" s="4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1" t="s">
        <v>277</v>
      </c>
      <c r="B243" s="11" t="s">
        <v>21</v>
      </c>
      <c r="C243" s="11" t="s">
        <v>28</v>
      </c>
      <c r="D243" s="11" t="s">
        <v>283</v>
      </c>
      <c r="E243" s="11" t="s">
        <v>283</v>
      </c>
      <c r="F243" s="11" t="s">
        <v>365</v>
      </c>
      <c r="I243" s="11" t="s">
        <v>366</v>
      </c>
      <c r="J243" s="11" t="s">
        <v>366</v>
      </c>
      <c r="K243" s="11" t="s">
        <v>367</v>
      </c>
      <c r="L243" s="75" t="s">
        <v>348</v>
      </c>
      <c r="M243" s="4"/>
      <c r="N243" s="2"/>
      <c r="O243" s="4"/>
      <c r="P243" s="2"/>
      <c r="Q243" s="2"/>
      <c r="R243" s="4"/>
      <c r="S243" s="2"/>
      <c r="T243" s="2"/>
      <c r="U243" s="1"/>
      <c r="V243" s="2"/>
      <c r="W243" s="2"/>
      <c r="X243" s="2"/>
      <c r="Y243" s="2"/>
      <c r="Z243" s="2"/>
    </row>
    <row r="244" spans="1:26" ht="15.75" customHeight="1" x14ac:dyDescent="0.2">
      <c r="A244" s="11" t="s">
        <v>502</v>
      </c>
      <c r="B244" s="11" t="s">
        <v>21</v>
      </c>
      <c r="C244" s="11" t="s">
        <v>22</v>
      </c>
      <c r="D244" s="11" t="s">
        <v>323</v>
      </c>
      <c r="E244" s="11" t="s">
        <v>503</v>
      </c>
      <c r="F244" s="11" t="s">
        <v>504</v>
      </c>
      <c r="I244" s="11" t="s">
        <v>326</v>
      </c>
      <c r="J244" s="11" t="s">
        <v>420</v>
      </c>
      <c r="K244" s="11" t="s">
        <v>505</v>
      </c>
      <c r="L244" s="75" t="s">
        <v>329</v>
      </c>
      <c r="M244" s="4"/>
      <c r="N244" s="2"/>
      <c r="O244" s="4"/>
      <c r="P244" s="2"/>
      <c r="Q244" s="2"/>
      <c r="R244" s="4"/>
      <c r="S244" s="2"/>
      <c r="T244" s="2"/>
      <c r="U244" s="1"/>
      <c r="V244" s="2"/>
      <c r="W244" s="2"/>
      <c r="X244" s="2"/>
      <c r="Y244" s="2"/>
      <c r="Z244" s="2"/>
    </row>
    <row r="245" spans="1:26" ht="15.75" customHeight="1" x14ac:dyDescent="0.2">
      <c r="A245" s="11" t="s">
        <v>719</v>
      </c>
      <c r="B245" s="11" t="s">
        <v>17</v>
      </c>
      <c r="C245" s="11" t="s">
        <v>89</v>
      </c>
      <c r="D245" s="11" t="s">
        <v>330</v>
      </c>
      <c r="E245" s="11" t="s">
        <v>720</v>
      </c>
      <c r="F245" s="11" t="s">
        <v>721</v>
      </c>
      <c r="G245" s="24"/>
      <c r="I245" s="11" t="s">
        <v>332</v>
      </c>
      <c r="J245" s="11" t="s">
        <v>346</v>
      </c>
      <c r="K245" s="11" t="s">
        <v>722</v>
      </c>
      <c r="L245" s="75" t="s">
        <v>334</v>
      </c>
      <c r="M245" s="4"/>
      <c r="N245" s="2"/>
      <c r="O245" s="4"/>
      <c r="P245" s="2"/>
      <c r="Q245" s="2"/>
      <c r="R245" s="4"/>
      <c r="S245" s="2"/>
      <c r="T245" s="2"/>
      <c r="U245" s="1"/>
      <c r="V245" s="2"/>
      <c r="W245" s="2"/>
      <c r="X245" s="2"/>
      <c r="Y245" s="2"/>
      <c r="Z245" s="2"/>
    </row>
    <row r="246" spans="1:26" ht="15.75" customHeight="1" x14ac:dyDescent="0.2">
      <c r="A246" s="11" t="s">
        <v>277</v>
      </c>
      <c r="B246" s="11" t="s">
        <v>23</v>
      </c>
      <c r="C246" s="11" t="s">
        <v>12</v>
      </c>
      <c r="D246" s="11" t="s">
        <v>543</v>
      </c>
      <c r="E246" s="11" t="s">
        <v>543</v>
      </c>
      <c r="F246" s="11" t="s">
        <v>544</v>
      </c>
      <c r="I246" s="11" t="s">
        <v>543</v>
      </c>
      <c r="J246" s="11" t="s">
        <v>543</v>
      </c>
      <c r="K246" s="11" t="s">
        <v>545</v>
      </c>
      <c r="L246" s="75" t="s">
        <v>546</v>
      </c>
      <c r="M246" s="4"/>
      <c r="N246" s="2"/>
      <c r="O246" s="4"/>
      <c r="P246" s="2"/>
      <c r="Q246" s="2"/>
      <c r="R246" s="4"/>
      <c r="S246" s="2"/>
      <c r="T246" s="2"/>
      <c r="U246" s="1"/>
      <c r="V246" s="2"/>
      <c r="W246" s="2"/>
      <c r="X246" s="2"/>
      <c r="Y246" s="2"/>
      <c r="Z246" s="2"/>
    </row>
    <row r="247" spans="1:26" ht="15.75" customHeight="1" x14ac:dyDescent="0.2">
      <c r="A247" s="11" t="s">
        <v>401</v>
      </c>
      <c r="B247" s="11" t="s">
        <v>17</v>
      </c>
      <c r="C247" s="11" t="s">
        <v>43</v>
      </c>
      <c r="D247" s="11" t="s">
        <v>327</v>
      </c>
      <c r="E247" s="11" t="s">
        <v>568</v>
      </c>
      <c r="F247" s="11" t="s">
        <v>569</v>
      </c>
      <c r="I247" s="11" t="s">
        <v>390</v>
      </c>
      <c r="J247" s="11" t="s">
        <v>558</v>
      </c>
      <c r="K247" s="11" t="s">
        <v>723</v>
      </c>
      <c r="L247" s="75" t="s">
        <v>348</v>
      </c>
      <c r="M247" s="4"/>
      <c r="N247" s="2"/>
      <c r="O247" s="4"/>
      <c r="P247" s="2"/>
      <c r="Q247" s="2"/>
      <c r="R247" s="4"/>
      <c r="S247" s="2"/>
      <c r="T247" s="2"/>
      <c r="U247" s="1"/>
      <c r="V247" s="2"/>
      <c r="W247" s="2"/>
      <c r="X247" s="2"/>
      <c r="Y247" s="2"/>
      <c r="Z247" s="2"/>
    </row>
    <row r="248" spans="1:26" ht="15.75" customHeight="1" x14ac:dyDescent="0.2">
      <c r="A248" s="11" t="s">
        <v>282</v>
      </c>
      <c r="B248" s="11" t="s">
        <v>15</v>
      </c>
      <c r="C248" s="11" t="s">
        <v>27</v>
      </c>
      <c r="D248" s="11" t="s">
        <v>346</v>
      </c>
      <c r="E248" s="11" t="s">
        <v>724</v>
      </c>
      <c r="F248" s="11" t="s">
        <v>725</v>
      </c>
      <c r="I248" s="11" t="s">
        <v>361</v>
      </c>
      <c r="J248" s="11" t="s">
        <v>726</v>
      </c>
      <c r="K248" s="11" t="s">
        <v>727</v>
      </c>
      <c r="L248" s="75" t="s">
        <v>364</v>
      </c>
      <c r="M248" s="4"/>
      <c r="N248" s="2"/>
      <c r="O248" s="4"/>
      <c r="P248" s="2"/>
      <c r="Q248" s="2"/>
      <c r="R248" s="4"/>
      <c r="S248" s="2"/>
      <c r="T248" s="2"/>
      <c r="U248" s="1"/>
      <c r="V248" s="2"/>
      <c r="W248" s="2"/>
      <c r="X248" s="2"/>
      <c r="Y248" s="2"/>
      <c r="Z248" s="2"/>
    </row>
    <row r="249" spans="1:26" ht="15.75" customHeight="1" x14ac:dyDescent="0.2">
      <c r="A249" s="11" t="s">
        <v>277</v>
      </c>
      <c r="B249" s="11" t="s">
        <v>21</v>
      </c>
      <c r="C249" s="11" t="s">
        <v>29</v>
      </c>
      <c r="D249" s="11" t="s">
        <v>369</v>
      </c>
      <c r="E249" s="11" t="s">
        <v>369</v>
      </c>
      <c r="F249" s="11" t="s">
        <v>616</v>
      </c>
      <c r="I249" s="11" t="s">
        <v>273</v>
      </c>
      <c r="J249" s="11" t="s">
        <v>273</v>
      </c>
      <c r="K249" s="11" t="s">
        <v>617</v>
      </c>
      <c r="L249" s="75" t="s">
        <v>373</v>
      </c>
      <c r="M249" s="4"/>
      <c r="N249" s="2"/>
      <c r="O249" s="4"/>
      <c r="P249" s="2"/>
      <c r="Q249" s="2"/>
      <c r="R249" s="4"/>
      <c r="S249" s="2"/>
      <c r="T249" s="2"/>
      <c r="U249" s="1"/>
      <c r="V249" s="2"/>
      <c r="W249" s="2"/>
      <c r="X249" s="2"/>
      <c r="Y249" s="2"/>
      <c r="Z249" s="2"/>
    </row>
    <row r="250" spans="1:26" ht="15.75" customHeight="1" x14ac:dyDescent="0.2">
      <c r="A250" s="11" t="s">
        <v>728</v>
      </c>
      <c r="B250" s="11" t="s">
        <v>17</v>
      </c>
      <c r="C250" s="11" t="s">
        <v>39</v>
      </c>
      <c r="D250" s="11" t="s">
        <v>304</v>
      </c>
      <c r="E250" s="11" t="s">
        <v>568</v>
      </c>
      <c r="F250" s="11" t="s">
        <v>569</v>
      </c>
      <c r="G250" s="24"/>
      <c r="I250" s="11" t="s">
        <v>404</v>
      </c>
      <c r="J250" s="11" t="s">
        <v>699</v>
      </c>
      <c r="K250" s="11" t="s">
        <v>729</v>
      </c>
      <c r="L250" s="75" t="s">
        <v>407</v>
      </c>
      <c r="M250" s="4"/>
      <c r="N250" s="2"/>
      <c r="O250" s="4"/>
      <c r="P250" s="2"/>
      <c r="Q250" s="2"/>
      <c r="R250" s="4"/>
      <c r="S250" s="2"/>
      <c r="T250" s="2"/>
      <c r="U250" s="1"/>
      <c r="V250" s="2"/>
      <c r="W250" s="2"/>
      <c r="X250" s="2"/>
      <c r="Y250" s="2"/>
      <c r="Z250" s="2"/>
    </row>
    <row r="251" spans="1:26" ht="15.75" customHeight="1" x14ac:dyDescent="0.2">
      <c r="A251" s="11" t="s">
        <v>411</v>
      </c>
      <c r="B251" s="11" t="s">
        <v>15</v>
      </c>
      <c r="C251" s="11" t="s">
        <v>40</v>
      </c>
      <c r="D251" s="11" t="s">
        <v>284</v>
      </c>
      <c r="E251" s="11" t="s">
        <v>350</v>
      </c>
      <c r="F251" s="11" t="s">
        <v>351</v>
      </c>
      <c r="I251" s="11" t="s">
        <v>408</v>
      </c>
      <c r="J251" s="11" t="s">
        <v>310</v>
      </c>
      <c r="K251" s="11" t="s">
        <v>730</v>
      </c>
      <c r="L251" s="75" t="s">
        <v>410</v>
      </c>
      <c r="M251" s="4"/>
      <c r="N251" s="2"/>
      <c r="O251" s="4"/>
      <c r="P251" s="2"/>
      <c r="Q251" s="2"/>
      <c r="R251" s="4"/>
      <c r="S251" s="2"/>
      <c r="T251" s="2"/>
      <c r="U251" s="1"/>
      <c r="V251" s="2"/>
      <c r="W251" s="2"/>
      <c r="X251" s="2"/>
      <c r="Y251" s="2"/>
      <c r="Z251" s="2"/>
    </row>
    <row r="252" spans="1:26" ht="15.75" customHeight="1" x14ac:dyDescent="0.2">
      <c r="A252" s="11" t="s">
        <v>411</v>
      </c>
      <c r="B252" s="11" t="s">
        <v>23</v>
      </c>
      <c r="C252" s="11" t="s">
        <v>26</v>
      </c>
      <c r="D252" s="11" t="s">
        <v>353</v>
      </c>
      <c r="E252" s="11" t="s">
        <v>731</v>
      </c>
      <c r="F252" s="11" t="s">
        <v>732</v>
      </c>
      <c r="I252" s="11" t="s">
        <v>356</v>
      </c>
      <c r="J252" s="11" t="s">
        <v>733</v>
      </c>
      <c r="K252" s="11" t="s">
        <v>734</v>
      </c>
      <c r="L252" s="75" t="s">
        <v>359</v>
      </c>
      <c r="M252" s="4"/>
      <c r="N252" s="2"/>
      <c r="O252" s="4"/>
      <c r="P252" s="2"/>
      <c r="Q252" s="2"/>
      <c r="R252" s="4"/>
      <c r="S252" s="2"/>
      <c r="T252" s="2"/>
      <c r="U252" s="1"/>
      <c r="V252" s="2"/>
      <c r="W252" s="2"/>
      <c r="X252" s="2"/>
      <c r="Y252" s="2"/>
      <c r="Z252" s="2"/>
    </row>
    <row r="253" spans="1:26" ht="15.75" customHeight="1" x14ac:dyDescent="0.2">
      <c r="A253" s="11" t="s">
        <v>277</v>
      </c>
      <c r="B253" s="11" t="s">
        <v>23</v>
      </c>
      <c r="C253" s="11" t="s">
        <v>25</v>
      </c>
      <c r="D253" s="11" t="s">
        <v>349</v>
      </c>
      <c r="E253" s="11" t="s">
        <v>349</v>
      </c>
      <c r="F253" s="11" t="s">
        <v>556</v>
      </c>
      <c r="G253" s="24"/>
      <c r="I253" s="11" t="s">
        <v>342</v>
      </c>
      <c r="J253" s="11" t="s">
        <v>342</v>
      </c>
      <c r="K253" s="11" t="s">
        <v>626</v>
      </c>
      <c r="L253" s="75" t="s">
        <v>348</v>
      </c>
      <c r="M253" s="4"/>
      <c r="N253" s="2"/>
      <c r="O253" s="4"/>
      <c r="P253" s="2"/>
      <c r="Q253" s="2"/>
      <c r="R253" s="4"/>
      <c r="S253" s="2"/>
      <c r="T253" s="2"/>
      <c r="U253" s="1"/>
      <c r="V253" s="2"/>
      <c r="W253" s="2"/>
      <c r="X253" s="2"/>
      <c r="Y253" s="2"/>
      <c r="Z253" s="2"/>
    </row>
    <row r="254" spans="1:26" ht="15.75" customHeight="1" x14ac:dyDescent="0.2">
      <c r="A254" s="11" t="s">
        <v>277</v>
      </c>
      <c r="B254" s="11" t="s">
        <v>23</v>
      </c>
      <c r="C254" s="11" t="s">
        <v>24</v>
      </c>
      <c r="D254" s="11" t="s">
        <v>342</v>
      </c>
      <c r="E254" s="11" t="s">
        <v>342</v>
      </c>
      <c r="F254" s="11" t="s">
        <v>624</v>
      </c>
      <c r="G254" s="24"/>
      <c r="I254" s="11" t="s">
        <v>345</v>
      </c>
      <c r="J254" s="11" t="s">
        <v>345</v>
      </c>
      <c r="K254" s="11" t="s">
        <v>625</v>
      </c>
      <c r="L254" s="75" t="s">
        <v>348</v>
      </c>
      <c r="M254" s="4"/>
      <c r="N254" s="2"/>
      <c r="O254" s="4"/>
      <c r="P254" s="2"/>
      <c r="Q254" s="2"/>
      <c r="R254" s="4"/>
      <c r="S254" s="2"/>
      <c r="T254" s="2"/>
      <c r="U254" s="1"/>
      <c r="V254" s="2"/>
      <c r="W254" s="2"/>
      <c r="X254" s="2"/>
      <c r="Y254" s="2"/>
      <c r="Z254" s="2"/>
    </row>
    <row r="255" spans="1:26" ht="15.75" customHeight="1" x14ac:dyDescent="0.2">
      <c r="A255" s="11" t="s">
        <v>735</v>
      </c>
      <c r="B255" s="11" t="s">
        <v>21</v>
      </c>
      <c r="C255" s="11" t="s">
        <v>46</v>
      </c>
      <c r="D255" s="11" t="s">
        <v>431</v>
      </c>
      <c r="E255" s="11" t="s">
        <v>565</v>
      </c>
      <c r="F255" s="11" t="s">
        <v>736</v>
      </c>
      <c r="I255" s="11" t="s">
        <v>433</v>
      </c>
      <c r="J255" s="11" t="s">
        <v>712</v>
      </c>
      <c r="K255" s="11" t="s">
        <v>737</v>
      </c>
      <c r="L255" s="75" t="s">
        <v>308</v>
      </c>
      <c r="M255" s="4"/>
      <c r="N255" s="2"/>
      <c r="O255" s="4"/>
      <c r="P255" s="2"/>
      <c r="Q255" s="2"/>
      <c r="R255" s="4"/>
      <c r="S255" s="2"/>
      <c r="T255" s="2"/>
      <c r="U255" s="1"/>
      <c r="V255" s="2"/>
      <c r="W255" s="2"/>
      <c r="X255" s="2"/>
      <c r="Y255" s="2"/>
      <c r="Z255" s="2"/>
    </row>
    <row r="256" spans="1:26" ht="15.75" customHeight="1" x14ac:dyDescent="0.2">
      <c r="A256" s="11" t="s">
        <v>282</v>
      </c>
      <c r="B256" s="11" t="s">
        <v>17</v>
      </c>
      <c r="C256" s="11" t="s">
        <v>56</v>
      </c>
      <c r="D256" s="11" t="s">
        <v>326</v>
      </c>
      <c r="E256" s="11" t="s">
        <v>335</v>
      </c>
      <c r="F256" s="11" t="s">
        <v>336</v>
      </c>
      <c r="I256" s="11" t="s">
        <v>607</v>
      </c>
      <c r="J256" s="11" t="s">
        <v>291</v>
      </c>
      <c r="K256" s="11" t="s">
        <v>738</v>
      </c>
      <c r="L256" s="75" t="s">
        <v>622</v>
      </c>
      <c r="M256" s="4"/>
      <c r="N256" s="2"/>
      <c r="O256" s="4"/>
      <c r="P256" s="2"/>
      <c r="Q256" s="2"/>
      <c r="R256" s="4"/>
      <c r="S256" s="2"/>
      <c r="T256" s="2"/>
      <c r="U256" s="1"/>
      <c r="V256" s="2"/>
      <c r="W256" s="2"/>
      <c r="X256" s="2"/>
      <c r="Y256" s="2"/>
      <c r="Z256" s="2"/>
    </row>
    <row r="257" spans="1:26" ht="15.75" customHeight="1" x14ac:dyDescent="0.2">
      <c r="A257" s="11" t="s">
        <v>739</v>
      </c>
      <c r="B257" s="11" t="s">
        <v>17</v>
      </c>
      <c r="C257" s="11" t="s">
        <v>82</v>
      </c>
      <c r="D257" s="11" t="s">
        <v>304</v>
      </c>
      <c r="E257" s="11" t="s">
        <v>740</v>
      </c>
      <c r="F257" s="11" t="s">
        <v>741</v>
      </c>
      <c r="I257" s="11" t="s">
        <v>422</v>
      </c>
      <c r="J257" s="11" t="s">
        <v>742</v>
      </c>
      <c r="K257" s="11" t="s">
        <v>743</v>
      </c>
      <c r="L257" s="75" t="s">
        <v>425</v>
      </c>
      <c r="M257" s="4"/>
      <c r="N257" s="2"/>
      <c r="O257" s="4"/>
      <c r="P257" s="2"/>
      <c r="Q257" s="2"/>
      <c r="R257" s="4"/>
      <c r="S257" s="2"/>
      <c r="T257" s="2"/>
      <c r="U257" s="1"/>
      <c r="V257" s="2"/>
      <c r="W257" s="2"/>
      <c r="X257" s="2"/>
      <c r="Y257" s="2"/>
      <c r="Z257" s="2"/>
    </row>
    <row r="258" spans="1:26" ht="15.75" customHeight="1" x14ac:dyDescent="0.2">
      <c r="A258" s="11" t="s">
        <v>277</v>
      </c>
      <c r="B258" s="11" t="s">
        <v>17</v>
      </c>
      <c r="C258" s="11" t="s">
        <v>61</v>
      </c>
      <c r="D258" s="11" t="s">
        <v>426</v>
      </c>
      <c r="E258" s="11" t="s">
        <v>426</v>
      </c>
      <c r="F258" s="11" t="s">
        <v>427</v>
      </c>
      <c r="I258" s="11" t="s">
        <v>386</v>
      </c>
      <c r="J258" s="11" t="s">
        <v>386</v>
      </c>
      <c r="K258" s="11" t="s">
        <v>428</v>
      </c>
      <c r="L258" s="75" t="s">
        <v>429</v>
      </c>
      <c r="M258" s="4"/>
      <c r="N258" s="2"/>
      <c r="O258" s="4"/>
      <c r="P258" s="2"/>
      <c r="Q258" s="2"/>
      <c r="R258" s="4"/>
      <c r="S258" s="2"/>
      <c r="T258" s="2"/>
      <c r="U258" s="1"/>
      <c r="V258" s="2"/>
      <c r="W258" s="2"/>
      <c r="X258" s="2"/>
      <c r="Y258" s="2"/>
      <c r="Z258" s="2"/>
    </row>
    <row r="259" spans="1:26" ht="15.75" customHeight="1" x14ac:dyDescent="0.2">
      <c r="A259" s="11" t="s">
        <v>744</v>
      </c>
      <c r="B259" s="11" t="s">
        <v>17</v>
      </c>
      <c r="C259" s="11" t="s">
        <v>38</v>
      </c>
      <c r="D259" s="11" t="s">
        <v>395</v>
      </c>
      <c r="E259" s="11" t="s">
        <v>745</v>
      </c>
      <c r="F259" s="11" t="s">
        <v>746</v>
      </c>
      <c r="I259" s="11" t="s">
        <v>306</v>
      </c>
      <c r="J259" s="11" t="s">
        <v>747</v>
      </c>
      <c r="K259" s="11" t="s">
        <v>748</v>
      </c>
      <c r="L259" s="75" t="s">
        <v>398</v>
      </c>
      <c r="M259" s="4"/>
      <c r="N259" s="2"/>
      <c r="O259" s="4"/>
      <c r="P259" s="2"/>
      <c r="Q259" s="2"/>
      <c r="R259" s="4"/>
      <c r="S259" s="2"/>
      <c r="T259" s="2"/>
      <c r="U259" s="1"/>
      <c r="V259" s="2"/>
      <c r="W259" s="2"/>
      <c r="X259" s="2"/>
      <c r="Y259" s="2"/>
      <c r="Z259" s="2"/>
    </row>
    <row r="260" spans="1:26" ht="15.75" customHeight="1" x14ac:dyDescent="0.2">
      <c r="A260" s="11" t="s">
        <v>749</v>
      </c>
      <c r="B260" s="11" t="s">
        <v>17</v>
      </c>
      <c r="C260" s="11" t="s">
        <v>36</v>
      </c>
      <c r="D260" s="11" t="s">
        <v>395</v>
      </c>
      <c r="E260" s="11" t="s">
        <v>750</v>
      </c>
      <c r="F260" s="11" t="s">
        <v>751</v>
      </c>
      <c r="I260" s="11" t="s">
        <v>306</v>
      </c>
      <c r="J260" s="11" t="s">
        <v>752</v>
      </c>
      <c r="K260" s="11" t="s">
        <v>753</v>
      </c>
      <c r="L260" s="75" t="s">
        <v>398</v>
      </c>
      <c r="M260" s="4"/>
      <c r="N260" s="2"/>
      <c r="O260" s="4"/>
      <c r="P260" s="2"/>
      <c r="Q260" s="2"/>
      <c r="R260" s="4"/>
      <c r="S260" s="2"/>
      <c r="T260" s="2"/>
      <c r="U260" s="1"/>
      <c r="V260" s="2"/>
      <c r="W260" s="2"/>
      <c r="X260" s="2"/>
      <c r="Y260" s="2"/>
      <c r="Z260" s="2"/>
    </row>
    <row r="261" spans="1:26" ht="15.75" customHeight="1" x14ac:dyDescent="0.2">
      <c r="A261" s="11" t="s">
        <v>309</v>
      </c>
      <c r="B261" s="11" t="s">
        <v>17</v>
      </c>
      <c r="C261" s="11" t="s">
        <v>659</v>
      </c>
      <c r="D261" s="11" t="s">
        <v>310</v>
      </c>
      <c r="E261" s="11" t="s">
        <v>311</v>
      </c>
      <c r="F261" s="11" t="s">
        <v>312</v>
      </c>
      <c r="I261" s="11" t="s">
        <v>313</v>
      </c>
      <c r="J261" s="11" t="s">
        <v>314</v>
      </c>
      <c r="K261" s="11" t="s">
        <v>315</v>
      </c>
      <c r="L261" s="75" t="s">
        <v>316</v>
      </c>
      <c r="M261" s="4"/>
      <c r="N261" s="2"/>
      <c r="O261" s="4"/>
      <c r="P261" s="2"/>
      <c r="Q261" s="2"/>
      <c r="R261" s="4"/>
      <c r="S261" s="2"/>
      <c r="T261" s="2"/>
      <c r="U261" s="1"/>
      <c r="V261" s="2"/>
      <c r="W261" s="2"/>
      <c r="X261" s="2"/>
      <c r="Y261" s="2"/>
      <c r="Z261" s="2"/>
    </row>
    <row r="262" spans="1:26" ht="15.75" customHeight="1" x14ac:dyDescent="0.2">
      <c r="A262" s="11" t="s">
        <v>411</v>
      </c>
      <c r="B262" s="11" t="s">
        <v>17</v>
      </c>
      <c r="C262" s="11" t="s">
        <v>31</v>
      </c>
      <c r="D262" s="11" t="s">
        <v>291</v>
      </c>
      <c r="E262" s="11" t="s">
        <v>314</v>
      </c>
      <c r="F262" s="11" t="s">
        <v>444</v>
      </c>
      <c r="I262" s="11" t="s">
        <v>375</v>
      </c>
      <c r="J262" s="11" t="s">
        <v>593</v>
      </c>
      <c r="K262" s="11" t="s">
        <v>594</v>
      </c>
      <c r="L262" s="75" t="s">
        <v>377</v>
      </c>
      <c r="M262" s="4"/>
      <c r="N262" s="2"/>
      <c r="O262" s="4"/>
      <c r="P262" s="2"/>
      <c r="Q262" s="2"/>
      <c r="R262" s="4"/>
      <c r="S262" s="2"/>
      <c r="T262" s="2"/>
      <c r="U262" s="1"/>
      <c r="V262" s="2"/>
      <c r="W262" s="2"/>
      <c r="X262" s="2"/>
      <c r="Y262" s="2"/>
      <c r="Z262" s="2"/>
    </row>
    <row r="263" spans="1:26" ht="15.75" customHeight="1" x14ac:dyDescent="0.2">
      <c r="A263" s="11" t="s">
        <v>277</v>
      </c>
      <c r="B263" s="11" t="s">
        <v>17</v>
      </c>
      <c r="C263" s="11" t="s">
        <v>32</v>
      </c>
      <c r="D263" s="11" t="s">
        <v>304</v>
      </c>
      <c r="E263" s="11" t="s">
        <v>304</v>
      </c>
      <c r="F263" s="11" t="s">
        <v>305</v>
      </c>
      <c r="I263" s="11" t="s">
        <v>386</v>
      </c>
      <c r="J263" s="11" t="s">
        <v>386</v>
      </c>
      <c r="K263" s="11" t="s">
        <v>754</v>
      </c>
      <c r="L263" s="75" t="s">
        <v>755</v>
      </c>
      <c r="M263" s="4"/>
      <c r="N263" s="2"/>
      <c r="O263" s="4"/>
      <c r="P263" s="2"/>
      <c r="Q263" s="2"/>
      <c r="R263" s="4"/>
      <c r="S263" s="2"/>
      <c r="T263" s="2"/>
      <c r="U263" s="1"/>
      <c r="V263" s="2"/>
      <c r="W263" s="2"/>
      <c r="X263" s="2"/>
      <c r="Y263" s="2"/>
      <c r="Z263" s="2"/>
    </row>
    <row r="264" spans="1:26" ht="15.75" customHeight="1" x14ac:dyDescent="0.2">
      <c r="A264" s="11" t="s">
        <v>277</v>
      </c>
      <c r="B264" s="11" t="s">
        <v>17</v>
      </c>
      <c r="C264" s="11" t="s">
        <v>33</v>
      </c>
      <c r="D264" s="11" t="s">
        <v>383</v>
      </c>
      <c r="E264" s="11" t="s">
        <v>383</v>
      </c>
      <c r="F264" s="11" t="s">
        <v>756</v>
      </c>
      <c r="I264" s="11" t="s">
        <v>379</v>
      </c>
      <c r="J264" s="11" t="s">
        <v>379</v>
      </c>
      <c r="K264" s="11" t="s">
        <v>757</v>
      </c>
      <c r="L264" s="75" t="s">
        <v>758</v>
      </c>
      <c r="M264" s="4"/>
      <c r="N264" s="2"/>
      <c r="O264" s="4"/>
      <c r="P264" s="2"/>
      <c r="Q264" s="2"/>
      <c r="R264" s="4"/>
      <c r="S264" s="2"/>
      <c r="T264" s="2"/>
      <c r="U264" s="1"/>
      <c r="V264" s="2"/>
      <c r="W264" s="2"/>
      <c r="X264" s="2"/>
      <c r="Y264" s="2"/>
      <c r="Z264" s="2"/>
    </row>
    <row r="265" spans="1:26" ht="15.75" customHeight="1" x14ac:dyDescent="0.2">
      <c r="M265" s="4"/>
      <c r="N265" s="2"/>
      <c r="O265" s="4"/>
      <c r="P265" s="2"/>
      <c r="Q265" s="2"/>
      <c r="R265" s="4"/>
      <c r="S265" s="2"/>
      <c r="T265" s="2"/>
      <c r="U265" s="1"/>
      <c r="V265" s="2"/>
      <c r="W265" s="2"/>
      <c r="X265" s="2"/>
      <c r="Y265" s="2"/>
      <c r="Z265" s="2"/>
    </row>
    <row r="266" spans="1:26" ht="15.75" customHeight="1" x14ac:dyDescent="0.2">
      <c r="E266" s="11" t="s">
        <v>759</v>
      </c>
      <c r="F266" s="11" t="s">
        <v>760</v>
      </c>
      <c r="K266" s="11" t="s">
        <v>761</v>
      </c>
      <c r="L266" s="75" t="s">
        <v>762</v>
      </c>
      <c r="M266" s="4"/>
      <c r="N266" s="2"/>
      <c r="O266" s="4"/>
      <c r="P266" s="2"/>
      <c r="Q266" s="2"/>
      <c r="R266" s="4"/>
      <c r="S266" s="2"/>
      <c r="T266" s="2"/>
      <c r="U266" s="1"/>
      <c r="V266" s="2"/>
      <c r="W266" s="2"/>
      <c r="X266" s="2"/>
      <c r="Y266" s="2"/>
      <c r="Z266" s="2"/>
    </row>
    <row r="267" spans="1:26" ht="15.75" customHeight="1" x14ac:dyDescent="0.2">
      <c r="M267" s="4"/>
      <c r="N267" s="2"/>
      <c r="O267" s="4"/>
      <c r="P267" s="2"/>
      <c r="Q267" s="2"/>
      <c r="R267" s="4"/>
      <c r="S267" s="2"/>
      <c r="T267" s="2"/>
      <c r="U267" s="1"/>
      <c r="V267" s="2"/>
      <c r="W267" s="2"/>
      <c r="X267" s="2"/>
      <c r="Y267" s="2"/>
      <c r="Z267" s="2"/>
    </row>
    <row r="268" spans="1:26" ht="15.75" customHeight="1" x14ac:dyDescent="0.2">
      <c r="M268" s="4"/>
      <c r="N268" s="2"/>
      <c r="O268" s="4"/>
      <c r="P268" s="2"/>
      <c r="Q268" s="2"/>
      <c r="R268" s="4"/>
      <c r="S268" s="2"/>
      <c r="T268" s="2"/>
      <c r="U268" s="1"/>
      <c r="V268" s="2"/>
      <c r="W268" s="2"/>
      <c r="X268" s="2"/>
      <c r="Y268" s="2"/>
      <c r="Z268" s="2"/>
    </row>
    <row r="269" spans="1:26" ht="15.75" customHeight="1" x14ac:dyDescent="0.2">
      <c r="A269" s="11" t="s">
        <v>66</v>
      </c>
      <c r="C269" s="24" t="s">
        <v>1</v>
      </c>
      <c r="D269" s="11" t="s">
        <v>268</v>
      </c>
      <c r="G269" s="11" t="s">
        <v>2</v>
      </c>
      <c r="M269" s="4"/>
      <c r="N269" s="2"/>
      <c r="O269" s="4"/>
      <c r="P269" s="2"/>
      <c r="Q269" s="2"/>
      <c r="R269" s="4"/>
      <c r="S269" s="2"/>
      <c r="T269" s="2"/>
      <c r="U269" s="1"/>
      <c r="V269" s="2"/>
      <c r="W269" s="2"/>
      <c r="X269" s="2"/>
      <c r="Y269" s="2"/>
      <c r="Z269" s="2"/>
    </row>
    <row r="270" spans="1:26" ht="15.75" customHeight="1" x14ac:dyDescent="0.2">
      <c r="M270" s="4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11" t="s">
        <v>3</v>
      </c>
      <c r="B271" s="11" t="s">
        <v>4</v>
      </c>
      <c r="C271" s="11" t="s">
        <v>5</v>
      </c>
      <c r="D271" s="11" t="s">
        <v>6</v>
      </c>
      <c r="E271" s="11" t="s">
        <v>7</v>
      </c>
      <c r="F271" s="11" t="s">
        <v>8</v>
      </c>
      <c r="I271" s="11" t="s">
        <v>9</v>
      </c>
      <c r="J271" s="11" t="s">
        <v>7</v>
      </c>
      <c r="K271" s="11" t="s">
        <v>10</v>
      </c>
      <c r="M271" s="4"/>
      <c r="N271" s="2"/>
      <c r="O271" s="4"/>
      <c r="P271" s="2"/>
      <c r="Q271" s="2"/>
      <c r="R271" s="4"/>
      <c r="S271" s="2"/>
      <c r="T271" s="2"/>
      <c r="U271" s="1"/>
      <c r="V271" s="2"/>
      <c r="W271" s="2"/>
      <c r="X271" s="2"/>
      <c r="Y271" s="2"/>
      <c r="Z271" s="2"/>
    </row>
    <row r="272" spans="1:26" ht="15.75" customHeight="1" x14ac:dyDescent="0.2">
      <c r="A272" s="11" t="s">
        <v>341</v>
      </c>
      <c r="B272" s="11" t="s">
        <v>23</v>
      </c>
      <c r="C272" s="11" t="s">
        <v>12</v>
      </c>
      <c r="D272" s="11" t="s">
        <v>543</v>
      </c>
      <c r="E272" s="11" t="s">
        <v>699</v>
      </c>
      <c r="F272" s="11" t="s">
        <v>700</v>
      </c>
      <c r="I272" s="11" t="s">
        <v>543</v>
      </c>
      <c r="J272" s="11" t="s">
        <v>699</v>
      </c>
      <c r="K272" s="11" t="s">
        <v>701</v>
      </c>
      <c r="L272" s="75" t="s">
        <v>546</v>
      </c>
      <c r="M272" s="4"/>
      <c r="N272" s="2"/>
      <c r="O272" s="4"/>
      <c r="P272" s="2"/>
      <c r="Q272" s="2"/>
      <c r="R272" s="4"/>
      <c r="S272" s="2"/>
      <c r="T272" s="2"/>
      <c r="U272" s="1"/>
      <c r="V272" s="2"/>
      <c r="W272" s="2"/>
      <c r="X272" s="2"/>
      <c r="Y272" s="2"/>
      <c r="Z272" s="2"/>
    </row>
    <row r="273" spans="1:26" ht="15.75" customHeight="1" x14ac:dyDescent="0.2">
      <c r="A273" s="11" t="s">
        <v>282</v>
      </c>
      <c r="B273" s="11" t="s">
        <v>15</v>
      </c>
      <c r="C273" s="11" t="s">
        <v>27</v>
      </c>
      <c r="D273" s="11" t="s">
        <v>346</v>
      </c>
      <c r="E273" s="11" t="s">
        <v>724</v>
      </c>
      <c r="F273" s="11" t="s">
        <v>725</v>
      </c>
      <c r="I273" s="11" t="s">
        <v>361</v>
      </c>
      <c r="J273" s="11" t="s">
        <v>726</v>
      </c>
      <c r="K273" s="11" t="s">
        <v>727</v>
      </c>
      <c r="L273" s="75" t="s">
        <v>364</v>
      </c>
      <c r="M273" s="4"/>
      <c r="N273" s="2"/>
      <c r="O273" s="4"/>
      <c r="P273" s="2"/>
      <c r="Q273" s="2"/>
      <c r="R273" s="4"/>
      <c r="S273" s="2"/>
      <c r="T273" s="2"/>
      <c r="U273" s="1"/>
      <c r="V273" s="2"/>
      <c r="W273" s="2"/>
      <c r="X273" s="2"/>
      <c r="Y273" s="2"/>
      <c r="Z273" s="2"/>
    </row>
    <row r="274" spans="1:26" ht="15.75" customHeight="1" x14ac:dyDescent="0.2">
      <c r="A274" s="11" t="s">
        <v>277</v>
      </c>
      <c r="B274" s="11" t="s">
        <v>15</v>
      </c>
      <c r="C274" s="11" t="s">
        <v>48</v>
      </c>
      <c r="D274" s="11" t="s">
        <v>297</v>
      </c>
      <c r="E274" s="11" t="s">
        <v>297</v>
      </c>
      <c r="F274" s="11" t="s">
        <v>298</v>
      </c>
      <c r="H274" s="24"/>
      <c r="I274" s="11" t="s">
        <v>299</v>
      </c>
      <c r="J274" s="11" t="s">
        <v>299</v>
      </c>
      <c r="K274" s="11" t="s">
        <v>300</v>
      </c>
      <c r="L274" s="75" t="s">
        <v>301</v>
      </c>
      <c r="M274" s="4"/>
      <c r="N274" s="2"/>
      <c r="O274" s="4"/>
      <c r="P274" s="2"/>
      <c r="Q274" s="2"/>
      <c r="R274" s="4"/>
      <c r="S274" s="2"/>
      <c r="T274" s="2"/>
      <c r="U274" s="1"/>
      <c r="V274" s="2"/>
      <c r="W274" s="2"/>
      <c r="X274" s="2"/>
      <c r="Y274" s="2"/>
      <c r="Z274" s="2"/>
    </row>
    <row r="275" spans="1:26" ht="15.75" customHeight="1" x14ac:dyDescent="0.2">
      <c r="A275" s="11" t="s">
        <v>290</v>
      </c>
      <c r="B275" s="11" t="s">
        <v>17</v>
      </c>
      <c r="C275" s="11" t="s">
        <v>56</v>
      </c>
      <c r="D275" s="11" t="s">
        <v>326</v>
      </c>
      <c r="E275" s="11" t="s">
        <v>304</v>
      </c>
      <c r="F275" s="11" t="s">
        <v>305</v>
      </c>
      <c r="I275" s="11" t="s">
        <v>607</v>
      </c>
      <c r="J275" s="11" t="s">
        <v>303</v>
      </c>
      <c r="K275" s="11" t="s">
        <v>763</v>
      </c>
      <c r="L275" s="75" t="s">
        <v>622</v>
      </c>
      <c r="M275" s="4"/>
      <c r="N275" s="2"/>
      <c r="O275" s="4"/>
      <c r="P275" s="2"/>
      <c r="Q275" s="2"/>
      <c r="R275" s="4"/>
      <c r="S275" s="2"/>
      <c r="T275" s="2"/>
      <c r="U275" s="1"/>
      <c r="V275" s="2"/>
      <c r="W275" s="2"/>
      <c r="X275" s="2"/>
      <c r="Y275" s="2"/>
      <c r="Z275" s="2"/>
    </row>
    <row r="276" spans="1:26" ht="15.75" customHeight="1" x14ac:dyDescent="0.2">
      <c r="A276" s="11" t="s">
        <v>290</v>
      </c>
      <c r="B276" s="11" t="s">
        <v>17</v>
      </c>
      <c r="C276" s="11" t="s">
        <v>18</v>
      </c>
      <c r="D276" s="11" t="s">
        <v>303</v>
      </c>
      <c r="E276" s="11" t="s">
        <v>291</v>
      </c>
      <c r="F276" s="11" t="s">
        <v>374</v>
      </c>
      <c r="I276" s="11" t="s">
        <v>306</v>
      </c>
      <c r="J276" s="11" t="s">
        <v>392</v>
      </c>
      <c r="K276" s="11" t="s">
        <v>695</v>
      </c>
      <c r="L276" s="75" t="s">
        <v>308</v>
      </c>
      <c r="M276" s="4"/>
      <c r="N276" s="2"/>
      <c r="O276" s="4"/>
      <c r="P276" s="2"/>
      <c r="Q276" s="2"/>
      <c r="R276" s="4"/>
      <c r="S276" s="2"/>
      <c r="T276" s="2"/>
      <c r="U276" s="1"/>
      <c r="V276" s="2"/>
      <c r="W276" s="2"/>
      <c r="X276" s="2"/>
      <c r="Y276" s="2"/>
      <c r="Z276" s="2"/>
    </row>
    <row r="277" spans="1:26" ht="15.75" customHeight="1" x14ac:dyDescent="0.2">
      <c r="A277" s="11" t="s">
        <v>290</v>
      </c>
      <c r="B277" s="11" t="s">
        <v>17</v>
      </c>
      <c r="C277" s="11" t="s">
        <v>31</v>
      </c>
      <c r="D277" s="11" t="s">
        <v>291</v>
      </c>
      <c r="E277" s="11" t="s">
        <v>292</v>
      </c>
      <c r="F277" s="11" t="s">
        <v>293</v>
      </c>
      <c r="I277" s="11" t="s">
        <v>375</v>
      </c>
      <c r="J277" s="11" t="s">
        <v>507</v>
      </c>
      <c r="K277" s="11" t="s">
        <v>508</v>
      </c>
      <c r="L277" s="75" t="s">
        <v>377</v>
      </c>
      <c r="M277" s="4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11" t="s">
        <v>430</v>
      </c>
      <c r="B278" s="11" t="s">
        <v>21</v>
      </c>
      <c r="C278" s="11" t="s">
        <v>22</v>
      </c>
      <c r="D278" s="11" t="s">
        <v>323</v>
      </c>
      <c r="E278" s="11" t="s">
        <v>764</v>
      </c>
      <c r="F278" s="11" t="s">
        <v>765</v>
      </c>
      <c r="I278" s="11" t="s">
        <v>326</v>
      </c>
      <c r="J278" s="11" t="s">
        <v>284</v>
      </c>
      <c r="K278" s="11" t="s">
        <v>766</v>
      </c>
      <c r="L278" s="75" t="s">
        <v>329</v>
      </c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1" t="s">
        <v>290</v>
      </c>
      <c r="B279" s="11" t="s">
        <v>4</v>
      </c>
      <c r="C279" s="11" t="s">
        <v>65</v>
      </c>
      <c r="D279" s="11" t="s">
        <v>303</v>
      </c>
      <c r="E279" s="11" t="s">
        <v>291</v>
      </c>
      <c r="F279" s="11" t="s">
        <v>374</v>
      </c>
      <c r="I279" s="11" t="s">
        <v>609</v>
      </c>
      <c r="J279" s="11" t="s">
        <v>366</v>
      </c>
      <c r="K279" s="11" t="s">
        <v>692</v>
      </c>
      <c r="L279" s="75" t="s">
        <v>611</v>
      </c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11" t="s">
        <v>309</v>
      </c>
      <c r="B280" s="11" t="s">
        <v>17</v>
      </c>
      <c r="C280" s="11" t="s">
        <v>38</v>
      </c>
      <c r="D280" s="11" t="s">
        <v>395</v>
      </c>
      <c r="E280" s="11" t="s">
        <v>767</v>
      </c>
      <c r="F280" s="11" t="s">
        <v>768</v>
      </c>
      <c r="I280" s="11" t="s">
        <v>306</v>
      </c>
      <c r="J280" s="11" t="s">
        <v>431</v>
      </c>
      <c r="K280" s="11" t="s">
        <v>769</v>
      </c>
      <c r="L280" s="75" t="s">
        <v>398</v>
      </c>
      <c r="M280" s="4"/>
      <c r="N280" s="2"/>
      <c r="O280" s="4"/>
      <c r="P280" s="2"/>
      <c r="Q280" s="2"/>
      <c r="R280" s="4"/>
      <c r="S280" s="2"/>
      <c r="T280" s="2"/>
      <c r="U280" s="1"/>
      <c r="V280" s="2"/>
      <c r="W280" s="2"/>
      <c r="X280" s="2"/>
      <c r="Y280" s="2"/>
      <c r="Z280" s="2"/>
    </row>
    <row r="281" spans="1:26" ht="15.75" customHeight="1" x14ac:dyDescent="0.2">
      <c r="A281" s="11" t="s">
        <v>290</v>
      </c>
      <c r="B281" s="11" t="s">
        <v>17</v>
      </c>
      <c r="C281" s="11" t="s">
        <v>36</v>
      </c>
      <c r="D281" s="11" t="s">
        <v>395</v>
      </c>
      <c r="E281" s="11" t="s">
        <v>460</v>
      </c>
      <c r="F281" s="11" t="s">
        <v>653</v>
      </c>
      <c r="I281" s="11" t="s">
        <v>306</v>
      </c>
      <c r="J281" s="11" t="s">
        <v>392</v>
      </c>
      <c r="K281" s="11" t="s">
        <v>654</v>
      </c>
      <c r="L281" s="75" t="s">
        <v>398</v>
      </c>
      <c r="M281" s="4"/>
      <c r="N281" s="2"/>
      <c r="O281" s="4"/>
      <c r="P281" s="2"/>
      <c r="Q281" s="2"/>
      <c r="R281" s="4"/>
      <c r="S281" s="2"/>
      <c r="T281" s="2"/>
      <c r="U281" s="1"/>
      <c r="V281" s="2"/>
      <c r="W281" s="2"/>
      <c r="X281" s="2"/>
      <c r="Y281" s="2"/>
      <c r="Z281" s="2"/>
    </row>
    <row r="282" spans="1:26" ht="15.75" customHeight="1" x14ac:dyDescent="0.2">
      <c r="A282" s="11" t="s">
        <v>290</v>
      </c>
      <c r="B282" s="11" t="s">
        <v>15</v>
      </c>
      <c r="C282" s="11" t="s">
        <v>40</v>
      </c>
      <c r="D282" s="11" t="s">
        <v>284</v>
      </c>
      <c r="E282" s="11" t="s">
        <v>560</v>
      </c>
      <c r="F282" s="11" t="s">
        <v>561</v>
      </c>
      <c r="I282" s="11" t="s">
        <v>408</v>
      </c>
      <c r="J282" s="11" t="s">
        <v>770</v>
      </c>
      <c r="K282" s="11" t="s">
        <v>771</v>
      </c>
      <c r="L282" s="75" t="s">
        <v>410</v>
      </c>
      <c r="M282" s="4"/>
      <c r="N282" s="2"/>
      <c r="O282" s="4"/>
      <c r="P282" s="2"/>
      <c r="Q282" s="2"/>
      <c r="R282" s="4"/>
      <c r="S282" s="2"/>
      <c r="T282" s="2"/>
      <c r="U282" s="1"/>
      <c r="V282" s="2"/>
      <c r="W282" s="2"/>
      <c r="X282" s="2"/>
      <c r="Y282" s="2"/>
      <c r="Z282" s="2"/>
    </row>
    <row r="283" spans="1:26" ht="15.75" customHeight="1" x14ac:dyDescent="0.2">
      <c r="A283" s="11" t="s">
        <v>341</v>
      </c>
      <c r="B283" s="11" t="s">
        <v>17</v>
      </c>
      <c r="C283" s="11" t="s">
        <v>34</v>
      </c>
      <c r="D283" s="11" t="s">
        <v>390</v>
      </c>
      <c r="E283" s="11" t="s">
        <v>366</v>
      </c>
      <c r="F283" s="11" t="s">
        <v>523</v>
      </c>
      <c r="I283" s="11" t="s">
        <v>392</v>
      </c>
      <c r="J283" s="11" t="s">
        <v>306</v>
      </c>
      <c r="K283" s="11" t="s">
        <v>606</v>
      </c>
      <c r="L283" s="75" t="s">
        <v>394</v>
      </c>
      <c r="M283" s="4"/>
      <c r="N283" s="2"/>
      <c r="O283" s="4"/>
      <c r="P283" s="2"/>
      <c r="Q283" s="2"/>
      <c r="R283" s="4"/>
      <c r="S283" s="2"/>
      <c r="T283" s="2"/>
      <c r="U283" s="1"/>
      <c r="V283" s="2"/>
      <c r="W283" s="2"/>
      <c r="X283" s="2"/>
      <c r="Y283" s="2"/>
      <c r="Z283" s="2"/>
    </row>
    <row r="284" spans="1:26" ht="15.75" customHeight="1" x14ac:dyDescent="0.2">
      <c r="A284" s="11" t="s">
        <v>772</v>
      </c>
      <c r="B284" s="11" t="s">
        <v>21</v>
      </c>
      <c r="C284" s="11" t="s">
        <v>29</v>
      </c>
      <c r="D284" s="11" t="s">
        <v>369</v>
      </c>
      <c r="E284" s="11" t="s">
        <v>773</v>
      </c>
      <c r="F284" s="11" t="s">
        <v>774</v>
      </c>
      <c r="I284" s="11" t="s">
        <v>273</v>
      </c>
      <c r="J284" s="11" t="s">
        <v>433</v>
      </c>
      <c r="K284" s="11" t="s">
        <v>775</v>
      </c>
      <c r="L284" s="75" t="s">
        <v>373</v>
      </c>
      <c r="M284" s="4"/>
      <c r="N284" s="2"/>
      <c r="O284" s="4"/>
      <c r="P284" s="2"/>
      <c r="Q284" s="2"/>
      <c r="R284" s="4"/>
      <c r="S284" s="2"/>
      <c r="T284" s="2"/>
      <c r="U284" s="1"/>
      <c r="V284" s="2"/>
      <c r="W284" s="2"/>
      <c r="X284" s="2"/>
      <c r="Y284" s="2"/>
      <c r="Z284" s="2"/>
    </row>
    <row r="285" spans="1:26" ht="15.75" customHeight="1" x14ac:dyDescent="0.2">
      <c r="A285" s="11" t="s">
        <v>772</v>
      </c>
      <c r="B285" s="11" t="s">
        <v>21</v>
      </c>
      <c r="C285" s="11" t="s">
        <v>133</v>
      </c>
      <c r="D285" s="11" t="s">
        <v>283</v>
      </c>
      <c r="E285" s="11" t="s">
        <v>519</v>
      </c>
      <c r="F285" s="11" t="s">
        <v>776</v>
      </c>
      <c r="I285" s="11" t="s">
        <v>306</v>
      </c>
      <c r="J285" s="11" t="s">
        <v>777</v>
      </c>
      <c r="K285" s="11" t="s">
        <v>778</v>
      </c>
      <c r="L285" s="75" t="s">
        <v>276</v>
      </c>
      <c r="M285" s="4"/>
      <c r="N285" s="2"/>
      <c r="O285" s="4"/>
      <c r="P285" s="2"/>
      <c r="Q285" s="2"/>
      <c r="R285" s="4"/>
      <c r="S285" s="2"/>
      <c r="T285" s="2"/>
      <c r="U285" s="1"/>
      <c r="V285" s="2"/>
      <c r="W285" s="2"/>
      <c r="X285" s="2"/>
      <c r="Y285" s="2"/>
      <c r="Z285" s="2"/>
    </row>
    <row r="286" spans="1:26" ht="15.75" customHeight="1" x14ac:dyDescent="0.2">
      <c r="A286" s="11" t="s">
        <v>772</v>
      </c>
      <c r="B286" s="11" t="s">
        <v>21</v>
      </c>
      <c r="C286" s="11" t="s">
        <v>28</v>
      </c>
      <c r="D286" s="11" t="s">
        <v>283</v>
      </c>
      <c r="E286" s="11" t="s">
        <v>519</v>
      </c>
      <c r="F286" s="11" t="s">
        <v>776</v>
      </c>
      <c r="I286" s="11" t="s">
        <v>366</v>
      </c>
      <c r="J286" s="11" t="s">
        <v>779</v>
      </c>
      <c r="K286" s="11" t="s">
        <v>780</v>
      </c>
      <c r="L286" s="75" t="s">
        <v>348</v>
      </c>
      <c r="M286" s="4"/>
      <c r="N286" s="2"/>
      <c r="O286" s="4"/>
      <c r="P286" s="2"/>
      <c r="Q286" s="2"/>
      <c r="R286" s="4"/>
      <c r="S286" s="2"/>
      <c r="T286" s="2"/>
      <c r="U286" s="1"/>
      <c r="V286" s="2"/>
      <c r="W286" s="2"/>
      <c r="X286" s="2"/>
      <c r="Y286" s="2"/>
      <c r="Z286" s="2"/>
    </row>
    <row r="287" spans="1:26" ht="15.75" customHeight="1" x14ac:dyDescent="0.2">
      <c r="A287" s="11" t="s">
        <v>277</v>
      </c>
      <c r="B287" s="11" t="s">
        <v>17</v>
      </c>
      <c r="C287" s="11" t="s">
        <v>61</v>
      </c>
      <c r="D287" s="11" t="s">
        <v>426</v>
      </c>
      <c r="E287" s="11" t="s">
        <v>426</v>
      </c>
      <c r="F287" s="11" t="s">
        <v>427</v>
      </c>
      <c r="I287" s="11" t="s">
        <v>386</v>
      </c>
      <c r="J287" s="11" t="s">
        <v>386</v>
      </c>
      <c r="K287" s="11" t="s">
        <v>428</v>
      </c>
      <c r="L287" s="75" t="s">
        <v>429</v>
      </c>
      <c r="M287" s="4"/>
      <c r="N287" s="2"/>
      <c r="O287" s="4"/>
      <c r="P287" s="2"/>
      <c r="Q287" s="2"/>
      <c r="R287" s="4"/>
      <c r="S287" s="2"/>
      <c r="T287" s="2"/>
      <c r="U287" s="1"/>
      <c r="V287" s="2"/>
      <c r="W287" s="2"/>
      <c r="X287" s="2"/>
      <c r="Y287" s="2"/>
      <c r="Z287" s="2"/>
    </row>
    <row r="288" spans="1:26" ht="15.75" customHeight="1" x14ac:dyDescent="0.2">
      <c r="A288" s="11" t="s">
        <v>302</v>
      </c>
      <c r="B288" s="11" t="s">
        <v>17</v>
      </c>
      <c r="C288" s="11" t="s">
        <v>19</v>
      </c>
      <c r="D288" s="11" t="s">
        <v>317</v>
      </c>
      <c r="E288" s="11" t="s">
        <v>327</v>
      </c>
      <c r="F288" s="11" t="s">
        <v>432</v>
      </c>
      <c r="I288" s="11" t="s">
        <v>319</v>
      </c>
      <c r="J288" s="11" t="s">
        <v>781</v>
      </c>
      <c r="K288" s="11" t="s">
        <v>782</v>
      </c>
      <c r="L288" s="75" t="s">
        <v>321</v>
      </c>
      <c r="M288" s="4"/>
      <c r="N288" s="2"/>
      <c r="O288" s="4"/>
      <c r="P288" s="2"/>
      <c r="Q288" s="2"/>
      <c r="R288" s="4"/>
      <c r="S288" s="2"/>
      <c r="T288" s="2"/>
      <c r="U288" s="1"/>
      <c r="V288" s="2"/>
      <c r="W288" s="2"/>
      <c r="X288" s="2"/>
      <c r="Y288" s="2"/>
      <c r="Z288" s="2"/>
    </row>
    <row r="289" spans="1:26" ht="15.75" customHeight="1" x14ac:dyDescent="0.2">
      <c r="A289" s="11" t="s">
        <v>783</v>
      </c>
      <c r="B289" s="11" t="s">
        <v>17</v>
      </c>
      <c r="C289" s="11" t="s">
        <v>659</v>
      </c>
      <c r="D289" s="11" t="s">
        <v>310</v>
      </c>
      <c r="E289" s="11" t="s">
        <v>474</v>
      </c>
      <c r="F289" s="11" t="s">
        <v>784</v>
      </c>
      <c r="I289" s="11" t="s">
        <v>313</v>
      </c>
      <c r="J289" s="11" t="s">
        <v>335</v>
      </c>
      <c r="K289" s="11" t="s">
        <v>785</v>
      </c>
      <c r="L289" s="75" t="s">
        <v>316</v>
      </c>
      <c r="M289" s="4"/>
      <c r="N289" s="2"/>
      <c r="O289" s="4"/>
      <c r="P289" s="2"/>
      <c r="Q289" s="2"/>
      <c r="R289" s="4"/>
      <c r="S289" s="2"/>
      <c r="T289" s="2"/>
      <c r="U289" s="1"/>
      <c r="V289" s="2"/>
      <c r="W289" s="2"/>
      <c r="X289" s="2"/>
      <c r="Y289" s="2"/>
      <c r="Z289" s="2"/>
    </row>
    <row r="290" spans="1:26" ht="15.75" customHeight="1" x14ac:dyDescent="0.2">
      <c r="A290" s="11" t="s">
        <v>341</v>
      </c>
      <c r="B290" s="11" t="s">
        <v>17</v>
      </c>
      <c r="C290" s="11" t="s">
        <v>99</v>
      </c>
      <c r="D290" s="11" t="s">
        <v>392</v>
      </c>
      <c r="E290" s="11" t="s">
        <v>306</v>
      </c>
      <c r="F290" s="11" t="s">
        <v>603</v>
      </c>
      <c r="I290" s="11" t="s">
        <v>453</v>
      </c>
      <c r="J290" s="11" t="s">
        <v>604</v>
      </c>
      <c r="K290" s="11" t="s">
        <v>605</v>
      </c>
      <c r="L290" s="75" t="s">
        <v>455</v>
      </c>
      <c r="M290" s="4"/>
      <c r="N290" s="2"/>
      <c r="O290" s="4"/>
      <c r="P290" s="2"/>
      <c r="Q290" s="2"/>
      <c r="R290" s="4"/>
      <c r="S290" s="2"/>
      <c r="T290" s="2"/>
      <c r="U290" s="1"/>
      <c r="V290" s="2"/>
      <c r="W290" s="2"/>
      <c r="X290" s="2"/>
      <c r="Y290" s="2"/>
      <c r="Z290" s="2"/>
    </row>
    <row r="291" spans="1:26" ht="15.75" customHeight="1" x14ac:dyDescent="0.2">
      <c r="A291" s="11" t="s">
        <v>341</v>
      </c>
      <c r="B291" s="11" t="s">
        <v>17</v>
      </c>
      <c r="C291" s="11" t="s">
        <v>42</v>
      </c>
      <c r="D291" s="11" t="s">
        <v>270</v>
      </c>
      <c r="E291" s="11" t="s">
        <v>294</v>
      </c>
      <c r="F291" s="11" t="s">
        <v>714</v>
      </c>
      <c r="I291" s="11" t="s">
        <v>306</v>
      </c>
      <c r="J291" s="11" t="s">
        <v>495</v>
      </c>
      <c r="K291" s="11" t="s">
        <v>786</v>
      </c>
      <c r="L291" s="75" t="s">
        <v>787</v>
      </c>
      <c r="M291" s="4"/>
      <c r="N291" s="2"/>
      <c r="O291" s="4"/>
      <c r="P291" s="2"/>
      <c r="Q291" s="2"/>
      <c r="R291" s="4"/>
      <c r="S291" s="2"/>
      <c r="T291" s="2"/>
      <c r="U291" s="1"/>
      <c r="V291" s="2"/>
      <c r="W291" s="2"/>
      <c r="X291" s="2"/>
      <c r="Y291" s="2"/>
      <c r="Z291" s="2"/>
    </row>
    <row r="292" spans="1:26" ht="15.75" customHeight="1" x14ac:dyDescent="0.2">
      <c r="A292" s="11" t="s">
        <v>502</v>
      </c>
      <c r="B292" s="11" t="s">
        <v>17</v>
      </c>
      <c r="C292" s="11" t="s">
        <v>39</v>
      </c>
      <c r="D292" s="11" t="s">
        <v>304</v>
      </c>
      <c r="E292" s="11" t="s">
        <v>788</v>
      </c>
      <c r="F292" s="11" t="s">
        <v>789</v>
      </c>
      <c r="I292" s="11" t="s">
        <v>404</v>
      </c>
      <c r="J292" s="11" t="s">
        <v>790</v>
      </c>
      <c r="K292" s="11" t="s">
        <v>791</v>
      </c>
      <c r="L292" s="75" t="s">
        <v>407</v>
      </c>
      <c r="M292" s="4"/>
      <c r="N292" s="2"/>
      <c r="O292" s="4"/>
      <c r="P292" s="2"/>
      <c r="Q292" s="2"/>
      <c r="R292" s="4"/>
      <c r="S292" s="2"/>
      <c r="T292" s="2"/>
      <c r="U292" s="1"/>
      <c r="V292" s="2"/>
      <c r="W292" s="2"/>
      <c r="X292" s="2"/>
      <c r="Y292" s="2"/>
      <c r="Z292" s="2"/>
    </row>
    <row r="293" spans="1:26" ht="15.75" customHeight="1" x14ac:dyDescent="0.2">
      <c r="A293" s="11" t="s">
        <v>341</v>
      </c>
      <c r="B293" s="11" t="s">
        <v>17</v>
      </c>
      <c r="C293" s="11" t="s">
        <v>93</v>
      </c>
      <c r="D293" s="11" t="s">
        <v>283</v>
      </c>
      <c r="E293" s="11" t="s">
        <v>273</v>
      </c>
      <c r="F293" s="11" t="s">
        <v>278</v>
      </c>
      <c r="I293" s="11" t="s">
        <v>612</v>
      </c>
      <c r="J293" s="11" t="s">
        <v>693</v>
      </c>
      <c r="K293" s="11" t="s">
        <v>694</v>
      </c>
      <c r="L293" s="75" t="s">
        <v>614</v>
      </c>
      <c r="M293" s="4"/>
      <c r="N293" s="2"/>
      <c r="O293" s="4"/>
      <c r="P293" s="2"/>
      <c r="Q293" s="2"/>
      <c r="R293" s="4"/>
      <c r="S293" s="2"/>
      <c r="T293" s="2"/>
      <c r="U293" s="1"/>
      <c r="V293" s="2"/>
      <c r="W293" s="2"/>
      <c r="X293" s="2"/>
      <c r="Y293" s="2"/>
      <c r="Z293" s="2"/>
    </row>
    <row r="294" spans="1:26" ht="15.75" customHeight="1" x14ac:dyDescent="0.2">
      <c r="A294" s="11" t="s">
        <v>411</v>
      </c>
      <c r="B294" s="11" t="s">
        <v>17</v>
      </c>
      <c r="C294" s="11" t="s">
        <v>43</v>
      </c>
      <c r="D294" s="11" t="s">
        <v>327</v>
      </c>
      <c r="E294" s="11" t="s">
        <v>565</v>
      </c>
      <c r="F294" s="11" t="s">
        <v>736</v>
      </c>
      <c r="I294" s="11" t="s">
        <v>390</v>
      </c>
      <c r="J294" s="11" t="s">
        <v>487</v>
      </c>
      <c r="K294" s="11" t="s">
        <v>792</v>
      </c>
      <c r="L294" s="75" t="s">
        <v>348</v>
      </c>
      <c r="M294" s="4"/>
      <c r="N294" s="2"/>
      <c r="O294" s="4"/>
      <c r="P294" s="2"/>
      <c r="Q294" s="2"/>
      <c r="R294" s="4"/>
      <c r="S294" s="2"/>
      <c r="T294" s="2"/>
      <c r="U294" s="1"/>
      <c r="V294" s="2"/>
      <c r="W294" s="2"/>
      <c r="X294" s="2"/>
      <c r="Y294" s="2"/>
      <c r="Z294" s="2"/>
    </row>
    <row r="295" spans="1:26" ht="15.75" customHeight="1" x14ac:dyDescent="0.2">
      <c r="A295" s="11" t="s">
        <v>793</v>
      </c>
      <c r="B295" s="11" t="s">
        <v>21</v>
      </c>
      <c r="C295" s="11" t="s">
        <v>46</v>
      </c>
      <c r="D295" s="11" t="s">
        <v>431</v>
      </c>
      <c r="E295" s="11" t="s">
        <v>314</v>
      </c>
      <c r="F295" s="11" t="s">
        <v>444</v>
      </c>
      <c r="I295" s="11" t="s">
        <v>433</v>
      </c>
      <c r="J295" s="11" t="s">
        <v>327</v>
      </c>
      <c r="K295" s="11" t="s">
        <v>794</v>
      </c>
      <c r="L295" s="75" t="s">
        <v>308</v>
      </c>
      <c r="M295" s="4"/>
      <c r="N295" s="2"/>
      <c r="O295" s="4"/>
      <c r="P295" s="2"/>
      <c r="Q295" s="2"/>
      <c r="R295" s="4"/>
      <c r="S295" s="2"/>
      <c r="T295" s="2"/>
      <c r="U295" s="1"/>
      <c r="V295" s="2"/>
      <c r="W295" s="2"/>
      <c r="X295" s="2"/>
      <c r="Y295" s="2"/>
      <c r="Z295" s="2"/>
    </row>
    <row r="296" spans="1:26" ht="15.75" customHeight="1" x14ac:dyDescent="0.2">
      <c r="A296" s="11" t="s">
        <v>290</v>
      </c>
      <c r="B296" s="11" t="s">
        <v>21</v>
      </c>
      <c r="C296" s="11" t="s">
        <v>52</v>
      </c>
      <c r="D296" s="11" t="s">
        <v>392</v>
      </c>
      <c r="E296" s="11" t="s">
        <v>317</v>
      </c>
      <c r="F296" s="11" t="s">
        <v>318</v>
      </c>
      <c r="I296" s="11" t="s">
        <v>607</v>
      </c>
      <c r="J296" s="11" t="s">
        <v>303</v>
      </c>
      <c r="K296" s="11" t="s">
        <v>608</v>
      </c>
      <c r="L296" s="75" t="s">
        <v>394</v>
      </c>
      <c r="M296" s="4"/>
      <c r="N296" s="2"/>
      <c r="O296" s="4"/>
      <c r="P296" s="2"/>
      <c r="Q296" s="2"/>
      <c r="R296" s="4"/>
      <c r="S296" s="2"/>
      <c r="T296" s="2"/>
      <c r="U296" s="1"/>
      <c r="V296" s="2"/>
      <c r="W296" s="2"/>
      <c r="X296" s="2"/>
      <c r="Y296" s="2"/>
      <c r="Z296" s="2"/>
    </row>
    <row r="297" spans="1:26" ht="15.75" customHeight="1" x14ac:dyDescent="0.2">
      <c r="A297" s="11" t="s">
        <v>341</v>
      </c>
      <c r="B297" s="11" t="s">
        <v>17</v>
      </c>
      <c r="C297" s="11" t="s">
        <v>35</v>
      </c>
      <c r="D297" s="11" t="s">
        <v>366</v>
      </c>
      <c r="E297" s="11" t="s">
        <v>609</v>
      </c>
      <c r="F297" s="11" t="s">
        <v>795</v>
      </c>
      <c r="I297" s="11" t="s">
        <v>384</v>
      </c>
      <c r="J297" s="11" t="s">
        <v>370</v>
      </c>
      <c r="K297" s="11" t="s">
        <v>796</v>
      </c>
      <c r="L297" s="75" t="s">
        <v>525</v>
      </c>
      <c r="M297" s="4"/>
      <c r="N297" s="2"/>
      <c r="O297" s="4"/>
      <c r="P297" s="2"/>
      <c r="Q297" s="2"/>
      <c r="R297" s="4"/>
      <c r="S297" s="2"/>
      <c r="T297" s="2"/>
      <c r="U297" s="1"/>
      <c r="V297" s="2"/>
      <c r="W297" s="2"/>
      <c r="X297" s="2"/>
      <c r="Y297" s="2"/>
      <c r="Z297" s="2"/>
    </row>
    <row r="298" spans="1:26" ht="15.75" customHeight="1" x14ac:dyDescent="0.2">
      <c r="A298" s="11" t="s">
        <v>797</v>
      </c>
      <c r="B298" s="11" t="s">
        <v>17</v>
      </c>
      <c r="C298" s="11" t="s">
        <v>82</v>
      </c>
      <c r="D298" s="11" t="s">
        <v>304</v>
      </c>
      <c r="E298" s="11" t="s">
        <v>798</v>
      </c>
      <c r="F298" s="11" t="s">
        <v>799</v>
      </c>
      <c r="I298" s="11" t="s">
        <v>422</v>
      </c>
      <c r="J298" s="11" t="s">
        <v>800</v>
      </c>
      <c r="K298" s="11" t="s">
        <v>801</v>
      </c>
      <c r="L298" s="75" t="s">
        <v>425</v>
      </c>
      <c r="M298" s="4"/>
      <c r="N298" s="2"/>
      <c r="O298" s="4"/>
      <c r="P298" s="2"/>
      <c r="Q298" s="2"/>
      <c r="R298" s="4"/>
      <c r="S298" s="2"/>
      <c r="T298" s="2"/>
      <c r="U298" s="1"/>
      <c r="V298" s="2"/>
      <c r="W298" s="2"/>
      <c r="X298" s="2"/>
      <c r="Y298" s="2"/>
      <c r="Z298" s="2"/>
    </row>
    <row r="299" spans="1:26" ht="15.75" customHeight="1" x14ac:dyDescent="0.2">
      <c r="A299" s="11" t="s">
        <v>277</v>
      </c>
      <c r="B299" s="11" t="s">
        <v>4</v>
      </c>
      <c r="C299" s="11" t="s">
        <v>14</v>
      </c>
      <c r="D299" s="11" t="s">
        <v>291</v>
      </c>
      <c r="E299" s="11" t="s">
        <v>291</v>
      </c>
      <c r="F299" s="11" t="s">
        <v>374</v>
      </c>
      <c r="I299" s="11" t="s">
        <v>294</v>
      </c>
      <c r="J299" s="11" t="s">
        <v>294</v>
      </c>
      <c r="K299" s="11" t="s">
        <v>493</v>
      </c>
      <c r="L299" s="75" t="s">
        <v>296</v>
      </c>
      <c r="M299" s="4"/>
      <c r="N299" s="2"/>
      <c r="O299" s="4"/>
      <c r="P299" s="2"/>
      <c r="Q299" s="2"/>
      <c r="R299" s="4"/>
      <c r="S299" s="2"/>
      <c r="T299" s="2"/>
      <c r="U299" s="1"/>
      <c r="V299" s="2"/>
      <c r="W299" s="2"/>
      <c r="X299" s="2"/>
      <c r="Y299" s="2"/>
      <c r="Z299" s="2"/>
    </row>
    <row r="300" spans="1:26" ht="15.75" customHeight="1" x14ac:dyDescent="0.2">
      <c r="A300" s="11" t="s">
        <v>277</v>
      </c>
      <c r="B300" s="11" t="s">
        <v>23</v>
      </c>
      <c r="C300" s="11" t="s">
        <v>26</v>
      </c>
      <c r="D300" s="11" t="s">
        <v>353</v>
      </c>
      <c r="E300" s="11" t="s">
        <v>353</v>
      </c>
      <c r="F300" s="11" t="s">
        <v>458</v>
      </c>
      <c r="I300" s="11" t="s">
        <v>356</v>
      </c>
      <c r="J300" s="11" t="s">
        <v>356</v>
      </c>
      <c r="K300" s="11" t="s">
        <v>459</v>
      </c>
      <c r="L300" s="75" t="s">
        <v>359</v>
      </c>
      <c r="M300" s="4"/>
      <c r="N300" s="2"/>
      <c r="O300" s="4"/>
      <c r="P300" s="2"/>
      <c r="Q300" s="2"/>
      <c r="R300" s="4"/>
      <c r="S300" s="2"/>
      <c r="T300" s="2"/>
      <c r="U300" s="1"/>
      <c r="V300" s="2"/>
      <c r="W300" s="2"/>
      <c r="X300" s="2"/>
      <c r="Y300" s="2"/>
      <c r="Z300" s="2"/>
    </row>
    <row r="301" spans="1:26" ht="15.75" customHeight="1" x14ac:dyDescent="0.2">
      <c r="A301" s="11" t="s">
        <v>430</v>
      </c>
      <c r="B301" s="11" t="s">
        <v>17</v>
      </c>
      <c r="C301" s="11" t="s">
        <v>24</v>
      </c>
      <c r="D301" s="11" t="s">
        <v>460</v>
      </c>
      <c r="E301" s="11" t="s">
        <v>350</v>
      </c>
      <c r="F301" s="11" t="s">
        <v>351</v>
      </c>
      <c r="I301" s="11" t="s">
        <v>463</v>
      </c>
      <c r="J301" s="11" t="s">
        <v>802</v>
      </c>
      <c r="K301" s="11" t="s">
        <v>803</v>
      </c>
      <c r="L301" s="75" t="s">
        <v>466</v>
      </c>
      <c r="M301" s="4"/>
      <c r="N301" s="2"/>
      <c r="O301" s="4"/>
      <c r="P301" s="2"/>
      <c r="Q301" s="2"/>
      <c r="R301" s="4"/>
      <c r="S301" s="2"/>
      <c r="T301" s="2"/>
      <c r="U301" s="1"/>
      <c r="V301" s="2"/>
      <c r="W301" s="2"/>
      <c r="X301" s="2"/>
      <c r="Y301" s="2"/>
      <c r="Z301" s="2"/>
    </row>
    <row r="302" spans="1:26" ht="15.75" customHeight="1" x14ac:dyDescent="0.2">
      <c r="A302" s="11" t="s">
        <v>447</v>
      </c>
      <c r="B302" s="11" t="s">
        <v>17</v>
      </c>
      <c r="C302" s="11" t="s">
        <v>25</v>
      </c>
      <c r="D302" s="11" t="s">
        <v>270</v>
      </c>
      <c r="E302" s="11" t="s">
        <v>699</v>
      </c>
      <c r="F302" s="11" t="s">
        <v>804</v>
      </c>
      <c r="I302" s="11" t="s">
        <v>469</v>
      </c>
      <c r="J302" s="11" t="s">
        <v>805</v>
      </c>
      <c r="K302" s="11" t="s">
        <v>806</v>
      </c>
      <c r="L302" s="75" t="s">
        <v>472</v>
      </c>
      <c r="M302" s="4"/>
      <c r="N302" s="2"/>
      <c r="O302" s="4"/>
      <c r="P302" s="2"/>
      <c r="Q302" s="2"/>
      <c r="R302" s="4"/>
      <c r="S302" s="2"/>
      <c r="T302" s="2"/>
      <c r="U302" s="1"/>
      <c r="V302" s="2"/>
      <c r="W302" s="2"/>
      <c r="X302" s="2"/>
      <c r="Y302" s="2"/>
      <c r="Z302" s="2"/>
    </row>
    <row r="303" spans="1:26" ht="15.75" customHeight="1" x14ac:dyDescent="0.2">
      <c r="A303" s="11" t="s">
        <v>411</v>
      </c>
      <c r="B303" s="11" t="s">
        <v>17</v>
      </c>
      <c r="C303" s="11" t="s">
        <v>67</v>
      </c>
      <c r="D303" s="11" t="s">
        <v>326</v>
      </c>
      <c r="E303" s="11" t="s">
        <v>460</v>
      </c>
      <c r="F303" s="11" t="s">
        <v>653</v>
      </c>
      <c r="I303" s="11" t="s">
        <v>337</v>
      </c>
      <c r="J303" s="11" t="s">
        <v>702</v>
      </c>
      <c r="K303" s="11" t="s">
        <v>703</v>
      </c>
      <c r="L303" s="75" t="s">
        <v>340</v>
      </c>
      <c r="M303" s="4"/>
      <c r="N303" s="2"/>
      <c r="O303" s="4"/>
      <c r="P303" s="2"/>
      <c r="Q303" s="2"/>
      <c r="R303" s="4"/>
      <c r="S303" s="2"/>
      <c r="T303" s="2"/>
      <c r="U303" s="1"/>
      <c r="V303" s="2"/>
      <c r="W303" s="2"/>
      <c r="X303" s="2"/>
      <c r="Y303" s="2"/>
      <c r="Z303" s="2"/>
    </row>
    <row r="304" spans="1:26" ht="15.75" customHeight="1" x14ac:dyDescent="0.2">
      <c r="A304" s="11" t="s">
        <v>411</v>
      </c>
      <c r="B304" s="11" t="s">
        <v>17</v>
      </c>
      <c r="C304" s="11" t="s">
        <v>62</v>
      </c>
      <c r="D304" s="11" t="s">
        <v>283</v>
      </c>
      <c r="E304" s="11" t="s">
        <v>436</v>
      </c>
      <c r="F304" s="11" t="s">
        <v>437</v>
      </c>
      <c r="I304" s="11" t="s">
        <v>286</v>
      </c>
      <c r="J304" s="11" t="s">
        <v>807</v>
      </c>
      <c r="K304" s="11" t="s">
        <v>808</v>
      </c>
      <c r="L304" s="75" t="s">
        <v>289</v>
      </c>
      <c r="M304" s="4"/>
      <c r="N304" s="2"/>
      <c r="O304" s="4"/>
      <c r="P304" s="2"/>
      <c r="Q304" s="2"/>
      <c r="R304" s="4"/>
      <c r="S304" s="2"/>
      <c r="T304" s="2"/>
      <c r="U304" s="1"/>
      <c r="V304" s="2"/>
      <c r="W304" s="2"/>
      <c r="X304" s="2"/>
      <c r="Y304" s="2"/>
      <c r="Z304" s="2"/>
    </row>
    <row r="305" spans="1:26" ht="15.75" customHeight="1" x14ac:dyDescent="0.2">
      <c r="A305" s="11" t="s">
        <v>277</v>
      </c>
      <c r="B305" s="11" t="s">
        <v>17</v>
      </c>
      <c r="C305" s="11" t="s">
        <v>89</v>
      </c>
      <c r="D305" s="11" t="s">
        <v>330</v>
      </c>
      <c r="E305" s="11" t="s">
        <v>330</v>
      </c>
      <c r="F305" s="11" t="s">
        <v>331</v>
      </c>
      <c r="I305" s="11" t="s">
        <v>332</v>
      </c>
      <c r="J305" s="11" t="s">
        <v>332</v>
      </c>
      <c r="K305" s="11" t="s">
        <v>333</v>
      </c>
      <c r="L305" s="75" t="s">
        <v>334</v>
      </c>
      <c r="M305" s="4"/>
      <c r="N305" s="2"/>
      <c r="O305" s="4"/>
      <c r="P305" s="2"/>
      <c r="Q305" s="2"/>
      <c r="R305" s="4"/>
      <c r="S305" s="2"/>
      <c r="T305" s="2"/>
      <c r="U305" s="1"/>
      <c r="V305" s="2"/>
      <c r="W305" s="2"/>
      <c r="X305" s="2"/>
      <c r="Y305" s="2"/>
      <c r="Z305" s="2"/>
    </row>
    <row r="306" spans="1:26" ht="15.75" customHeight="1" x14ac:dyDescent="0.2">
      <c r="M306" s="4"/>
      <c r="N306" s="2"/>
      <c r="O306" s="4"/>
      <c r="P306" s="2"/>
      <c r="Q306" s="2"/>
      <c r="R306" s="4"/>
      <c r="S306" s="2"/>
      <c r="T306" s="2"/>
      <c r="U306" s="1"/>
      <c r="V306" s="2"/>
      <c r="W306" s="2"/>
      <c r="X306" s="2"/>
      <c r="Y306" s="2"/>
      <c r="Z306" s="2"/>
    </row>
    <row r="307" spans="1:26" ht="15.75" customHeight="1" x14ac:dyDescent="0.2">
      <c r="E307" s="11" t="s">
        <v>809</v>
      </c>
      <c r="F307" s="11" t="s">
        <v>810</v>
      </c>
      <c r="K307" s="11" t="s">
        <v>811</v>
      </c>
      <c r="L307" s="75" t="s">
        <v>812</v>
      </c>
      <c r="M307" s="4"/>
      <c r="N307" s="2"/>
      <c r="O307" s="4"/>
      <c r="P307" s="2"/>
      <c r="Q307" s="2"/>
      <c r="R307" s="4"/>
      <c r="S307" s="2"/>
      <c r="T307" s="2"/>
      <c r="U307" s="1"/>
      <c r="V307" s="2"/>
      <c r="W307" s="2"/>
      <c r="X307" s="2"/>
      <c r="Y307" s="2"/>
      <c r="Z307" s="2"/>
    </row>
    <row r="308" spans="1:26" ht="15.75" customHeight="1" x14ac:dyDescent="0.2">
      <c r="M308" s="4"/>
      <c r="N308" s="2"/>
      <c r="O308" s="4"/>
      <c r="P308" s="2"/>
      <c r="Q308" s="2"/>
      <c r="R308" s="4"/>
      <c r="S308" s="2"/>
      <c r="T308" s="2"/>
      <c r="U308" s="1"/>
      <c r="V308" s="2"/>
      <c r="W308" s="2"/>
      <c r="X308" s="2"/>
      <c r="Y308" s="2"/>
      <c r="Z308" s="2"/>
    </row>
    <row r="309" spans="1:26" ht="15.75" customHeight="1" x14ac:dyDescent="0.2">
      <c r="M309" s="4"/>
      <c r="N309" s="2"/>
      <c r="O309" s="4"/>
      <c r="P309" s="2"/>
      <c r="Q309" s="2"/>
      <c r="R309" s="4"/>
      <c r="S309" s="2"/>
      <c r="T309" s="2"/>
      <c r="U309" s="1"/>
      <c r="V309" s="2"/>
      <c r="W309" s="2"/>
      <c r="X309" s="2"/>
      <c r="Y309" s="2"/>
      <c r="Z309" s="2"/>
    </row>
    <row r="310" spans="1:26" ht="15.75" customHeight="1" x14ac:dyDescent="0.2">
      <c r="A310" s="11" t="s">
        <v>44</v>
      </c>
      <c r="C310" s="24" t="s">
        <v>58</v>
      </c>
      <c r="D310" s="11" t="s">
        <v>268</v>
      </c>
      <c r="G310" s="11" t="s">
        <v>2</v>
      </c>
      <c r="M310" s="4"/>
      <c r="N310" s="2"/>
      <c r="O310" s="4"/>
      <c r="P310" s="2"/>
      <c r="Q310" s="2"/>
      <c r="R310" s="4"/>
      <c r="S310" s="2"/>
      <c r="T310" s="2"/>
      <c r="U310" s="1"/>
      <c r="V310" s="2"/>
      <c r="W310" s="2"/>
      <c r="X310" s="2"/>
      <c r="Y310" s="2"/>
      <c r="Z310" s="2"/>
    </row>
    <row r="311" spans="1:26" ht="15.75" customHeight="1" x14ac:dyDescent="0.2">
      <c r="M311" s="4"/>
      <c r="N311" s="2"/>
      <c r="O311" s="4"/>
      <c r="P311" s="2"/>
      <c r="Q311" s="2"/>
      <c r="R311" s="4"/>
      <c r="S311" s="2"/>
      <c r="T311" s="2"/>
      <c r="U311" s="1"/>
      <c r="V311" s="2"/>
      <c r="W311" s="2"/>
      <c r="X311" s="2"/>
      <c r="Y311" s="2"/>
      <c r="Z311" s="2"/>
    </row>
    <row r="312" spans="1:26" ht="15.75" customHeight="1" x14ac:dyDescent="0.2">
      <c r="A312" s="11" t="s">
        <v>3</v>
      </c>
      <c r="B312" s="11" t="s">
        <v>4</v>
      </c>
      <c r="C312" s="11" t="s">
        <v>5</v>
      </c>
      <c r="D312" s="11" t="s">
        <v>6</v>
      </c>
      <c r="E312" s="11" t="s">
        <v>7</v>
      </c>
      <c r="F312" s="11" t="s">
        <v>8</v>
      </c>
      <c r="I312" s="11" t="s">
        <v>9</v>
      </c>
      <c r="J312" s="11" t="s">
        <v>7</v>
      </c>
      <c r="K312" s="11" t="s">
        <v>10</v>
      </c>
      <c r="M312" s="4"/>
      <c r="N312" s="2"/>
      <c r="O312" s="4"/>
      <c r="P312" s="2"/>
      <c r="Q312" s="2"/>
      <c r="R312" s="4"/>
      <c r="S312" s="2"/>
      <c r="T312" s="2"/>
      <c r="U312" s="1"/>
      <c r="V312" s="2"/>
      <c r="W312" s="2"/>
      <c r="X312" s="2"/>
      <c r="Y312" s="2"/>
      <c r="Z312" s="2"/>
    </row>
    <row r="313" spans="1:26" ht="15.75" customHeight="1" x14ac:dyDescent="0.2">
      <c r="A313" s="11" t="s">
        <v>341</v>
      </c>
      <c r="B313" s="11" t="s">
        <v>17</v>
      </c>
      <c r="C313" s="11" t="s">
        <v>89</v>
      </c>
      <c r="D313" s="11" t="s">
        <v>330</v>
      </c>
      <c r="E313" s="11" t="s">
        <v>672</v>
      </c>
      <c r="F313" s="11" t="s">
        <v>673</v>
      </c>
      <c r="I313" s="11" t="s">
        <v>332</v>
      </c>
      <c r="J313" s="11" t="s">
        <v>390</v>
      </c>
      <c r="K313" s="11" t="s">
        <v>674</v>
      </c>
      <c r="L313" s="75" t="s">
        <v>334</v>
      </c>
      <c r="M313" s="4"/>
      <c r="N313" s="2"/>
      <c r="O313" s="4"/>
      <c r="P313" s="2"/>
      <c r="Q313" s="2"/>
      <c r="R313" s="4"/>
      <c r="S313" s="2"/>
      <c r="T313" s="2"/>
      <c r="U313" s="1"/>
      <c r="V313" s="2"/>
      <c r="W313" s="2"/>
      <c r="X313" s="2"/>
      <c r="Y313" s="2"/>
      <c r="Z313" s="2"/>
    </row>
    <row r="314" spans="1:26" ht="15.75" customHeight="1" x14ac:dyDescent="0.2">
      <c r="A314" s="11" t="s">
        <v>719</v>
      </c>
      <c r="B314" s="11" t="s">
        <v>17</v>
      </c>
      <c r="C314" s="11" t="s">
        <v>62</v>
      </c>
      <c r="D314" s="11" t="s">
        <v>283</v>
      </c>
      <c r="E314" s="11" t="s">
        <v>438</v>
      </c>
      <c r="F314" s="11" t="s">
        <v>813</v>
      </c>
      <c r="I314" s="11" t="s">
        <v>286</v>
      </c>
      <c r="J314" s="11" t="s">
        <v>586</v>
      </c>
      <c r="K314" s="11" t="s">
        <v>814</v>
      </c>
      <c r="L314" s="75" t="s">
        <v>289</v>
      </c>
      <c r="M314" s="4"/>
      <c r="N314" s="2"/>
      <c r="O314" s="4"/>
      <c r="P314" s="2"/>
      <c r="Q314" s="2"/>
      <c r="R314" s="4"/>
      <c r="S314" s="2"/>
      <c r="T314" s="2"/>
      <c r="U314" s="1"/>
      <c r="V314" s="2"/>
      <c r="W314" s="2"/>
      <c r="X314" s="2"/>
      <c r="Y314" s="2"/>
      <c r="Z314" s="2"/>
    </row>
    <row r="315" spans="1:26" ht="15.75" customHeight="1" x14ac:dyDescent="0.2">
      <c r="A315" s="11" t="s">
        <v>302</v>
      </c>
      <c r="B315" s="11" t="s">
        <v>23</v>
      </c>
      <c r="C315" s="11" t="s">
        <v>26</v>
      </c>
      <c r="D315" s="11" t="s">
        <v>353</v>
      </c>
      <c r="E315" s="11" t="s">
        <v>354</v>
      </c>
      <c r="F315" s="11" t="s">
        <v>355</v>
      </c>
      <c r="I315" s="11" t="s">
        <v>356</v>
      </c>
      <c r="J315" s="11" t="s">
        <v>357</v>
      </c>
      <c r="K315" s="11" t="s">
        <v>358</v>
      </c>
      <c r="L315" s="75" t="s">
        <v>359</v>
      </c>
      <c r="M315" s="4"/>
      <c r="N315" s="2"/>
      <c r="O315" s="4"/>
      <c r="P315" s="2"/>
      <c r="Q315" s="2"/>
      <c r="R315" s="4"/>
      <c r="S315" s="2"/>
      <c r="T315" s="2"/>
      <c r="U315" s="1"/>
      <c r="V315" s="2"/>
      <c r="W315" s="2"/>
      <c r="X315" s="2"/>
      <c r="Y315" s="2"/>
      <c r="Z315" s="2"/>
    </row>
    <row r="316" spans="1:26" ht="15.75" customHeight="1" x14ac:dyDescent="0.2">
      <c r="A316" s="11" t="s">
        <v>322</v>
      </c>
      <c r="B316" s="11" t="s">
        <v>17</v>
      </c>
      <c r="C316" s="11" t="s">
        <v>25</v>
      </c>
      <c r="D316" s="11" t="s">
        <v>270</v>
      </c>
      <c r="E316" s="11" t="s">
        <v>815</v>
      </c>
      <c r="F316" s="11" t="s">
        <v>816</v>
      </c>
      <c r="I316" s="11" t="s">
        <v>463</v>
      </c>
      <c r="J316" s="11" t="s">
        <v>817</v>
      </c>
      <c r="K316" s="11" t="s">
        <v>818</v>
      </c>
      <c r="L316" s="75" t="s">
        <v>819</v>
      </c>
      <c r="M316" s="4"/>
      <c r="N316" s="2"/>
      <c r="O316" s="4"/>
      <c r="P316" s="2"/>
      <c r="Q316" s="2"/>
      <c r="R316" s="4"/>
      <c r="S316" s="2"/>
      <c r="T316" s="2"/>
      <c r="U316" s="1"/>
      <c r="V316" s="2"/>
      <c r="W316" s="2"/>
      <c r="X316" s="2"/>
      <c r="Y316" s="2"/>
      <c r="Z316" s="2"/>
    </row>
    <row r="317" spans="1:26" ht="15.75" customHeight="1" x14ac:dyDescent="0.2">
      <c r="A317" s="11" t="s">
        <v>411</v>
      </c>
      <c r="B317" s="11" t="s">
        <v>17</v>
      </c>
      <c r="C317" s="11" t="s">
        <v>24</v>
      </c>
      <c r="D317" s="11" t="s">
        <v>460</v>
      </c>
      <c r="E317" s="11" t="s">
        <v>405</v>
      </c>
      <c r="F317" s="11" t="s">
        <v>820</v>
      </c>
      <c r="I317" s="11" t="s">
        <v>469</v>
      </c>
      <c r="J317" s="11" t="s">
        <v>470</v>
      </c>
      <c r="K317" s="11" t="s">
        <v>821</v>
      </c>
      <c r="L317" s="75" t="s">
        <v>822</v>
      </c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A318" s="11" t="s">
        <v>411</v>
      </c>
      <c r="B318" s="11" t="s">
        <v>15</v>
      </c>
      <c r="C318" s="11" t="s">
        <v>27</v>
      </c>
      <c r="D318" s="11" t="s">
        <v>346</v>
      </c>
      <c r="E318" s="11" t="s">
        <v>823</v>
      </c>
      <c r="F318" s="11" t="s">
        <v>824</v>
      </c>
      <c r="I318" s="11" t="s">
        <v>361</v>
      </c>
      <c r="J318" s="11" t="s">
        <v>825</v>
      </c>
      <c r="K318" s="11" t="s">
        <v>826</v>
      </c>
      <c r="L318" s="75" t="s">
        <v>364</v>
      </c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11" t="s">
        <v>277</v>
      </c>
      <c r="B319" s="11" t="s">
        <v>15</v>
      </c>
      <c r="C319" s="11" t="s">
        <v>40</v>
      </c>
      <c r="D319" s="11" t="s">
        <v>284</v>
      </c>
      <c r="E319" s="11" t="s">
        <v>284</v>
      </c>
      <c r="F319" s="11" t="s">
        <v>285</v>
      </c>
      <c r="I319" s="11" t="s">
        <v>408</v>
      </c>
      <c r="J319" s="11" t="s">
        <v>408</v>
      </c>
      <c r="K319" s="11" t="s">
        <v>409</v>
      </c>
      <c r="L319" s="75" t="s">
        <v>410</v>
      </c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1" t="s">
        <v>277</v>
      </c>
      <c r="B320" s="11" t="s">
        <v>15</v>
      </c>
      <c r="C320" s="11" t="s">
        <v>48</v>
      </c>
      <c r="D320" s="11" t="s">
        <v>297</v>
      </c>
      <c r="E320" s="11" t="s">
        <v>297</v>
      </c>
      <c r="F320" s="11" t="s">
        <v>298</v>
      </c>
      <c r="I320" s="11" t="s">
        <v>299</v>
      </c>
      <c r="J320" s="11" t="s">
        <v>299</v>
      </c>
      <c r="K320" s="11" t="s">
        <v>300</v>
      </c>
      <c r="L320" s="75" t="s">
        <v>301</v>
      </c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1" t="s">
        <v>282</v>
      </c>
      <c r="B321" s="11" t="s">
        <v>17</v>
      </c>
      <c r="C321" s="11" t="s">
        <v>18</v>
      </c>
      <c r="D321" s="11" t="s">
        <v>303</v>
      </c>
      <c r="E321" s="11" t="s">
        <v>292</v>
      </c>
      <c r="F321" s="11" t="s">
        <v>293</v>
      </c>
      <c r="I321" s="11" t="s">
        <v>306</v>
      </c>
      <c r="J321" s="11" t="s">
        <v>317</v>
      </c>
      <c r="K321" s="11" t="s">
        <v>500</v>
      </c>
      <c r="L321" s="75" t="s">
        <v>308</v>
      </c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1" t="s">
        <v>277</v>
      </c>
      <c r="B322" s="11" t="s">
        <v>4</v>
      </c>
      <c r="C322" s="11" t="s">
        <v>13</v>
      </c>
      <c r="D322" s="11" t="s">
        <v>271</v>
      </c>
      <c r="E322" s="11" t="s">
        <v>271</v>
      </c>
      <c r="F322" s="11" t="s">
        <v>272</v>
      </c>
      <c r="I322" s="11" t="s">
        <v>483</v>
      </c>
      <c r="J322" s="11" t="s">
        <v>483</v>
      </c>
      <c r="K322" s="11" t="s">
        <v>827</v>
      </c>
      <c r="L322" s="75" t="s">
        <v>486</v>
      </c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1" t="s">
        <v>277</v>
      </c>
      <c r="B323" s="11" t="s">
        <v>17</v>
      </c>
      <c r="C323" s="11" t="s">
        <v>34</v>
      </c>
      <c r="D323" s="11" t="s">
        <v>390</v>
      </c>
      <c r="E323" s="11" t="s">
        <v>390</v>
      </c>
      <c r="F323" s="11" t="s">
        <v>391</v>
      </c>
      <c r="I323" s="11" t="s">
        <v>392</v>
      </c>
      <c r="J323" s="11" t="s">
        <v>392</v>
      </c>
      <c r="K323" s="11" t="s">
        <v>393</v>
      </c>
      <c r="L323" s="75" t="s">
        <v>394</v>
      </c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1" t="s">
        <v>783</v>
      </c>
      <c r="B324" s="11" t="s">
        <v>17</v>
      </c>
      <c r="C324" s="11" t="s">
        <v>659</v>
      </c>
      <c r="D324" s="11" t="s">
        <v>310</v>
      </c>
      <c r="E324" s="11" t="s">
        <v>474</v>
      </c>
      <c r="F324" s="11" t="s">
        <v>784</v>
      </c>
      <c r="I324" s="11" t="s">
        <v>313</v>
      </c>
      <c r="J324" s="11" t="s">
        <v>335</v>
      </c>
      <c r="K324" s="11" t="s">
        <v>785</v>
      </c>
      <c r="L324" s="75" t="s">
        <v>316</v>
      </c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1" t="s">
        <v>277</v>
      </c>
      <c r="B325" s="11" t="s">
        <v>17</v>
      </c>
      <c r="C325" s="11" t="s">
        <v>61</v>
      </c>
      <c r="D325" s="11" t="s">
        <v>426</v>
      </c>
      <c r="E325" s="11" t="s">
        <v>426</v>
      </c>
      <c r="F325" s="11" t="s">
        <v>427</v>
      </c>
      <c r="I325" s="11" t="s">
        <v>386</v>
      </c>
      <c r="J325" s="11" t="s">
        <v>386</v>
      </c>
      <c r="K325" s="11" t="s">
        <v>428</v>
      </c>
      <c r="L325" s="75" t="s">
        <v>429</v>
      </c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1" t="s">
        <v>290</v>
      </c>
      <c r="B326" s="11" t="s">
        <v>4</v>
      </c>
      <c r="C326" s="11" t="s">
        <v>14</v>
      </c>
      <c r="D326" s="11" t="s">
        <v>291</v>
      </c>
      <c r="E326" s="11" t="s">
        <v>292</v>
      </c>
      <c r="F326" s="11" t="s">
        <v>293</v>
      </c>
      <c r="I326" s="11" t="s">
        <v>294</v>
      </c>
      <c r="J326" s="11" t="s">
        <v>270</v>
      </c>
      <c r="K326" s="11" t="s">
        <v>295</v>
      </c>
      <c r="L326" s="75" t="s">
        <v>296</v>
      </c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1" t="s">
        <v>309</v>
      </c>
      <c r="B327" s="11" t="s">
        <v>17</v>
      </c>
      <c r="C327" s="11" t="s">
        <v>56</v>
      </c>
      <c r="D327" s="11" t="s">
        <v>326</v>
      </c>
      <c r="E327" s="11" t="s">
        <v>828</v>
      </c>
      <c r="F327" s="11" t="s">
        <v>829</v>
      </c>
      <c r="I327" s="11" t="s">
        <v>607</v>
      </c>
      <c r="J327" s="11" t="s">
        <v>830</v>
      </c>
      <c r="K327" s="11" t="s">
        <v>831</v>
      </c>
      <c r="L327" s="75" t="s">
        <v>622</v>
      </c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1" t="s">
        <v>832</v>
      </c>
      <c r="B328" s="11" t="s">
        <v>17</v>
      </c>
      <c r="C328" s="11" t="s">
        <v>82</v>
      </c>
      <c r="D328" s="11" t="s">
        <v>304</v>
      </c>
      <c r="E328" s="11" t="s">
        <v>833</v>
      </c>
      <c r="F328" s="11" t="s">
        <v>834</v>
      </c>
      <c r="I328" s="11" t="s">
        <v>422</v>
      </c>
      <c r="J328" s="11" t="s">
        <v>835</v>
      </c>
      <c r="K328" s="11" t="s">
        <v>836</v>
      </c>
      <c r="L328" s="75" t="s">
        <v>425</v>
      </c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1" t="s">
        <v>411</v>
      </c>
      <c r="B329" s="11" t="s">
        <v>17</v>
      </c>
      <c r="C329" s="11" t="s">
        <v>31</v>
      </c>
      <c r="D329" s="11" t="s">
        <v>291</v>
      </c>
      <c r="E329" s="11" t="s">
        <v>314</v>
      </c>
      <c r="F329" s="11" t="s">
        <v>444</v>
      </c>
      <c r="I329" s="11" t="s">
        <v>375</v>
      </c>
      <c r="J329" s="11" t="s">
        <v>593</v>
      </c>
      <c r="K329" s="11" t="s">
        <v>594</v>
      </c>
      <c r="L329" s="75" t="s">
        <v>377</v>
      </c>
      <c r="M329" s="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1" t="s">
        <v>277</v>
      </c>
      <c r="B330" s="11" t="s">
        <v>17</v>
      </c>
      <c r="C330" s="11" t="s">
        <v>33</v>
      </c>
      <c r="D330" s="11" t="s">
        <v>383</v>
      </c>
      <c r="E330" s="11" t="s">
        <v>383</v>
      </c>
      <c r="F330" s="11" t="s">
        <v>756</v>
      </c>
      <c r="I330" s="11" t="s">
        <v>379</v>
      </c>
      <c r="J330" s="11" t="s">
        <v>379</v>
      </c>
      <c r="K330" s="11" t="s">
        <v>757</v>
      </c>
      <c r="L330" s="75" t="s">
        <v>758</v>
      </c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1" t="s">
        <v>277</v>
      </c>
      <c r="B331" s="11" t="s">
        <v>17</v>
      </c>
      <c r="C331" s="11" t="s">
        <v>32</v>
      </c>
      <c r="D331" s="11" t="s">
        <v>304</v>
      </c>
      <c r="E331" s="11" t="s">
        <v>304</v>
      </c>
      <c r="F331" s="11" t="s">
        <v>305</v>
      </c>
      <c r="I331" s="11" t="s">
        <v>386</v>
      </c>
      <c r="J331" s="11" t="s">
        <v>386</v>
      </c>
      <c r="K331" s="11" t="s">
        <v>754</v>
      </c>
      <c r="L331" s="75" t="s">
        <v>755</v>
      </c>
      <c r="M331" s="4"/>
      <c r="N331" s="2"/>
      <c r="O331" s="4"/>
      <c r="P331" s="2"/>
      <c r="Q331" s="2"/>
      <c r="R331" s="4"/>
      <c r="S331" s="2"/>
      <c r="T331" s="2"/>
      <c r="U331" s="1"/>
      <c r="V331" s="2"/>
      <c r="W331" s="2"/>
      <c r="X331" s="2"/>
      <c r="Y331" s="2"/>
      <c r="Z331" s="2"/>
    </row>
    <row r="332" spans="1:26" ht="15.75" customHeight="1" x14ac:dyDescent="0.2">
      <c r="A332" s="11" t="s">
        <v>526</v>
      </c>
      <c r="B332" s="11" t="s">
        <v>17</v>
      </c>
      <c r="C332" s="11" t="s">
        <v>38</v>
      </c>
      <c r="D332" s="11" t="s">
        <v>395</v>
      </c>
      <c r="E332" s="11" t="s">
        <v>435</v>
      </c>
      <c r="F332" s="11" t="s">
        <v>527</v>
      </c>
      <c r="I332" s="11" t="s">
        <v>306</v>
      </c>
      <c r="J332" s="11" t="s">
        <v>303</v>
      </c>
      <c r="K332" s="11" t="s">
        <v>528</v>
      </c>
      <c r="L332" s="75" t="s">
        <v>398</v>
      </c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11" t="s">
        <v>837</v>
      </c>
      <c r="B333" s="11" t="s">
        <v>17</v>
      </c>
      <c r="C333" s="11" t="s">
        <v>36</v>
      </c>
      <c r="D333" s="11" t="s">
        <v>395</v>
      </c>
      <c r="E333" s="11" t="s">
        <v>531</v>
      </c>
      <c r="F333" s="11" t="s">
        <v>838</v>
      </c>
      <c r="I333" s="11" t="s">
        <v>306</v>
      </c>
      <c r="J333" s="11" t="s">
        <v>304</v>
      </c>
      <c r="K333" s="11" t="s">
        <v>839</v>
      </c>
      <c r="L333" s="75" t="s">
        <v>398</v>
      </c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A334" s="11" t="s">
        <v>277</v>
      </c>
      <c r="B334" s="11" t="s">
        <v>17</v>
      </c>
      <c r="C334" s="11" t="s">
        <v>19</v>
      </c>
      <c r="D334" s="11" t="s">
        <v>317</v>
      </c>
      <c r="E334" s="11" t="s">
        <v>317</v>
      </c>
      <c r="F334" s="11" t="s">
        <v>318</v>
      </c>
      <c r="I334" s="11" t="s">
        <v>319</v>
      </c>
      <c r="J334" s="11" t="s">
        <v>319</v>
      </c>
      <c r="K334" s="11" t="s">
        <v>320</v>
      </c>
      <c r="L334" s="75" t="s">
        <v>321</v>
      </c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11" t="s">
        <v>411</v>
      </c>
      <c r="B335" s="11" t="s">
        <v>21</v>
      </c>
      <c r="C335" s="11" t="s">
        <v>22</v>
      </c>
      <c r="D335" s="11" t="s">
        <v>323</v>
      </c>
      <c r="E335" s="11" t="s">
        <v>840</v>
      </c>
      <c r="F335" s="11" t="s">
        <v>841</v>
      </c>
      <c r="I335" s="11" t="s">
        <v>326</v>
      </c>
      <c r="J335" s="11" t="s">
        <v>460</v>
      </c>
      <c r="K335" s="11" t="s">
        <v>842</v>
      </c>
      <c r="L335" s="75" t="s">
        <v>329</v>
      </c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1" t="s">
        <v>277</v>
      </c>
      <c r="B336" s="11" t="s">
        <v>17</v>
      </c>
      <c r="C336" s="11" t="s">
        <v>42</v>
      </c>
      <c r="D336" s="11" t="s">
        <v>270</v>
      </c>
      <c r="E336" s="11" t="s">
        <v>270</v>
      </c>
      <c r="F336" s="11" t="s">
        <v>498</v>
      </c>
      <c r="I336" s="11" t="s">
        <v>273</v>
      </c>
      <c r="J336" s="11" t="s">
        <v>273</v>
      </c>
      <c r="K336" s="11" t="s">
        <v>499</v>
      </c>
      <c r="L336" s="75" t="s">
        <v>276</v>
      </c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1" t="s">
        <v>277</v>
      </c>
      <c r="B337" s="11" t="s">
        <v>21</v>
      </c>
      <c r="C337" s="11" t="s">
        <v>28</v>
      </c>
      <c r="D337" s="11" t="s">
        <v>283</v>
      </c>
      <c r="E337" s="11" t="s">
        <v>283</v>
      </c>
      <c r="F337" s="11" t="s">
        <v>365</v>
      </c>
      <c r="I337" s="11" t="s">
        <v>366</v>
      </c>
      <c r="J337" s="11" t="s">
        <v>366</v>
      </c>
      <c r="K337" s="11" t="s">
        <v>367</v>
      </c>
      <c r="L337" s="75" t="s">
        <v>348</v>
      </c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1" t="s">
        <v>277</v>
      </c>
      <c r="B338" s="11" t="s">
        <v>21</v>
      </c>
      <c r="C338" s="11" t="s">
        <v>133</v>
      </c>
      <c r="D338" s="11" t="s">
        <v>283</v>
      </c>
      <c r="E338" s="11" t="s">
        <v>283</v>
      </c>
      <c r="F338" s="11" t="s">
        <v>365</v>
      </c>
      <c r="I338" s="11" t="s">
        <v>306</v>
      </c>
      <c r="J338" s="11" t="s">
        <v>306</v>
      </c>
      <c r="K338" s="11" t="s">
        <v>368</v>
      </c>
      <c r="L338" s="75" t="s">
        <v>276</v>
      </c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1" t="s">
        <v>341</v>
      </c>
      <c r="B339" s="11" t="s">
        <v>21</v>
      </c>
      <c r="C339" s="11" t="s">
        <v>29</v>
      </c>
      <c r="D339" s="11" t="s">
        <v>369</v>
      </c>
      <c r="E339" s="11" t="s">
        <v>517</v>
      </c>
      <c r="F339" s="11" t="s">
        <v>518</v>
      </c>
      <c r="I339" s="11" t="s">
        <v>273</v>
      </c>
      <c r="J339" s="11" t="s">
        <v>519</v>
      </c>
      <c r="K339" s="11" t="s">
        <v>520</v>
      </c>
      <c r="L339" s="75" t="s">
        <v>373</v>
      </c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1" t="s">
        <v>529</v>
      </c>
      <c r="B340" s="11" t="s">
        <v>21</v>
      </c>
      <c r="C340" s="11" t="s">
        <v>46</v>
      </c>
      <c r="D340" s="11" t="s">
        <v>431</v>
      </c>
      <c r="E340" s="11" t="s">
        <v>436</v>
      </c>
      <c r="F340" s="11" t="s">
        <v>437</v>
      </c>
      <c r="I340" s="11" t="s">
        <v>433</v>
      </c>
      <c r="J340" s="11" t="s">
        <v>530</v>
      </c>
      <c r="K340" s="11" t="s">
        <v>531</v>
      </c>
      <c r="L340" s="75" t="s">
        <v>308</v>
      </c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1" t="s">
        <v>290</v>
      </c>
      <c r="B341" s="11" t="s">
        <v>17</v>
      </c>
      <c r="C341" s="11" t="s">
        <v>43</v>
      </c>
      <c r="D341" s="11" t="s">
        <v>327</v>
      </c>
      <c r="E341" s="11" t="s">
        <v>284</v>
      </c>
      <c r="F341" s="11" t="s">
        <v>285</v>
      </c>
      <c r="I341" s="11" t="s">
        <v>390</v>
      </c>
      <c r="J341" s="11" t="s">
        <v>332</v>
      </c>
      <c r="K341" s="11" t="s">
        <v>506</v>
      </c>
      <c r="L341" s="75" t="s">
        <v>348</v>
      </c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1" t="s">
        <v>341</v>
      </c>
      <c r="B342" s="11" t="s">
        <v>17</v>
      </c>
      <c r="C342" s="11" t="s">
        <v>35</v>
      </c>
      <c r="D342" s="11" t="s">
        <v>366</v>
      </c>
      <c r="E342" s="11" t="s">
        <v>609</v>
      </c>
      <c r="F342" s="11" t="s">
        <v>795</v>
      </c>
      <c r="I342" s="11" t="s">
        <v>384</v>
      </c>
      <c r="J342" s="11" t="s">
        <v>370</v>
      </c>
      <c r="K342" s="11" t="s">
        <v>796</v>
      </c>
      <c r="L342" s="75" t="s">
        <v>525</v>
      </c>
      <c r="M342" s="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1" t="s">
        <v>644</v>
      </c>
      <c r="B343" s="11" t="s">
        <v>17</v>
      </c>
      <c r="C343" s="11" t="s">
        <v>39</v>
      </c>
      <c r="D343" s="11" t="s">
        <v>304</v>
      </c>
      <c r="E343" s="11" t="s">
        <v>645</v>
      </c>
      <c r="F343" s="11" t="s">
        <v>646</v>
      </c>
      <c r="I343" s="11" t="s">
        <v>404</v>
      </c>
      <c r="J343" s="11" t="s">
        <v>647</v>
      </c>
      <c r="K343" s="11" t="s">
        <v>648</v>
      </c>
      <c r="L343" s="75" t="s">
        <v>407</v>
      </c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1" t="s">
        <v>843</v>
      </c>
      <c r="B344" s="11" t="s">
        <v>17</v>
      </c>
      <c r="C344" s="11" t="s">
        <v>88</v>
      </c>
      <c r="D344" s="11" t="s">
        <v>426</v>
      </c>
      <c r="E344" s="11" t="s">
        <v>844</v>
      </c>
      <c r="F344" s="11" t="s">
        <v>845</v>
      </c>
      <c r="I344" s="11" t="s">
        <v>404</v>
      </c>
      <c r="J344" s="11" t="s">
        <v>846</v>
      </c>
      <c r="K344" s="11" t="s">
        <v>847</v>
      </c>
      <c r="L344" s="75" t="s">
        <v>848</v>
      </c>
      <c r="M344" s="4"/>
      <c r="N344" s="2"/>
      <c r="O344" s="4"/>
      <c r="P344" s="2"/>
      <c r="Q344" s="2"/>
      <c r="R344" s="4"/>
      <c r="S344" s="2"/>
      <c r="T344" s="2"/>
      <c r="U344" s="1"/>
      <c r="V344" s="2"/>
      <c r="W344" s="2"/>
      <c r="X344" s="2"/>
      <c r="Y344" s="2"/>
      <c r="Z344" s="2"/>
    </row>
    <row r="345" spans="1:26" ht="15.75" customHeight="1" x14ac:dyDescent="0.2">
      <c r="M345" s="4"/>
      <c r="N345" s="2"/>
      <c r="O345" s="4"/>
      <c r="P345" s="2"/>
      <c r="Q345" s="2"/>
      <c r="R345" s="4"/>
      <c r="S345" s="2"/>
      <c r="T345" s="2"/>
      <c r="U345" s="1"/>
      <c r="V345" s="2"/>
      <c r="W345" s="2"/>
      <c r="X345" s="2"/>
      <c r="Y345" s="2"/>
      <c r="Z345" s="2"/>
    </row>
    <row r="346" spans="1:26" ht="15.75" customHeight="1" x14ac:dyDescent="0.2">
      <c r="E346" s="11" t="s">
        <v>849</v>
      </c>
      <c r="F346" s="11" t="s">
        <v>850</v>
      </c>
      <c r="K346" s="11" t="s">
        <v>851</v>
      </c>
      <c r="L346" s="75" t="s">
        <v>852</v>
      </c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1" t="s">
        <v>116</v>
      </c>
      <c r="D349" s="11" t="s">
        <v>853</v>
      </c>
      <c r="E349" s="11" t="s">
        <v>268</v>
      </c>
      <c r="F349" s="24"/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1" t="s">
        <v>3</v>
      </c>
      <c r="B351" s="11" t="s">
        <v>4</v>
      </c>
      <c r="C351" s="11" t="s">
        <v>5</v>
      </c>
      <c r="D351" s="11" t="s">
        <v>6</v>
      </c>
      <c r="E351" s="11" t="s">
        <v>7</v>
      </c>
      <c r="I351" s="11" t="s">
        <v>6</v>
      </c>
      <c r="J351" s="11" t="s">
        <v>7</v>
      </c>
      <c r="K351" s="11" t="s">
        <v>10</v>
      </c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1" t="s">
        <v>854</v>
      </c>
      <c r="B352" s="11" t="s">
        <v>17</v>
      </c>
      <c r="C352" s="11" t="s">
        <v>77</v>
      </c>
      <c r="D352" s="11" t="s">
        <v>304</v>
      </c>
      <c r="E352" s="11" t="s">
        <v>855</v>
      </c>
      <c r="I352" s="11" t="s">
        <v>856</v>
      </c>
      <c r="J352" s="11" t="s">
        <v>857</v>
      </c>
      <c r="K352" s="11" t="s">
        <v>858</v>
      </c>
      <c r="L352" s="75" t="s">
        <v>859</v>
      </c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1" t="s">
        <v>411</v>
      </c>
      <c r="B353" s="11" t="s">
        <v>17</v>
      </c>
      <c r="C353" s="11" t="s">
        <v>129</v>
      </c>
      <c r="D353" s="11" t="s">
        <v>303</v>
      </c>
      <c r="E353" s="11" t="s">
        <v>335</v>
      </c>
      <c r="I353" s="11" t="s">
        <v>326</v>
      </c>
      <c r="J353" s="11" t="s">
        <v>460</v>
      </c>
      <c r="K353" s="11" t="s">
        <v>326</v>
      </c>
      <c r="L353" s="75" t="s">
        <v>860</v>
      </c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1" t="s">
        <v>290</v>
      </c>
      <c r="B354" s="11" t="s">
        <v>15</v>
      </c>
      <c r="C354" s="11" t="s">
        <v>27</v>
      </c>
      <c r="D354" s="11" t="s">
        <v>346</v>
      </c>
      <c r="E354" s="11" t="s">
        <v>345</v>
      </c>
      <c r="I354" s="11" t="s">
        <v>361</v>
      </c>
      <c r="J354" s="11" t="s">
        <v>362</v>
      </c>
      <c r="K354" s="11" t="s">
        <v>330</v>
      </c>
      <c r="L354" s="75" t="s">
        <v>861</v>
      </c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1" t="s">
        <v>277</v>
      </c>
      <c r="B355" s="11" t="s">
        <v>23</v>
      </c>
      <c r="C355" s="11" t="s">
        <v>46</v>
      </c>
      <c r="D355" s="11" t="s">
        <v>284</v>
      </c>
      <c r="E355" s="11" t="s">
        <v>284</v>
      </c>
      <c r="I355" s="11" t="s">
        <v>436</v>
      </c>
      <c r="J355" s="11" t="s">
        <v>436</v>
      </c>
      <c r="K355" s="11" t="s">
        <v>283</v>
      </c>
      <c r="L355" s="75" t="s">
        <v>860</v>
      </c>
      <c r="M355" s="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1" t="s">
        <v>282</v>
      </c>
      <c r="B356" s="11" t="s">
        <v>17</v>
      </c>
      <c r="C356" s="11" t="s">
        <v>31</v>
      </c>
      <c r="D356" s="11" t="s">
        <v>383</v>
      </c>
      <c r="E356" s="11" t="s">
        <v>666</v>
      </c>
      <c r="I356" s="11" t="s">
        <v>375</v>
      </c>
      <c r="J356" s="11" t="s">
        <v>651</v>
      </c>
      <c r="K356" s="11" t="s">
        <v>862</v>
      </c>
      <c r="L356" s="75" t="s">
        <v>863</v>
      </c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1" t="s">
        <v>277</v>
      </c>
      <c r="B357" s="11" t="s">
        <v>23</v>
      </c>
      <c r="C357" s="11" t="s">
        <v>93</v>
      </c>
      <c r="D357" s="11" t="s">
        <v>557</v>
      </c>
      <c r="E357" s="11" t="s">
        <v>557</v>
      </c>
      <c r="I357" s="11" t="s">
        <v>297</v>
      </c>
      <c r="J357" s="11" t="s">
        <v>297</v>
      </c>
      <c r="K357" s="11" t="s">
        <v>408</v>
      </c>
      <c r="L357" s="75" t="s">
        <v>864</v>
      </c>
      <c r="M357" s="4"/>
      <c r="N357" s="2"/>
      <c r="O357" s="4"/>
      <c r="P357" s="2"/>
      <c r="Q357" s="2"/>
      <c r="R357" s="4"/>
      <c r="S357" s="2"/>
      <c r="T357" s="2"/>
      <c r="U357" s="1"/>
      <c r="V357" s="2"/>
      <c r="W357" s="2"/>
      <c r="X357" s="2"/>
      <c r="Y357" s="2"/>
      <c r="Z357" s="2"/>
    </row>
    <row r="358" spans="1:26" ht="15.75" customHeight="1" x14ac:dyDescent="0.2">
      <c r="A358" s="11" t="s">
        <v>447</v>
      </c>
      <c r="B358" s="11" t="s">
        <v>17</v>
      </c>
      <c r="C358" s="11" t="s">
        <v>39</v>
      </c>
      <c r="D358" s="11" t="s">
        <v>865</v>
      </c>
      <c r="E358" s="11" t="s">
        <v>866</v>
      </c>
      <c r="I358" s="11" t="s">
        <v>404</v>
      </c>
      <c r="J358" s="11" t="s">
        <v>532</v>
      </c>
      <c r="K358" s="11" t="s">
        <v>840</v>
      </c>
      <c r="L358" s="75" t="s">
        <v>867</v>
      </c>
      <c r="M358" s="4"/>
      <c r="N358" s="2"/>
      <c r="O358" s="4"/>
      <c r="P358" s="2"/>
      <c r="Q358" s="2"/>
      <c r="R358" s="4"/>
      <c r="S358" s="2"/>
      <c r="T358" s="2"/>
      <c r="U358" s="1"/>
      <c r="V358" s="2"/>
      <c r="W358" s="2"/>
      <c r="X358" s="2"/>
      <c r="Y358" s="2"/>
      <c r="Z358" s="2"/>
    </row>
    <row r="359" spans="1:26" ht="15.75" customHeight="1" x14ac:dyDescent="0.2">
      <c r="A359" s="11" t="s">
        <v>277</v>
      </c>
      <c r="B359" s="11" t="s">
        <v>15</v>
      </c>
      <c r="C359" s="11" t="s">
        <v>56</v>
      </c>
      <c r="D359" s="11" t="s">
        <v>487</v>
      </c>
      <c r="E359" s="11" t="s">
        <v>487</v>
      </c>
      <c r="I359" s="11" t="s">
        <v>284</v>
      </c>
      <c r="J359" s="11" t="s">
        <v>284</v>
      </c>
      <c r="K359" s="11" t="s">
        <v>283</v>
      </c>
      <c r="L359" s="75" t="s">
        <v>868</v>
      </c>
      <c r="M359" s="4"/>
      <c r="N359" s="2"/>
      <c r="O359" s="4"/>
      <c r="P359" s="2"/>
      <c r="Q359" s="2"/>
      <c r="R359" s="4"/>
      <c r="S359" s="2"/>
      <c r="T359" s="2"/>
      <c r="U359" s="1"/>
      <c r="V359" s="2"/>
      <c r="W359" s="2"/>
      <c r="X359" s="2"/>
      <c r="Y359" s="2"/>
      <c r="Z359" s="2"/>
    </row>
    <row r="360" spans="1:26" ht="15.75" customHeight="1" x14ac:dyDescent="0.2">
      <c r="A360" s="11" t="s">
        <v>341</v>
      </c>
      <c r="B360" s="11" t="s">
        <v>23</v>
      </c>
      <c r="C360" s="11" t="s">
        <v>110</v>
      </c>
      <c r="D360" s="11" t="s">
        <v>557</v>
      </c>
      <c r="E360" s="11" t="s">
        <v>332</v>
      </c>
      <c r="I360" s="11" t="s">
        <v>487</v>
      </c>
      <c r="J360" s="11" t="s">
        <v>438</v>
      </c>
      <c r="K360" s="11" t="s">
        <v>366</v>
      </c>
      <c r="L360" s="75" t="s">
        <v>860</v>
      </c>
      <c r="M360" s="4"/>
      <c r="N360" s="2"/>
      <c r="O360" s="4"/>
      <c r="P360" s="2"/>
      <c r="Q360" s="2"/>
      <c r="R360" s="4"/>
      <c r="S360" s="2"/>
      <c r="T360" s="2"/>
      <c r="U360" s="1"/>
      <c r="V360" s="2"/>
      <c r="W360" s="2"/>
      <c r="X360" s="2"/>
      <c r="Y360" s="2"/>
      <c r="Z360" s="2"/>
    </row>
    <row r="361" spans="1:26" ht="15.75" customHeight="1" x14ac:dyDescent="0.2">
      <c r="A361" s="11" t="s">
        <v>411</v>
      </c>
      <c r="B361" s="11" t="s">
        <v>4</v>
      </c>
      <c r="C361" s="11" t="s">
        <v>114</v>
      </c>
      <c r="D361" s="11" t="s">
        <v>283</v>
      </c>
      <c r="E361" s="11" t="s">
        <v>436</v>
      </c>
      <c r="I361" s="11" t="s">
        <v>326</v>
      </c>
      <c r="J361" s="11" t="s">
        <v>460</v>
      </c>
      <c r="K361" s="11" t="s">
        <v>869</v>
      </c>
      <c r="L361" s="75" t="s">
        <v>870</v>
      </c>
      <c r="M361" s="4"/>
      <c r="N361" s="2"/>
      <c r="O361" s="4"/>
      <c r="P361" s="2"/>
      <c r="Q361" s="2"/>
      <c r="R361" s="4"/>
      <c r="S361" s="2"/>
      <c r="T361" s="2"/>
      <c r="U361" s="1"/>
      <c r="V361" s="2"/>
      <c r="W361" s="2"/>
      <c r="X361" s="2"/>
      <c r="Y361" s="2"/>
      <c r="Z361" s="2"/>
    </row>
    <row r="362" spans="1:26" ht="15.75" customHeight="1" x14ac:dyDescent="0.2">
      <c r="A362" s="11" t="s">
        <v>277</v>
      </c>
      <c r="B362" s="11" t="s">
        <v>21</v>
      </c>
      <c r="C362" s="11" t="s">
        <v>34</v>
      </c>
      <c r="D362" s="11" t="s">
        <v>390</v>
      </c>
      <c r="E362" s="11" t="s">
        <v>390</v>
      </c>
      <c r="I362" s="11" t="s">
        <v>392</v>
      </c>
      <c r="J362" s="11" t="s">
        <v>392</v>
      </c>
      <c r="K362" s="11" t="s">
        <v>283</v>
      </c>
      <c r="L362" s="75" t="s">
        <v>870</v>
      </c>
      <c r="M362" s="4"/>
      <c r="N362" s="2"/>
      <c r="O362" s="4"/>
      <c r="P362" s="2"/>
      <c r="Q362" s="2"/>
      <c r="R362" s="4"/>
      <c r="S362" s="2"/>
      <c r="T362" s="2"/>
      <c r="U362" s="1"/>
      <c r="V362" s="2"/>
      <c r="W362" s="2"/>
      <c r="X362" s="2"/>
      <c r="Y362" s="2"/>
      <c r="Z362" s="2"/>
    </row>
    <row r="363" spans="1:26" ht="15.75" customHeight="1" x14ac:dyDescent="0.2">
      <c r="A363" s="11" t="s">
        <v>277</v>
      </c>
      <c r="B363" s="11" t="s">
        <v>21</v>
      </c>
      <c r="C363" s="11" t="s">
        <v>64</v>
      </c>
      <c r="D363" s="11" t="s">
        <v>366</v>
      </c>
      <c r="E363" s="11" t="s">
        <v>366</v>
      </c>
      <c r="I363" s="11" t="s">
        <v>306</v>
      </c>
      <c r="J363" s="11" t="s">
        <v>306</v>
      </c>
      <c r="K363" s="11" t="s">
        <v>273</v>
      </c>
      <c r="L363" s="75" t="s">
        <v>870</v>
      </c>
      <c r="M363" s="4"/>
      <c r="N363" s="2"/>
      <c r="O363" s="4"/>
      <c r="P363" s="2"/>
      <c r="Q363" s="2"/>
      <c r="R363" s="4"/>
      <c r="S363" s="2"/>
      <c r="T363" s="2"/>
      <c r="U363" s="1"/>
      <c r="V363" s="2"/>
      <c r="W363" s="2"/>
      <c r="X363" s="2"/>
      <c r="Y363" s="2"/>
      <c r="Z363" s="2"/>
    </row>
    <row r="364" spans="1:26" ht="15.75" customHeight="1" x14ac:dyDescent="0.2">
      <c r="A364" s="11" t="s">
        <v>277</v>
      </c>
      <c r="B364" s="11" t="s">
        <v>21</v>
      </c>
      <c r="C364" s="11" t="s">
        <v>28</v>
      </c>
      <c r="D364" s="11" t="s">
        <v>283</v>
      </c>
      <c r="E364" s="11" t="s">
        <v>283</v>
      </c>
      <c r="I364" s="11" t="s">
        <v>366</v>
      </c>
      <c r="J364" s="11" t="s">
        <v>366</v>
      </c>
      <c r="K364" s="11" t="s">
        <v>495</v>
      </c>
      <c r="L364" s="75" t="s">
        <v>871</v>
      </c>
      <c r="M364" s="4"/>
      <c r="N364" s="2"/>
      <c r="O364" s="4"/>
      <c r="P364" s="2"/>
      <c r="Q364" s="2"/>
      <c r="R364" s="4"/>
      <c r="S364" s="2"/>
      <c r="T364" s="2"/>
      <c r="U364" s="1"/>
      <c r="V364" s="2"/>
      <c r="W364" s="2"/>
      <c r="X364" s="2"/>
      <c r="Y364" s="2"/>
      <c r="Z364" s="2"/>
    </row>
    <row r="365" spans="1:26" ht="15.75" customHeight="1" x14ac:dyDescent="0.2">
      <c r="A365" s="11" t="s">
        <v>277</v>
      </c>
      <c r="B365" s="11" t="s">
        <v>23</v>
      </c>
      <c r="C365" s="11" t="s">
        <v>22</v>
      </c>
      <c r="D365" s="11" t="s">
        <v>764</v>
      </c>
      <c r="E365" s="11" t="s">
        <v>764</v>
      </c>
      <c r="I365" s="11" t="s">
        <v>297</v>
      </c>
      <c r="J365" s="11" t="s">
        <v>297</v>
      </c>
      <c r="K365" s="11" t="s">
        <v>317</v>
      </c>
      <c r="L365" s="75" t="s">
        <v>872</v>
      </c>
      <c r="M365" s="4"/>
      <c r="N365" s="2"/>
      <c r="O365" s="4"/>
      <c r="P365" s="2"/>
      <c r="Q365" s="2"/>
      <c r="R365" s="4"/>
      <c r="S365" s="2"/>
      <c r="T365" s="2"/>
      <c r="U365" s="1"/>
      <c r="V365" s="2"/>
      <c r="W365" s="2"/>
      <c r="X365" s="2"/>
      <c r="Y365" s="2"/>
      <c r="Z365" s="2"/>
    </row>
    <row r="366" spans="1:26" ht="15.75" customHeight="1" x14ac:dyDescent="0.2">
      <c r="A366" s="11" t="s">
        <v>290</v>
      </c>
      <c r="B366" s="11" t="s">
        <v>4</v>
      </c>
      <c r="C366" s="11" t="s">
        <v>183</v>
      </c>
      <c r="D366" s="11" t="s">
        <v>327</v>
      </c>
      <c r="E366" s="11" t="s">
        <v>284</v>
      </c>
      <c r="I366" s="11" t="s">
        <v>317</v>
      </c>
      <c r="J366" s="11" t="s">
        <v>299</v>
      </c>
      <c r="K366" s="11" t="s">
        <v>317</v>
      </c>
      <c r="L366" s="75" t="s">
        <v>873</v>
      </c>
      <c r="M366" s="4"/>
      <c r="N366" s="2"/>
      <c r="O366" s="4"/>
      <c r="P366" s="2"/>
      <c r="Q366" s="2"/>
      <c r="R366" s="4"/>
      <c r="S366" s="2"/>
      <c r="T366" s="2"/>
      <c r="U366" s="1"/>
      <c r="V366" s="2"/>
      <c r="W366" s="2"/>
      <c r="X366" s="2"/>
      <c r="Y366" s="2"/>
      <c r="Z366" s="2"/>
    </row>
    <row r="367" spans="1:26" ht="15.75" customHeight="1" x14ac:dyDescent="0.2">
      <c r="A367" s="11" t="s">
        <v>277</v>
      </c>
      <c r="B367" s="11" t="s">
        <v>17</v>
      </c>
      <c r="C367" s="11" t="s">
        <v>113</v>
      </c>
      <c r="D367" s="11" t="s">
        <v>317</v>
      </c>
      <c r="E367" s="11" t="s">
        <v>317</v>
      </c>
      <c r="I367" s="11" t="s">
        <v>366</v>
      </c>
      <c r="J367" s="11" t="s">
        <v>366</v>
      </c>
      <c r="K367" s="11" t="s">
        <v>273</v>
      </c>
      <c r="L367" s="75" t="s">
        <v>874</v>
      </c>
      <c r="M367" s="4"/>
      <c r="N367" s="2"/>
      <c r="O367" s="4"/>
      <c r="P367" s="2"/>
      <c r="Q367" s="2"/>
      <c r="R367" s="4"/>
      <c r="S367" s="2"/>
      <c r="T367" s="2"/>
      <c r="U367" s="1"/>
      <c r="V367" s="2"/>
      <c r="W367" s="2"/>
      <c r="X367" s="2"/>
      <c r="Y367" s="2"/>
      <c r="Z367" s="2"/>
    </row>
    <row r="368" spans="1:26" ht="15.75" customHeight="1" x14ac:dyDescent="0.2">
      <c r="A368" s="11" t="s">
        <v>277</v>
      </c>
      <c r="B368" s="11" t="s">
        <v>21</v>
      </c>
      <c r="C368" s="11" t="s">
        <v>51</v>
      </c>
      <c r="D368" s="11" t="s">
        <v>273</v>
      </c>
      <c r="E368" s="11" t="s">
        <v>273</v>
      </c>
      <c r="I368" s="11" t="s">
        <v>279</v>
      </c>
      <c r="J368" s="11" t="s">
        <v>279</v>
      </c>
      <c r="K368" s="11" t="s">
        <v>875</v>
      </c>
      <c r="L368" s="75" t="s">
        <v>876</v>
      </c>
      <c r="M368" s="4"/>
      <c r="N368" s="2"/>
      <c r="O368" s="4"/>
      <c r="P368" s="2"/>
      <c r="Q368" s="2"/>
      <c r="R368" s="4"/>
      <c r="S368" s="2"/>
      <c r="T368" s="2"/>
      <c r="U368" s="1"/>
      <c r="V368" s="2"/>
      <c r="W368" s="2"/>
      <c r="X368" s="2"/>
      <c r="Y368" s="2"/>
      <c r="Z368" s="2"/>
    </row>
    <row r="369" spans="1:26" ht="15.75" customHeight="1" x14ac:dyDescent="0.2">
      <c r="A369" s="11" t="s">
        <v>447</v>
      </c>
      <c r="B369" s="11" t="s">
        <v>17</v>
      </c>
      <c r="C369" s="11" t="s">
        <v>123</v>
      </c>
      <c r="D369" s="11" t="s">
        <v>283</v>
      </c>
      <c r="E369" s="11" t="s">
        <v>565</v>
      </c>
      <c r="I369" s="11" t="s">
        <v>877</v>
      </c>
      <c r="J369" s="11" t="s">
        <v>878</v>
      </c>
      <c r="K369" s="11" t="s">
        <v>879</v>
      </c>
      <c r="L369" s="75" t="s">
        <v>880</v>
      </c>
      <c r="M369" s="4"/>
      <c r="N369" s="2"/>
      <c r="O369" s="4"/>
      <c r="P369" s="2"/>
      <c r="Q369" s="2"/>
      <c r="R369" s="4"/>
      <c r="S369" s="2"/>
      <c r="T369" s="2"/>
      <c r="U369" s="1"/>
      <c r="V369" s="2"/>
      <c r="W369" s="2"/>
      <c r="X369" s="2"/>
      <c r="Y369" s="2"/>
      <c r="Z369" s="2"/>
    </row>
    <row r="370" spans="1:26" ht="15.75" customHeight="1" x14ac:dyDescent="0.2">
      <c r="A370" s="11" t="s">
        <v>447</v>
      </c>
      <c r="B370" s="11" t="s">
        <v>17</v>
      </c>
      <c r="C370" s="11" t="s">
        <v>88</v>
      </c>
      <c r="D370" s="11" t="s">
        <v>304</v>
      </c>
      <c r="E370" s="11" t="s">
        <v>461</v>
      </c>
      <c r="I370" s="11" t="s">
        <v>404</v>
      </c>
      <c r="J370" s="11" t="s">
        <v>532</v>
      </c>
      <c r="K370" s="11" t="s">
        <v>474</v>
      </c>
      <c r="L370" s="75" t="s">
        <v>881</v>
      </c>
      <c r="M370" s="4"/>
      <c r="N370" s="2"/>
      <c r="O370" s="4"/>
      <c r="P370" s="2"/>
      <c r="Q370" s="2"/>
      <c r="R370" s="4"/>
      <c r="S370" s="2"/>
      <c r="T370" s="2"/>
      <c r="U370" s="1"/>
      <c r="V370" s="2"/>
      <c r="W370" s="2"/>
      <c r="X370" s="2"/>
      <c r="Y370" s="2"/>
      <c r="Z370" s="2"/>
    </row>
    <row r="371" spans="1:26" ht="15.75" customHeight="1" x14ac:dyDescent="0.2">
      <c r="A371" s="11" t="s">
        <v>447</v>
      </c>
      <c r="B371" s="11" t="s">
        <v>17</v>
      </c>
      <c r="C371" s="11" t="s">
        <v>26</v>
      </c>
      <c r="D371" s="11" t="s">
        <v>395</v>
      </c>
      <c r="E371" s="11" t="s">
        <v>405</v>
      </c>
      <c r="I371" s="11" t="s">
        <v>882</v>
      </c>
      <c r="J371" s="11" t="s">
        <v>686</v>
      </c>
      <c r="K371" s="11" t="s">
        <v>883</v>
      </c>
      <c r="L371" s="75" t="s">
        <v>884</v>
      </c>
      <c r="M371" s="4"/>
      <c r="N371" s="2"/>
      <c r="O371" s="4"/>
      <c r="P371" s="2"/>
      <c r="Q371" s="2"/>
      <c r="R371" s="4"/>
      <c r="S371" s="2"/>
      <c r="T371" s="2"/>
      <c r="U371" s="1"/>
      <c r="V371" s="2"/>
      <c r="W371" s="2"/>
      <c r="X371" s="2"/>
      <c r="Y371" s="2"/>
      <c r="Z371" s="2"/>
    </row>
    <row r="372" spans="1:26" ht="15.75" customHeight="1" x14ac:dyDescent="0.2">
      <c r="A372" s="11" t="s">
        <v>277</v>
      </c>
      <c r="B372" s="11" t="s">
        <v>21</v>
      </c>
      <c r="C372" s="11" t="s">
        <v>112</v>
      </c>
      <c r="D372" s="11" t="s">
        <v>283</v>
      </c>
      <c r="E372" s="11" t="s">
        <v>283</v>
      </c>
      <c r="I372" s="11" t="s">
        <v>392</v>
      </c>
      <c r="J372" s="11" t="s">
        <v>392</v>
      </c>
      <c r="K372" s="11" t="s">
        <v>306</v>
      </c>
      <c r="L372" s="75" t="s">
        <v>873</v>
      </c>
      <c r="M372" s="4"/>
      <c r="N372" s="2"/>
      <c r="O372" s="4"/>
      <c r="P372" s="2"/>
      <c r="Q372" s="2"/>
      <c r="R372" s="4"/>
      <c r="S372" s="2"/>
      <c r="T372" s="2"/>
      <c r="U372" s="1"/>
      <c r="V372" s="2"/>
      <c r="W372" s="2"/>
      <c r="X372" s="2"/>
      <c r="Y372" s="2"/>
      <c r="Z372" s="2"/>
    </row>
    <row r="373" spans="1:26" ht="15.75" customHeight="1" x14ac:dyDescent="0.2">
      <c r="A373" s="11" t="s">
        <v>277</v>
      </c>
      <c r="B373" s="11" t="s">
        <v>17</v>
      </c>
      <c r="C373" s="11" t="s">
        <v>111</v>
      </c>
      <c r="D373" s="11" t="s">
        <v>330</v>
      </c>
      <c r="E373" s="11" t="s">
        <v>330</v>
      </c>
      <c r="I373" s="11" t="s">
        <v>299</v>
      </c>
      <c r="J373" s="11" t="s">
        <v>299</v>
      </c>
      <c r="K373" s="11" t="s">
        <v>283</v>
      </c>
      <c r="L373" s="75" t="s">
        <v>885</v>
      </c>
      <c r="M373" s="4"/>
      <c r="N373" s="2"/>
      <c r="O373" s="4"/>
      <c r="P373" s="2"/>
      <c r="Q373" s="2"/>
      <c r="R373" s="4"/>
      <c r="S373" s="2"/>
      <c r="T373" s="2"/>
      <c r="U373" s="1"/>
      <c r="V373" s="2"/>
      <c r="W373" s="2"/>
      <c r="X373" s="2"/>
      <c r="Y373" s="2"/>
      <c r="Z373" s="2"/>
    </row>
    <row r="374" spans="1:26" ht="15.75" customHeight="1" x14ac:dyDescent="0.2">
      <c r="M374" s="4"/>
      <c r="N374" s="2"/>
      <c r="O374" s="4"/>
      <c r="P374" s="2"/>
      <c r="Q374" s="2"/>
      <c r="R374" s="4"/>
      <c r="S374" s="2"/>
      <c r="T374" s="2"/>
      <c r="U374" s="1"/>
      <c r="V374" s="2"/>
      <c r="W374" s="2"/>
      <c r="X374" s="2"/>
      <c r="Y374" s="2"/>
      <c r="Z374" s="2"/>
    </row>
    <row r="375" spans="1:26" ht="15.75" customHeight="1" x14ac:dyDescent="0.2">
      <c r="E375" s="11" t="s">
        <v>886</v>
      </c>
      <c r="K375" s="11" t="s">
        <v>887</v>
      </c>
      <c r="L375" s="75" t="s">
        <v>888</v>
      </c>
      <c r="M375" s="4"/>
      <c r="N375" s="2"/>
      <c r="O375" s="4"/>
      <c r="P375" s="2"/>
      <c r="Q375" s="2"/>
      <c r="R375" s="4"/>
      <c r="S375" s="2"/>
      <c r="T375" s="2"/>
      <c r="U375" s="1"/>
      <c r="V375" s="2"/>
      <c r="W375" s="2"/>
      <c r="X375" s="2"/>
      <c r="Y375" s="2"/>
      <c r="Z375" s="2"/>
    </row>
    <row r="376" spans="1:26" ht="15.75" customHeight="1" x14ac:dyDescent="0.2">
      <c r="M376" s="4"/>
      <c r="N376" s="2"/>
      <c r="O376" s="4"/>
      <c r="P376" s="2"/>
      <c r="Q376" s="2"/>
      <c r="R376" s="4"/>
      <c r="S376" s="2"/>
      <c r="T376" s="2"/>
      <c r="U376" s="1"/>
      <c r="V376" s="2"/>
      <c r="W376" s="2"/>
      <c r="X376" s="2"/>
      <c r="Y376" s="2"/>
      <c r="Z376" s="2"/>
    </row>
    <row r="377" spans="1:26" ht="15.75" customHeight="1" x14ac:dyDescent="0.2">
      <c r="M377" s="4"/>
      <c r="N377" s="2"/>
      <c r="O377" s="4"/>
      <c r="P377" s="2"/>
      <c r="Q377" s="2"/>
      <c r="R377" s="4"/>
      <c r="S377" s="2"/>
      <c r="T377" s="2"/>
      <c r="U377" s="1"/>
      <c r="V377" s="2"/>
      <c r="W377" s="2"/>
      <c r="X377" s="2"/>
      <c r="Y377" s="2"/>
      <c r="Z377" s="2"/>
    </row>
    <row r="378" spans="1:26" ht="15.75" customHeight="1" x14ac:dyDescent="0.2">
      <c r="A378" s="11" t="s">
        <v>149</v>
      </c>
      <c r="D378" s="11" t="s">
        <v>109</v>
      </c>
      <c r="E378" s="11" t="s">
        <v>268</v>
      </c>
      <c r="F378" s="24"/>
      <c r="M378" s="4"/>
      <c r="N378" s="2"/>
      <c r="O378" s="4"/>
      <c r="P378" s="2"/>
      <c r="Q378" s="2"/>
      <c r="R378" s="4"/>
      <c r="S378" s="2"/>
      <c r="T378" s="2"/>
      <c r="U378" s="1"/>
      <c r="V378" s="2"/>
      <c r="W378" s="2"/>
      <c r="X378" s="2"/>
      <c r="Y378" s="2"/>
      <c r="Z378" s="2"/>
    </row>
    <row r="379" spans="1:26" ht="15.75" customHeight="1" x14ac:dyDescent="0.2">
      <c r="M379" s="4"/>
      <c r="N379" s="2"/>
      <c r="O379" s="4"/>
      <c r="P379" s="2"/>
      <c r="Q379" s="2"/>
      <c r="R379" s="4"/>
      <c r="S379" s="2"/>
      <c r="T379" s="2"/>
      <c r="U379" s="1"/>
      <c r="V379" s="2"/>
      <c r="W379" s="2"/>
      <c r="X379" s="2"/>
      <c r="Y379" s="2"/>
      <c r="Z379" s="2"/>
    </row>
    <row r="380" spans="1:26" ht="15.75" customHeight="1" x14ac:dyDescent="0.2">
      <c r="A380" s="11" t="s">
        <v>3</v>
      </c>
      <c r="B380" s="11" t="s">
        <v>4</v>
      </c>
      <c r="C380" s="11" t="s">
        <v>5</v>
      </c>
      <c r="D380" s="11" t="s">
        <v>6</v>
      </c>
      <c r="E380" s="11" t="s">
        <v>7</v>
      </c>
      <c r="I380" s="11" t="s">
        <v>6</v>
      </c>
      <c r="J380" s="11" t="s">
        <v>7</v>
      </c>
      <c r="K380" s="11" t="s">
        <v>10</v>
      </c>
      <c r="M380" s="4"/>
      <c r="N380" s="2"/>
      <c r="O380" s="4"/>
      <c r="P380" s="2"/>
      <c r="Q380" s="2"/>
      <c r="R380" s="4"/>
      <c r="S380" s="2"/>
      <c r="T380" s="2"/>
      <c r="U380" s="1"/>
      <c r="V380" s="2"/>
      <c r="W380" s="2"/>
      <c r="X380" s="2"/>
      <c r="Y380" s="2"/>
      <c r="Z380" s="2"/>
    </row>
    <row r="381" spans="1:26" ht="15.75" customHeight="1" x14ac:dyDescent="0.2">
      <c r="A381" s="11" t="s">
        <v>411</v>
      </c>
      <c r="B381" s="11" t="s">
        <v>15</v>
      </c>
      <c r="C381" s="11" t="s">
        <v>27</v>
      </c>
      <c r="D381" s="11" t="s">
        <v>346</v>
      </c>
      <c r="E381" s="11" t="s">
        <v>823</v>
      </c>
      <c r="I381" s="11" t="s">
        <v>361</v>
      </c>
      <c r="J381" s="11" t="s">
        <v>825</v>
      </c>
      <c r="K381" s="11" t="s">
        <v>889</v>
      </c>
      <c r="L381" s="75" t="s">
        <v>861</v>
      </c>
      <c r="M381" s="4"/>
      <c r="N381" s="2"/>
      <c r="O381" s="4"/>
      <c r="P381" s="2"/>
      <c r="Q381" s="2"/>
      <c r="R381" s="4"/>
      <c r="S381" s="2"/>
      <c r="T381" s="2"/>
      <c r="U381" s="1"/>
      <c r="V381" s="2"/>
      <c r="W381" s="2"/>
      <c r="X381" s="2"/>
      <c r="Y381" s="2"/>
      <c r="Z381" s="2"/>
    </row>
    <row r="382" spans="1:26" ht="15.75" customHeight="1" x14ac:dyDescent="0.2">
      <c r="A382" s="11" t="s">
        <v>277</v>
      </c>
      <c r="B382" s="11" t="s">
        <v>15</v>
      </c>
      <c r="C382" s="11" t="s">
        <v>56</v>
      </c>
      <c r="D382" s="11" t="s">
        <v>487</v>
      </c>
      <c r="E382" s="11" t="s">
        <v>487</v>
      </c>
      <c r="I382" s="11" t="s">
        <v>284</v>
      </c>
      <c r="J382" s="11" t="s">
        <v>284</v>
      </c>
      <c r="K382" s="11" t="s">
        <v>283</v>
      </c>
      <c r="L382" s="75" t="s">
        <v>868</v>
      </c>
      <c r="M382" s="4"/>
      <c r="N382" s="2"/>
      <c r="O382" s="4"/>
      <c r="P382" s="2"/>
      <c r="Q382" s="2"/>
      <c r="R382" s="4"/>
      <c r="S382" s="2"/>
      <c r="T382" s="2"/>
      <c r="U382" s="1"/>
      <c r="V382" s="2"/>
      <c r="W382" s="2"/>
      <c r="X382" s="2"/>
      <c r="Y382" s="2"/>
      <c r="Z382" s="2"/>
    </row>
    <row r="383" spans="1:26" ht="15.75" customHeight="1" x14ac:dyDescent="0.2">
      <c r="A383" s="11" t="s">
        <v>341</v>
      </c>
      <c r="B383" s="11" t="s">
        <v>23</v>
      </c>
      <c r="C383" s="11" t="s">
        <v>110</v>
      </c>
      <c r="D383" s="11" t="s">
        <v>557</v>
      </c>
      <c r="E383" s="11" t="s">
        <v>332</v>
      </c>
      <c r="I383" s="11" t="s">
        <v>487</v>
      </c>
      <c r="J383" s="11" t="s">
        <v>438</v>
      </c>
      <c r="K383" s="11" t="s">
        <v>366</v>
      </c>
      <c r="L383" s="75" t="s">
        <v>860</v>
      </c>
      <c r="M383" s="4"/>
      <c r="N383" s="2"/>
      <c r="O383" s="4"/>
      <c r="P383" s="2"/>
      <c r="Q383" s="2"/>
      <c r="R383" s="4"/>
      <c r="S383" s="2"/>
      <c r="T383" s="2"/>
      <c r="U383" s="1"/>
      <c r="V383" s="2"/>
      <c r="W383" s="2"/>
      <c r="X383" s="2"/>
      <c r="Y383" s="2"/>
      <c r="Z383" s="2"/>
    </row>
    <row r="384" spans="1:26" ht="15.75" customHeight="1" x14ac:dyDescent="0.2">
      <c r="A384" s="11" t="s">
        <v>277</v>
      </c>
      <c r="B384" s="11" t="s">
        <v>23</v>
      </c>
      <c r="C384" s="11" t="s">
        <v>46</v>
      </c>
      <c r="D384" s="11" t="s">
        <v>284</v>
      </c>
      <c r="E384" s="11" t="s">
        <v>284</v>
      </c>
      <c r="I384" s="11" t="s">
        <v>436</v>
      </c>
      <c r="J384" s="11" t="s">
        <v>436</v>
      </c>
      <c r="K384" s="11" t="s">
        <v>283</v>
      </c>
      <c r="L384" s="75" t="s">
        <v>860</v>
      </c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A385" s="11" t="s">
        <v>277</v>
      </c>
      <c r="B385" s="11" t="s">
        <v>21</v>
      </c>
      <c r="C385" s="11" t="s">
        <v>151</v>
      </c>
      <c r="D385" s="11" t="s">
        <v>283</v>
      </c>
      <c r="E385" s="11" t="s">
        <v>283</v>
      </c>
      <c r="I385" s="11" t="s">
        <v>392</v>
      </c>
      <c r="J385" s="11" t="s">
        <v>392</v>
      </c>
      <c r="K385" s="11" t="s">
        <v>306</v>
      </c>
      <c r="L385" s="75" t="s">
        <v>873</v>
      </c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11" t="s">
        <v>341</v>
      </c>
      <c r="B386" s="11" t="s">
        <v>23</v>
      </c>
      <c r="C386" s="11" t="s">
        <v>88</v>
      </c>
      <c r="D386" s="11" t="s">
        <v>353</v>
      </c>
      <c r="E386" s="11" t="s">
        <v>770</v>
      </c>
      <c r="I386" s="11" t="s">
        <v>557</v>
      </c>
      <c r="J386" s="11" t="s">
        <v>332</v>
      </c>
      <c r="K386" s="11" t="s">
        <v>317</v>
      </c>
      <c r="L386" s="75" t="s">
        <v>890</v>
      </c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E388" s="11" t="s">
        <v>891</v>
      </c>
      <c r="K388" s="11" t="s">
        <v>343</v>
      </c>
      <c r="L388" s="75" t="s">
        <v>892</v>
      </c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M390" s="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1" t="s">
        <v>131</v>
      </c>
      <c r="D391" s="11" t="s">
        <v>893</v>
      </c>
      <c r="E391" s="11" t="s">
        <v>268</v>
      </c>
      <c r="F391" s="24"/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M392" s="4"/>
      <c r="N392" s="2"/>
      <c r="O392" s="4"/>
      <c r="P392" s="2"/>
      <c r="Q392" s="2"/>
      <c r="R392" s="4"/>
      <c r="S392" s="2"/>
      <c r="T392" s="2"/>
      <c r="U392" s="1"/>
      <c r="V392" s="2"/>
      <c r="W392" s="2"/>
      <c r="X392" s="2"/>
      <c r="Y392" s="2"/>
      <c r="Z392" s="2"/>
    </row>
    <row r="393" spans="1:26" ht="15.75" customHeight="1" x14ac:dyDescent="0.2">
      <c r="A393" s="11" t="s">
        <v>3</v>
      </c>
      <c r="B393" s="11" t="s">
        <v>4</v>
      </c>
      <c r="C393" s="11" t="s">
        <v>5</v>
      </c>
      <c r="D393" s="11" t="s">
        <v>6</v>
      </c>
      <c r="E393" s="11" t="s">
        <v>7</v>
      </c>
      <c r="I393" s="11" t="s">
        <v>6</v>
      </c>
      <c r="J393" s="11" t="s">
        <v>7</v>
      </c>
      <c r="K393" s="11" t="s">
        <v>10</v>
      </c>
      <c r="M393" s="4"/>
      <c r="N393" s="2"/>
      <c r="O393" s="4"/>
      <c r="P393" s="2"/>
      <c r="Q393" s="2"/>
      <c r="R393" s="4"/>
      <c r="S393" s="2"/>
      <c r="T393" s="2"/>
      <c r="U393" s="1"/>
      <c r="V393" s="2"/>
      <c r="W393" s="2"/>
      <c r="X393" s="2"/>
      <c r="Y393" s="2"/>
      <c r="Z393" s="2"/>
    </row>
    <row r="394" spans="1:26" ht="15.75" customHeight="1" x14ac:dyDescent="0.2">
      <c r="A394" s="11" t="s">
        <v>290</v>
      </c>
      <c r="B394" s="11" t="s">
        <v>21</v>
      </c>
      <c r="C394" s="11" t="s">
        <v>133</v>
      </c>
      <c r="D394" s="11" t="s">
        <v>392</v>
      </c>
      <c r="E394" s="11" t="s">
        <v>317</v>
      </c>
      <c r="I394" s="11" t="s">
        <v>306</v>
      </c>
      <c r="J394" s="11" t="s">
        <v>392</v>
      </c>
      <c r="K394" s="11" t="s">
        <v>392</v>
      </c>
      <c r="L394" s="75" t="s">
        <v>894</v>
      </c>
      <c r="M394" s="4"/>
      <c r="N394" s="2"/>
      <c r="O394" s="4"/>
      <c r="P394" s="2"/>
      <c r="Q394" s="2"/>
      <c r="R394" s="4"/>
      <c r="S394" s="2"/>
      <c r="T394" s="2"/>
      <c r="U394" s="1"/>
      <c r="V394" s="2"/>
      <c r="W394" s="2"/>
      <c r="X394" s="2"/>
      <c r="Y394" s="2"/>
      <c r="Z394" s="2"/>
    </row>
    <row r="395" spans="1:26" ht="15.75" customHeight="1" x14ac:dyDescent="0.2">
      <c r="A395" s="11" t="s">
        <v>290</v>
      </c>
      <c r="B395" s="11" t="s">
        <v>17</v>
      </c>
      <c r="C395" s="11" t="s">
        <v>30</v>
      </c>
      <c r="D395" s="11" t="s">
        <v>326</v>
      </c>
      <c r="E395" s="11" t="s">
        <v>304</v>
      </c>
      <c r="I395" s="11" t="s">
        <v>514</v>
      </c>
      <c r="J395" s="11" t="s">
        <v>895</v>
      </c>
      <c r="K395" s="11" t="s">
        <v>896</v>
      </c>
      <c r="L395" s="75" t="s">
        <v>897</v>
      </c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A396" s="11" t="s">
        <v>290</v>
      </c>
      <c r="B396" s="11" t="s">
        <v>17</v>
      </c>
      <c r="C396" s="11" t="s">
        <v>113</v>
      </c>
      <c r="D396" s="11" t="s">
        <v>317</v>
      </c>
      <c r="E396" s="11" t="s">
        <v>299</v>
      </c>
      <c r="I396" s="11" t="s">
        <v>366</v>
      </c>
      <c r="J396" s="11" t="s">
        <v>390</v>
      </c>
      <c r="K396" s="11" t="s">
        <v>283</v>
      </c>
      <c r="L396" s="75" t="s">
        <v>874</v>
      </c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11" t="s">
        <v>290</v>
      </c>
      <c r="B397" s="11" t="s">
        <v>17</v>
      </c>
      <c r="C397" s="11" t="s">
        <v>18</v>
      </c>
      <c r="D397" s="11" t="s">
        <v>303</v>
      </c>
      <c r="E397" s="11" t="s">
        <v>291</v>
      </c>
      <c r="I397" s="11" t="s">
        <v>306</v>
      </c>
      <c r="J397" s="11" t="s">
        <v>392</v>
      </c>
      <c r="K397" s="11" t="s">
        <v>326</v>
      </c>
      <c r="L397" s="75" t="s">
        <v>874</v>
      </c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1" t="s">
        <v>772</v>
      </c>
      <c r="B398" s="11" t="s">
        <v>17</v>
      </c>
      <c r="C398" s="11" t="s">
        <v>138</v>
      </c>
      <c r="D398" s="11" t="s">
        <v>284</v>
      </c>
      <c r="E398" s="11" t="s">
        <v>283</v>
      </c>
      <c r="I398" s="11" t="s">
        <v>299</v>
      </c>
      <c r="J398" s="11" t="s">
        <v>392</v>
      </c>
      <c r="K398" s="11" t="s">
        <v>306</v>
      </c>
      <c r="L398" s="75" t="s">
        <v>873</v>
      </c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1" t="s">
        <v>277</v>
      </c>
      <c r="B399" s="11" t="s">
        <v>100</v>
      </c>
      <c r="C399" s="11" t="s">
        <v>155</v>
      </c>
      <c r="D399" s="11" t="s">
        <v>327</v>
      </c>
      <c r="E399" s="11" t="s">
        <v>327</v>
      </c>
      <c r="I399" s="11" t="s">
        <v>270</v>
      </c>
      <c r="J399" s="11" t="s">
        <v>270</v>
      </c>
      <c r="K399" s="11" t="s">
        <v>273</v>
      </c>
      <c r="L399" s="75" t="s">
        <v>860</v>
      </c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1" t="s">
        <v>277</v>
      </c>
      <c r="B400" s="11" t="s">
        <v>100</v>
      </c>
      <c r="C400" s="11" t="s">
        <v>134</v>
      </c>
      <c r="D400" s="11" t="s">
        <v>327</v>
      </c>
      <c r="E400" s="11" t="s">
        <v>327</v>
      </c>
      <c r="I400" s="11" t="s">
        <v>270</v>
      </c>
      <c r="J400" s="11" t="s">
        <v>270</v>
      </c>
      <c r="K400" s="11" t="s">
        <v>273</v>
      </c>
      <c r="L400" s="75" t="s">
        <v>860</v>
      </c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1" t="s">
        <v>341</v>
      </c>
      <c r="B401" s="11" t="s">
        <v>17</v>
      </c>
      <c r="C401" s="11" t="s">
        <v>137</v>
      </c>
      <c r="D401" s="11" t="s">
        <v>284</v>
      </c>
      <c r="E401" s="11" t="s">
        <v>327</v>
      </c>
      <c r="I401" s="11" t="s">
        <v>299</v>
      </c>
      <c r="J401" s="11" t="s">
        <v>317</v>
      </c>
      <c r="K401" s="11" t="s">
        <v>392</v>
      </c>
      <c r="L401" s="75" t="s">
        <v>873</v>
      </c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E403" s="11" t="s">
        <v>898</v>
      </c>
      <c r="K403" s="11" t="s">
        <v>899</v>
      </c>
      <c r="L403" s="75" t="s">
        <v>900</v>
      </c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1" t="s">
        <v>214</v>
      </c>
      <c r="D406" s="11" t="s">
        <v>158</v>
      </c>
      <c r="E406" s="11" t="s">
        <v>268</v>
      </c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1" t="s">
        <v>3</v>
      </c>
      <c r="B408" s="11" t="s">
        <v>4</v>
      </c>
      <c r="C408" s="11" t="s">
        <v>5</v>
      </c>
      <c r="D408" s="11" t="s">
        <v>6</v>
      </c>
      <c r="E408" s="11" t="s">
        <v>7</v>
      </c>
      <c r="I408" s="11" t="s">
        <v>6</v>
      </c>
      <c r="J408" s="11" t="s">
        <v>7</v>
      </c>
      <c r="K408" s="11" t="s">
        <v>10</v>
      </c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1" t="s">
        <v>502</v>
      </c>
      <c r="B409" s="11" t="s">
        <v>17</v>
      </c>
      <c r="C409" s="11" t="s">
        <v>39</v>
      </c>
      <c r="D409" s="11" t="s">
        <v>865</v>
      </c>
      <c r="E409" s="11" t="s">
        <v>901</v>
      </c>
      <c r="I409" s="11" t="s">
        <v>404</v>
      </c>
      <c r="J409" s="11" t="s">
        <v>790</v>
      </c>
      <c r="K409" s="11" t="s">
        <v>902</v>
      </c>
      <c r="L409" s="75" t="s">
        <v>867</v>
      </c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1" t="s">
        <v>341</v>
      </c>
      <c r="B410" s="11" t="s">
        <v>23</v>
      </c>
      <c r="C410" s="11" t="s">
        <v>110</v>
      </c>
      <c r="D410" s="11" t="s">
        <v>356</v>
      </c>
      <c r="E410" s="11" t="s">
        <v>330</v>
      </c>
      <c r="I410" s="11" t="s">
        <v>487</v>
      </c>
      <c r="J410" s="11" t="s">
        <v>438</v>
      </c>
      <c r="K410" s="11" t="s">
        <v>369</v>
      </c>
      <c r="L410" s="75" t="s">
        <v>903</v>
      </c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1" t="s">
        <v>277</v>
      </c>
      <c r="B411" s="11" t="s">
        <v>23</v>
      </c>
      <c r="C411" s="11" t="s">
        <v>87</v>
      </c>
      <c r="D411" s="11" t="s">
        <v>512</v>
      </c>
      <c r="E411" s="11" t="s">
        <v>512</v>
      </c>
      <c r="I411" s="11" t="s">
        <v>350</v>
      </c>
      <c r="J411" s="11" t="s">
        <v>350</v>
      </c>
      <c r="K411" s="11" t="s">
        <v>299</v>
      </c>
      <c r="L411" s="75" t="s">
        <v>904</v>
      </c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1" t="s">
        <v>447</v>
      </c>
      <c r="B412" s="11" t="s">
        <v>17</v>
      </c>
      <c r="C412" s="11" t="s">
        <v>56</v>
      </c>
      <c r="D412" s="11" t="s">
        <v>326</v>
      </c>
      <c r="E412" s="11" t="s">
        <v>450</v>
      </c>
      <c r="I412" s="11" t="s">
        <v>607</v>
      </c>
      <c r="J412" s="11" t="s">
        <v>335</v>
      </c>
      <c r="K412" s="11" t="s">
        <v>304</v>
      </c>
      <c r="L412" s="75" t="s">
        <v>873</v>
      </c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E414" s="11" t="s">
        <v>905</v>
      </c>
      <c r="K414" s="11" t="s">
        <v>906</v>
      </c>
      <c r="L414" s="75" t="s">
        <v>907</v>
      </c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1" t="s">
        <v>222</v>
      </c>
      <c r="D419" s="11" t="s">
        <v>908</v>
      </c>
      <c r="E419" s="11" t="s">
        <v>268</v>
      </c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1" t="s">
        <v>3</v>
      </c>
      <c r="B421" s="11" t="s">
        <v>4</v>
      </c>
      <c r="C421" s="11" t="s">
        <v>5</v>
      </c>
      <c r="D421" s="11" t="s">
        <v>6</v>
      </c>
      <c r="E421" s="11" t="s">
        <v>7</v>
      </c>
      <c r="I421" s="11" t="s">
        <v>6</v>
      </c>
      <c r="J421" s="11" t="s">
        <v>7</v>
      </c>
      <c r="K421" s="11" t="s">
        <v>10</v>
      </c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1" t="s">
        <v>290</v>
      </c>
      <c r="B422" s="11" t="s">
        <v>17</v>
      </c>
      <c r="C422" s="11" t="s">
        <v>93</v>
      </c>
      <c r="D422" s="11" t="s">
        <v>283</v>
      </c>
      <c r="E422" s="11" t="s">
        <v>327</v>
      </c>
      <c r="I422" s="11" t="s">
        <v>612</v>
      </c>
      <c r="J422" s="11" t="s">
        <v>909</v>
      </c>
      <c r="K422" s="11" t="s">
        <v>910</v>
      </c>
      <c r="L422" s="75" t="s">
        <v>911</v>
      </c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1" t="s">
        <v>411</v>
      </c>
      <c r="B423" s="11" t="s">
        <v>17</v>
      </c>
      <c r="C423" s="11" t="s">
        <v>79</v>
      </c>
      <c r="D423" s="11" t="s">
        <v>317</v>
      </c>
      <c r="E423" s="11" t="s">
        <v>284</v>
      </c>
      <c r="I423" s="11" t="s">
        <v>392</v>
      </c>
      <c r="J423" s="11" t="s">
        <v>327</v>
      </c>
      <c r="K423" s="11" t="s">
        <v>327</v>
      </c>
      <c r="L423" s="75" t="s">
        <v>894</v>
      </c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1" t="s">
        <v>277</v>
      </c>
      <c r="B424" s="11" t="s">
        <v>15</v>
      </c>
      <c r="C424" s="11" t="s">
        <v>40</v>
      </c>
      <c r="D424" s="11" t="s">
        <v>284</v>
      </c>
      <c r="E424" s="11" t="s">
        <v>284</v>
      </c>
      <c r="I424" s="11" t="s">
        <v>408</v>
      </c>
      <c r="J424" s="11" t="s">
        <v>408</v>
      </c>
      <c r="K424" s="11" t="s">
        <v>390</v>
      </c>
      <c r="L424" s="75" t="s">
        <v>912</v>
      </c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1" t="s">
        <v>502</v>
      </c>
      <c r="B425" s="11" t="s">
        <v>21</v>
      </c>
      <c r="C425" s="11" t="s">
        <v>46</v>
      </c>
      <c r="D425" s="11" t="s">
        <v>495</v>
      </c>
      <c r="E425" s="11" t="s">
        <v>369</v>
      </c>
      <c r="I425" s="11" t="s">
        <v>433</v>
      </c>
      <c r="J425" s="11" t="s">
        <v>913</v>
      </c>
      <c r="K425" s="11" t="s">
        <v>773</v>
      </c>
      <c r="L425" s="75" t="s">
        <v>860</v>
      </c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1" t="s">
        <v>290</v>
      </c>
      <c r="B426" s="11" t="s">
        <v>23</v>
      </c>
      <c r="C426" s="11" t="s">
        <v>914</v>
      </c>
      <c r="D426" s="11" t="s">
        <v>563</v>
      </c>
      <c r="E426" s="11" t="s">
        <v>915</v>
      </c>
      <c r="I426" s="11" t="s">
        <v>346</v>
      </c>
      <c r="J426" s="11" t="s">
        <v>345</v>
      </c>
      <c r="K426" s="11" t="s">
        <v>392</v>
      </c>
      <c r="L426" s="75" t="s">
        <v>916</v>
      </c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1" t="s">
        <v>277</v>
      </c>
      <c r="B427" s="11" t="s">
        <v>21</v>
      </c>
      <c r="C427" s="11" t="s">
        <v>112</v>
      </c>
      <c r="D427" s="11" t="s">
        <v>283</v>
      </c>
      <c r="E427" s="11" t="s">
        <v>283</v>
      </c>
      <c r="I427" s="11" t="s">
        <v>392</v>
      </c>
      <c r="J427" s="11" t="s">
        <v>392</v>
      </c>
      <c r="K427" s="11" t="s">
        <v>306</v>
      </c>
      <c r="L427" s="75" t="s">
        <v>873</v>
      </c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E429" s="11" t="s">
        <v>917</v>
      </c>
      <c r="K429" s="11" t="s">
        <v>918</v>
      </c>
      <c r="L429" s="75" t="s">
        <v>919</v>
      </c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1" t="s">
        <v>229</v>
      </c>
      <c r="C433" s="24" t="s">
        <v>1</v>
      </c>
      <c r="D433" s="11" t="s">
        <v>268</v>
      </c>
      <c r="G433" s="11" t="s">
        <v>2</v>
      </c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M434" s="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1" t="s">
        <v>3</v>
      </c>
      <c r="B435" s="11" t="s">
        <v>4</v>
      </c>
      <c r="C435" s="11" t="s">
        <v>5</v>
      </c>
      <c r="D435" s="11" t="s">
        <v>6</v>
      </c>
      <c r="E435" s="11" t="s">
        <v>7</v>
      </c>
      <c r="F435" s="11" t="s">
        <v>8</v>
      </c>
      <c r="I435" s="11" t="s">
        <v>9</v>
      </c>
      <c r="J435" s="11" t="s">
        <v>7</v>
      </c>
      <c r="K435" s="11" t="s">
        <v>10</v>
      </c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1" t="s">
        <v>282</v>
      </c>
      <c r="B436" s="11" t="s">
        <v>23</v>
      </c>
      <c r="C436" s="11" t="s">
        <v>127</v>
      </c>
      <c r="D436" s="11" t="s">
        <v>699</v>
      </c>
      <c r="E436" s="11" t="s">
        <v>920</v>
      </c>
      <c r="F436" s="11" t="s">
        <v>921</v>
      </c>
      <c r="I436" s="11" t="s">
        <v>346</v>
      </c>
      <c r="J436" s="11" t="s">
        <v>724</v>
      </c>
      <c r="K436" s="11" t="s">
        <v>922</v>
      </c>
      <c r="L436" s="75" t="s">
        <v>923</v>
      </c>
      <c r="M436" s="4"/>
      <c r="N436" s="2"/>
      <c r="O436" s="4"/>
      <c r="P436" s="2"/>
      <c r="Q436" s="2"/>
      <c r="R436" s="4"/>
      <c r="S436" s="2"/>
      <c r="T436" s="2"/>
      <c r="U436" s="1"/>
      <c r="V436" s="2"/>
      <c r="W436" s="2"/>
      <c r="X436" s="2"/>
      <c r="Y436" s="2"/>
      <c r="Z436" s="2"/>
    </row>
    <row r="437" spans="1:26" ht="15.75" customHeight="1" x14ac:dyDescent="0.2">
      <c r="A437" s="11" t="s">
        <v>642</v>
      </c>
      <c r="B437" s="11" t="s">
        <v>17</v>
      </c>
      <c r="C437" s="11" t="s">
        <v>81</v>
      </c>
      <c r="D437" s="11" t="s">
        <v>303</v>
      </c>
      <c r="E437" s="11" t="s">
        <v>924</v>
      </c>
      <c r="F437" s="11" t="s">
        <v>925</v>
      </c>
      <c r="I437" s="11" t="s">
        <v>926</v>
      </c>
      <c r="J437" s="11" t="s">
        <v>927</v>
      </c>
      <c r="K437" s="11" t="s">
        <v>928</v>
      </c>
      <c r="L437" s="75" t="s">
        <v>929</v>
      </c>
      <c r="M437" s="4"/>
      <c r="N437" s="2"/>
      <c r="O437" s="4"/>
      <c r="P437" s="2"/>
      <c r="Q437" s="2"/>
      <c r="R437" s="4"/>
      <c r="S437" s="2"/>
      <c r="T437" s="2"/>
      <c r="U437" s="1"/>
      <c r="V437" s="2"/>
      <c r="W437" s="2"/>
      <c r="X437" s="2"/>
      <c r="Y437" s="2"/>
      <c r="Z437" s="2"/>
    </row>
    <row r="438" spans="1:26" ht="15.75" customHeight="1" x14ac:dyDescent="0.2">
      <c r="A438" s="11" t="s">
        <v>277</v>
      </c>
      <c r="B438" s="11" t="s">
        <v>17</v>
      </c>
      <c r="C438" s="11" t="s">
        <v>87</v>
      </c>
      <c r="D438" s="11" t="s">
        <v>283</v>
      </c>
      <c r="E438" s="11" t="s">
        <v>283</v>
      </c>
      <c r="F438" s="11" t="s">
        <v>365</v>
      </c>
      <c r="I438" s="11" t="s">
        <v>286</v>
      </c>
      <c r="J438" s="11" t="s">
        <v>286</v>
      </c>
      <c r="K438" s="11" t="s">
        <v>930</v>
      </c>
      <c r="L438" s="75" t="s">
        <v>289</v>
      </c>
      <c r="M438" s="4"/>
      <c r="N438" s="2"/>
      <c r="O438" s="4"/>
      <c r="P438" s="2"/>
      <c r="Q438" s="2"/>
      <c r="R438" s="4"/>
      <c r="S438" s="2"/>
      <c r="T438" s="2"/>
      <c r="U438" s="1"/>
      <c r="V438" s="2"/>
      <c r="W438" s="2"/>
      <c r="X438" s="2"/>
      <c r="Y438" s="2"/>
      <c r="Z438" s="2"/>
    </row>
    <row r="439" spans="1:26" ht="15.75" customHeight="1" x14ac:dyDescent="0.2">
      <c r="A439" s="11" t="s">
        <v>282</v>
      </c>
      <c r="B439" s="11" t="s">
        <v>17</v>
      </c>
      <c r="C439" s="11" t="s">
        <v>88</v>
      </c>
      <c r="D439" s="11" t="s">
        <v>426</v>
      </c>
      <c r="E439" s="11" t="s">
        <v>534</v>
      </c>
      <c r="F439" s="11" t="s">
        <v>535</v>
      </c>
      <c r="I439" s="11" t="s">
        <v>404</v>
      </c>
      <c r="J439" s="11" t="s">
        <v>869</v>
      </c>
      <c r="K439" s="11" t="s">
        <v>931</v>
      </c>
      <c r="L439" s="75" t="s">
        <v>848</v>
      </c>
      <c r="M439" s="4"/>
      <c r="N439" s="2"/>
      <c r="O439" s="4"/>
      <c r="P439" s="2"/>
      <c r="Q439" s="2"/>
      <c r="R439" s="4"/>
      <c r="S439" s="2"/>
      <c r="T439" s="2"/>
      <c r="U439" s="1"/>
      <c r="V439" s="2"/>
      <c r="W439" s="2"/>
      <c r="X439" s="2"/>
      <c r="Y439" s="2"/>
      <c r="Z439" s="2"/>
    </row>
    <row r="440" spans="1:26" ht="15.75" customHeight="1" x14ac:dyDescent="0.2">
      <c r="A440" s="11" t="s">
        <v>282</v>
      </c>
      <c r="B440" s="11" t="s">
        <v>4</v>
      </c>
      <c r="C440" s="11" t="s">
        <v>65</v>
      </c>
      <c r="D440" s="11" t="s">
        <v>303</v>
      </c>
      <c r="E440" s="11" t="s">
        <v>292</v>
      </c>
      <c r="F440" s="11" t="s">
        <v>293</v>
      </c>
      <c r="I440" s="11" t="s">
        <v>609</v>
      </c>
      <c r="J440" s="11" t="s">
        <v>390</v>
      </c>
      <c r="K440" s="11" t="s">
        <v>610</v>
      </c>
      <c r="L440" s="75" t="s">
        <v>611</v>
      </c>
      <c r="M440" s="4"/>
      <c r="N440" s="2"/>
      <c r="O440" s="4"/>
      <c r="P440" s="2"/>
      <c r="Q440" s="2"/>
      <c r="R440" s="4"/>
      <c r="S440" s="2"/>
      <c r="T440" s="2"/>
      <c r="U440" s="1"/>
      <c r="V440" s="2"/>
      <c r="W440" s="2"/>
      <c r="X440" s="2"/>
      <c r="Y440" s="2"/>
      <c r="Z440" s="2"/>
    </row>
    <row r="441" spans="1:26" ht="15.75" customHeight="1" x14ac:dyDescent="0.2">
      <c r="A441" s="11" t="s">
        <v>843</v>
      </c>
      <c r="B441" s="11" t="s">
        <v>21</v>
      </c>
      <c r="C441" s="11" t="s">
        <v>29</v>
      </c>
      <c r="D441" s="11" t="s">
        <v>317</v>
      </c>
      <c r="E441" s="11" t="s">
        <v>932</v>
      </c>
      <c r="F441" s="11" t="s">
        <v>933</v>
      </c>
      <c r="I441" s="11" t="s">
        <v>273</v>
      </c>
      <c r="J441" s="11" t="s">
        <v>934</v>
      </c>
      <c r="K441" s="11" t="s">
        <v>935</v>
      </c>
      <c r="L441" s="75" t="s">
        <v>936</v>
      </c>
      <c r="M441" s="4"/>
      <c r="N441" s="2"/>
      <c r="O441" s="4"/>
      <c r="P441" s="2"/>
      <c r="Q441" s="2"/>
      <c r="R441" s="4"/>
      <c r="S441" s="2"/>
      <c r="T441" s="2"/>
      <c r="U441" s="1"/>
      <c r="V441" s="2"/>
      <c r="W441" s="2"/>
      <c r="X441" s="2"/>
      <c r="Y441" s="2"/>
      <c r="Z441" s="2"/>
    </row>
    <row r="442" spans="1:26" ht="15.75" customHeight="1" x14ac:dyDescent="0.2">
      <c r="A442" s="11" t="s">
        <v>290</v>
      </c>
      <c r="B442" s="11" t="s">
        <v>17</v>
      </c>
      <c r="C442" s="11" t="s">
        <v>93</v>
      </c>
      <c r="D442" s="11" t="s">
        <v>283</v>
      </c>
      <c r="E442" s="11" t="s">
        <v>327</v>
      </c>
      <c r="F442" s="11" t="s">
        <v>432</v>
      </c>
      <c r="I442" s="11" t="s">
        <v>612</v>
      </c>
      <c r="J442" s="11" t="s">
        <v>909</v>
      </c>
      <c r="K442" s="11" t="s">
        <v>937</v>
      </c>
      <c r="L442" s="75" t="s">
        <v>614</v>
      </c>
      <c r="M442" s="4"/>
      <c r="N442" s="2"/>
      <c r="O442" s="4"/>
      <c r="P442" s="2"/>
      <c r="Q442" s="2"/>
      <c r="R442" s="4"/>
      <c r="S442" s="2"/>
      <c r="T442" s="2"/>
      <c r="U442" s="1"/>
      <c r="V442" s="2"/>
      <c r="W442" s="2"/>
      <c r="X442" s="2"/>
      <c r="Y442" s="2"/>
      <c r="Z442" s="2"/>
    </row>
    <row r="443" spans="1:26" ht="15.75" customHeight="1" x14ac:dyDescent="0.2">
      <c r="A443" s="11" t="s">
        <v>290</v>
      </c>
      <c r="B443" s="11" t="s">
        <v>21</v>
      </c>
      <c r="C443" s="11" t="s">
        <v>46</v>
      </c>
      <c r="D443" s="11" t="s">
        <v>495</v>
      </c>
      <c r="E443" s="11" t="s">
        <v>306</v>
      </c>
      <c r="F443" s="11" t="s">
        <v>603</v>
      </c>
      <c r="I443" s="11" t="s">
        <v>433</v>
      </c>
      <c r="J443" s="11" t="s">
        <v>519</v>
      </c>
      <c r="K443" s="11" t="s">
        <v>938</v>
      </c>
      <c r="L443" s="75" t="s">
        <v>492</v>
      </c>
      <c r="M443" s="4"/>
      <c r="N443" s="2"/>
      <c r="O443" s="4"/>
      <c r="P443" s="2"/>
      <c r="Q443" s="2"/>
      <c r="R443" s="4"/>
      <c r="S443" s="2"/>
      <c r="T443" s="2"/>
      <c r="U443" s="1"/>
      <c r="V443" s="2"/>
      <c r="W443" s="2"/>
      <c r="X443" s="2"/>
      <c r="Y443" s="2"/>
      <c r="Z443" s="2"/>
    </row>
    <row r="444" spans="1:26" ht="15.75" customHeight="1" x14ac:dyDescent="0.2">
      <c r="A444" s="11" t="s">
        <v>341</v>
      </c>
      <c r="B444" s="11" t="s">
        <v>17</v>
      </c>
      <c r="C444" s="11" t="s">
        <v>79</v>
      </c>
      <c r="D444" s="11" t="s">
        <v>317</v>
      </c>
      <c r="E444" s="11" t="s">
        <v>392</v>
      </c>
      <c r="F444" s="11" t="s">
        <v>452</v>
      </c>
      <c r="I444" s="11" t="s">
        <v>392</v>
      </c>
      <c r="J444" s="11" t="s">
        <v>306</v>
      </c>
      <c r="K444" s="11" t="s">
        <v>939</v>
      </c>
      <c r="L444" s="75" t="s">
        <v>497</v>
      </c>
      <c r="M444" s="4"/>
      <c r="N444" s="2"/>
      <c r="O444" s="4"/>
      <c r="P444" s="2"/>
      <c r="Q444" s="2"/>
      <c r="R444" s="4"/>
      <c r="S444" s="2"/>
      <c r="T444" s="2"/>
      <c r="U444" s="1"/>
      <c r="V444" s="2"/>
      <c r="W444" s="2"/>
      <c r="X444" s="2"/>
      <c r="Y444" s="2"/>
      <c r="Z444" s="2"/>
    </row>
    <row r="445" spans="1:26" ht="15.75" customHeight="1" x14ac:dyDescent="0.2">
      <c r="A445" s="11" t="s">
        <v>277</v>
      </c>
      <c r="B445" s="11" t="s">
        <v>17</v>
      </c>
      <c r="C445" s="11" t="s">
        <v>89</v>
      </c>
      <c r="D445" s="11" t="s">
        <v>330</v>
      </c>
      <c r="E445" s="11" t="s">
        <v>330</v>
      </c>
      <c r="F445" s="11" t="s">
        <v>331</v>
      </c>
      <c r="I445" s="11" t="s">
        <v>332</v>
      </c>
      <c r="J445" s="11" t="s">
        <v>332</v>
      </c>
      <c r="K445" s="11" t="s">
        <v>333</v>
      </c>
      <c r="L445" s="75" t="s">
        <v>334</v>
      </c>
      <c r="M445" s="4"/>
      <c r="N445" s="2"/>
      <c r="O445" s="4"/>
      <c r="P445" s="2"/>
      <c r="Q445" s="2"/>
      <c r="R445" s="4"/>
      <c r="S445" s="2"/>
      <c r="T445" s="2"/>
      <c r="U445" s="1"/>
      <c r="V445" s="2"/>
      <c r="W445" s="2"/>
      <c r="X445" s="2"/>
      <c r="Y445" s="2"/>
      <c r="Z445" s="2"/>
    </row>
    <row r="446" spans="1:26" ht="15.75" customHeight="1" x14ac:dyDescent="0.2">
      <c r="M446" s="4"/>
      <c r="N446" s="2"/>
      <c r="O446" s="4"/>
      <c r="P446" s="2"/>
      <c r="Q446" s="2"/>
      <c r="R446" s="4"/>
      <c r="S446" s="2"/>
      <c r="T446" s="2"/>
      <c r="U446" s="1"/>
      <c r="V446" s="2"/>
      <c r="W446" s="2"/>
      <c r="X446" s="2"/>
      <c r="Y446" s="2"/>
      <c r="Z446" s="2"/>
    </row>
    <row r="447" spans="1:26" ht="15.75" customHeight="1" x14ac:dyDescent="0.2">
      <c r="E447" s="11" t="s">
        <v>940</v>
      </c>
      <c r="F447" s="11" t="s">
        <v>941</v>
      </c>
      <c r="K447" s="11" t="s">
        <v>942</v>
      </c>
      <c r="L447" s="75" t="s">
        <v>943</v>
      </c>
      <c r="M447" s="4"/>
      <c r="N447" s="2"/>
      <c r="O447" s="4"/>
      <c r="P447" s="2"/>
      <c r="Q447" s="2"/>
      <c r="R447" s="4"/>
      <c r="S447" s="2"/>
      <c r="T447" s="2"/>
      <c r="U447" s="1"/>
      <c r="V447" s="2"/>
      <c r="W447" s="2"/>
      <c r="X447" s="2"/>
      <c r="Y447" s="2"/>
      <c r="Z447" s="2"/>
    </row>
    <row r="448" spans="1:26" ht="15.75" customHeight="1" x14ac:dyDescent="0.2">
      <c r="H448" s="24"/>
      <c r="I448" s="24"/>
      <c r="M448" s="4"/>
      <c r="N448" s="2"/>
      <c r="O448" s="4"/>
      <c r="P448" s="2"/>
      <c r="Q448" s="2"/>
      <c r="R448" s="4"/>
      <c r="S448" s="2"/>
      <c r="T448" s="2"/>
      <c r="U448" s="1"/>
      <c r="V448" s="2"/>
      <c r="W448" s="2"/>
      <c r="X448" s="2"/>
      <c r="Y448" s="2"/>
      <c r="Z448" s="2"/>
    </row>
    <row r="449" spans="1:26" ht="15.75" customHeight="1" x14ac:dyDescent="0.2">
      <c r="M449" s="4"/>
      <c r="N449" s="2"/>
      <c r="O449" s="4"/>
      <c r="P449" s="2"/>
      <c r="Q449" s="2"/>
      <c r="R449" s="4"/>
      <c r="S449" s="2"/>
      <c r="T449" s="2"/>
      <c r="U449" s="1"/>
      <c r="V449" s="2"/>
      <c r="W449" s="2"/>
      <c r="X449" s="2"/>
      <c r="Y449" s="2"/>
      <c r="Z449" s="2"/>
    </row>
    <row r="450" spans="1:26" ht="15.75" customHeight="1" x14ac:dyDescent="0.2">
      <c r="M450" s="4"/>
      <c r="N450" s="2"/>
      <c r="O450" s="4"/>
      <c r="P450" s="2"/>
      <c r="Q450" s="2"/>
      <c r="R450" s="4"/>
      <c r="S450" s="2"/>
      <c r="T450" s="2"/>
      <c r="U450" s="1"/>
      <c r="V450" s="2"/>
      <c r="W450" s="2"/>
      <c r="X450" s="2"/>
      <c r="Y450" s="2"/>
      <c r="Z450" s="2"/>
    </row>
    <row r="451" spans="1:26" ht="15.75" customHeight="1" x14ac:dyDescent="0.2">
      <c r="A451" s="11" t="s">
        <v>91</v>
      </c>
      <c r="D451" s="11" t="s">
        <v>908</v>
      </c>
      <c r="E451" s="11" t="s">
        <v>268</v>
      </c>
      <c r="F451" s="2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11" t="s">
        <v>3</v>
      </c>
      <c r="B453" s="11" t="s">
        <v>4</v>
      </c>
      <c r="C453" s="11" t="s">
        <v>5</v>
      </c>
      <c r="D453" s="11" t="s">
        <v>6</v>
      </c>
      <c r="E453" s="11" t="s">
        <v>7</v>
      </c>
      <c r="I453" s="11" t="s">
        <v>6</v>
      </c>
      <c r="J453" s="11" t="s">
        <v>7</v>
      </c>
      <c r="K453" s="11" t="s">
        <v>10</v>
      </c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1" t="s">
        <v>277</v>
      </c>
      <c r="B454" s="11" t="s">
        <v>23</v>
      </c>
      <c r="C454" s="11" t="s">
        <v>46</v>
      </c>
      <c r="D454" s="11" t="s">
        <v>297</v>
      </c>
      <c r="E454" s="11" t="s">
        <v>297</v>
      </c>
      <c r="I454" s="11" t="s">
        <v>436</v>
      </c>
      <c r="J454" s="11" t="s">
        <v>436</v>
      </c>
      <c r="K454" s="11" t="s">
        <v>317</v>
      </c>
      <c r="L454" s="75" t="s">
        <v>944</v>
      </c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1" t="s">
        <v>277</v>
      </c>
      <c r="B455" s="11" t="s">
        <v>17</v>
      </c>
      <c r="C455" s="11" t="s">
        <v>38</v>
      </c>
      <c r="D455" s="11" t="s">
        <v>392</v>
      </c>
      <c r="E455" s="11" t="s">
        <v>392</v>
      </c>
      <c r="I455" s="11" t="s">
        <v>306</v>
      </c>
      <c r="J455" s="11" t="s">
        <v>306</v>
      </c>
      <c r="K455" s="11" t="s">
        <v>306</v>
      </c>
      <c r="L455" s="75" t="s">
        <v>894</v>
      </c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1" t="s">
        <v>277</v>
      </c>
      <c r="B456" s="11" t="s">
        <v>17</v>
      </c>
      <c r="C456" s="11" t="s">
        <v>79</v>
      </c>
      <c r="D456" s="11" t="s">
        <v>317</v>
      </c>
      <c r="E456" s="11" t="s">
        <v>317</v>
      </c>
      <c r="I456" s="11" t="s">
        <v>392</v>
      </c>
      <c r="J456" s="11" t="s">
        <v>392</v>
      </c>
      <c r="K456" s="11" t="s">
        <v>392</v>
      </c>
      <c r="L456" s="75" t="s">
        <v>894</v>
      </c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1" t="s">
        <v>277</v>
      </c>
      <c r="B457" s="11" t="s">
        <v>23</v>
      </c>
      <c r="C457" s="11" t="s">
        <v>99</v>
      </c>
      <c r="D457" s="11" t="s">
        <v>297</v>
      </c>
      <c r="E457" s="11" t="s">
        <v>297</v>
      </c>
      <c r="I457" s="11" t="s">
        <v>327</v>
      </c>
      <c r="J457" s="11" t="s">
        <v>327</v>
      </c>
      <c r="K457" s="11" t="s">
        <v>408</v>
      </c>
      <c r="L457" s="75" t="s">
        <v>945</v>
      </c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1" t="s">
        <v>277</v>
      </c>
      <c r="B458" s="11" t="s">
        <v>17</v>
      </c>
      <c r="C458" s="11" t="s">
        <v>40</v>
      </c>
      <c r="D458" s="11" t="s">
        <v>273</v>
      </c>
      <c r="E458" s="11" t="s">
        <v>273</v>
      </c>
      <c r="I458" s="11" t="s">
        <v>415</v>
      </c>
      <c r="J458" s="11" t="s">
        <v>415</v>
      </c>
      <c r="K458" s="11" t="s">
        <v>946</v>
      </c>
      <c r="L458" s="75" t="s">
        <v>947</v>
      </c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1" t="s">
        <v>411</v>
      </c>
      <c r="B459" s="11" t="s">
        <v>21</v>
      </c>
      <c r="C459" s="11" t="s">
        <v>51</v>
      </c>
      <c r="D459" s="11" t="s">
        <v>273</v>
      </c>
      <c r="E459" s="11" t="s">
        <v>270</v>
      </c>
      <c r="I459" s="11" t="s">
        <v>279</v>
      </c>
      <c r="J459" s="11" t="s">
        <v>948</v>
      </c>
      <c r="K459" s="11" t="s">
        <v>949</v>
      </c>
      <c r="L459" s="75" t="s">
        <v>876</v>
      </c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E461" s="11" t="s">
        <v>950</v>
      </c>
      <c r="K461" s="11" t="s">
        <v>951</v>
      </c>
      <c r="L461" s="75" t="s">
        <v>952</v>
      </c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1" t="s">
        <v>174</v>
      </c>
      <c r="D465" s="11" t="s">
        <v>953</v>
      </c>
      <c r="E465" s="11" t="s">
        <v>268</v>
      </c>
      <c r="F465" s="24"/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5.75" customHeight="1" x14ac:dyDescent="0.2"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1" t="s">
        <v>3</v>
      </c>
      <c r="B467" s="11" t="s">
        <v>4</v>
      </c>
      <c r="C467" s="11" t="s">
        <v>5</v>
      </c>
      <c r="D467" s="11" t="s">
        <v>6</v>
      </c>
      <c r="E467" s="11" t="s">
        <v>7</v>
      </c>
      <c r="I467" s="11" t="s">
        <v>6</v>
      </c>
      <c r="J467" s="11" t="s">
        <v>7</v>
      </c>
      <c r="K467" s="11" t="s">
        <v>10</v>
      </c>
      <c r="M467" s="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1" t="s">
        <v>290</v>
      </c>
      <c r="B468" s="11" t="s">
        <v>23</v>
      </c>
      <c r="C468" s="11" t="s">
        <v>110</v>
      </c>
      <c r="D468" s="11" t="s">
        <v>557</v>
      </c>
      <c r="E468" s="11" t="s">
        <v>558</v>
      </c>
      <c r="I468" s="11" t="s">
        <v>487</v>
      </c>
      <c r="J468" s="11" t="s">
        <v>343</v>
      </c>
      <c r="K468" s="11" t="s">
        <v>332</v>
      </c>
      <c r="L468" s="75" t="s">
        <v>860</v>
      </c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1" t="s">
        <v>277</v>
      </c>
      <c r="B469" s="11" t="s">
        <v>23</v>
      </c>
      <c r="C469" s="11" t="s">
        <v>118</v>
      </c>
      <c r="D469" s="11" t="s">
        <v>284</v>
      </c>
      <c r="E469" s="11" t="s">
        <v>284</v>
      </c>
      <c r="I469" s="11" t="s">
        <v>299</v>
      </c>
      <c r="J469" s="11" t="s">
        <v>299</v>
      </c>
      <c r="K469" s="11" t="s">
        <v>317</v>
      </c>
      <c r="L469" s="75" t="s">
        <v>873</v>
      </c>
      <c r="M469" s="4"/>
      <c r="N469" s="2"/>
      <c r="O469" s="4"/>
      <c r="P469" s="2"/>
      <c r="Q469" s="2"/>
      <c r="R469" s="4"/>
      <c r="S469" s="2"/>
      <c r="T469" s="2"/>
      <c r="U469" s="1"/>
      <c r="V469" s="2"/>
      <c r="W469" s="2"/>
      <c r="X469" s="2"/>
      <c r="Y469" s="2"/>
      <c r="Z469" s="2"/>
    </row>
    <row r="470" spans="1:26" ht="15.75" customHeight="1" x14ac:dyDescent="0.2">
      <c r="A470" s="11" t="s">
        <v>290</v>
      </c>
      <c r="B470" s="11" t="s">
        <v>23</v>
      </c>
      <c r="C470" s="11" t="s">
        <v>46</v>
      </c>
      <c r="D470" s="11" t="s">
        <v>284</v>
      </c>
      <c r="E470" s="11" t="s">
        <v>560</v>
      </c>
      <c r="I470" s="11" t="s">
        <v>436</v>
      </c>
      <c r="J470" s="11" t="s">
        <v>565</v>
      </c>
      <c r="K470" s="11" t="s">
        <v>327</v>
      </c>
      <c r="L470" s="75" t="s">
        <v>860</v>
      </c>
      <c r="M470" s="4"/>
      <c r="N470" s="2"/>
      <c r="O470" s="4"/>
      <c r="P470" s="2"/>
      <c r="Q470" s="2"/>
      <c r="R470" s="4"/>
      <c r="S470" s="2"/>
      <c r="T470" s="2"/>
      <c r="U470" s="1"/>
      <c r="V470" s="2"/>
      <c r="W470" s="2"/>
      <c r="X470" s="2"/>
      <c r="Y470" s="2"/>
      <c r="Z470" s="2"/>
    </row>
    <row r="471" spans="1:26" ht="15.75" customHeight="1" x14ac:dyDescent="0.2">
      <c r="A471" s="11" t="s">
        <v>411</v>
      </c>
      <c r="B471" s="11" t="s">
        <v>23</v>
      </c>
      <c r="C471" s="11" t="s">
        <v>22</v>
      </c>
      <c r="D471" s="11" t="s">
        <v>764</v>
      </c>
      <c r="E471" s="11" t="s">
        <v>954</v>
      </c>
      <c r="I471" s="11" t="s">
        <v>297</v>
      </c>
      <c r="J471" s="11" t="s">
        <v>362</v>
      </c>
      <c r="K471" s="11" t="s">
        <v>284</v>
      </c>
      <c r="L471" s="75" t="s">
        <v>872</v>
      </c>
      <c r="M471" s="4"/>
      <c r="N471" s="2"/>
      <c r="O471" s="4"/>
      <c r="P471" s="2"/>
      <c r="Q471" s="2"/>
      <c r="R471" s="4"/>
      <c r="S471" s="2"/>
      <c r="T471" s="2"/>
      <c r="U471" s="1"/>
      <c r="V471" s="2"/>
      <c r="W471" s="2"/>
      <c r="X471" s="2"/>
      <c r="Y471" s="2"/>
      <c r="Z471" s="2"/>
    </row>
    <row r="472" spans="1:26" ht="15.75" customHeight="1" x14ac:dyDescent="0.2">
      <c r="A472" s="11" t="s">
        <v>277</v>
      </c>
      <c r="B472" s="11" t="s">
        <v>23</v>
      </c>
      <c r="C472" s="11" t="s">
        <v>93</v>
      </c>
      <c r="D472" s="11" t="s">
        <v>565</v>
      </c>
      <c r="E472" s="11" t="s">
        <v>565</v>
      </c>
      <c r="I472" s="11" t="s">
        <v>297</v>
      </c>
      <c r="J472" s="11" t="s">
        <v>297</v>
      </c>
      <c r="K472" s="11" t="s">
        <v>390</v>
      </c>
      <c r="L472" s="75" t="s">
        <v>955</v>
      </c>
      <c r="M472" s="4"/>
      <c r="N472" s="2"/>
      <c r="O472" s="4"/>
      <c r="P472" s="2"/>
      <c r="Q472" s="2"/>
      <c r="R472" s="4"/>
      <c r="S472" s="2"/>
      <c r="T472" s="2"/>
      <c r="U472" s="1"/>
      <c r="V472" s="2"/>
      <c r="W472" s="2"/>
      <c r="X472" s="2"/>
      <c r="Y472" s="2"/>
      <c r="Z472" s="2"/>
    </row>
    <row r="473" spans="1:26" ht="15.75" customHeight="1" x14ac:dyDescent="0.2">
      <c r="A473" s="11" t="s">
        <v>956</v>
      </c>
      <c r="B473" s="11" t="s">
        <v>17</v>
      </c>
      <c r="C473" s="11" t="s">
        <v>36</v>
      </c>
      <c r="D473" s="11" t="s">
        <v>395</v>
      </c>
      <c r="E473" s="11" t="s">
        <v>957</v>
      </c>
      <c r="I473" s="11" t="s">
        <v>306</v>
      </c>
      <c r="J473" s="11" t="s">
        <v>958</v>
      </c>
      <c r="K473" s="11" t="s">
        <v>959</v>
      </c>
      <c r="L473" s="75" t="s">
        <v>960</v>
      </c>
      <c r="M473" s="4"/>
      <c r="N473" s="2"/>
      <c r="O473" s="4"/>
      <c r="P473" s="2"/>
      <c r="Q473" s="2"/>
      <c r="R473" s="4"/>
      <c r="S473" s="2"/>
      <c r="T473" s="2"/>
      <c r="U473" s="1"/>
      <c r="V473" s="2"/>
      <c r="W473" s="2"/>
      <c r="X473" s="2"/>
      <c r="Y473" s="2"/>
      <c r="Z473" s="2"/>
    </row>
    <row r="474" spans="1:26" ht="15.75" customHeight="1" x14ac:dyDescent="0.2">
      <c r="A474" s="11" t="s">
        <v>322</v>
      </c>
      <c r="B474" s="11" t="s">
        <v>23</v>
      </c>
      <c r="C474" s="11" t="s">
        <v>14</v>
      </c>
      <c r="D474" s="11" t="s">
        <v>961</v>
      </c>
      <c r="E474" s="11" t="s">
        <v>962</v>
      </c>
      <c r="I474" s="11" t="s">
        <v>565</v>
      </c>
      <c r="J474" s="11" t="s">
        <v>963</v>
      </c>
      <c r="K474" s="11" t="s">
        <v>346</v>
      </c>
      <c r="L474" s="75" t="s">
        <v>964</v>
      </c>
      <c r="M474" s="4"/>
      <c r="N474" s="2"/>
      <c r="O474" s="4"/>
      <c r="P474" s="2"/>
      <c r="Q474" s="2"/>
      <c r="R474" s="4"/>
      <c r="S474" s="2"/>
      <c r="T474" s="2"/>
      <c r="U474" s="1"/>
      <c r="V474" s="2"/>
      <c r="W474" s="2"/>
      <c r="X474" s="2"/>
      <c r="Y474" s="2"/>
      <c r="Z474" s="2"/>
    </row>
    <row r="475" spans="1:26" ht="15.75" customHeight="1" x14ac:dyDescent="0.2">
      <c r="A475" s="11" t="s">
        <v>447</v>
      </c>
      <c r="B475" s="11" t="s">
        <v>23</v>
      </c>
      <c r="C475" s="11" t="s">
        <v>130</v>
      </c>
      <c r="D475" s="11" t="s">
        <v>330</v>
      </c>
      <c r="E475" s="11" t="s">
        <v>733</v>
      </c>
      <c r="I475" s="11" t="s">
        <v>408</v>
      </c>
      <c r="J475" s="11" t="s">
        <v>354</v>
      </c>
      <c r="K475" s="11" t="s">
        <v>560</v>
      </c>
      <c r="L475" s="75" t="s">
        <v>965</v>
      </c>
      <c r="M475" s="4"/>
      <c r="N475" s="2"/>
      <c r="O475" s="4"/>
      <c r="P475" s="2"/>
      <c r="Q475" s="2"/>
      <c r="R475" s="4"/>
      <c r="S475" s="2"/>
      <c r="T475" s="2"/>
      <c r="U475" s="1"/>
      <c r="V475" s="2"/>
      <c r="W475" s="2"/>
      <c r="X475" s="2"/>
      <c r="Y475" s="2"/>
      <c r="Z475" s="2"/>
    </row>
    <row r="476" spans="1:26" ht="15.75" customHeight="1" x14ac:dyDescent="0.2">
      <c r="A476" s="11" t="s">
        <v>290</v>
      </c>
      <c r="B476" s="11" t="s">
        <v>23</v>
      </c>
      <c r="C476" s="11" t="s">
        <v>41</v>
      </c>
      <c r="D476" s="11" t="s">
        <v>356</v>
      </c>
      <c r="E476" s="11" t="s">
        <v>512</v>
      </c>
      <c r="I476" s="11" t="s">
        <v>487</v>
      </c>
      <c r="J476" s="11" t="s">
        <v>343</v>
      </c>
      <c r="K476" s="11" t="s">
        <v>770</v>
      </c>
      <c r="L476" s="75" t="s">
        <v>903</v>
      </c>
      <c r="M476" s="4"/>
      <c r="N476" s="2"/>
      <c r="O476" s="4"/>
      <c r="P476" s="2"/>
      <c r="Q476" s="2"/>
      <c r="R476" s="4"/>
      <c r="S476" s="2"/>
      <c r="T476" s="2"/>
      <c r="U476" s="1"/>
      <c r="V476" s="2"/>
      <c r="W476" s="2"/>
      <c r="X476" s="2"/>
      <c r="Y476" s="2"/>
      <c r="Z476" s="2"/>
    </row>
    <row r="477" spans="1:26" ht="15.75" customHeight="1" x14ac:dyDescent="0.2">
      <c r="A477" s="11" t="s">
        <v>411</v>
      </c>
      <c r="B477" s="11" t="s">
        <v>23</v>
      </c>
      <c r="C477" s="11" t="s">
        <v>85</v>
      </c>
      <c r="D477" s="11" t="s">
        <v>966</v>
      </c>
      <c r="E477" s="11" t="s">
        <v>967</v>
      </c>
      <c r="I477" s="11" t="s">
        <v>345</v>
      </c>
      <c r="J477" s="11" t="s">
        <v>968</v>
      </c>
      <c r="K477" s="11" t="s">
        <v>560</v>
      </c>
      <c r="L477" s="75" t="s">
        <v>969</v>
      </c>
      <c r="M477" s="4"/>
      <c r="N477" s="2"/>
      <c r="O477" s="4"/>
      <c r="P477" s="2"/>
      <c r="Q477" s="2"/>
      <c r="R477" s="4"/>
      <c r="S477" s="2"/>
      <c r="T477" s="2"/>
      <c r="U477" s="1"/>
      <c r="V477" s="2"/>
      <c r="W477" s="2"/>
      <c r="X477" s="2"/>
      <c r="Y477" s="2"/>
      <c r="Z477" s="2"/>
    </row>
    <row r="478" spans="1:26" ht="15.75" customHeight="1" x14ac:dyDescent="0.2">
      <c r="A478" s="11" t="s">
        <v>290</v>
      </c>
      <c r="B478" s="11" t="s">
        <v>23</v>
      </c>
      <c r="C478" s="11" t="s">
        <v>61</v>
      </c>
      <c r="D478" s="11" t="s">
        <v>350</v>
      </c>
      <c r="E478" s="11" t="s">
        <v>349</v>
      </c>
      <c r="I478" s="11" t="s">
        <v>343</v>
      </c>
      <c r="J478" s="11" t="s">
        <v>342</v>
      </c>
      <c r="K478" s="11" t="s">
        <v>284</v>
      </c>
      <c r="L478" s="75" t="s">
        <v>871</v>
      </c>
      <c r="M478" s="4"/>
      <c r="N478" s="2"/>
      <c r="O478" s="4"/>
      <c r="P478" s="2"/>
      <c r="Q478" s="2"/>
      <c r="R478" s="4"/>
      <c r="S478" s="2"/>
      <c r="T478" s="2"/>
      <c r="U478" s="1"/>
      <c r="V478" s="2"/>
      <c r="W478" s="2"/>
      <c r="X478" s="2"/>
      <c r="Y478" s="2"/>
      <c r="Z478" s="2"/>
    </row>
    <row r="479" spans="1:26" ht="15.75" customHeight="1" x14ac:dyDescent="0.2">
      <c r="A479" s="11" t="s">
        <v>290</v>
      </c>
      <c r="B479" s="11" t="s">
        <v>23</v>
      </c>
      <c r="C479" s="11" t="s">
        <v>98</v>
      </c>
      <c r="D479" s="11" t="s">
        <v>343</v>
      </c>
      <c r="E479" s="11" t="s">
        <v>342</v>
      </c>
      <c r="I479" s="11" t="s">
        <v>961</v>
      </c>
      <c r="J479" s="11" t="s">
        <v>970</v>
      </c>
      <c r="K479" s="11" t="s">
        <v>770</v>
      </c>
      <c r="L479" s="75" t="s">
        <v>971</v>
      </c>
      <c r="M479" s="4"/>
      <c r="N479" s="2"/>
      <c r="O479" s="4"/>
      <c r="P479" s="2"/>
      <c r="Q479" s="2"/>
      <c r="R479" s="4"/>
      <c r="S479" s="2"/>
      <c r="T479" s="2"/>
      <c r="U479" s="1"/>
      <c r="V479" s="2"/>
      <c r="W479" s="2"/>
      <c r="X479" s="2"/>
      <c r="Y479" s="2"/>
      <c r="Z479" s="2"/>
    </row>
    <row r="480" spans="1:26" ht="15.75" customHeight="1" x14ac:dyDescent="0.2">
      <c r="A480" s="11" t="s">
        <v>290</v>
      </c>
      <c r="B480" s="11" t="s">
        <v>23</v>
      </c>
      <c r="C480" s="11" t="s">
        <v>99</v>
      </c>
      <c r="D480" s="11" t="s">
        <v>332</v>
      </c>
      <c r="E480" s="11" t="s">
        <v>557</v>
      </c>
      <c r="I480" s="11" t="s">
        <v>327</v>
      </c>
      <c r="J480" s="11" t="s">
        <v>284</v>
      </c>
      <c r="K480" s="11" t="s">
        <v>299</v>
      </c>
      <c r="L480" s="75" t="s">
        <v>972</v>
      </c>
      <c r="M480" s="4"/>
      <c r="N480" s="2"/>
      <c r="O480" s="4"/>
      <c r="P480" s="2"/>
      <c r="Q480" s="2"/>
      <c r="R480" s="4"/>
      <c r="S480" s="2"/>
      <c r="T480" s="2"/>
      <c r="U480" s="1"/>
      <c r="V480" s="2"/>
      <c r="W480" s="2"/>
      <c r="X480" s="2"/>
      <c r="Y480" s="2"/>
      <c r="Z480" s="2"/>
    </row>
    <row r="481" spans="1:26" ht="15.75" customHeight="1" x14ac:dyDescent="0.2">
      <c r="A481" s="11" t="s">
        <v>290</v>
      </c>
      <c r="B481" s="11" t="s">
        <v>15</v>
      </c>
      <c r="C481" s="11" t="s">
        <v>167</v>
      </c>
      <c r="D481" s="11" t="s">
        <v>770</v>
      </c>
      <c r="E481" s="11" t="s">
        <v>353</v>
      </c>
      <c r="I481" s="11" t="s">
        <v>332</v>
      </c>
      <c r="J481" s="11" t="s">
        <v>557</v>
      </c>
      <c r="K481" s="11" t="s">
        <v>299</v>
      </c>
      <c r="L481" s="75" t="s">
        <v>890</v>
      </c>
      <c r="M481" s="4"/>
      <c r="N481" s="2"/>
      <c r="O481" s="4"/>
      <c r="P481" s="2"/>
      <c r="Q481" s="2"/>
      <c r="R481" s="4"/>
      <c r="S481" s="2"/>
      <c r="T481" s="2"/>
      <c r="U481" s="1"/>
      <c r="V481" s="2"/>
      <c r="W481" s="2"/>
      <c r="X481" s="2"/>
      <c r="Y481" s="2"/>
      <c r="Z481" s="2"/>
    </row>
    <row r="482" spans="1:26" ht="15.75" customHeight="1" x14ac:dyDescent="0.2">
      <c r="A482" s="11" t="s">
        <v>401</v>
      </c>
      <c r="B482" s="11" t="s">
        <v>15</v>
      </c>
      <c r="C482" s="11" t="s">
        <v>16</v>
      </c>
      <c r="D482" s="11" t="s">
        <v>297</v>
      </c>
      <c r="E482" s="11" t="s">
        <v>973</v>
      </c>
      <c r="I482" s="11" t="s">
        <v>299</v>
      </c>
      <c r="J482" s="11" t="s">
        <v>974</v>
      </c>
      <c r="K482" s="11" t="s">
        <v>558</v>
      </c>
      <c r="L482" s="75" t="s">
        <v>975</v>
      </c>
      <c r="M482" s="4"/>
      <c r="N482" s="2"/>
      <c r="O482" s="4"/>
      <c r="P482" s="2"/>
      <c r="Q482" s="2"/>
      <c r="R482" s="4"/>
      <c r="S482" s="2"/>
      <c r="T482" s="2"/>
      <c r="U482" s="1"/>
      <c r="V482" s="2"/>
      <c r="W482" s="2"/>
      <c r="X482" s="2"/>
      <c r="Y482" s="2"/>
      <c r="Z482" s="2"/>
    </row>
    <row r="483" spans="1:26" ht="15.75" customHeight="1" x14ac:dyDescent="0.2">
      <c r="A483" s="11" t="s">
        <v>290</v>
      </c>
      <c r="B483" s="11" t="s">
        <v>15</v>
      </c>
      <c r="C483" s="11" t="s">
        <v>141</v>
      </c>
      <c r="D483" s="11" t="s">
        <v>487</v>
      </c>
      <c r="E483" s="11" t="s">
        <v>343</v>
      </c>
      <c r="I483" s="11" t="s">
        <v>284</v>
      </c>
      <c r="J483" s="11" t="s">
        <v>560</v>
      </c>
      <c r="K483" s="11" t="s">
        <v>327</v>
      </c>
      <c r="L483" s="75" t="s">
        <v>868</v>
      </c>
      <c r="M483" s="4"/>
      <c r="N483" s="2"/>
      <c r="O483" s="4"/>
      <c r="P483" s="2"/>
      <c r="Q483" s="2"/>
      <c r="R483" s="4"/>
      <c r="S483" s="2"/>
      <c r="T483" s="2"/>
      <c r="U483" s="1"/>
      <c r="V483" s="2"/>
      <c r="W483" s="2"/>
      <c r="X483" s="2"/>
      <c r="Y483" s="2"/>
      <c r="Z483" s="2"/>
    </row>
    <row r="484" spans="1:26" ht="15.75" customHeight="1" x14ac:dyDescent="0.2">
      <c r="A484" s="11" t="s">
        <v>277</v>
      </c>
      <c r="B484" s="11" t="s">
        <v>86</v>
      </c>
      <c r="C484" s="11" t="s">
        <v>114</v>
      </c>
      <c r="D484" s="11" t="s">
        <v>346</v>
      </c>
      <c r="E484" s="11" t="s">
        <v>346</v>
      </c>
      <c r="I484" s="11" t="s">
        <v>770</v>
      </c>
      <c r="J484" s="11" t="s">
        <v>770</v>
      </c>
      <c r="K484" s="11" t="s">
        <v>330</v>
      </c>
      <c r="L484" s="75" t="s">
        <v>976</v>
      </c>
      <c r="M484" s="4"/>
      <c r="N484" s="2"/>
      <c r="O484" s="4"/>
      <c r="P484" s="2"/>
      <c r="Q484" s="2"/>
      <c r="R484" s="4"/>
      <c r="S484" s="2"/>
      <c r="T484" s="2"/>
      <c r="U484" s="1"/>
      <c r="V484" s="2"/>
      <c r="W484" s="2"/>
      <c r="X484" s="2"/>
      <c r="Y484" s="2"/>
      <c r="Z484" s="2"/>
    </row>
    <row r="485" spans="1:26" ht="15.75" customHeight="1" x14ac:dyDescent="0.2">
      <c r="A485" s="11" t="s">
        <v>341</v>
      </c>
      <c r="B485" s="11" t="s">
        <v>86</v>
      </c>
      <c r="C485" s="11" t="s">
        <v>89</v>
      </c>
      <c r="D485" s="11" t="s">
        <v>627</v>
      </c>
      <c r="E485" s="11" t="s">
        <v>815</v>
      </c>
      <c r="I485" s="11" t="s">
        <v>558</v>
      </c>
      <c r="J485" s="11" t="s">
        <v>557</v>
      </c>
      <c r="K485" s="11" t="s">
        <v>366</v>
      </c>
      <c r="L485" s="75" t="s">
        <v>977</v>
      </c>
      <c r="M485" s="4"/>
      <c r="N485" s="2"/>
      <c r="O485" s="4"/>
      <c r="P485" s="2"/>
      <c r="Q485" s="2"/>
      <c r="R485" s="4"/>
      <c r="S485" s="2"/>
      <c r="T485" s="2"/>
      <c r="U485" s="1"/>
      <c r="V485" s="2"/>
      <c r="W485" s="2"/>
      <c r="X485" s="2"/>
      <c r="Y485" s="2"/>
      <c r="Z485" s="2"/>
    </row>
    <row r="486" spans="1:26" ht="15.75" customHeight="1" x14ac:dyDescent="0.2">
      <c r="A486" s="11" t="s">
        <v>277</v>
      </c>
      <c r="B486" s="11" t="s">
        <v>23</v>
      </c>
      <c r="C486" s="11" t="s">
        <v>162</v>
      </c>
      <c r="D486" s="11" t="s">
        <v>558</v>
      </c>
      <c r="E486" s="11" t="s">
        <v>558</v>
      </c>
      <c r="I486" s="11" t="s">
        <v>357</v>
      </c>
      <c r="J486" s="11" t="s">
        <v>357</v>
      </c>
      <c r="K486" s="11" t="s">
        <v>408</v>
      </c>
      <c r="L486" s="75" t="s">
        <v>978</v>
      </c>
      <c r="M486" s="4"/>
      <c r="N486" s="2"/>
      <c r="O486" s="4"/>
      <c r="P486" s="2"/>
      <c r="Q486" s="2"/>
      <c r="R486" s="4"/>
      <c r="S486" s="2"/>
      <c r="T486" s="2"/>
      <c r="U486" s="1"/>
      <c r="V486" s="2"/>
      <c r="W486" s="2"/>
      <c r="X486" s="2"/>
      <c r="Y486" s="2"/>
      <c r="Z486" s="2"/>
    </row>
    <row r="487" spans="1:26" ht="15.75" customHeight="1" x14ac:dyDescent="0.2">
      <c r="A487" s="11" t="s">
        <v>447</v>
      </c>
      <c r="B487" s="11" t="s">
        <v>21</v>
      </c>
      <c r="C487" s="11" t="s">
        <v>112</v>
      </c>
      <c r="D487" s="11" t="s">
        <v>283</v>
      </c>
      <c r="E487" s="11" t="s">
        <v>565</v>
      </c>
      <c r="I487" s="11" t="s">
        <v>392</v>
      </c>
      <c r="J487" s="11" t="s">
        <v>284</v>
      </c>
      <c r="K487" s="11" t="s">
        <v>327</v>
      </c>
      <c r="L487" s="75" t="s">
        <v>873</v>
      </c>
      <c r="M487" s="4"/>
      <c r="N487" s="2"/>
      <c r="O487" s="4"/>
      <c r="P487" s="2"/>
      <c r="Q487" s="2"/>
      <c r="R487" s="4"/>
      <c r="S487" s="2"/>
      <c r="T487" s="2"/>
      <c r="U487" s="1"/>
      <c r="V487" s="2"/>
      <c r="W487" s="2"/>
      <c r="X487" s="2"/>
      <c r="Y487" s="2"/>
      <c r="Z487" s="2"/>
    </row>
    <row r="488" spans="1:26" ht="15.75" customHeight="1" x14ac:dyDescent="0.2">
      <c r="A488" s="11" t="s">
        <v>277</v>
      </c>
      <c r="B488" s="11" t="s">
        <v>23</v>
      </c>
      <c r="C488" s="11" t="s">
        <v>39</v>
      </c>
      <c r="D488" s="11" t="s">
        <v>353</v>
      </c>
      <c r="E488" s="11" t="s">
        <v>353</v>
      </c>
      <c r="I488" s="11" t="s">
        <v>557</v>
      </c>
      <c r="J488" s="11" t="s">
        <v>557</v>
      </c>
      <c r="K488" s="11" t="s">
        <v>299</v>
      </c>
      <c r="L488" s="75" t="s">
        <v>890</v>
      </c>
      <c r="M488" s="4"/>
      <c r="N488" s="2"/>
      <c r="O488" s="4"/>
      <c r="P488" s="2"/>
      <c r="Q488" s="2"/>
      <c r="R488" s="4"/>
      <c r="S488" s="2"/>
      <c r="T488" s="2"/>
      <c r="U488" s="1"/>
      <c r="V488" s="2"/>
      <c r="W488" s="2"/>
      <c r="X488" s="2"/>
      <c r="Y488" s="2"/>
      <c r="Z488" s="2"/>
    </row>
    <row r="489" spans="1:26" ht="15.75" customHeight="1" x14ac:dyDescent="0.2">
      <c r="A489" s="11" t="s">
        <v>277</v>
      </c>
      <c r="B489" s="11" t="s">
        <v>21</v>
      </c>
      <c r="C489" s="11" t="s">
        <v>29</v>
      </c>
      <c r="D489" s="11" t="s">
        <v>283</v>
      </c>
      <c r="E489" s="11" t="s">
        <v>283</v>
      </c>
      <c r="I489" s="11" t="s">
        <v>273</v>
      </c>
      <c r="J489" s="11" t="s">
        <v>273</v>
      </c>
      <c r="K489" s="11" t="s">
        <v>273</v>
      </c>
      <c r="L489" s="75" t="s">
        <v>894</v>
      </c>
      <c r="M489" s="4"/>
      <c r="N489" s="2"/>
      <c r="O489" s="4"/>
      <c r="P489" s="2"/>
      <c r="Q489" s="2"/>
      <c r="R489" s="4"/>
      <c r="S489" s="2"/>
      <c r="T489" s="2"/>
      <c r="U489" s="1"/>
      <c r="V489" s="2"/>
      <c r="W489" s="2"/>
      <c r="X489" s="2"/>
      <c r="Y489" s="2"/>
      <c r="Z489" s="2"/>
    </row>
    <row r="490" spans="1:26" ht="15.75" customHeight="1" x14ac:dyDescent="0.2">
      <c r="A490" s="11" t="s">
        <v>290</v>
      </c>
      <c r="B490" s="11" t="s">
        <v>21</v>
      </c>
      <c r="C490" s="11" t="s">
        <v>64</v>
      </c>
      <c r="D490" s="11" t="s">
        <v>392</v>
      </c>
      <c r="E490" s="11" t="s">
        <v>317</v>
      </c>
      <c r="I490" s="11" t="s">
        <v>306</v>
      </c>
      <c r="J490" s="11" t="s">
        <v>392</v>
      </c>
      <c r="K490" s="11" t="s">
        <v>392</v>
      </c>
      <c r="L490" s="75" t="s">
        <v>894</v>
      </c>
      <c r="M490" s="4"/>
      <c r="N490" s="2"/>
      <c r="O490" s="4"/>
      <c r="P490" s="2"/>
      <c r="Q490" s="2"/>
      <c r="R490" s="4"/>
      <c r="S490" s="2"/>
      <c r="T490" s="2"/>
      <c r="U490" s="1"/>
      <c r="V490" s="2"/>
      <c r="W490" s="2"/>
      <c r="X490" s="2"/>
      <c r="Y490" s="2"/>
      <c r="Z490" s="2"/>
    </row>
    <row r="491" spans="1:26" ht="15.75" customHeight="1" x14ac:dyDescent="0.2">
      <c r="A491" s="11" t="s">
        <v>290</v>
      </c>
      <c r="B491" s="11" t="s">
        <v>23</v>
      </c>
      <c r="C491" s="11" t="s">
        <v>31</v>
      </c>
      <c r="D491" s="11" t="s">
        <v>565</v>
      </c>
      <c r="E491" s="11" t="s">
        <v>350</v>
      </c>
      <c r="I491" s="11" t="s">
        <v>297</v>
      </c>
      <c r="J491" s="11" t="s">
        <v>563</v>
      </c>
      <c r="K491" s="11" t="s">
        <v>332</v>
      </c>
      <c r="L491" s="75" t="s">
        <v>955</v>
      </c>
      <c r="M491" s="4"/>
      <c r="N491" s="2"/>
      <c r="O491" s="4"/>
      <c r="P491" s="2"/>
      <c r="Q491" s="2"/>
      <c r="R491" s="4"/>
      <c r="S491" s="2"/>
      <c r="T491" s="2"/>
      <c r="U491" s="1"/>
      <c r="V491" s="2"/>
      <c r="W491" s="2"/>
      <c r="X491" s="2"/>
      <c r="Y491" s="2"/>
      <c r="Z491" s="2"/>
    </row>
    <row r="492" spans="1:26" ht="15.75" customHeight="1" x14ac:dyDescent="0.2">
      <c r="A492" s="11" t="s">
        <v>277</v>
      </c>
      <c r="B492" s="11" t="s">
        <v>23</v>
      </c>
      <c r="C492" s="11" t="s">
        <v>32</v>
      </c>
      <c r="D492" s="11" t="s">
        <v>313</v>
      </c>
      <c r="E492" s="11" t="s">
        <v>313</v>
      </c>
      <c r="I492" s="11" t="s">
        <v>332</v>
      </c>
      <c r="J492" s="11" t="s">
        <v>332</v>
      </c>
      <c r="K492" s="11" t="s">
        <v>327</v>
      </c>
      <c r="L492" s="75" t="s">
        <v>874</v>
      </c>
      <c r="M492" s="4"/>
      <c r="N492" s="2"/>
      <c r="O492" s="4"/>
      <c r="P492" s="2"/>
      <c r="Q492" s="2"/>
      <c r="R492" s="4"/>
      <c r="S492" s="2"/>
      <c r="T492" s="2"/>
      <c r="U492" s="1"/>
      <c r="V492" s="2"/>
      <c r="W492" s="2"/>
      <c r="X492" s="2"/>
      <c r="Y492" s="2"/>
      <c r="Z492" s="2"/>
    </row>
    <row r="493" spans="1:26" ht="15.75" customHeight="1" x14ac:dyDescent="0.2">
      <c r="A493" s="11" t="s">
        <v>277</v>
      </c>
      <c r="B493" s="11" t="s">
        <v>23</v>
      </c>
      <c r="C493" s="11" t="s">
        <v>33</v>
      </c>
      <c r="D493" s="11" t="s">
        <v>356</v>
      </c>
      <c r="E493" s="11" t="s">
        <v>356</v>
      </c>
      <c r="I493" s="11" t="s">
        <v>487</v>
      </c>
      <c r="J493" s="11" t="s">
        <v>487</v>
      </c>
      <c r="K493" s="11" t="s">
        <v>408</v>
      </c>
      <c r="L493" s="75" t="s">
        <v>903</v>
      </c>
      <c r="M493" s="4"/>
      <c r="N493" s="2"/>
      <c r="O493" s="4"/>
      <c r="P493" s="2"/>
      <c r="Q493" s="2"/>
      <c r="R493" s="4"/>
      <c r="S493" s="2"/>
      <c r="T493" s="2"/>
      <c r="U493" s="1"/>
      <c r="V493" s="2"/>
      <c r="W493" s="2"/>
      <c r="X493" s="2"/>
      <c r="Y493" s="2"/>
      <c r="Z493" s="2"/>
    </row>
    <row r="494" spans="1:26" ht="15.75" customHeight="1" x14ac:dyDescent="0.2">
      <c r="M494" s="4"/>
      <c r="N494" s="2"/>
      <c r="O494" s="4"/>
      <c r="P494" s="2"/>
      <c r="Q494" s="2"/>
      <c r="R494" s="4"/>
      <c r="S494" s="2"/>
      <c r="T494" s="2"/>
      <c r="U494" s="1"/>
      <c r="V494" s="2"/>
      <c r="W494" s="2"/>
      <c r="X494" s="2"/>
      <c r="Y494" s="2"/>
      <c r="Z494" s="2"/>
    </row>
    <row r="495" spans="1:26" ht="15.75" customHeight="1" x14ac:dyDescent="0.2">
      <c r="E495" s="11" t="s">
        <v>979</v>
      </c>
      <c r="K495" s="11" t="s">
        <v>980</v>
      </c>
      <c r="L495" s="75" t="s">
        <v>981</v>
      </c>
      <c r="M495" s="4"/>
      <c r="N495" s="2"/>
      <c r="O495" s="4"/>
      <c r="P495" s="2"/>
      <c r="Q495" s="2"/>
      <c r="R495" s="4"/>
      <c r="S495" s="2"/>
      <c r="T495" s="2"/>
      <c r="U495" s="1"/>
      <c r="V495" s="2"/>
      <c r="W495" s="2"/>
      <c r="X495" s="2"/>
      <c r="Y495" s="2"/>
      <c r="Z495" s="2"/>
    </row>
    <row r="496" spans="1:26" ht="15.75" customHeight="1" x14ac:dyDescent="0.2">
      <c r="M496" s="4"/>
      <c r="N496" s="2"/>
      <c r="O496" s="4"/>
      <c r="P496" s="2"/>
      <c r="Q496" s="2"/>
      <c r="R496" s="4"/>
      <c r="S496" s="2"/>
      <c r="T496" s="2"/>
      <c r="U496" s="1"/>
      <c r="V496" s="2"/>
      <c r="W496" s="2"/>
      <c r="X496" s="2"/>
      <c r="Y496" s="2"/>
      <c r="Z496" s="2"/>
    </row>
    <row r="497" spans="1:26" ht="15.75" customHeight="1" x14ac:dyDescent="0.2">
      <c r="A497" s="11" t="s">
        <v>96</v>
      </c>
      <c r="D497" s="11" t="s">
        <v>982</v>
      </c>
      <c r="E497" s="11" t="s">
        <v>268</v>
      </c>
      <c r="F497" s="24"/>
      <c r="M497" s="4"/>
      <c r="N497" s="2"/>
      <c r="O497" s="4"/>
      <c r="P497" s="2"/>
      <c r="Q497" s="2"/>
      <c r="R497" s="4"/>
      <c r="S497" s="2"/>
      <c r="T497" s="2"/>
      <c r="U497" s="1"/>
      <c r="V497" s="2"/>
      <c r="W497" s="2"/>
      <c r="X497" s="2"/>
      <c r="Y497" s="2"/>
      <c r="Z497" s="2"/>
    </row>
    <row r="498" spans="1:26" ht="15.75" customHeight="1" x14ac:dyDescent="0.2">
      <c r="M498" s="4"/>
      <c r="N498" s="2"/>
      <c r="O498" s="4"/>
      <c r="P498" s="2"/>
      <c r="Q498" s="2"/>
      <c r="R498" s="4"/>
      <c r="S498" s="2"/>
      <c r="T498" s="2"/>
      <c r="U498" s="1"/>
      <c r="V498" s="2"/>
      <c r="W498" s="2"/>
      <c r="X498" s="2"/>
      <c r="Y498" s="2"/>
      <c r="Z498" s="2"/>
    </row>
    <row r="499" spans="1:26" ht="15.75" customHeight="1" x14ac:dyDescent="0.2">
      <c r="A499" s="11" t="s">
        <v>3</v>
      </c>
      <c r="B499" s="11" t="s">
        <v>4</v>
      </c>
      <c r="C499" s="11" t="s">
        <v>5</v>
      </c>
      <c r="D499" s="11" t="s">
        <v>6</v>
      </c>
      <c r="E499" s="11" t="s">
        <v>7</v>
      </c>
      <c r="I499" s="11" t="s">
        <v>6</v>
      </c>
      <c r="J499" s="11" t="s">
        <v>7</v>
      </c>
      <c r="K499" s="11" t="s">
        <v>10</v>
      </c>
      <c r="M499" s="4"/>
      <c r="N499" s="2"/>
      <c r="O499" s="4"/>
      <c r="P499" s="2"/>
      <c r="Q499" s="2"/>
      <c r="R499" s="4"/>
      <c r="S499" s="2"/>
      <c r="T499" s="2"/>
      <c r="U499" s="1"/>
      <c r="V499" s="2"/>
      <c r="W499" s="2"/>
      <c r="X499" s="2"/>
      <c r="Y499" s="2"/>
      <c r="Z499" s="2"/>
    </row>
    <row r="500" spans="1:26" ht="15.75" customHeight="1" x14ac:dyDescent="0.2">
      <c r="A500" s="11" t="s">
        <v>290</v>
      </c>
      <c r="B500" s="11" t="s">
        <v>23</v>
      </c>
      <c r="C500" s="11" t="s">
        <v>99</v>
      </c>
      <c r="D500" s="11" t="s">
        <v>330</v>
      </c>
      <c r="E500" s="11" t="s">
        <v>356</v>
      </c>
      <c r="I500" s="11" t="s">
        <v>327</v>
      </c>
      <c r="J500" s="11" t="s">
        <v>284</v>
      </c>
      <c r="K500" s="11" t="s">
        <v>332</v>
      </c>
      <c r="L500" s="75" t="s">
        <v>983</v>
      </c>
      <c r="M500" s="4"/>
      <c r="N500" s="2"/>
      <c r="O500" s="4"/>
      <c r="P500" s="2"/>
      <c r="Q500" s="2"/>
      <c r="R500" s="4"/>
      <c r="S500" s="2"/>
      <c r="T500" s="2"/>
      <c r="U500" s="1"/>
      <c r="V500" s="2"/>
      <c r="W500" s="2"/>
      <c r="X500" s="2"/>
      <c r="Y500" s="2"/>
      <c r="Z500" s="2"/>
    </row>
    <row r="501" spans="1:26" ht="15.75" customHeight="1" x14ac:dyDescent="0.2">
      <c r="A501" s="11" t="s">
        <v>277</v>
      </c>
      <c r="B501" s="11" t="s">
        <v>23</v>
      </c>
      <c r="C501" s="11" t="s">
        <v>82</v>
      </c>
      <c r="D501" s="11" t="s">
        <v>699</v>
      </c>
      <c r="E501" s="11" t="s">
        <v>699</v>
      </c>
      <c r="I501" s="11" t="s">
        <v>961</v>
      </c>
      <c r="J501" s="11" t="s">
        <v>961</v>
      </c>
      <c r="K501" s="11" t="s">
        <v>317</v>
      </c>
      <c r="L501" s="75" t="s">
        <v>984</v>
      </c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ht="15.75" customHeight="1" x14ac:dyDescent="0.2">
      <c r="A502" s="11" t="s">
        <v>277</v>
      </c>
      <c r="B502" s="11" t="s">
        <v>15</v>
      </c>
      <c r="C502" s="11" t="s">
        <v>167</v>
      </c>
      <c r="D502" s="11" t="s">
        <v>313</v>
      </c>
      <c r="E502" s="11" t="s">
        <v>313</v>
      </c>
      <c r="I502" s="11" t="s">
        <v>332</v>
      </c>
      <c r="J502" s="11" t="s">
        <v>332</v>
      </c>
      <c r="K502" s="11" t="s">
        <v>327</v>
      </c>
      <c r="L502" s="75" t="s">
        <v>874</v>
      </c>
      <c r="M502" s="4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ht="15.75" customHeight="1" x14ac:dyDescent="0.2">
      <c r="A503" s="11" t="s">
        <v>290</v>
      </c>
      <c r="B503" s="11" t="s">
        <v>15</v>
      </c>
      <c r="C503" s="11" t="s">
        <v>84</v>
      </c>
      <c r="D503" s="11" t="s">
        <v>565</v>
      </c>
      <c r="E503" s="11" t="s">
        <v>350</v>
      </c>
      <c r="I503" s="11" t="s">
        <v>770</v>
      </c>
      <c r="J503" s="11" t="s">
        <v>353</v>
      </c>
      <c r="K503" s="11" t="s">
        <v>299</v>
      </c>
      <c r="L503" s="75" t="s">
        <v>985</v>
      </c>
      <c r="M503" s="4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ht="15.75" customHeight="1" x14ac:dyDescent="0.2">
      <c r="A504" s="11" t="s">
        <v>341</v>
      </c>
      <c r="B504" s="11" t="s">
        <v>23</v>
      </c>
      <c r="C504" s="11" t="s">
        <v>31</v>
      </c>
      <c r="D504" s="11" t="s">
        <v>565</v>
      </c>
      <c r="E504" s="11" t="s">
        <v>436</v>
      </c>
      <c r="I504" s="11" t="s">
        <v>297</v>
      </c>
      <c r="J504" s="11" t="s">
        <v>986</v>
      </c>
      <c r="K504" s="11" t="s">
        <v>366</v>
      </c>
      <c r="L504" s="75" t="s">
        <v>955</v>
      </c>
      <c r="M504" s="4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ht="15.75" customHeight="1" x14ac:dyDescent="0.2">
      <c r="A505" s="11" t="s">
        <v>411</v>
      </c>
      <c r="B505" s="11" t="s">
        <v>23</v>
      </c>
      <c r="C505" s="11" t="s">
        <v>130</v>
      </c>
      <c r="D505" s="11" t="s">
        <v>284</v>
      </c>
      <c r="E505" s="11" t="s">
        <v>350</v>
      </c>
      <c r="I505" s="11" t="s">
        <v>408</v>
      </c>
      <c r="J505" s="11" t="s">
        <v>310</v>
      </c>
      <c r="K505" s="11" t="s">
        <v>487</v>
      </c>
      <c r="L505" s="75" t="s">
        <v>912</v>
      </c>
      <c r="M505" s="4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ht="15.75" customHeight="1" x14ac:dyDescent="0.2">
      <c r="A506" s="11" t="s">
        <v>290</v>
      </c>
      <c r="B506" s="11" t="s">
        <v>21</v>
      </c>
      <c r="C506" s="11" t="s">
        <v>42</v>
      </c>
      <c r="D506" s="11" t="s">
        <v>317</v>
      </c>
      <c r="E506" s="11" t="s">
        <v>299</v>
      </c>
      <c r="I506" s="11" t="s">
        <v>273</v>
      </c>
      <c r="J506" s="11" t="s">
        <v>283</v>
      </c>
      <c r="K506" s="11" t="s">
        <v>390</v>
      </c>
      <c r="L506" s="75" t="s">
        <v>987</v>
      </c>
      <c r="M506" s="4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ht="15.75" customHeight="1" x14ac:dyDescent="0.2">
      <c r="A507" s="11" t="s">
        <v>277</v>
      </c>
      <c r="B507" s="11" t="s">
        <v>21</v>
      </c>
      <c r="C507" s="11" t="s">
        <v>29</v>
      </c>
      <c r="D507" s="11" t="s">
        <v>366</v>
      </c>
      <c r="E507" s="11" t="s">
        <v>366</v>
      </c>
      <c r="I507" s="11" t="s">
        <v>273</v>
      </c>
      <c r="J507" s="11" t="s">
        <v>273</v>
      </c>
      <c r="K507" s="11" t="s">
        <v>306</v>
      </c>
      <c r="L507" s="75" t="s">
        <v>972</v>
      </c>
      <c r="M507" s="4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ht="15.75" customHeight="1" x14ac:dyDescent="0.2">
      <c r="A508" s="11" t="s">
        <v>341</v>
      </c>
      <c r="B508" s="11" t="s">
        <v>23</v>
      </c>
      <c r="C508" s="11" t="s">
        <v>81</v>
      </c>
      <c r="D508" s="11" t="s">
        <v>313</v>
      </c>
      <c r="E508" s="11" t="s">
        <v>299</v>
      </c>
      <c r="I508" s="11" t="s">
        <v>327</v>
      </c>
      <c r="J508" s="11" t="s">
        <v>283</v>
      </c>
      <c r="K508" s="11" t="s">
        <v>390</v>
      </c>
      <c r="L508" s="75" t="s">
        <v>987</v>
      </c>
      <c r="M508" s="4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ht="15.75" customHeight="1" x14ac:dyDescent="0.2">
      <c r="A509" s="11" t="s">
        <v>290</v>
      </c>
      <c r="B509" s="11" t="s">
        <v>23</v>
      </c>
      <c r="C509" s="11" t="s">
        <v>22</v>
      </c>
      <c r="D509" s="11" t="s">
        <v>764</v>
      </c>
      <c r="E509" s="11" t="s">
        <v>988</v>
      </c>
      <c r="I509" s="11" t="s">
        <v>297</v>
      </c>
      <c r="J509" s="11" t="s">
        <v>563</v>
      </c>
      <c r="K509" s="11" t="s">
        <v>299</v>
      </c>
      <c r="L509" s="75" t="s">
        <v>872</v>
      </c>
      <c r="M509" s="4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ht="15.75" customHeight="1" x14ac:dyDescent="0.2">
      <c r="M510" s="4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ht="15.75" customHeight="1" x14ac:dyDescent="0.2">
      <c r="E511" s="11" t="s">
        <v>989</v>
      </c>
      <c r="K511" s="11" t="s">
        <v>990</v>
      </c>
      <c r="L511" s="75" t="s">
        <v>991</v>
      </c>
      <c r="M511" s="4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ht="15.75" customHeight="1" x14ac:dyDescent="0.2">
      <c r="M512" s="4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ht="15.75" customHeight="1" x14ac:dyDescent="0.2">
      <c r="M513" s="4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ht="15.75" customHeight="1" x14ac:dyDescent="0.2">
      <c r="M514" s="4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ht="15.75" customHeight="1" x14ac:dyDescent="0.2">
      <c r="A515" s="11" t="s">
        <v>233</v>
      </c>
      <c r="D515" s="11" t="s">
        <v>97</v>
      </c>
      <c r="E515" s="11" t="s">
        <v>268</v>
      </c>
      <c r="F515" s="24"/>
      <c r="M515" s="4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ht="15.75" customHeight="1" x14ac:dyDescent="0.2">
      <c r="M516" s="4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ht="15.75" customHeight="1" x14ac:dyDescent="0.2">
      <c r="A517" s="11" t="s">
        <v>3</v>
      </c>
      <c r="B517" s="11" t="s">
        <v>4</v>
      </c>
      <c r="C517" s="11" t="s">
        <v>5</v>
      </c>
      <c r="D517" s="11" t="s">
        <v>6</v>
      </c>
      <c r="E517" s="11" t="s">
        <v>7</v>
      </c>
      <c r="I517" s="11" t="s">
        <v>6</v>
      </c>
      <c r="J517" s="11" t="s">
        <v>7</v>
      </c>
      <c r="K517" s="11" t="s">
        <v>10</v>
      </c>
      <c r="M517" s="4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ht="15.75" customHeight="1" x14ac:dyDescent="0.2">
      <c r="A518" s="11" t="s">
        <v>277</v>
      </c>
      <c r="B518" s="11" t="s">
        <v>23</v>
      </c>
      <c r="C518" s="11" t="s">
        <v>89</v>
      </c>
      <c r="D518" s="11" t="s">
        <v>627</v>
      </c>
      <c r="E518" s="11" t="s">
        <v>627</v>
      </c>
      <c r="I518" s="11" t="s">
        <v>558</v>
      </c>
      <c r="J518" s="11" t="s">
        <v>558</v>
      </c>
      <c r="K518" s="11" t="s">
        <v>390</v>
      </c>
      <c r="L518" s="75" t="s">
        <v>977</v>
      </c>
      <c r="M518" s="4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ht="15.75" customHeight="1" x14ac:dyDescent="0.2">
      <c r="A519" s="11" t="s">
        <v>341</v>
      </c>
      <c r="B519" s="11" t="s">
        <v>23</v>
      </c>
      <c r="C519" s="11" t="s">
        <v>153</v>
      </c>
      <c r="D519" s="11" t="s">
        <v>565</v>
      </c>
      <c r="E519" s="11" t="s">
        <v>436</v>
      </c>
      <c r="I519" s="11" t="s">
        <v>297</v>
      </c>
      <c r="J519" s="11" t="s">
        <v>986</v>
      </c>
      <c r="K519" s="11" t="s">
        <v>366</v>
      </c>
      <c r="L519" s="75" t="s">
        <v>955</v>
      </c>
      <c r="M519" s="4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ht="15.75" customHeight="1" x14ac:dyDescent="0.2">
      <c r="A520" s="11" t="s">
        <v>277</v>
      </c>
      <c r="B520" s="11" t="s">
        <v>15</v>
      </c>
      <c r="C520" s="11" t="s">
        <v>135</v>
      </c>
      <c r="D520" s="11" t="s">
        <v>565</v>
      </c>
      <c r="E520" s="11" t="s">
        <v>565</v>
      </c>
      <c r="I520" s="11" t="s">
        <v>770</v>
      </c>
      <c r="J520" s="11" t="s">
        <v>770</v>
      </c>
      <c r="K520" s="11" t="s">
        <v>317</v>
      </c>
      <c r="L520" s="75" t="s">
        <v>985</v>
      </c>
      <c r="M520" s="4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ht="15.75" customHeight="1" x14ac:dyDescent="0.2">
      <c r="A521" s="11" t="s">
        <v>341</v>
      </c>
      <c r="B521" s="11" t="s">
        <v>15</v>
      </c>
      <c r="C521" s="11" t="s">
        <v>40</v>
      </c>
      <c r="D521" s="11" t="s">
        <v>284</v>
      </c>
      <c r="E521" s="11" t="s">
        <v>327</v>
      </c>
      <c r="I521" s="11" t="s">
        <v>408</v>
      </c>
      <c r="J521" s="11" t="s">
        <v>369</v>
      </c>
      <c r="K521" s="11" t="s">
        <v>366</v>
      </c>
      <c r="L521" s="75" t="s">
        <v>912</v>
      </c>
      <c r="M521" s="4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ht="15.75" customHeight="1" x14ac:dyDescent="0.2">
      <c r="A522" s="11" t="s">
        <v>341</v>
      </c>
      <c r="B522" s="11" t="s">
        <v>23</v>
      </c>
      <c r="C522" s="11" t="s">
        <v>130</v>
      </c>
      <c r="D522" s="11" t="s">
        <v>330</v>
      </c>
      <c r="E522" s="11" t="s">
        <v>672</v>
      </c>
      <c r="I522" s="11" t="s">
        <v>408</v>
      </c>
      <c r="J522" s="11" t="s">
        <v>369</v>
      </c>
      <c r="K522" s="11" t="s">
        <v>392</v>
      </c>
      <c r="L522" s="75" t="s">
        <v>965</v>
      </c>
      <c r="M522" s="4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ht="15.75" customHeight="1" x14ac:dyDescent="0.2">
      <c r="M523" s="4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ht="15.75" customHeight="1" x14ac:dyDescent="0.2">
      <c r="E524" s="11" t="s">
        <v>992</v>
      </c>
      <c r="K524" s="11" t="s">
        <v>313</v>
      </c>
      <c r="L524" s="75" t="s">
        <v>993</v>
      </c>
      <c r="M524" s="4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ht="15.75" customHeight="1" x14ac:dyDescent="0.2">
      <c r="M525" s="4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ht="15.75" customHeight="1" x14ac:dyDescent="0.2"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ht="15.75" customHeight="1" x14ac:dyDescent="0.2">
      <c r="A527" s="11" t="s">
        <v>140</v>
      </c>
      <c r="C527" s="24" t="s">
        <v>158</v>
      </c>
      <c r="D527" s="11" t="s">
        <v>268</v>
      </c>
      <c r="G527" s="11" t="s">
        <v>2</v>
      </c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M528" s="4"/>
      <c r="N528" s="2"/>
      <c r="O528" s="4"/>
      <c r="P528" s="2"/>
      <c r="Q528" s="2"/>
      <c r="R528" s="4"/>
      <c r="S528" s="2"/>
      <c r="T528" s="2"/>
      <c r="U528" s="1"/>
      <c r="V528" s="2"/>
      <c r="W528" s="2"/>
      <c r="X528" s="2"/>
      <c r="Y528" s="2"/>
      <c r="Z528" s="2"/>
    </row>
    <row r="529" spans="1:26" ht="15.75" customHeight="1" x14ac:dyDescent="0.2">
      <c r="A529" s="11" t="s">
        <v>3</v>
      </c>
      <c r="B529" s="11" t="s">
        <v>4</v>
      </c>
      <c r="C529" s="11" t="s">
        <v>5</v>
      </c>
      <c r="D529" s="11" t="s">
        <v>6</v>
      </c>
      <c r="E529" s="11" t="s">
        <v>7</v>
      </c>
      <c r="F529" s="11" t="s">
        <v>8</v>
      </c>
      <c r="I529" s="11" t="s">
        <v>9</v>
      </c>
      <c r="J529" s="11" t="s">
        <v>7</v>
      </c>
      <c r="K529" s="11" t="s">
        <v>10</v>
      </c>
      <c r="M529" s="4"/>
      <c r="N529" s="2"/>
      <c r="O529" s="4"/>
      <c r="P529" s="2"/>
      <c r="Q529" s="2"/>
      <c r="R529" s="4"/>
      <c r="S529" s="2"/>
      <c r="T529" s="2"/>
      <c r="U529" s="1"/>
      <c r="V529" s="2"/>
      <c r="W529" s="2"/>
      <c r="X529" s="2"/>
      <c r="Y529" s="2"/>
      <c r="Z529" s="2"/>
    </row>
    <row r="530" spans="1:26" ht="15.75" customHeight="1" x14ac:dyDescent="0.2">
      <c r="A530" s="11" t="s">
        <v>277</v>
      </c>
      <c r="B530" s="11" t="s">
        <v>23</v>
      </c>
      <c r="C530" s="11" t="s">
        <v>81</v>
      </c>
      <c r="D530" s="11" t="s">
        <v>313</v>
      </c>
      <c r="E530" s="11" t="s">
        <v>313</v>
      </c>
      <c r="F530" s="11" t="s">
        <v>576</v>
      </c>
      <c r="I530" s="11" t="s">
        <v>327</v>
      </c>
      <c r="J530" s="11" t="s">
        <v>327</v>
      </c>
      <c r="K530" s="11" t="s">
        <v>994</v>
      </c>
      <c r="L530" s="75" t="s">
        <v>936</v>
      </c>
      <c r="M530" s="4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ht="15.75" customHeight="1" x14ac:dyDescent="0.2">
      <c r="A531" s="11" t="s">
        <v>277</v>
      </c>
      <c r="B531" s="11" t="s">
        <v>23</v>
      </c>
      <c r="C531" s="11" t="s">
        <v>130</v>
      </c>
      <c r="D531" s="11" t="s">
        <v>284</v>
      </c>
      <c r="E531" s="11" t="s">
        <v>284</v>
      </c>
      <c r="F531" s="11" t="s">
        <v>285</v>
      </c>
      <c r="I531" s="11" t="s">
        <v>408</v>
      </c>
      <c r="J531" s="11" t="s">
        <v>408</v>
      </c>
      <c r="K531" s="11" t="s">
        <v>409</v>
      </c>
      <c r="L531" s="75" t="s">
        <v>410</v>
      </c>
      <c r="M531" s="4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ht="15.75" customHeight="1" x14ac:dyDescent="0.2">
      <c r="A532" s="11" t="s">
        <v>728</v>
      </c>
      <c r="B532" s="11" t="s">
        <v>21</v>
      </c>
      <c r="C532" s="11" t="s">
        <v>46</v>
      </c>
      <c r="D532" s="11" t="s">
        <v>431</v>
      </c>
      <c r="E532" s="11" t="s">
        <v>284</v>
      </c>
      <c r="F532" s="11" t="s">
        <v>285</v>
      </c>
      <c r="I532" s="11" t="s">
        <v>433</v>
      </c>
      <c r="J532" s="11" t="s">
        <v>438</v>
      </c>
      <c r="K532" s="11" t="s">
        <v>995</v>
      </c>
      <c r="L532" s="75" t="s">
        <v>308</v>
      </c>
      <c r="M532" s="4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ht="15.75" customHeight="1" x14ac:dyDescent="0.2">
      <c r="A533" s="11" t="s">
        <v>411</v>
      </c>
      <c r="B533" s="11" t="s">
        <v>21</v>
      </c>
      <c r="C533" s="11" t="s">
        <v>51</v>
      </c>
      <c r="D533" s="11" t="s">
        <v>273</v>
      </c>
      <c r="E533" s="11" t="s">
        <v>270</v>
      </c>
      <c r="F533" s="11" t="s">
        <v>498</v>
      </c>
      <c r="I533" s="11" t="s">
        <v>279</v>
      </c>
      <c r="J533" s="11" t="s">
        <v>948</v>
      </c>
      <c r="K533" s="11" t="s">
        <v>996</v>
      </c>
      <c r="L533" s="75" t="s">
        <v>281</v>
      </c>
      <c r="M533" s="4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ht="15.75" customHeight="1" x14ac:dyDescent="0.2">
      <c r="M534" s="4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ht="15.75" customHeight="1" x14ac:dyDescent="0.2">
      <c r="E535" s="11" t="s">
        <v>997</v>
      </c>
      <c r="F535" s="11" t="s">
        <v>998</v>
      </c>
      <c r="K535" s="11" t="s">
        <v>999</v>
      </c>
      <c r="L535" s="75" t="s">
        <v>407</v>
      </c>
      <c r="M535" s="4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ht="15.75" customHeight="1" x14ac:dyDescent="0.2">
      <c r="M536" s="4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ht="15.75" customHeight="1" x14ac:dyDescent="0.2">
      <c r="M537" s="4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ht="15.75" customHeight="1" x14ac:dyDescent="0.2">
      <c r="A538" s="11" t="s">
        <v>1000</v>
      </c>
      <c r="D538" s="11" t="s">
        <v>71</v>
      </c>
      <c r="E538" s="11" t="s">
        <v>268</v>
      </c>
      <c r="F538" s="24"/>
      <c r="M538" s="4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ht="15.75" customHeight="1" x14ac:dyDescent="0.2">
      <c r="M539" s="4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ht="15.75" customHeight="1" x14ac:dyDescent="0.2">
      <c r="A540" s="11" t="s">
        <v>3</v>
      </c>
      <c r="B540" s="11" t="s">
        <v>4</v>
      </c>
      <c r="C540" s="11" t="s">
        <v>5</v>
      </c>
      <c r="D540" s="11" t="s">
        <v>6</v>
      </c>
      <c r="E540" s="11" t="s">
        <v>7</v>
      </c>
      <c r="I540" s="11" t="s">
        <v>6</v>
      </c>
      <c r="J540" s="11" t="s">
        <v>7</v>
      </c>
      <c r="K540" s="11" t="s">
        <v>10</v>
      </c>
      <c r="M540" s="4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ht="15.75" customHeight="1" x14ac:dyDescent="0.2">
      <c r="A541" s="11" t="s">
        <v>277</v>
      </c>
      <c r="B541" s="11" t="s">
        <v>15</v>
      </c>
      <c r="C541" s="11" t="s">
        <v>56</v>
      </c>
      <c r="D541" s="11" t="s">
        <v>770</v>
      </c>
      <c r="E541" s="11" t="s">
        <v>770</v>
      </c>
      <c r="I541" s="11" t="s">
        <v>284</v>
      </c>
      <c r="J541" s="11" t="s">
        <v>284</v>
      </c>
      <c r="K541" s="11" t="s">
        <v>392</v>
      </c>
      <c r="L541" s="75" t="s">
        <v>1001</v>
      </c>
      <c r="M541" s="4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ht="15.75" customHeight="1" x14ac:dyDescent="0.2">
      <c r="A542" s="11" t="s">
        <v>277</v>
      </c>
      <c r="B542" s="11" t="s">
        <v>15</v>
      </c>
      <c r="C542" s="11" t="s">
        <v>135</v>
      </c>
      <c r="D542" s="11" t="s">
        <v>313</v>
      </c>
      <c r="E542" s="11" t="s">
        <v>313</v>
      </c>
      <c r="I542" s="11" t="s">
        <v>770</v>
      </c>
      <c r="J542" s="11" t="s">
        <v>770</v>
      </c>
      <c r="K542" s="11" t="s">
        <v>392</v>
      </c>
      <c r="L542" s="75" t="s">
        <v>1002</v>
      </c>
      <c r="M542" s="4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ht="15.75" customHeight="1" x14ac:dyDescent="0.2">
      <c r="A543" s="11" t="s">
        <v>341</v>
      </c>
      <c r="B543" s="11" t="s">
        <v>23</v>
      </c>
      <c r="C543" s="11" t="s">
        <v>85</v>
      </c>
      <c r="D543" s="11" t="s">
        <v>915</v>
      </c>
      <c r="E543" s="11" t="s">
        <v>563</v>
      </c>
      <c r="I543" s="11" t="s">
        <v>345</v>
      </c>
      <c r="J543" s="11" t="s">
        <v>346</v>
      </c>
      <c r="K543" s="11" t="s">
        <v>306</v>
      </c>
      <c r="L543" s="75" t="s">
        <v>916</v>
      </c>
      <c r="M543" s="4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ht="15.75" customHeight="1" x14ac:dyDescent="0.2">
      <c r="A544" s="11" t="s">
        <v>277</v>
      </c>
      <c r="B544" s="11" t="s">
        <v>17</v>
      </c>
      <c r="C544" s="11" t="s">
        <v>110</v>
      </c>
      <c r="D544" s="11" t="s">
        <v>317</v>
      </c>
      <c r="E544" s="11" t="s">
        <v>317</v>
      </c>
      <c r="I544" s="11" t="s">
        <v>392</v>
      </c>
      <c r="J544" s="11" t="s">
        <v>392</v>
      </c>
      <c r="K544" s="11" t="s">
        <v>392</v>
      </c>
      <c r="L544" s="75" t="s">
        <v>894</v>
      </c>
      <c r="M544" s="4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ht="15.75" customHeight="1" x14ac:dyDescent="0.2">
      <c r="A545" s="11" t="s">
        <v>447</v>
      </c>
      <c r="B545" s="11" t="s">
        <v>21</v>
      </c>
      <c r="C545" s="11" t="s">
        <v>46</v>
      </c>
      <c r="D545" s="11" t="s">
        <v>932</v>
      </c>
      <c r="E545" s="11" t="s">
        <v>304</v>
      </c>
      <c r="I545" s="11" t="s">
        <v>433</v>
      </c>
      <c r="J545" s="11" t="s">
        <v>294</v>
      </c>
      <c r="K545" s="11" t="s">
        <v>934</v>
      </c>
      <c r="L545" s="75" t="s">
        <v>1003</v>
      </c>
      <c r="M545" s="4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ht="15.75" customHeight="1" x14ac:dyDescent="0.2">
      <c r="A546" s="11" t="s">
        <v>277</v>
      </c>
      <c r="B546" s="11" t="s">
        <v>21</v>
      </c>
      <c r="C546" s="11" t="s">
        <v>51</v>
      </c>
      <c r="D546" s="11" t="s">
        <v>273</v>
      </c>
      <c r="E546" s="11" t="s">
        <v>273</v>
      </c>
      <c r="I546" s="11" t="s">
        <v>279</v>
      </c>
      <c r="J546" s="11" t="s">
        <v>279</v>
      </c>
      <c r="K546" s="11" t="s">
        <v>875</v>
      </c>
      <c r="L546" s="75" t="s">
        <v>876</v>
      </c>
      <c r="M546" s="4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ht="15.75" customHeight="1" x14ac:dyDescent="0.2">
      <c r="A547" s="11" t="s">
        <v>282</v>
      </c>
      <c r="B547" s="11" t="s">
        <v>17</v>
      </c>
      <c r="C547" s="11" t="s">
        <v>127</v>
      </c>
      <c r="D547" s="11" t="s">
        <v>395</v>
      </c>
      <c r="E547" s="11" t="s">
        <v>450</v>
      </c>
      <c r="I547" s="11" t="s">
        <v>882</v>
      </c>
      <c r="J547" s="11" t="s">
        <v>672</v>
      </c>
      <c r="K547" s="11" t="s">
        <v>323</v>
      </c>
      <c r="L547" s="75" t="s">
        <v>884</v>
      </c>
      <c r="M547" s="4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ht="15.75" customHeight="1" x14ac:dyDescent="0.2">
      <c r="M548" s="4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ht="15.75" customHeight="1" x14ac:dyDescent="0.2">
      <c r="E549" s="11" t="s">
        <v>1004</v>
      </c>
      <c r="K549" s="11" t="s">
        <v>1005</v>
      </c>
      <c r="L549" s="75" t="s">
        <v>1006</v>
      </c>
      <c r="M549" s="4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ht="15.75" customHeight="1" x14ac:dyDescent="0.2">
      <c r="M550" s="4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ht="15.75" customHeight="1" x14ac:dyDescent="0.2">
      <c r="M551" s="4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ht="15.75" customHeight="1" x14ac:dyDescent="0.2">
      <c r="A552" s="11" t="s">
        <v>119</v>
      </c>
      <c r="D552" s="11" t="s">
        <v>109</v>
      </c>
      <c r="E552" s="11" t="s">
        <v>268</v>
      </c>
      <c r="F552" s="24"/>
      <c r="M552" s="4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ht="15.75" customHeight="1" x14ac:dyDescent="0.2">
      <c r="M553" s="4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ht="15.75" customHeight="1" x14ac:dyDescent="0.2">
      <c r="A554" s="11" t="s">
        <v>3</v>
      </c>
      <c r="B554" s="11" t="s">
        <v>4</v>
      </c>
      <c r="C554" s="11" t="s">
        <v>5</v>
      </c>
      <c r="D554" s="11" t="s">
        <v>6</v>
      </c>
      <c r="E554" s="11" t="s">
        <v>7</v>
      </c>
      <c r="I554" s="11" t="s">
        <v>6</v>
      </c>
      <c r="J554" s="11" t="s">
        <v>7</v>
      </c>
      <c r="K554" s="11" t="s">
        <v>10</v>
      </c>
      <c r="M554" s="4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ht="15.75" customHeight="1" x14ac:dyDescent="0.2">
      <c r="A555" s="11" t="s">
        <v>277</v>
      </c>
      <c r="B555" s="11" t="s">
        <v>17</v>
      </c>
      <c r="C555" s="11" t="s">
        <v>87</v>
      </c>
      <c r="D555" s="11" t="s">
        <v>283</v>
      </c>
      <c r="E555" s="11" t="s">
        <v>283</v>
      </c>
      <c r="I555" s="11" t="s">
        <v>286</v>
      </c>
      <c r="J555" s="11" t="s">
        <v>286</v>
      </c>
      <c r="K555" s="11" t="s">
        <v>1007</v>
      </c>
      <c r="L555" s="75" t="s">
        <v>1008</v>
      </c>
      <c r="M555" s="4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ht="15.75" customHeight="1" x14ac:dyDescent="0.2">
      <c r="A556" s="11" t="s">
        <v>290</v>
      </c>
      <c r="B556" s="11" t="s">
        <v>17</v>
      </c>
      <c r="C556" s="11" t="s">
        <v>99</v>
      </c>
      <c r="D556" s="11" t="s">
        <v>273</v>
      </c>
      <c r="E556" s="11" t="s">
        <v>283</v>
      </c>
      <c r="I556" s="11" t="s">
        <v>453</v>
      </c>
      <c r="J556" s="11" t="s">
        <v>323</v>
      </c>
      <c r="K556" s="11" t="s">
        <v>412</v>
      </c>
      <c r="L556" s="75" t="s">
        <v>1009</v>
      </c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ht="15.75" customHeight="1" x14ac:dyDescent="0.2">
      <c r="A557" s="11" t="s">
        <v>277</v>
      </c>
      <c r="B557" s="11" t="s">
        <v>15</v>
      </c>
      <c r="C557" s="11" t="s">
        <v>56</v>
      </c>
      <c r="D557" s="11" t="s">
        <v>487</v>
      </c>
      <c r="E557" s="11" t="s">
        <v>487</v>
      </c>
      <c r="I557" s="11" t="s">
        <v>284</v>
      </c>
      <c r="J557" s="11" t="s">
        <v>284</v>
      </c>
      <c r="K557" s="11" t="s">
        <v>283</v>
      </c>
      <c r="L557" s="75" t="s">
        <v>868</v>
      </c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1" t="s">
        <v>341</v>
      </c>
      <c r="B558" s="11" t="s">
        <v>17</v>
      </c>
      <c r="C558" s="11" t="s">
        <v>55</v>
      </c>
      <c r="D558" s="11" t="s">
        <v>310</v>
      </c>
      <c r="E558" s="11" t="s">
        <v>1010</v>
      </c>
      <c r="I558" s="11" t="s">
        <v>565</v>
      </c>
      <c r="J558" s="11" t="s">
        <v>436</v>
      </c>
      <c r="K558" s="11" t="s">
        <v>273</v>
      </c>
      <c r="L558" s="75" t="s">
        <v>1001</v>
      </c>
      <c r="M558" s="4"/>
      <c r="N558" s="2"/>
      <c r="O558" s="4"/>
      <c r="P558" s="2"/>
      <c r="Q558" s="2"/>
      <c r="R558" s="4"/>
      <c r="S558" s="2"/>
      <c r="T558" s="2"/>
      <c r="U558" s="1"/>
      <c r="V558" s="2"/>
      <c r="W558" s="2"/>
      <c r="X558" s="2"/>
      <c r="Y558" s="2"/>
      <c r="Z558" s="2"/>
    </row>
    <row r="559" spans="1:26" ht="15.75" customHeight="1" x14ac:dyDescent="0.2">
      <c r="A559" s="11" t="s">
        <v>290</v>
      </c>
      <c r="B559" s="11" t="s">
        <v>17</v>
      </c>
      <c r="C559" s="11" t="s">
        <v>89</v>
      </c>
      <c r="D559" s="11" t="s">
        <v>330</v>
      </c>
      <c r="E559" s="11" t="s">
        <v>356</v>
      </c>
      <c r="I559" s="11" t="s">
        <v>332</v>
      </c>
      <c r="J559" s="11" t="s">
        <v>557</v>
      </c>
      <c r="K559" s="11" t="s">
        <v>392</v>
      </c>
      <c r="L559" s="75" t="s">
        <v>1011</v>
      </c>
      <c r="M559" s="4"/>
      <c r="N559" s="2"/>
      <c r="O559" s="4"/>
      <c r="P559" s="2"/>
      <c r="Q559" s="2"/>
      <c r="R559" s="4"/>
      <c r="S559" s="2"/>
      <c r="T559" s="2"/>
      <c r="U559" s="1"/>
      <c r="V559" s="2"/>
      <c r="W559" s="2"/>
      <c r="X559" s="2"/>
      <c r="Y559" s="2"/>
      <c r="Z559" s="2"/>
    </row>
    <row r="560" spans="1:26" ht="15.75" customHeight="1" x14ac:dyDescent="0.2">
      <c r="A560" s="11" t="s">
        <v>302</v>
      </c>
      <c r="B560" s="11" t="s">
        <v>23</v>
      </c>
      <c r="C560" s="11" t="s">
        <v>85</v>
      </c>
      <c r="D560" s="11" t="s">
        <v>1012</v>
      </c>
      <c r="E560" s="11" t="s">
        <v>1013</v>
      </c>
      <c r="I560" s="11" t="s">
        <v>345</v>
      </c>
      <c r="J560" s="11" t="s">
        <v>823</v>
      </c>
      <c r="K560" s="11" t="s">
        <v>438</v>
      </c>
      <c r="L560" s="75" t="s">
        <v>1011</v>
      </c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A561" s="11" t="s">
        <v>290</v>
      </c>
      <c r="B561" s="11" t="s">
        <v>17</v>
      </c>
      <c r="C561" s="11" t="s">
        <v>113</v>
      </c>
      <c r="D561" s="11" t="s">
        <v>317</v>
      </c>
      <c r="E561" s="11" t="s">
        <v>299</v>
      </c>
      <c r="I561" s="11" t="s">
        <v>366</v>
      </c>
      <c r="J561" s="11" t="s">
        <v>390</v>
      </c>
      <c r="K561" s="11" t="s">
        <v>283</v>
      </c>
      <c r="L561" s="75" t="s">
        <v>874</v>
      </c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11" t="s">
        <v>529</v>
      </c>
      <c r="B562" s="11" t="s">
        <v>4</v>
      </c>
      <c r="C562" s="11" t="s">
        <v>65</v>
      </c>
      <c r="D562" s="11" t="s">
        <v>395</v>
      </c>
      <c r="E562" s="11" t="s">
        <v>699</v>
      </c>
      <c r="I562" s="11" t="s">
        <v>609</v>
      </c>
      <c r="J562" s="11" t="s">
        <v>1014</v>
      </c>
      <c r="K562" s="11" t="s">
        <v>686</v>
      </c>
      <c r="L562" s="75" t="s">
        <v>1015</v>
      </c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1" t="s">
        <v>277</v>
      </c>
      <c r="B563" s="11" t="s">
        <v>23</v>
      </c>
      <c r="C563" s="11" t="s">
        <v>26</v>
      </c>
      <c r="D563" s="11" t="s">
        <v>699</v>
      </c>
      <c r="E563" s="11" t="s">
        <v>699</v>
      </c>
      <c r="I563" s="11" t="s">
        <v>356</v>
      </c>
      <c r="J563" s="11" t="s">
        <v>356</v>
      </c>
      <c r="K563" s="11" t="s">
        <v>390</v>
      </c>
      <c r="L563" s="75" t="s">
        <v>1016</v>
      </c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1" t="s">
        <v>277</v>
      </c>
      <c r="B564" s="11" t="s">
        <v>17</v>
      </c>
      <c r="C564" s="11" t="s">
        <v>31</v>
      </c>
      <c r="D564" s="11" t="s">
        <v>283</v>
      </c>
      <c r="E564" s="11" t="s">
        <v>283</v>
      </c>
      <c r="I564" s="11" t="s">
        <v>375</v>
      </c>
      <c r="J564" s="11" t="s">
        <v>375</v>
      </c>
      <c r="K564" s="11" t="s">
        <v>1017</v>
      </c>
      <c r="L564" s="75" t="s">
        <v>1018</v>
      </c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1" t="s">
        <v>277</v>
      </c>
      <c r="B565" s="11" t="s">
        <v>17</v>
      </c>
      <c r="C565" s="11" t="s">
        <v>32</v>
      </c>
      <c r="D565" s="11" t="s">
        <v>383</v>
      </c>
      <c r="E565" s="11" t="s">
        <v>383</v>
      </c>
      <c r="I565" s="11" t="s">
        <v>379</v>
      </c>
      <c r="J565" s="11" t="s">
        <v>379</v>
      </c>
      <c r="K565" s="11" t="s">
        <v>404</v>
      </c>
      <c r="L565" s="75" t="s">
        <v>1019</v>
      </c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1" t="s">
        <v>277</v>
      </c>
      <c r="B566" s="11" t="s">
        <v>17</v>
      </c>
      <c r="C566" s="11" t="s">
        <v>33</v>
      </c>
      <c r="D566" s="11" t="s">
        <v>283</v>
      </c>
      <c r="E566" s="11" t="s">
        <v>283</v>
      </c>
      <c r="I566" s="11" t="s">
        <v>386</v>
      </c>
      <c r="J566" s="11" t="s">
        <v>386</v>
      </c>
      <c r="K566" s="11" t="s">
        <v>453</v>
      </c>
      <c r="L566" s="75" t="s">
        <v>1020</v>
      </c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1" t="s">
        <v>277</v>
      </c>
      <c r="B567" s="11" t="s">
        <v>17</v>
      </c>
      <c r="C567" s="11" t="s">
        <v>30</v>
      </c>
      <c r="D567" s="11" t="s">
        <v>273</v>
      </c>
      <c r="E567" s="11" t="s">
        <v>273</v>
      </c>
      <c r="I567" s="11" t="s">
        <v>514</v>
      </c>
      <c r="J567" s="11" t="s">
        <v>514</v>
      </c>
      <c r="K567" s="11" t="s">
        <v>1021</v>
      </c>
      <c r="L567" s="75" t="s">
        <v>1022</v>
      </c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1" t="s">
        <v>290</v>
      </c>
      <c r="B568" s="11" t="s">
        <v>17</v>
      </c>
      <c r="C568" s="11" t="s">
        <v>123</v>
      </c>
      <c r="D568" s="11" t="s">
        <v>283</v>
      </c>
      <c r="E568" s="11" t="s">
        <v>327</v>
      </c>
      <c r="I568" s="11" t="s">
        <v>877</v>
      </c>
      <c r="J568" s="11" t="s">
        <v>1023</v>
      </c>
      <c r="K568" s="11" t="s">
        <v>1024</v>
      </c>
      <c r="L568" s="75" t="s">
        <v>880</v>
      </c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1" t="s">
        <v>277</v>
      </c>
      <c r="B569" s="11" t="s">
        <v>15</v>
      </c>
      <c r="C569" s="11" t="s">
        <v>40</v>
      </c>
      <c r="D569" s="11" t="s">
        <v>284</v>
      </c>
      <c r="E569" s="11" t="s">
        <v>284</v>
      </c>
      <c r="I569" s="11" t="s">
        <v>408</v>
      </c>
      <c r="J569" s="11" t="s">
        <v>408</v>
      </c>
      <c r="K569" s="11" t="s">
        <v>390</v>
      </c>
      <c r="L569" s="75" t="s">
        <v>912</v>
      </c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1" t="s">
        <v>290</v>
      </c>
      <c r="B570" s="11" t="s">
        <v>17</v>
      </c>
      <c r="C570" s="11" t="s">
        <v>61</v>
      </c>
      <c r="D570" s="11" t="s">
        <v>426</v>
      </c>
      <c r="E570" s="11" t="s">
        <v>618</v>
      </c>
      <c r="I570" s="11" t="s">
        <v>386</v>
      </c>
      <c r="J570" s="11" t="s">
        <v>599</v>
      </c>
      <c r="K570" s="11" t="s">
        <v>271</v>
      </c>
      <c r="L570" s="75" t="s">
        <v>1025</v>
      </c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5.75" customHeight="1" x14ac:dyDescent="0.2"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5.75" customHeight="1" x14ac:dyDescent="0.2">
      <c r="E572" s="11" t="s">
        <v>1026</v>
      </c>
      <c r="K572" s="11" t="s">
        <v>1027</v>
      </c>
      <c r="L572" s="75" t="s">
        <v>1028</v>
      </c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1" t="s">
        <v>121</v>
      </c>
      <c r="D575" s="11" t="s">
        <v>60</v>
      </c>
      <c r="E575" s="11" t="s">
        <v>268</v>
      </c>
      <c r="F575" s="24"/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1" t="s">
        <v>3</v>
      </c>
      <c r="B577" s="11" t="s">
        <v>4</v>
      </c>
      <c r="C577" s="11" t="s">
        <v>5</v>
      </c>
      <c r="D577" s="11" t="s">
        <v>6</v>
      </c>
      <c r="E577" s="11" t="s">
        <v>7</v>
      </c>
      <c r="I577" s="11" t="s">
        <v>6</v>
      </c>
      <c r="J577" s="11" t="s">
        <v>7</v>
      </c>
      <c r="K577" s="11" t="s">
        <v>10</v>
      </c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1" t="s">
        <v>277</v>
      </c>
      <c r="B578" s="11" t="s">
        <v>21</v>
      </c>
      <c r="C578" s="11" t="s">
        <v>51</v>
      </c>
      <c r="D578" s="11" t="s">
        <v>273</v>
      </c>
      <c r="E578" s="11" t="s">
        <v>273</v>
      </c>
      <c r="I578" s="11" t="s">
        <v>279</v>
      </c>
      <c r="J578" s="11" t="s">
        <v>279</v>
      </c>
      <c r="K578" s="11" t="s">
        <v>875</v>
      </c>
      <c r="L578" s="75" t="s">
        <v>876</v>
      </c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1" t="s">
        <v>277</v>
      </c>
      <c r="B579" s="11" t="s">
        <v>17</v>
      </c>
      <c r="C579" s="11" t="s">
        <v>87</v>
      </c>
      <c r="D579" s="11" t="s">
        <v>283</v>
      </c>
      <c r="E579" s="11" t="s">
        <v>283</v>
      </c>
      <c r="I579" s="11" t="s">
        <v>286</v>
      </c>
      <c r="J579" s="11" t="s">
        <v>286</v>
      </c>
      <c r="K579" s="11" t="s">
        <v>1007</v>
      </c>
      <c r="L579" s="75" t="s">
        <v>1008</v>
      </c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1" t="s">
        <v>277</v>
      </c>
      <c r="B580" s="11" t="s">
        <v>17</v>
      </c>
      <c r="C580" s="11" t="s">
        <v>56</v>
      </c>
      <c r="D580" s="11" t="s">
        <v>607</v>
      </c>
      <c r="E580" s="11" t="s">
        <v>607</v>
      </c>
      <c r="I580" s="11" t="s">
        <v>607</v>
      </c>
      <c r="J580" s="11" t="s">
        <v>607</v>
      </c>
      <c r="K580" s="11" t="s">
        <v>1029</v>
      </c>
      <c r="L580" s="75" t="s">
        <v>1030</v>
      </c>
      <c r="M580" s="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1" t="s">
        <v>277</v>
      </c>
      <c r="B581" s="11" t="s">
        <v>17</v>
      </c>
      <c r="C581" s="11" t="s">
        <v>89</v>
      </c>
      <c r="D581" s="11" t="s">
        <v>330</v>
      </c>
      <c r="E581" s="11" t="s">
        <v>330</v>
      </c>
      <c r="I581" s="11" t="s">
        <v>332</v>
      </c>
      <c r="J581" s="11" t="s">
        <v>332</v>
      </c>
      <c r="K581" s="11" t="s">
        <v>306</v>
      </c>
      <c r="L581" s="75" t="s">
        <v>1011</v>
      </c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1" t="s">
        <v>277</v>
      </c>
      <c r="B582" s="11" t="s">
        <v>17</v>
      </c>
      <c r="C582" s="11" t="s">
        <v>90</v>
      </c>
      <c r="D582" s="11" t="s">
        <v>1031</v>
      </c>
      <c r="E582" s="11" t="s">
        <v>1031</v>
      </c>
      <c r="I582" s="11" t="s">
        <v>1032</v>
      </c>
      <c r="J582" s="11" t="s">
        <v>1032</v>
      </c>
      <c r="K582" s="11" t="s">
        <v>1033</v>
      </c>
      <c r="L582" s="75" t="s">
        <v>1034</v>
      </c>
      <c r="M582" s="4"/>
      <c r="N582" s="2"/>
      <c r="O582" s="4"/>
      <c r="P582" s="2"/>
      <c r="Q582" s="2"/>
      <c r="R582" s="4"/>
      <c r="S582" s="2"/>
      <c r="T582" s="2"/>
      <c r="U582" s="1"/>
      <c r="V582" s="2"/>
      <c r="W582" s="2"/>
      <c r="X582" s="2"/>
      <c r="Y582" s="2"/>
      <c r="Z582" s="2"/>
    </row>
    <row r="583" spans="1:26" ht="15.75" customHeight="1" x14ac:dyDescent="0.2">
      <c r="A583" s="11" t="s">
        <v>772</v>
      </c>
      <c r="B583" s="11" t="s">
        <v>17</v>
      </c>
      <c r="C583" s="11" t="s">
        <v>113</v>
      </c>
      <c r="D583" s="11" t="s">
        <v>317</v>
      </c>
      <c r="E583" s="11" t="s">
        <v>306</v>
      </c>
      <c r="I583" s="11" t="s">
        <v>366</v>
      </c>
      <c r="J583" s="11" t="s">
        <v>779</v>
      </c>
      <c r="K583" s="11" t="s">
        <v>433</v>
      </c>
      <c r="L583" s="75" t="s">
        <v>874</v>
      </c>
      <c r="M583" s="4"/>
      <c r="N583" s="2"/>
      <c r="O583" s="4"/>
      <c r="P583" s="2"/>
      <c r="Q583" s="2"/>
      <c r="R583" s="4"/>
      <c r="S583" s="2"/>
      <c r="T583" s="2"/>
      <c r="U583" s="1"/>
      <c r="V583" s="2"/>
      <c r="W583" s="2"/>
      <c r="X583" s="2"/>
      <c r="Y583" s="2"/>
      <c r="Z583" s="2"/>
    </row>
    <row r="584" spans="1:26" ht="15.75" customHeight="1" x14ac:dyDescent="0.2">
      <c r="A584" s="11" t="s">
        <v>290</v>
      </c>
      <c r="B584" s="11" t="s">
        <v>17</v>
      </c>
      <c r="C584" s="11" t="s">
        <v>88</v>
      </c>
      <c r="D584" s="11" t="s">
        <v>426</v>
      </c>
      <c r="E584" s="11" t="s">
        <v>618</v>
      </c>
      <c r="I584" s="11" t="s">
        <v>404</v>
      </c>
      <c r="J584" s="11" t="s">
        <v>320</v>
      </c>
      <c r="K584" s="11" t="s">
        <v>366</v>
      </c>
      <c r="L584" s="75" t="s">
        <v>1035</v>
      </c>
      <c r="M584" s="4"/>
      <c r="N584" s="2"/>
      <c r="O584" s="4"/>
      <c r="P584" s="2"/>
      <c r="Q584" s="2"/>
      <c r="R584" s="4"/>
      <c r="S584" s="2"/>
      <c r="T584" s="2"/>
      <c r="U584" s="1"/>
      <c r="V584" s="2"/>
      <c r="W584" s="2"/>
      <c r="X584" s="2"/>
      <c r="Y584" s="2"/>
      <c r="Z584" s="2"/>
    </row>
    <row r="585" spans="1:26" ht="15.75" customHeight="1" x14ac:dyDescent="0.2">
      <c r="A585" s="11" t="s">
        <v>277</v>
      </c>
      <c r="B585" s="11" t="s">
        <v>17</v>
      </c>
      <c r="C585" s="11" t="s">
        <v>31</v>
      </c>
      <c r="D585" s="11" t="s">
        <v>283</v>
      </c>
      <c r="E585" s="11" t="s">
        <v>283</v>
      </c>
      <c r="I585" s="11" t="s">
        <v>375</v>
      </c>
      <c r="J585" s="11" t="s">
        <v>375</v>
      </c>
      <c r="K585" s="11" t="s">
        <v>1017</v>
      </c>
      <c r="L585" s="75" t="s">
        <v>1018</v>
      </c>
      <c r="M585" s="4"/>
      <c r="N585" s="2"/>
      <c r="O585" s="4"/>
      <c r="P585" s="2"/>
      <c r="Q585" s="2"/>
      <c r="R585" s="4"/>
      <c r="S585" s="2"/>
      <c r="T585" s="2"/>
      <c r="U585" s="1"/>
      <c r="V585" s="2"/>
      <c r="W585" s="2"/>
      <c r="X585" s="2"/>
      <c r="Y585" s="2"/>
      <c r="Z585" s="2"/>
    </row>
    <row r="586" spans="1:26" ht="15.75" customHeight="1" x14ac:dyDescent="0.2">
      <c r="A586" s="11" t="s">
        <v>277</v>
      </c>
      <c r="B586" s="11" t="s">
        <v>17</v>
      </c>
      <c r="C586" s="11" t="s">
        <v>32</v>
      </c>
      <c r="D586" s="11" t="s">
        <v>383</v>
      </c>
      <c r="E586" s="11" t="s">
        <v>383</v>
      </c>
      <c r="I586" s="11" t="s">
        <v>379</v>
      </c>
      <c r="J586" s="11" t="s">
        <v>379</v>
      </c>
      <c r="K586" s="11" t="s">
        <v>404</v>
      </c>
      <c r="L586" s="75" t="s">
        <v>1019</v>
      </c>
      <c r="M586" s="4"/>
      <c r="N586" s="2"/>
      <c r="O586" s="4"/>
      <c r="P586" s="2"/>
      <c r="Q586" s="2"/>
      <c r="R586" s="4"/>
      <c r="S586" s="2"/>
      <c r="T586" s="2"/>
      <c r="U586" s="1"/>
      <c r="V586" s="2"/>
      <c r="W586" s="2"/>
      <c r="X586" s="2"/>
      <c r="Y586" s="2"/>
      <c r="Z586" s="2"/>
    </row>
    <row r="587" spans="1:26" ht="15.75" customHeight="1" x14ac:dyDescent="0.2">
      <c r="A587" s="11" t="s">
        <v>277</v>
      </c>
      <c r="B587" s="11" t="s">
        <v>23</v>
      </c>
      <c r="C587" s="11" t="s">
        <v>26</v>
      </c>
      <c r="D587" s="11" t="s">
        <v>699</v>
      </c>
      <c r="E587" s="11" t="s">
        <v>699</v>
      </c>
      <c r="I587" s="11" t="s">
        <v>356</v>
      </c>
      <c r="J587" s="11" t="s">
        <v>356</v>
      </c>
      <c r="K587" s="11" t="s">
        <v>390</v>
      </c>
      <c r="L587" s="75" t="s">
        <v>1016</v>
      </c>
      <c r="M587" s="4"/>
      <c r="N587" s="2"/>
      <c r="O587" s="4"/>
      <c r="P587" s="2"/>
      <c r="Q587" s="2"/>
      <c r="R587" s="4"/>
      <c r="S587" s="2"/>
      <c r="T587" s="2"/>
      <c r="U587" s="1"/>
      <c r="V587" s="2"/>
      <c r="W587" s="2"/>
      <c r="X587" s="2"/>
      <c r="Y587" s="2"/>
      <c r="Z587" s="2"/>
    </row>
    <row r="588" spans="1:26" ht="15.75" customHeight="1" x14ac:dyDescent="0.2">
      <c r="A588" s="11" t="s">
        <v>430</v>
      </c>
      <c r="B588" s="11" t="s">
        <v>4</v>
      </c>
      <c r="C588" s="11" t="s">
        <v>65</v>
      </c>
      <c r="D588" s="11" t="s">
        <v>395</v>
      </c>
      <c r="E588" s="11" t="s">
        <v>565</v>
      </c>
      <c r="I588" s="11" t="s">
        <v>609</v>
      </c>
      <c r="J588" s="11" t="s">
        <v>1036</v>
      </c>
      <c r="K588" s="11" t="s">
        <v>672</v>
      </c>
      <c r="L588" s="75" t="s">
        <v>1015</v>
      </c>
      <c r="M588" s="4"/>
      <c r="N588" s="2"/>
      <c r="O588" s="4"/>
      <c r="P588" s="2"/>
      <c r="Q588" s="2"/>
      <c r="R588" s="4"/>
      <c r="S588" s="2"/>
      <c r="T588" s="2"/>
      <c r="U588" s="1"/>
      <c r="V588" s="2"/>
      <c r="W588" s="2"/>
      <c r="X588" s="2"/>
      <c r="Y588" s="2"/>
      <c r="Z588" s="2"/>
    </row>
    <row r="589" spans="1:26" ht="15.75" customHeight="1" x14ac:dyDescent="0.2">
      <c r="A589" s="11" t="s">
        <v>277</v>
      </c>
      <c r="B589" s="11" t="s">
        <v>17</v>
      </c>
      <c r="C589" s="11" t="s">
        <v>84</v>
      </c>
      <c r="D589" s="11" t="s">
        <v>395</v>
      </c>
      <c r="E589" s="11" t="s">
        <v>395</v>
      </c>
      <c r="I589" s="11" t="s">
        <v>1037</v>
      </c>
      <c r="J589" s="11" t="s">
        <v>1037</v>
      </c>
      <c r="K589" s="11" t="s">
        <v>1038</v>
      </c>
      <c r="L589" s="75" t="s">
        <v>289</v>
      </c>
      <c r="M589" s="4"/>
      <c r="N589" s="2"/>
      <c r="O589" s="4"/>
      <c r="P589" s="2"/>
      <c r="Q589" s="2"/>
      <c r="R589" s="4"/>
      <c r="S589" s="2"/>
      <c r="T589" s="2"/>
      <c r="U589" s="1"/>
      <c r="V589" s="2"/>
      <c r="W589" s="2"/>
      <c r="X589" s="2"/>
      <c r="Y589" s="2"/>
      <c r="Z589" s="2"/>
    </row>
    <row r="590" spans="1:26" ht="15.75" customHeight="1" x14ac:dyDescent="0.2">
      <c r="A590" s="11" t="s">
        <v>341</v>
      </c>
      <c r="B590" s="11" t="s">
        <v>17</v>
      </c>
      <c r="C590" s="11" t="s">
        <v>123</v>
      </c>
      <c r="D590" s="11" t="s">
        <v>283</v>
      </c>
      <c r="E590" s="11" t="s">
        <v>273</v>
      </c>
      <c r="I590" s="11" t="s">
        <v>877</v>
      </c>
      <c r="J590" s="11" t="s">
        <v>1039</v>
      </c>
      <c r="K590" s="11" t="s">
        <v>1040</v>
      </c>
      <c r="L590" s="75" t="s">
        <v>880</v>
      </c>
      <c r="M590" s="4"/>
      <c r="N590" s="2"/>
      <c r="O590" s="4"/>
      <c r="P590" s="2"/>
      <c r="Q590" s="2"/>
      <c r="R590" s="4"/>
      <c r="S590" s="2"/>
      <c r="T590" s="2"/>
      <c r="U590" s="1"/>
      <c r="V590" s="2"/>
      <c r="W590" s="2"/>
      <c r="X590" s="2"/>
      <c r="Y590" s="2"/>
      <c r="Z590" s="2"/>
    </row>
    <row r="591" spans="1:26" ht="15.75" customHeight="1" x14ac:dyDescent="0.2">
      <c r="A591" s="11" t="s">
        <v>277</v>
      </c>
      <c r="B591" s="11" t="s">
        <v>21</v>
      </c>
      <c r="C591" s="11" t="s">
        <v>1041</v>
      </c>
      <c r="D591" s="11" t="s">
        <v>283</v>
      </c>
      <c r="E591" s="11" t="s">
        <v>283</v>
      </c>
      <c r="I591" s="11" t="s">
        <v>392</v>
      </c>
      <c r="J591" s="11" t="s">
        <v>392</v>
      </c>
      <c r="K591" s="11" t="s">
        <v>306</v>
      </c>
      <c r="L591" s="75" t="s">
        <v>873</v>
      </c>
      <c r="M591" s="4"/>
      <c r="N591" s="2"/>
      <c r="O591" s="4"/>
      <c r="P591" s="2"/>
      <c r="Q591" s="2"/>
      <c r="R591" s="4"/>
      <c r="S591" s="2"/>
      <c r="T591" s="2"/>
      <c r="U591" s="1"/>
      <c r="V591" s="2"/>
      <c r="W591" s="2"/>
      <c r="X591" s="2"/>
      <c r="Y591" s="2"/>
      <c r="Z591" s="2"/>
    </row>
    <row r="592" spans="1:26" ht="15.75" customHeight="1" x14ac:dyDescent="0.2">
      <c r="A592" s="11" t="s">
        <v>277</v>
      </c>
      <c r="B592" s="11" t="s">
        <v>17</v>
      </c>
      <c r="C592" s="11" t="s">
        <v>61</v>
      </c>
      <c r="D592" s="11" t="s">
        <v>426</v>
      </c>
      <c r="E592" s="11" t="s">
        <v>426</v>
      </c>
      <c r="I592" s="11" t="s">
        <v>386</v>
      </c>
      <c r="J592" s="11" t="s">
        <v>386</v>
      </c>
      <c r="K592" s="11" t="s">
        <v>1042</v>
      </c>
      <c r="L592" s="75" t="s">
        <v>1025</v>
      </c>
      <c r="M592" s="4"/>
      <c r="N592" s="2"/>
      <c r="O592" s="4"/>
      <c r="P592" s="2"/>
      <c r="Q592" s="2"/>
      <c r="R592" s="4"/>
      <c r="S592" s="2"/>
      <c r="T592" s="2"/>
      <c r="U592" s="1"/>
      <c r="V592" s="2"/>
      <c r="W592" s="2"/>
      <c r="X592" s="2"/>
      <c r="Y592" s="2"/>
      <c r="Z592" s="2"/>
    </row>
    <row r="593" spans="1:26" ht="15.75" customHeight="1" x14ac:dyDescent="0.2">
      <c r="A593" s="11" t="s">
        <v>290</v>
      </c>
      <c r="B593" s="11" t="s">
        <v>17</v>
      </c>
      <c r="C593" s="11" t="s">
        <v>81</v>
      </c>
      <c r="D593" s="11" t="s">
        <v>395</v>
      </c>
      <c r="E593" s="11" t="s">
        <v>460</v>
      </c>
      <c r="I593" s="11" t="s">
        <v>926</v>
      </c>
      <c r="J593" s="11" t="s">
        <v>1043</v>
      </c>
      <c r="K593" s="11" t="s">
        <v>1044</v>
      </c>
      <c r="L593" s="75" t="s">
        <v>1045</v>
      </c>
      <c r="M593" s="4"/>
      <c r="N593" s="2"/>
      <c r="O593" s="4"/>
      <c r="P593" s="2"/>
      <c r="Q593" s="2"/>
      <c r="R593" s="4"/>
      <c r="S593" s="2"/>
      <c r="T593" s="2"/>
      <c r="U593" s="1"/>
      <c r="V593" s="2"/>
      <c r="W593" s="2"/>
      <c r="X593" s="2"/>
      <c r="Y593" s="2"/>
      <c r="Z593" s="2"/>
    </row>
    <row r="594" spans="1:26" ht="15.75" customHeight="1" x14ac:dyDescent="0.2">
      <c r="M594" s="4"/>
      <c r="N594" s="2"/>
      <c r="O594" s="4"/>
      <c r="P594" s="2"/>
      <c r="Q594" s="2"/>
      <c r="R594" s="4"/>
      <c r="S594" s="2"/>
      <c r="T594" s="2"/>
      <c r="U594" s="1"/>
      <c r="V594" s="2"/>
      <c r="W594" s="2"/>
      <c r="X594" s="2"/>
      <c r="Y594" s="2"/>
      <c r="Z594" s="2"/>
    </row>
    <row r="595" spans="1:26" ht="15.75" customHeight="1" x14ac:dyDescent="0.2">
      <c r="E595" s="11" t="s">
        <v>1046</v>
      </c>
      <c r="K595" s="11" t="s">
        <v>1047</v>
      </c>
      <c r="L595" s="75" t="s">
        <v>1048</v>
      </c>
      <c r="M595" s="4"/>
      <c r="N595" s="2"/>
      <c r="O595" s="4"/>
      <c r="P595" s="2"/>
      <c r="Q595" s="2"/>
      <c r="R595" s="4"/>
      <c r="S595" s="2"/>
      <c r="T595" s="2"/>
      <c r="U595" s="1"/>
      <c r="V595" s="2"/>
      <c r="W595" s="2"/>
      <c r="X595" s="2"/>
      <c r="Y595" s="2"/>
      <c r="Z595" s="2"/>
    </row>
    <row r="596" spans="1:26" ht="15.75" customHeight="1" x14ac:dyDescent="0.2">
      <c r="M596" s="4"/>
      <c r="N596" s="2"/>
      <c r="O596" s="4"/>
      <c r="P596" s="2"/>
      <c r="Q596" s="2"/>
      <c r="R596" s="4"/>
      <c r="S596" s="2"/>
      <c r="T596" s="2"/>
      <c r="U596" s="1"/>
      <c r="V596" s="2"/>
      <c r="W596" s="2"/>
      <c r="X596" s="2"/>
      <c r="Y596" s="2"/>
      <c r="Z596" s="2"/>
    </row>
    <row r="597" spans="1:26" ht="15.75" customHeight="1" x14ac:dyDescent="0.2">
      <c r="M597" s="4"/>
      <c r="N597" s="2"/>
      <c r="O597" s="4"/>
      <c r="P597" s="2"/>
      <c r="Q597" s="2"/>
      <c r="R597" s="4"/>
      <c r="S597" s="2"/>
      <c r="T597" s="2"/>
      <c r="U597" s="1"/>
      <c r="V597" s="2"/>
      <c r="W597" s="2"/>
      <c r="X597" s="2"/>
      <c r="Y597" s="2"/>
      <c r="Z597" s="2"/>
    </row>
    <row r="598" spans="1:26" ht="15.75" customHeight="1" x14ac:dyDescent="0.2">
      <c r="M598" s="4"/>
      <c r="N598" s="2"/>
      <c r="O598" s="4"/>
      <c r="P598" s="2"/>
      <c r="Q598" s="2"/>
      <c r="R598" s="4"/>
      <c r="S598" s="2"/>
      <c r="T598" s="2"/>
      <c r="U598" s="1"/>
      <c r="V598" s="2"/>
      <c r="W598" s="2"/>
      <c r="X598" s="2"/>
      <c r="Y598" s="2"/>
      <c r="Z598" s="2"/>
    </row>
    <row r="599" spans="1:26" ht="15.75" customHeight="1" x14ac:dyDescent="0.2">
      <c r="A599" s="11" t="s">
        <v>108</v>
      </c>
      <c r="D599" s="11" t="s">
        <v>1049</v>
      </c>
      <c r="E599" s="11" t="s">
        <v>268</v>
      </c>
      <c r="F599" s="24"/>
      <c r="M599" s="4"/>
      <c r="N599" s="2"/>
      <c r="O599" s="4"/>
      <c r="P599" s="2"/>
      <c r="Q599" s="2"/>
      <c r="R599" s="4"/>
      <c r="S599" s="2"/>
      <c r="T599" s="2"/>
      <c r="U599" s="1"/>
      <c r="V599" s="2"/>
      <c r="W599" s="2"/>
      <c r="X599" s="2"/>
      <c r="Y599" s="2"/>
      <c r="Z599" s="2"/>
    </row>
    <row r="600" spans="1:26" ht="15.75" customHeight="1" x14ac:dyDescent="0.2">
      <c r="M600" s="4"/>
      <c r="N600" s="2"/>
      <c r="O600" s="4"/>
      <c r="P600" s="2"/>
      <c r="Q600" s="2"/>
      <c r="R600" s="4"/>
      <c r="S600" s="2"/>
      <c r="T600" s="2"/>
      <c r="U600" s="1"/>
      <c r="V600" s="2"/>
      <c r="W600" s="2"/>
      <c r="X600" s="2"/>
      <c r="Y600" s="2"/>
      <c r="Z600" s="2"/>
    </row>
    <row r="601" spans="1:26" ht="15.75" customHeight="1" x14ac:dyDescent="0.2">
      <c r="A601" s="11" t="s">
        <v>3</v>
      </c>
      <c r="B601" s="11" t="s">
        <v>4</v>
      </c>
      <c r="C601" s="11" t="s">
        <v>5</v>
      </c>
      <c r="D601" s="11" t="s">
        <v>6</v>
      </c>
      <c r="E601" s="11" t="s">
        <v>7</v>
      </c>
      <c r="I601" s="11" t="s">
        <v>6</v>
      </c>
      <c r="J601" s="11" t="s">
        <v>7</v>
      </c>
      <c r="K601" s="11" t="s">
        <v>10</v>
      </c>
      <c r="M601" s="4"/>
      <c r="N601" s="2"/>
      <c r="O601" s="4"/>
      <c r="P601" s="2"/>
      <c r="Q601" s="2"/>
      <c r="R601" s="4"/>
      <c r="S601" s="2"/>
      <c r="T601" s="2"/>
      <c r="U601" s="1"/>
      <c r="V601" s="2"/>
      <c r="W601" s="2"/>
      <c r="X601" s="2"/>
      <c r="Y601" s="2"/>
      <c r="Z601" s="2"/>
    </row>
    <row r="602" spans="1:26" ht="15.75" customHeight="1" x14ac:dyDescent="0.2">
      <c r="A602" s="11" t="s">
        <v>411</v>
      </c>
      <c r="B602" s="11" t="s">
        <v>17</v>
      </c>
      <c r="C602" s="11" t="s">
        <v>113</v>
      </c>
      <c r="D602" s="11" t="s">
        <v>317</v>
      </c>
      <c r="E602" s="11" t="s">
        <v>284</v>
      </c>
      <c r="I602" s="11" t="s">
        <v>366</v>
      </c>
      <c r="J602" s="11" t="s">
        <v>438</v>
      </c>
      <c r="K602" s="11" t="s">
        <v>270</v>
      </c>
      <c r="L602" s="75" t="s">
        <v>874</v>
      </c>
      <c r="M602" s="4"/>
      <c r="N602" s="2"/>
      <c r="O602" s="4"/>
      <c r="P602" s="2"/>
      <c r="Q602" s="2"/>
      <c r="R602" s="4"/>
      <c r="S602" s="2"/>
      <c r="T602" s="2"/>
      <c r="U602" s="1"/>
      <c r="V602" s="2"/>
      <c r="W602" s="2"/>
      <c r="X602" s="2"/>
      <c r="Y602" s="2"/>
      <c r="Z602" s="2"/>
    </row>
    <row r="603" spans="1:26" ht="15.75" customHeight="1" x14ac:dyDescent="0.2">
      <c r="A603" s="11" t="s">
        <v>290</v>
      </c>
      <c r="B603" s="11" t="s">
        <v>23</v>
      </c>
      <c r="C603" s="11" t="s">
        <v>88</v>
      </c>
      <c r="D603" s="11" t="s">
        <v>353</v>
      </c>
      <c r="E603" s="11" t="s">
        <v>510</v>
      </c>
      <c r="I603" s="11" t="s">
        <v>557</v>
      </c>
      <c r="J603" s="11" t="s">
        <v>558</v>
      </c>
      <c r="K603" s="11" t="s">
        <v>313</v>
      </c>
      <c r="L603" s="75" t="s">
        <v>890</v>
      </c>
      <c r="M603" s="4"/>
      <c r="N603" s="2"/>
      <c r="O603" s="4"/>
      <c r="P603" s="2"/>
      <c r="Q603" s="2"/>
      <c r="R603" s="4"/>
      <c r="S603" s="2"/>
      <c r="T603" s="2"/>
      <c r="U603" s="1"/>
      <c r="V603" s="2"/>
      <c r="W603" s="2"/>
      <c r="X603" s="2"/>
      <c r="Y603" s="2"/>
      <c r="Z603" s="2"/>
    </row>
    <row r="604" spans="1:26" ht="15.75" customHeight="1" x14ac:dyDescent="0.2">
      <c r="A604" s="11" t="s">
        <v>277</v>
      </c>
      <c r="B604" s="11" t="s">
        <v>23</v>
      </c>
      <c r="C604" s="11" t="s">
        <v>31</v>
      </c>
      <c r="D604" s="11" t="s">
        <v>565</v>
      </c>
      <c r="E604" s="11" t="s">
        <v>565</v>
      </c>
      <c r="I604" s="11" t="s">
        <v>297</v>
      </c>
      <c r="J604" s="11" t="s">
        <v>297</v>
      </c>
      <c r="K604" s="11" t="s">
        <v>390</v>
      </c>
      <c r="L604" s="75" t="s">
        <v>955</v>
      </c>
      <c r="M604" s="4"/>
      <c r="N604" s="2"/>
      <c r="O604" s="4"/>
      <c r="P604" s="2"/>
      <c r="Q604" s="2"/>
      <c r="R604" s="4"/>
      <c r="S604" s="2"/>
      <c r="T604" s="2"/>
      <c r="U604" s="1"/>
      <c r="V604" s="2"/>
      <c r="W604" s="2"/>
      <c r="X604" s="2"/>
      <c r="Y604" s="2"/>
      <c r="Z604" s="2"/>
    </row>
    <row r="605" spans="1:26" ht="15.75" customHeight="1" x14ac:dyDescent="0.2">
      <c r="A605" s="11" t="s">
        <v>290</v>
      </c>
      <c r="B605" s="11" t="s">
        <v>23</v>
      </c>
      <c r="C605" s="11" t="s">
        <v>26</v>
      </c>
      <c r="D605" s="11" t="s">
        <v>699</v>
      </c>
      <c r="E605" s="11" t="s">
        <v>543</v>
      </c>
      <c r="I605" s="11" t="s">
        <v>356</v>
      </c>
      <c r="J605" s="11" t="s">
        <v>512</v>
      </c>
      <c r="K605" s="11" t="s">
        <v>332</v>
      </c>
      <c r="L605" s="75" t="s">
        <v>1016</v>
      </c>
      <c r="M605" s="4"/>
      <c r="N605" s="2"/>
      <c r="O605" s="4"/>
      <c r="P605" s="2"/>
      <c r="Q605" s="2"/>
      <c r="R605" s="4"/>
      <c r="S605" s="2"/>
      <c r="T605" s="2"/>
      <c r="U605" s="1"/>
      <c r="V605" s="2"/>
      <c r="W605" s="2"/>
      <c r="X605" s="2"/>
      <c r="Y605" s="2"/>
      <c r="Z605" s="2"/>
    </row>
    <row r="606" spans="1:26" ht="15.75" customHeight="1" x14ac:dyDescent="0.2">
      <c r="A606" s="11" t="s">
        <v>290</v>
      </c>
      <c r="B606" s="11" t="s">
        <v>86</v>
      </c>
      <c r="C606" s="11" t="s">
        <v>65</v>
      </c>
      <c r="D606" s="11" t="s">
        <v>1050</v>
      </c>
      <c r="E606" s="11" t="s">
        <v>1051</v>
      </c>
      <c r="I606" s="11" t="s">
        <v>1052</v>
      </c>
      <c r="J606" s="11" t="s">
        <v>967</v>
      </c>
      <c r="K606" s="11" t="s">
        <v>557</v>
      </c>
      <c r="L606" s="75" t="s">
        <v>1053</v>
      </c>
      <c r="M606" s="4"/>
      <c r="N606" s="2"/>
      <c r="O606" s="4"/>
      <c r="P606" s="2"/>
      <c r="Q606" s="2"/>
      <c r="R606" s="4"/>
      <c r="S606" s="2"/>
      <c r="T606" s="2"/>
      <c r="U606" s="1"/>
      <c r="V606" s="2"/>
      <c r="W606" s="2"/>
      <c r="X606" s="2"/>
      <c r="Y606" s="2"/>
      <c r="Z606" s="2"/>
    </row>
    <row r="607" spans="1:26" ht="15.75" customHeight="1" x14ac:dyDescent="0.2">
      <c r="A607" s="11" t="s">
        <v>277</v>
      </c>
      <c r="B607" s="11" t="s">
        <v>21</v>
      </c>
      <c r="C607" s="11" t="s">
        <v>29</v>
      </c>
      <c r="D607" s="11" t="s">
        <v>369</v>
      </c>
      <c r="E607" s="11" t="s">
        <v>369</v>
      </c>
      <c r="I607" s="11" t="s">
        <v>273</v>
      </c>
      <c r="J607" s="11" t="s">
        <v>273</v>
      </c>
      <c r="K607" s="11" t="s">
        <v>392</v>
      </c>
      <c r="L607" s="75" t="s">
        <v>1054</v>
      </c>
      <c r="M607" s="4"/>
      <c r="N607" s="2"/>
      <c r="O607" s="4"/>
      <c r="P607" s="2"/>
      <c r="Q607" s="2"/>
      <c r="R607" s="4"/>
      <c r="S607" s="2"/>
      <c r="T607" s="2"/>
      <c r="U607" s="1"/>
      <c r="V607" s="2"/>
      <c r="W607" s="2"/>
      <c r="X607" s="2"/>
      <c r="Y607" s="2"/>
      <c r="Z607" s="2"/>
    </row>
    <row r="608" spans="1:26" ht="15.75" customHeight="1" x14ac:dyDescent="0.2">
      <c r="A608" s="11" t="s">
        <v>290</v>
      </c>
      <c r="B608" s="11" t="s">
        <v>21</v>
      </c>
      <c r="C608" s="11" t="s">
        <v>42</v>
      </c>
      <c r="D608" s="11" t="s">
        <v>317</v>
      </c>
      <c r="E608" s="11" t="s">
        <v>299</v>
      </c>
      <c r="I608" s="11" t="s">
        <v>273</v>
      </c>
      <c r="J608" s="11" t="s">
        <v>283</v>
      </c>
      <c r="K608" s="11" t="s">
        <v>390</v>
      </c>
      <c r="L608" s="75" t="s">
        <v>987</v>
      </c>
      <c r="M608" s="4"/>
      <c r="N608" s="2"/>
      <c r="O608" s="4"/>
      <c r="P608" s="2"/>
      <c r="Q608" s="2"/>
      <c r="R608" s="4"/>
      <c r="S608" s="2"/>
      <c r="T608" s="2"/>
      <c r="U608" s="1"/>
      <c r="V608" s="2"/>
      <c r="W608" s="2"/>
      <c r="X608" s="2"/>
      <c r="Y608" s="2"/>
      <c r="Z608" s="2"/>
    </row>
    <row r="609" spans="1:26" ht="15.75" customHeight="1" x14ac:dyDescent="0.2">
      <c r="A609" s="11" t="s">
        <v>282</v>
      </c>
      <c r="B609" s="11" t="s">
        <v>4</v>
      </c>
      <c r="C609" s="11" t="s">
        <v>114</v>
      </c>
      <c r="D609" s="11" t="s">
        <v>283</v>
      </c>
      <c r="E609" s="11" t="s">
        <v>284</v>
      </c>
      <c r="I609" s="11" t="s">
        <v>326</v>
      </c>
      <c r="J609" s="11" t="s">
        <v>335</v>
      </c>
      <c r="K609" s="11" t="s">
        <v>450</v>
      </c>
      <c r="L609" s="75" t="s">
        <v>870</v>
      </c>
      <c r="M609" s="4"/>
      <c r="N609" s="2"/>
      <c r="O609" s="4"/>
      <c r="P609" s="2"/>
      <c r="Q609" s="2"/>
      <c r="R609" s="4"/>
      <c r="S609" s="2"/>
      <c r="T609" s="2"/>
      <c r="U609" s="1"/>
      <c r="V609" s="2"/>
      <c r="W609" s="2"/>
      <c r="X609" s="2"/>
      <c r="Y609" s="2"/>
      <c r="Z609" s="2"/>
    </row>
    <row r="610" spans="1:26" ht="15.75" customHeight="1" x14ac:dyDescent="0.2">
      <c r="A610" s="11" t="s">
        <v>290</v>
      </c>
      <c r="B610" s="11" t="s">
        <v>17</v>
      </c>
      <c r="C610" s="11" t="s">
        <v>87</v>
      </c>
      <c r="D610" s="11" t="s">
        <v>291</v>
      </c>
      <c r="E610" s="11" t="s">
        <v>292</v>
      </c>
      <c r="I610" s="11" t="s">
        <v>286</v>
      </c>
      <c r="J610" s="11" t="s">
        <v>477</v>
      </c>
      <c r="K610" s="11" t="s">
        <v>1055</v>
      </c>
      <c r="L610" s="75" t="s">
        <v>1056</v>
      </c>
      <c r="M610" s="4"/>
      <c r="N610" s="2"/>
      <c r="O610" s="4"/>
      <c r="P610" s="2"/>
      <c r="Q610" s="2"/>
      <c r="R610" s="4"/>
      <c r="S610" s="2"/>
      <c r="T610" s="2"/>
      <c r="U610" s="1"/>
      <c r="V610" s="2"/>
      <c r="W610" s="2"/>
      <c r="X610" s="2"/>
      <c r="Y610" s="2"/>
      <c r="Z610" s="2"/>
    </row>
    <row r="611" spans="1:26" ht="15.75" customHeight="1" x14ac:dyDescent="0.2">
      <c r="M611" s="4"/>
      <c r="N611" s="2"/>
      <c r="O611" s="4"/>
      <c r="P611" s="2"/>
      <c r="Q611" s="2"/>
      <c r="R611" s="4"/>
      <c r="S611" s="2"/>
      <c r="T611" s="2"/>
      <c r="U611" s="1"/>
      <c r="V611" s="2"/>
      <c r="W611" s="2"/>
      <c r="X611" s="2"/>
      <c r="Y611" s="2"/>
      <c r="Z611" s="2"/>
    </row>
    <row r="612" spans="1:26" ht="15.75" customHeight="1" x14ac:dyDescent="0.2">
      <c r="E612" s="11" t="s">
        <v>1057</v>
      </c>
      <c r="K612" s="11" t="s">
        <v>1058</v>
      </c>
      <c r="L612" s="75" t="s">
        <v>1059</v>
      </c>
      <c r="M612" s="4"/>
      <c r="N612" s="2"/>
      <c r="O612" s="4"/>
      <c r="P612" s="2"/>
      <c r="Q612" s="2"/>
      <c r="R612" s="4"/>
      <c r="S612" s="2"/>
      <c r="T612" s="2"/>
      <c r="U612" s="1"/>
      <c r="V612" s="2"/>
      <c r="W612" s="2"/>
      <c r="X612" s="2"/>
      <c r="Y612" s="2"/>
      <c r="Z612" s="2"/>
    </row>
    <row r="613" spans="1:26" ht="15.75" customHeight="1" x14ac:dyDescent="0.2">
      <c r="M613" s="4"/>
      <c r="N613" s="2"/>
      <c r="O613" s="4"/>
      <c r="P613" s="2"/>
      <c r="Q613" s="2"/>
      <c r="R613" s="4"/>
      <c r="S613" s="2"/>
      <c r="T613" s="2"/>
      <c r="U613" s="1"/>
      <c r="V613" s="2"/>
      <c r="W613" s="2"/>
      <c r="X613" s="2"/>
      <c r="Y613" s="2"/>
      <c r="Z613" s="2"/>
    </row>
    <row r="614" spans="1:26" ht="15.75" customHeight="1" x14ac:dyDescent="0.2">
      <c r="M614" s="4"/>
      <c r="N614" s="2"/>
      <c r="O614" s="4"/>
      <c r="P614" s="2"/>
      <c r="Q614" s="2"/>
      <c r="R614" s="4"/>
      <c r="S614" s="2"/>
      <c r="T614" s="2"/>
      <c r="U614" s="1"/>
      <c r="V614" s="2"/>
      <c r="W614" s="2"/>
      <c r="X614" s="2"/>
      <c r="Y614" s="2"/>
      <c r="Z614" s="2"/>
    </row>
    <row r="615" spans="1:26" ht="15.75" customHeight="1" x14ac:dyDescent="0.2">
      <c r="A615" s="11" t="s">
        <v>68</v>
      </c>
      <c r="C615" s="24" t="s">
        <v>1</v>
      </c>
      <c r="D615" s="11" t="s">
        <v>268</v>
      </c>
      <c r="G615" s="11" t="s">
        <v>2</v>
      </c>
      <c r="M615" s="4"/>
      <c r="N615" s="2"/>
      <c r="O615" s="4"/>
      <c r="P615" s="2"/>
      <c r="Q615" s="2"/>
      <c r="R615" s="4"/>
      <c r="S615" s="2"/>
      <c r="T615" s="2"/>
      <c r="U615" s="1"/>
      <c r="V615" s="2"/>
      <c r="W615" s="2"/>
      <c r="X615" s="2"/>
      <c r="Y615" s="2"/>
      <c r="Z615" s="2"/>
    </row>
    <row r="616" spans="1:26" ht="15.75" customHeight="1" x14ac:dyDescent="0.2">
      <c r="M616" s="4"/>
      <c r="N616" s="2"/>
      <c r="O616" s="4"/>
      <c r="P616" s="2"/>
      <c r="Q616" s="2"/>
      <c r="R616" s="4"/>
      <c r="S616" s="2"/>
      <c r="T616" s="2"/>
      <c r="U616" s="1"/>
      <c r="V616" s="2"/>
      <c r="W616" s="2"/>
      <c r="X616" s="2"/>
      <c r="Y616" s="2"/>
      <c r="Z616" s="2"/>
    </row>
    <row r="617" spans="1:26" ht="15.75" customHeight="1" x14ac:dyDescent="0.2">
      <c r="A617" s="11" t="s">
        <v>3</v>
      </c>
      <c r="B617" s="11" t="s">
        <v>4</v>
      </c>
      <c r="C617" s="11" t="s">
        <v>5</v>
      </c>
      <c r="D617" s="11" t="s">
        <v>6</v>
      </c>
      <c r="E617" s="11" t="s">
        <v>7</v>
      </c>
      <c r="F617" s="11" t="s">
        <v>8</v>
      </c>
      <c r="I617" s="11" t="s">
        <v>9</v>
      </c>
      <c r="J617" s="11" t="s">
        <v>7</v>
      </c>
      <c r="K617" s="11" t="s">
        <v>10</v>
      </c>
      <c r="M617" s="4"/>
      <c r="N617" s="2"/>
      <c r="O617" s="4"/>
      <c r="P617" s="2"/>
      <c r="Q617" s="2"/>
      <c r="R617" s="4"/>
      <c r="S617" s="2"/>
      <c r="T617" s="2"/>
      <c r="U617" s="1"/>
      <c r="V617" s="2"/>
      <c r="W617" s="2"/>
      <c r="X617" s="2"/>
      <c r="Y617" s="2"/>
      <c r="Z617" s="2"/>
    </row>
    <row r="618" spans="1:26" ht="15.75" customHeight="1" x14ac:dyDescent="0.2">
      <c r="A618" s="11" t="s">
        <v>277</v>
      </c>
      <c r="B618" s="11" t="s">
        <v>15</v>
      </c>
      <c r="C618" s="11" t="s">
        <v>48</v>
      </c>
      <c r="D618" s="11" t="s">
        <v>297</v>
      </c>
      <c r="E618" s="11" t="s">
        <v>297</v>
      </c>
      <c r="F618" s="11" t="s">
        <v>298</v>
      </c>
      <c r="I618" s="11" t="s">
        <v>299</v>
      </c>
      <c r="J618" s="11" t="s">
        <v>299</v>
      </c>
      <c r="K618" s="11" t="s">
        <v>300</v>
      </c>
      <c r="L618" s="75" t="s">
        <v>301</v>
      </c>
      <c r="M618" s="4"/>
      <c r="N618" s="2"/>
      <c r="O618" s="4"/>
      <c r="P618" s="2"/>
      <c r="Q618" s="2"/>
      <c r="R618" s="4"/>
      <c r="S618" s="2"/>
      <c r="T618" s="2"/>
      <c r="U618" s="1"/>
      <c r="V618" s="2"/>
      <c r="W618" s="2"/>
      <c r="X618" s="2"/>
      <c r="Y618" s="2"/>
      <c r="Z618" s="2"/>
    </row>
    <row r="619" spans="1:26" ht="15.75" customHeight="1" x14ac:dyDescent="0.2">
      <c r="A619" s="11" t="s">
        <v>1060</v>
      </c>
      <c r="B619" s="11" t="s">
        <v>17</v>
      </c>
      <c r="C619" s="11" t="s">
        <v>82</v>
      </c>
      <c r="D619" s="11" t="s">
        <v>304</v>
      </c>
      <c r="E619" s="11" t="s">
        <v>745</v>
      </c>
      <c r="F619" s="11" t="s">
        <v>746</v>
      </c>
      <c r="I619" s="11" t="s">
        <v>422</v>
      </c>
      <c r="J619" s="11" t="s">
        <v>1061</v>
      </c>
      <c r="K619" s="11" t="s">
        <v>1062</v>
      </c>
      <c r="L619" s="75" t="s">
        <v>425</v>
      </c>
      <c r="M619" s="4"/>
      <c r="N619" s="2"/>
      <c r="O619" s="4"/>
      <c r="P619" s="2"/>
      <c r="Q619" s="2"/>
      <c r="R619" s="4"/>
      <c r="S619" s="2"/>
      <c r="T619" s="2"/>
      <c r="U619" s="1"/>
      <c r="V619" s="2"/>
      <c r="W619" s="2"/>
      <c r="X619" s="2"/>
      <c r="Y619" s="2"/>
      <c r="Z619" s="2"/>
    </row>
    <row r="620" spans="1:26" ht="15.75" customHeight="1" x14ac:dyDescent="0.2">
      <c r="A620" s="11" t="s">
        <v>277</v>
      </c>
      <c r="B620" s="11" t="s">
        <v>17</v>
      </c>
      <c r="C620" s="11" t="s">
        <v>61</v>
      </c>
      <c r="D620" s="11" t="s">
        <v>426</v>
      </c>
      <c r="E620" s="11" t="s">
        <v>426</v>
      </c>
      <c r="F620" s="11" t="s">
        <v>427</v>
      </c>
      <c r="I620" s="11" t="s">
        <v>386</v>
      </c>
      <c r="J620" s="11" t="s">
        <v>386</v>
      </c>
      <c r="K620" s="11" t="s">
        <v>428</v>
      </c>
      <c r="L620" s="75" t="s">
        <v>429</v>
      </c>
      <c r="M620" s="4"/>
      <c r="N620" s="2"/>
      <c r="O620" s="4"/>
      <c r="P620" s="2"/>
      <c r="Q620" s="2"/>
      <c r="R620" s="4"/>
      <c r="S620" s="2"/>
      <c r="T620" s="2"/>
      <c r="U620" s="1"/>
      <c r="V620" s="2"/>
      <c r="W620" s="2"/>
      <c r="X620" s="2"/>
      <c r="Y620" s="2"/>
      <c r="Z620" s="2"/>
    </row>
    <row r="621" spans="1:26" ht="15.75" customHeight="1" x14ac:dyDescent="0.2">
      <c r="A621" s="11" t="s">
        <v>290</v>
      </c>
      <c r="B621" s="11" t="s">
        <v>4</v>
      </c>
      <c r="C621" s="11" t="s">
        <v>14</v>
      </c>
      <c r="D621" s="11" t="s">
        <v>291</v>
      </c>
      <c r="E621" s="11" t="s">
        <v>292</v>
      </c>
      <c r="F621" s="11" t="s">
        <v>293</v>
      </c>
      <c r="I621" s="11" t="s">
        <v>294</v>
      </c>
      <c r="J621" s="11" t="s">
        <v>270</v>
      </c>
      <c r="K621" s="11" t="s">
        <v>295</v>
      </c>
      <c r="L621" s="75" t="s">
        <v>296</v>
      </c>
      <c r="M621" s="4"/>
      <c r="N621" s="2"/>
      <c r="O621" s="4"/>
      <c r="P621" s="2"/>
      <c r="Q621" s="2"/>
      <c r="R621" s="4"/>
      <c r="S621" s="2"/>
      <c r="T621" s="2"/>
      <c r="U621" s="1"/>
      <c r="V621" s="2"/>
      <c r="W621" s="2"/>
      <c r="X621" s="2"/>
      <c r="Y621" s="2"/>
      <c r="Z621" s="2"/>
    </row>
    <row r="622" spans="1:26" ht="15.75" customHeight="1" x14ac:dyDescent="0.2">
      <c r="A622" s="11" t="s">
        <v>447</v>
      </c>
      <c r="B622" s="11" t="s">
        <v>21</v>
      </c>
      <c r="C622" s="11" t="s">
        <v>22</v>
      </c>
      <c r="D622" s="11" t="s">
        <v>323</v>
      </c>
      <c r="E622" s="11" t="s">
        <v>448</v>
      </c>
      <c r="F622" s="11" t="s">
        <v>449</v>
      </c>
      <c r="I622" s="11" t="s">
        <v>326</v>
      </c>
      <c r="J622" s="11" t="s">
        <v>450</v>
      </c>
      <c r="K622" s="11" t="s">
        <v>451</v>
      </c>
      <c r="L622" s="75" t="s">
        <v>329</v>
      </c>
      <c r="M622" s="4"/>
      <c r="N622" s="2"/>
      <c r="O622" s="4"/>
      <c r="P622" s="2"/>
      <c r="Q622" s="2"/>
      <c r="R622" s="4"/>
      <c r="S622" s="2"/>
      <c r="T622" s="2"/>
      <c r="U622" s="1"/>
      <c r="V622" s="2"/>
      <c r="W622" s="2"/>
      <c r="X622" s="2"/>
      <c r="Y622" s="2"/>
      <c r="Z622" s="2"/>
    </row>
    <row r="623" spans="1:26" ht="15.75" customHeight="1" x14ac:dyDescent="0.2">
      <c r="A623" s="11" t="s">
        <v>290</v>
      </c>
      <c r="B623" s="11" t="s">
        <v>17</v>
      </c>
      <c r="C623" s="11" t="s">
        <v>31</v>
      </c>
      <c r="D623" s="11" t="s">
        <v>291</v>
      </c>
      <c r="E623" s="11" t="s">
        <v>292</v>
      </c>
      <c r="F623" s="11" t="s">
        <v>293</v>
      </c>
      <c r="I623" s="11" t="s">
        <v>375</v>
      </c>
      <c r="J623" s="11" t="s">
        <v>507</v>
      </c>
      <c r="K623" s="11" t="s">
        <v>508</v>
      </c>
      <c r="L623" s="75" t="s">
        <v>377</v>
      </c>
      <c r="M623" s="4"/>
      <c r="N623" s="2"/>
      <c r="O623" s="4"/>
      <c r="P623" s="2"/>
      <c r="Q623" s="2"/>
      <c r="R623" s="4"/>
      <c r="S623" s="2"/>
      <c r="T623" s="2"/>
      <c r="U623" s="1"/>
      <c r="V623" s="2"/>
      <c r="W623" s="2"/>
      <c r="X623" s="2"/>
      <c r="Y623" s="2"/>
      <c r="Z623" s="2"/>
    </row>
    <row r="624" spans="1:26" ht="15.75" customHeight="1" x14ac:dyDescent="0.2">
      <c r="A624" s="11" t="s">
        <v>277</v>
      </c>
      <c r="B624" s="11" t="s">
        <v>17</v>
      </c>
      <c r="C624" s="11" t="s">
        <v>32</v>
      </c>
      <c r="D624" s="11" t="s">
        <v>304</v>
      </c>
      <c r="E624" s="11" t="s">
        <v>304</v>
      </c>
      <c r="F624" s="11" t="s">
        <v>305</v>
      </c>
      <c r="I624" s="11" t="s">
        <v>379</v>
      </c>
      <c r="J624" s="11" t="s">
        <v>379</v>
      </c>
      <c r="K624" s="11" t="s">
        <v>509</v>
      </c>
      <c r="L624" s="75" t="s">
        <v>382</v>
      </c>
      <c r="M624" s="4"/>
      <c r="N624" s="2"/>
      <c r="O624" s="4"/>
      <c r="P624" s="2"/>
      <c r="Q624" s="2"/>
      <c r="R624" s="4"/>
      <c r="S624" s="2"/>
      <c r="T624" s="2"/>
      <c r="U624" s="1"/>
      <c r="V624" s="2"/>
      <c r="W624" s="2"/>
      <c r="X624" s="2"/>
      <c r="Y624" s="2"/>
      <c r="Z624" s="2"/>
    </row>
    <row r="625" spans="1:26" ht="15.75" customHeight="1" x14ac:dyDescent="0.2">
      <c r="A625" s="11" t="s">
        <v>277</v>
      </c>
      <c r="B625" s="11" t="s">
        <v>17</v>
      </c>
      <c r="C625" s="11" t="s">
        <v>33</v>
      </c>
      <c r="D625" s="11" t="s">
        <v>383</v>
      </c>
      <c r="E625" s="11" t="s">
        <v>383</v>
      </c>
      <c r="F625" s="11" t="s">
        <v>756</v>
      </c>
      <c r="I625" s="11" t="s">
        <v>386</v>
      </c>
      <c r="J625" s="11" t="s">
        <v>386</v>
      </c>
      <c r="K625" s="11" t="s">
        <v>1063</v>
      </c>
      <c r="L625" s="75" t="s">
        <v>389</v>
      </c>
      <c r="M625" s="4"/>
      <c r="N625" s="2"/>
      <c r="O625" s="4"/>
      <c r="P625" s="2"/>
      <c r="Q625" s="2"/>
      <c r="R625" s="4"/>
      <c r="S625" s="2"/>
      <c r="T625" s="2"/>
      <c r="U625" s="1"/>
      <c r="V625" s="2"/>
      <c r="W625" s="2"/>
      <c r="X625" s="2"/>
      <c r="Y625" s="2"/>
      <c r="Z625" s="2"/>
    </row>
    <row r="626" spans="1:26" ht="15.75" customHeight="1" x14ac:dyDescent="0.2">
      <c r="A626" s="11" t="s">
        <v>411</v>
      </c>
      <c r="B626" s="11" t="s">
        <v>17</v>
      </c>
      <c r="C626" s="11" t="s">
        <v>56</v>
      </c>
      <c r="D626" s="11" t="s">
        <v>326</v>
      </c>
      <c r="E626" s="11" t="s">
        <v>460</v>
      </c>
      <c r="F626" s="11" t="s">
        <v>653</v>
      </c>
      <c r="I626" s="11" t="s">
        <v>607</v>
      </c>
      <c r="J626" s="11" t="s">
        <v>304</v>
      </c>
      <c r="K626" s="11" t="s">
        <v>1064</v>
      </c>
      <c r="L626" s="75" t="s">
        <v>622</v>
      </c>
      <c r="M626" s="4"/>
      <c r="N626" s="2"/>
      <c r="O626" s="4"/>
      <c r="P626" s="2"/>
      <c r="Q626" s="2"/>
      <c r="R626" s="4"/>
      <c r="S626" s="2"/>
      <c r="T626" s="2"/>
      <c r="U626" s="1"/>
      <c r="V626" s="2"/>
      <c r="W626" s="2"/>
      <c r="X626" s="2"/>
      <c r="Y626" s="2"/>
      <c r="Z626" s="2"/>
    </row>
    <row r="627" spans="1:26" ht="15.75" customHeight="1" x14ac:dyDescent="0.2">
      <c r="A627" s="11" t="s">
        <v>290</v>
      </c>
      <c r="B627" s="11" t="s">
        <v>17</v>
      </c>
      <c r="C627" s="11" t="s">
        <v>18</v>
      </c>
      <c r="D627" s="11" t="s">
        <v>303</v>
      </c>
      <c r="E627" s="11" t="s">
        <v>291</v>
      </c>
      <c r="F627" s="11" t="s">
        <v>374</v>
      </c>
      <c r="I627" s="11" t="s">
        <v>306</v>
      </c>
      <c r="J627" s="11" t="s">
        <v>392</v>
      </c>
      <c r="K627" s="11" t="s">
        <v>695</v>
      </c>
      <c r="L627" s="75" t="s">
        <v>308</v>
      </c>
      <c r="M627" s="4"/>
      <c r="N627" s="2"/>
      <c r="O627" s="4"/>
      <c r="P627" s="2"/>
      <c r="Q627" s="2"/>
      <c r="R627" s="4"/>
      <c r="S627" s="2"/>
      <c r="T627" s="2"/>
      <c r="U627" s="1"/>
      <c r="V627" s="2"/>
      <c r="W627" s="2"/>
      <c r="X627" s="2"/>
      <c r="Y627" s="2"/>
      <c r="Z627" s="2"/>
    </row>
    <row r="628" spans="1:26" ht="15.75" customHeight="1" x14ac:dyDescent="0.2">
      <c r="A628" s="11" t="s">
        <v>696</v>
      </c>
      <c r="B628" s="11" t="s">
        <v>21</v>
      </c>
      <c r="C628" s="11" t="s">
        <v>46</v>
      </c>
      <c r="D628" s="11" t="s">
        <v>431</v>
      </c>
      <c r="E628" s="11" t="s">
        <v>450</v>
      </c>
      <c r="F628" s="11" t="s">
        <v>697</v>
      </c>
      <c r="I628" s="11" t="s">
        <v>433</v>
      </c>
      <c r="J628" s="11" t="s">
        <v>270</v>
      </c>
      <c r="K628" s="11" t="s">
        <v>698</v>
      </c>
      <c r="L628" s="75" t="s">
        <v>308</v>
      </c>
      <c r="M628" s="4"/>
      <c r="N628" s="2"/>
      <c r="O628" s="4"/>
      <c r="P628" s="2"/>
      <c r="Q628" s="2"/>
      <c r="R628" s="4"/>
      <c r="S628" s="2"/>
      <c r="T628" s="2"/>
      <c r="U628" s="1"/>
      <c r="V628" s="2"/>
      <c r="W628" s="2"/>
      <c r="X628" s="2"/>
      <c r="Y628" s="2"/>
      <c r="Z628" s="2"/>
    </row>
    <row r="629" spans="1:26" ht="15.75" customHeight="1" x14ac:dyDescent="0.2">
      <c r="A629" s="11" t="s">
        <v>401</v>
      </c>
      <c r="B629" s="11" t="s">
        <v>17</v>
      </c>
      <c r="C629" s="11" t="s">
        <v>39</v>
      </c>
      <c r="D629" s="11" t="s">
        <v>304</v>
      </c>
      <c r="E629" s="11" t="s">
        <v>402</v>
      </c>
      <c r="F629" s="11" t="s">
        <v>403</v>
      </c>
      <c r="I629" s="11" t="s">
        <v>404</v>
      </c>
      <c r="J629" s="11" t="s">
        <v>405</v>
      </c>
      <c r="K629" s="11" t="s">
        <v>406</v>
      </c>
      <c r="L629" s="75" t="s">
        <v>407</v>
      </c>
      <c r="M629" s="4"/>
      <c r="N629" s="2"/>
      <c r="O629" s="4"/>
      <c r="P629" s="2"/>
      <c r="Q629" s="2"/>
      <c r="R629" s="4"/>
      <c r="S629" s="2"/>
      <c r="T629" s="2"/>
      <c r="U629" s="1"/>
      <c r="V629" s="2"/>
      <c r="W629" s="2"/>
      <c r="X629" s="2"/>
      <c r="Y629" s="2"/>
      <c r="Z629" s="2"/>
    </row>
    <row r="630" spans="1:26" ht="15.75" customHeight="1" x14ac:dyDescent="0.2">
      <c r="A630" s="11" t="s">
        <v>277</v>
      </c>
      <c r="B630" s="11" t="s">
        <v>21</v>
      </c>
      <c r="C630" s="11" t="s">
        <v>28</v>
      </c>
      <c r="D630" s="11" t="s">
        <v>283</v>
      </c>
      <c r="E630" s="11" t="s">
        <v>283</v>
      </c>
      <c r="F630" s="11" t="s">
        <v>365</v>
      </c>
      <c r="I630" s="11" t="s">
        <v>366</v>
      </c>
      <c r="J630" s="11" t="s">
        <v>366</v>
      </c>
      <c r="K630" s="11" t="s">
        <v>367</v>
      </c>
      <c r="L630" s="75" t="s">
        <v>348</v>
      </c>
      <c r="M630" s="4"/>
      <c r="N630" s="2"/>
      <c r="O630" s="4"/>
      <c r="P630" s="2"/>
      <c r="Q630" s="2"/>
      <c r="R630" s="4"/>
      <c r="S630" s="2"/>
      <c r="T630" s="2"/>
      <c r="U630" s="1"/>
      <c r="V630" s="2"/>
      <c r="W630" s="2"/>
      <c r="X630" s="2"/>
      <c r="Y630" s="2"/>
      <c r="Z630" s="2"/>
    </row>
    <row r="631" spans="1:26" ht="15.75" customHeight="1" x14ac:dyDescent="0.2">
      <c r="A631" s="11" t="s">
        <v>341</v>
      </c>
      <c r="B631" s="11" t="s">
        <v>17</v>
      </c>
      <c r="C631" s="11" t="s">
        <v>93</v>
      </c>
      <c r="D631" s="11" t="s">
        <v>283</v>
      </c>
      <c r="E631" s="11" t="s">
        <v>273</v>
      </c>
      <c r="F631" s="11" t="s">
        <v>278</v>
      </c>
      <c r="I631" s="11" t="s">
        <v>612</v>
      </c>
      <c r="J631" s="11" t="s">
        <v>693</v>
      </c>
      <c r="K631" s="11" t="s">
        <v>694</v>
      </c>
      <c r="L631" s="75" t="s">
        <v>614</v>
      </c>
      <c r="M631" s="4"/>
      <c r="N631" s="2"/>
      <c r="O631" s="4"/>
      <c r="P631" s="2"/>
      <c r="Q631" s="2"/>
      <c r="R631" s="4"/>
      <c r="S631" s="2"/>
      <c r="T631" s="2"/>
      <c r="U631" s="1"/>
      <c r="V631" s="2"/>
      <c r="W631" s="2"/>
      <c r="X631" s="2"/>
      <c r="Y631" s="2"/>
      <c r="Z631" s="2"/>
    </row>
    <row r="632" spans="1:26" ht="15.75" customHeight="1" x14ac:dyDescent="0.2">
      <c r="A632" s="11" t="s">
        <v>277</v>
      </c>
      <c r="B632" s="11" t="s">
        <v>17</v>
      </c>
      <c r="C632" s="11" t="s">
        <v>35</v>
      </c>
      <c r="D632" s="11" t="s">
        <v>366</v>
      </c>
      <c r="E632" s="11" t="s">
        <v>366</v>
      </c>
      <c r="F632" s="11" t="s">
        <v>523</v>
      </c>
      <c r="I632" s="11" t="s">
        <v>384</v>
      </c>
      <c r="J632" s="11" t="s">
        <v>384</v>
      </c>
      <c r="K632" s="11" t="s">
        <v>524</v>
      </c>
      <c r="L632" s="75" t="s">
        <v>525</v>
      </c>
      <c r="M632" s="4"/>
      <c r="N632" s="2"/>
      <c r="O632" s="4"/>
      <c r="P632" s="2"/>
      <c r="Q632" s="2"/>
      <c r="R632" s="4"/>
      <c r="S632" s="2"/>
      <c r="T632" s="2"/>
      <c r="U632" s="1"/>
      <c r="V632" s="2"/>
      <c r="W632" s="2"/>
      <c r="X632" s="2"/>
      <c r="Y632" s="2"/>
      <c r="Z632" s="2"/>
    </row>
    <row r="633" spans="1:26" ht="15.75" customHeight="1" x14ac:dyDescent="0.2">
      <c r="A633" s="11" t="s">
        <v>411</v>
      </c>
      <c r="B633" s="11" t="s">
        <v>4</v>
      </c>
      <c r="C633" s="11" t="s">
        <v>65</v>
      </c>
      <c r="D633" s="11" t="s">
        <v>303</v>
      </c>
      <c r="E633" s="11" t="s">
        <v>335</v>
      </c>
      <c r="F633" s="11" t="s">
        <v>336</v>
      </c>
      <c r="I633" s="11" t="s">
        <v>609</v>
      </c>
      <c r="J633" s="11" t="s">
        <v>434</v>
      </c>
      <c r="K633" s="11" t="s">
        <v>1065</v>
      </c>
      <c r="L633" s="75" t="s">
        <v>611</v>
      </c>
      <c r="M633" s="4"/>
      <c r="N633" s="2"/>
      <c r="O633" s="4"/>
      <c r="P633" s="2"/>
      <c r="Q633" s="2"/>
      <c r="R633" s="4"/>
      <c r="S633" s="2"/>
      <c r="T633" s="2"/>
      <c r="U633" s="1"/>
      <c r="V633" s="2"/>
      <c r="W633" s="2"/>
      <c r="X633" s="2"/>
      <c r="Y633" s="2"/>
      <c r="Z633" s="2"/>
    </row>
    <row r="634" spans="1:26" ht="15.75" customHeight="1" x14ac:dyDescent="0.2">
      <c r="A634" s="11" t="s">
        <v>290</v>
      </c>
      <c r="B634" s="11" t="s">
        <v>4</v>
      </c>
      <c r="C634" s="11" t="s">
        <v>13</v>
      </c>
      <c r="D634" s="11" t="s">
        <v>271</v>
      </c>
      <c r="E634" s="11" t="s">
        <v>395</v>
      </c>
      <c r="F634" s="11" t="s">
        <v>399</v>
      </c>
      <c r="I634" s="11" t="s">
        <v>483</v>
      </c>
      <c r="J634" s="11" t="s">
        <v>484</v>
      </c>
      <c r="K634" s="11" t="s">
        <v>485</v>
      </c>
      <c r="L634" s="75" t="s">
        <v>486</v>
      </c>
      <c r="M634" s="4"/>
      <c r="N634" s="2"/>
      <c r="O634" s="4"/>
      <c r="P634" s="2"/>
      <c r="Q634" s="2"/>
      <c r="R634" s="4"/>
      <c r="S634" s="2"/>
      <c r="T634" s="2"/>
      <c r="U634" s="1"/>
      <c r="V634" s="2"/>
      <c r="W634" s="2"/>
      <c r="X634" s="2"/>
      <c r="Y634" s="2"/>
      <c r="Z634" s="2"/>
    </row>
    <row r="635" spans="1:26" ht="15.75" customHeight="1" x14ac:dyDescent="0.2">
      <c r="A635" s="11" t="s">
        <v>277</v>
      </c>
      <c r="B635" s="11" t="s">
        <v>23</v>
      </c>
      <c r="C635" s="11" t="s">
        <v>25</v>
      </c>
      <c r="D635" s="11" t="s">
        <v>349</v>
      </c>
      <c r="E635" s="11" t="s">
        <v>349</v>
      </c>
      <c r="F635" s="11" t="s">
        <v>556</v>
      </c>
      <c r="I635" s="11" t="s">
        <v>342</v>
      </c>
      <c r="J635" s="11" t="s">
        <v>342</v>
      </c>
      <c r="K635" s="11" t="s">
        <v>626</v>
      </c>
      <c r="L635" s="75" t="s">
        <v>348</v>
      </c>
      <c r="M635" s="4"/>
      <c r="N635" s="2"/>
      <c r="O635" s="4"/>
      <c r="P635" s="2"/>
      <c r="Q635" s="2"/>
      <c r="R635" s="4"/>
      <c r="S635" s="2"/>
      <c r="T635" s="2"/>
      <c r="U635" s="1"/>
      <c r="V635" s="2"/>
      <c r="W635" s="2"/>
      <c r="X635" s="2"/>
      <c r="Y635" s="2"/>
      <c r="Z635" s="2"/>
    </row>
    <row r="636" spans="1:26" ht="15.75" customHeight="1" x14ac:dyDescent="0.2">
      <c r="A636" s="11" t="s">
        <v>277</v>
      </c>
      <c r="B636" s="11" t="s">
        <v>23</v>
      </c>
      <c r="C636" s="11" t="s">
        <v>24</v>
      </c>
      <c r="D636" s="11" t="s">
        <v>342</v>
      </c>
      <c r="E636" s="11" t="s">
        <v>342</v>
      </c>
      <c r="F636" s="11" t="s">
        <v>624</v>
      </c>
      <c r="I636" s="11" t="s">
        <v>345</v>
      </c>
      <c r="J636" s="11" t="s">
        <v>345</v>
      </c>
      <c r="K636" s="11" t="s">
        <v>625</v>
      </c>
      <c r="L636" s="75" t="s">
        <v>348</v>
      </c>
      <c r="M636" s="4"/>
      <c r="N636" s="2"/>
      <c r="O636" s="4"/>
      <c r="P636" s="2"/>
      <c r="Q636" s="2"/>
      <c r="R636" s="4"/>
      <c r="S636" s="2"/>
      <c r="T636" s="2"/>
      <c r="U636" s="1"/>
      <c r="V636" s="2"/>
      <c r="W636" s="2"/>
      <c r="X636" s="2"/>
      <c r="Y636" s="2"/>
      <c r="Z636" s="2"/>
    </row>
    <row r="637" spans="1:26" ht="15.75" customHeight="1" x14ac:dyDescent="0.2">
      <c r="A637" s="11" t="s">
        <v>341</v>
      </c>
      <c r="B637" s="11" t="s">
        <v>23</v>
      </c>
      <c r="C637" s="11" t="s">
        <v>26</v>
      </c>
      <c r="D637" s="11" t="s">
        <v>353</v>
      </c>
      <c r="E637" s="11" t="s">
        <v>770</v>
      </c>
      <c r="F637" s="11" t="s">
        <v>1066</v>
      </c>
      <c r="I637" s="11" t="s">
        <v>356</v>
      </c>
      <c r="J637" s="11" t="s">
        <v>330</v>
      </c>
      <c r="K637" s="11" t="s">
        <v>1067</v>
      </c>
      <c r="L637" s="75" t="s">
        <v>359</v>
      </c>
      <c r="M637" s="4"/>
      <c r="N637" s="2"/>
      <c r="O637" s="4"/>
      <c r="P637" s="2"/>
      <c r="Q637" s="2"/>
      <c r="R637" s="4"/>
      <c r="S637" s="2"/>
      <c r="T637" s="2"/>
      <c r="U637" s="1"/>
      <c r="V637" s="2"/>
      <c r="W637" s="2"/>
      <c r="X637" s="2"/>
      <c r="Y637" s="2"/>
      <c r="Z637" s="2"/>
    </row>
    <row r="638" spans="1:26" ht="15.75" customHeight="1" x14ac:dyDescent="0.2">
      <c r="A638" s="11" t="s">
        <v>411</v>
      </c>
      <c r="B638" s="11" t="s">
        <v>17</v>
      </c>
      <c r="C638" s="11" t="s">
        <v>49</v>
      </c>
      <c r="D638" s="11" t="s">
        <v>283</v>
      </c>
      <c r="E638" s="11" t="s">
        <v>436</v>
      </c>
      <c r="F638" s="11" t="s">
        <v>437</v>
      </c>
      <c r="I638" s="11" t="s">
        <v>473</v>
      </c>
      <c r="J638" s="11" t="s">
        <v>474</v>
      </c>
      <c r="K638" s="11" t="s">
        <v>475</v>
      </c>
      <c r="L638" s="75" t="s">
        <v>476</v>
      </c>
      <c r="M638" s="4"/>
      <c r="N638" s="2"/>
      <c r="O638" s="4"/>
      <c r="P638" s="2"/>
      <c r="Q638" s="2"/>
      <c r="R638" s="4"/>
      <c r="S638" s="2"/>
      <c r="T638" s="2"/>
      <c r="U638" s="1"/>
      <c r="V638" s="2"/>
      <c r="W638" s="2"/>
      <c r="X638" s="2"/>
      <c r="Y638" s="2"/>
      <c r="Z638" s="2"/>
    </row>
    <row r="639" spans="1:26" ht="15.75" customHeight="1" x14ac:dyDescent="0.2">
      <c r="A639" s="11" t="s">
        <v>282</v>
      </c>
      <c r="B639" s="11" t="s">
        <v>17</v>
      </c>
      <c r="C639" s="11" t="s">
        <v>67</v>
      </c>
      <c r="D639" s="11" t="s">
        <v>326</v>
      </c>
      <c r="E639" s="11" t="s">
        <v>335</v>
      </c>
      <c r="F639" s="11" t="s">
        <v>336</v>
      </c>
      <c r="I639" s="11" t="s">
        <v>337</v>
      </c>
      <c r="J639" s="11" t="s">
        <v>338</v>
      </c>
      <c r="K639" s="11" t="s">
        <v>339</v>
      </c>
      <c r="L639" s="75" t="s">
        <v>340</v>
      </c>
      <c r="M639" s="4"/>
      <c r="N639" s="2"/>
      <c r="O639" s="4"/>
      <c r="P639" s="2"/>
      <c r="Q639" s="2"/>
      <c r="R639" s="4"/>
      <c r="S639" s="2"/>
      <c r="T639" s="2"/>
      <c r="U639" s="1"/>
      <c r="V639" s="2"/>
      <c r="W639" s="2"/>
      <c r="X639" s="2"/>
      <c r="Y639" s="2"/>
      <c r="Z639" s="2"/>
    </row>
    <row r="640" spans="1:26" ht="15.75" customHeight="1" x14ac:dyDescent="0.2">
      <c r="A640" s="11" t="s">
        <v>277</v>
      </c>
      <c r="B640" s="11" t="s">
        <v>17</v>
      </c>
      <c r="C640" s="11" t="s">
        <v>88</v>
      </c>
      <c r="D640" s="11" t="s">
        <v>426</v>
      </c>
      <c r="E640" s="11" t="s">
        <v>426</v>
      </c>
      <c r="F640" s="11" t="s">
        <v>427</v>
      </c>
      <c r="I640" s="11" t="s">
        <v>404</v>
      </c>
      <c r="J640" s="11" t="s">
        <v>404</v>
      </c>
      <c r="K640" s="11" t="s">
        <v>1068</v>
      </c>
      <c r="L640" s="75" t="s">
        <v>848</v>
      </c>
      <c r="M640" s="4"/>
      <c r="N640" s="2"/>
      <c r="O640" s="4"/>
      <c r="P640" s="2"/>
      <c r="Q640" s="2"/>
      <c r="R640" s="4"/>
      <c r="S640" s="2"/>
      <c r="T640" s="2"/>
      <c r="U640" s="1"/>
      <c r="V640" s="2"/>
      <c r="W640" s="2"/>
      <c r="X640" s="2"/>
      <c r="Y640" s="2"/>
      <c r="Z640" s="2"/>
    </row>
    <row r="641" spans="1:26" ht="15.75" customHeight="1" x14ac:dyDescent="0.2">
      <c r="M641" s="4"/>
      <c r="N641" s="2"/>
      <c r="O641" s="4"/>
      <c r="P641" s="2"/>
      <c r="Q641" s="2"/>
      <c r="R641" s="4"/>
      <c r="S641" s="2"/>
      <c r="T641" s="2"/>
      <c r="U641" s="1"/>
      <c r="V641" s="2"/>
      <c r="W641" s="2"/>
      <c r="X641" s="2"/>
      <c r="Y641" s="2"/>
      <c r="Z641" s="2"/>
    </row>
    <row r="642" spans="1:26" ht="15.75" customHeight="1" x14ac:dyDescent="0.2">
      <c r="E642" s="11" t="s">
        <v>1069</v>
      </c>
      <c r="F642" s="11" t="s">
        <v>1070</v>
      </c>
      <c r="K642" s="11" t="s">
        <v>1071</v>
      </c>
      <c r="L642" s="75" t="s">
        <v>1072</v>
      </c>
      <c r="M642" s="4"/>
      <c r="N642" s="2"/>
      <c r="O642" s="4"/>
      <c r="P642" s="2"/>
      <c r="Q642" s="2"/>
      <c r="R642" s="4"/>
      <c r="S642" s="2"/>
      <c r="T642" s="2"/>
      <c r="U642" s="1"/>
      <c r="V642" s="2"/>
      <c r="W642" s="2"/>
      <c r="X642" s="2"/>
      <c r="Y642" s="2"/>
      <c r="Z642" s="2"/>
    </row>
    <row r="643" spans="1:26" ht="15.75" customHeight="1" x14ac:dyDescent="0.2">
      <c r="M643" s="4"/>
      <c r="N643" s="2"/>
      <c r="O643" s="4"/>
      <c r="P643" s="2"/>
      <c r="Q643" s="2"/>
      <c r="R643" s="4"/>
      <c r="S643" s="2"/>
      <c r="T643" s="2"/>
      <c r="U643" s="1"/>
      <c r="V643" s="2"/>
      <c r="W643" s="2"/>
      <c r="X643" s="2"/>
      <c r="Y643" s="2"/>
      <c r="Z643" s="2"/>
    </row>
    <row r="644" spans="1:26" ht="15.75" customHeight="1" x14ac:dyDescent="0.2">
      <c r="M644" s="4"/>
      <c r="N644" s="2"/>
      <c r="O644" s="4"/>
      <c r="P644" s="2"/>
      <c r="Q644" s="2"/>
      <c r="R644" s="4"/>
      <c r="S644" s="2"/>
      <c r="T644" s="2"/>
      <c r="U644" s="1"/>
      <c r="V644" s="2"/>
      <c r="W644" s="2"/>
      <c r="X644" s="2"/>
      <c r="Y644" s="2"/>
      <c r="Z644" s="2"/>
    </row>
    <row r="645" spans="1:26" ht="15.75" customHeight="1" x14ac:dyDescent="0.2">
      <c r="M645" s="4"/>
      <c r="N645" s="2"/>
      <c r="O645" s="4"/>
      <c r="P645" s="2"/>
      <c r="Q645" s="2"/>
      <c r="R645" s="4"/>
      <c r="S645" s="2"/>
      <c r="T645" s="2"/>
      <c r="U645" s="1"/>
      <c r="V645" s="2"/>
      <c r="W645" s="2"/>
      <c r="X645" s="2"/>
      <c r="Y645" s="2"/>
      <c r="Z645" s="2"/>
    </row>
    <row r="646" spans="1:26" ht="15.75" customHeight="1" x14ac:dyDescent="0.25">
      <c r="A646" s="76" t="s">
        <v>101</v>
      </c>
      <c r="B646" s="76" t="s">
        <v>1073</v>
      </c>
      <c r="M646" s="4"/>
      <c r="N646" s="2"/>
      <c r="O646" s="4"/>
      <c r="P646" s="2"/>
      <c r="Q646" s="2"/>
      <c r="R646" s="4"/>
      <c r="S646" s="2"/>
      <c r="T646" s="2"/>
      <c r="U646" s="1"/>
      <c r="V646" s="2"/>
      <c r="W646" s="2"/>
      <c r="X646" s="2"/>
      <c r="Y646" s="2"/>
      <c r="Z646" s="2"/>
    </row>
    <row r="647" spans="1:26" ht="15.75" customHeight="1" x14ac:dyDescent="0.2">
      <c r="M647" s="4"/>
      <c r="N647" s="2"/>
      <c r="O647" s="4"/>
      <c r="P647" s="2"/>
      <c r="Q647" s="2"/>
      <c r="R647" s="4"/>
      <c r="S647" s="2"/>
      <c r="T647" s="2"/>
      <c r="U647" s="1"/>
      <c r="V647" s="2"/>
      <c r="W647" s="2"/>
      <c r="X647" s="2"/>
      <c r="Y647" s="2"/>
      <c r="Z647" s="2"/>
    </row>
    <row r="648" spans="1:26" ht="15.75" customHeight="1" x14ac:dyDescent="0.25">
      <c r="A648" s="76" t="s">
        <v>102</v>
      </c>
      <c r="B648" s="76" t="s">
        <v>1074</v>
      </c>
      <c r="M648" s="4"/>
      <c r="N648" s="2"/>
      <c r="O648" s="4"/>
      <c r="P648" s="2"/>
      <c r="Q648" s="2"/>
      <c r="R648" s="4"/>
      <c r="S648" s="2"/>
      <c r="T648" s="2"/>
      <c r="U648" s="1"/>
      <c r="V648" s="2"/>
      <c r="W648" s="2"/>
      <c r="X648" s="2"/>
      <c r="Y648" s="2"/>
      <c r="Z648" s="2"/>
    </row>
    <row r="649" spans="1:26" ht="15.75" customHeight="1" x14ac:dyDescent="0.2">
      <c r="M649" s="4"/>
      <c r="N649" s="2"/>
      <c r="O649" s="4"/>
      <c r="P649" s="2"/>
      <c r="Q649" s="2"/>
      <c r="R649" s="4"/>
      <c r="S649" s="2"/>
      <c r="T649" s="2"/>
      <c r="U649" s="1"/>
      <c r="V649" s="2"/>
      <c r="W649" s="2"/>
      <c r="X649" s="2"/>
      <c r="Y649" s="2"/>
      <c r="Z649" s="2"/>
    </row>
    <row r="650" spans="1:26" ht="15.75" customHeight="1" x14ac:dyDescent="0.2">
      <c r="M650" s="4"/>
      <c r="N650" s="2"/>
      <c r="O650" s="4"/>
      <c r="P650" s="2"/>
      <c r="Q650" s="2"/>
      <c r="R650" s="4"/>
      <c r="S650" s="2"/>
      <c r="T650" s="2"/>
      <c r="U650" s="1"/>
      <c r="V650" s="2"/>
      <c r="W650" s="2"/>
      <c r="X650" s="2"/>
      <c r="Y650" s="2"/>
      <c r="Z650" s="2"/>
    </row>
    <row r="651" spans="1:26" ht="15.75" customHeight="1" x14ac:dyDescent="0.25">
      <c r="A651" s="76" t="s">
        <v>103</v>
      </c>
      <c r="B651" s="76" t="s">
        <v>1075</v>
      </c>
      <c r="M651" s="4"/>
      <c r="N651" s="2"/>
      <c r="O651" s="4"/>
      <c r="P651" s="2"/>
      <c r="Q651" s="2"/>
      <c r="R651" s="4"/>
      <c r="S651" s="2"/>
      <c r="T651" s="2"/>
      <c r="U651" s="1"/>
      <c r="V651" s="2"/>
      <c r="W651" s="2"/>
      <c r="X651" s="2"/>
      <c r="Y651" s="2"/>
      <c r="Z651" s="2"/>
    </row>
    <row r="652" spans="1:26" ht="15.75" customHeight="1" x14ac:dyDescent="0.2">
      <c r="M652" s="4"/>
      <c r="N652" s="2"/>
      <c r="O652" s="4"/>
      <c r="P652" s="2"/>
      <c r="Q652" s="2"/>
      <c r="R652" s="4"/>
      <c r="S652" s="2"/>
      <c r="T652" s="2"/>
      <c r="U652" s="1"/>
      <c r="V652" s="2"/>
      <c r="W652" s="2"/>
      <c r="X652" s="2"/>
      <c r="Y652" s="2"/>
      <c r="Z652" s="2"/>
    </row>
    <row r="653" spans="1:26" ht="15.75" customHeight="1" x14ac:dyDescent="0.2">
      <c r="A653" s="12"/>
      <c r="B653" s="10"/>
      <c r="C653" s="11"/>
      <c r="D653" s="13"/>
      <c r="E653" s="13"/>
      <c r="F653" s="13"/>
      <c r="G653" s="2"/>
      <c r="H653" s="2"/>
      <c r="I653" s="13"/>
      <c r="J653" s="13"/>
      <c r="K653" s="13"/>
      <c r="L653" s="14"/>
      <c r="M653" s="4"/>
      <c r="N653" s="2"/>
      <c r="O653" s="4"/>
      <c r="P653" s="2"/>
      <c r="Q653" s="2"/>
      <c r="R653" s="4"/>
      <c r="S653" s="2"/>
      <c r="T653" s="2"/>
      <c r="U653" s="1"/>
      <c r="V653" s="2"/>
      <c r="W653" s="2"/>
      <c r="X653" s="2"/>
      <c r="Y653" s="2"/>
      <c r="Z653" s="2"/>
    </row>
    <row r="654" spans="1:26" ht="15.75" customHeight="1" x14ac:dyDescent="0.2">
      <c r="A654" s="12"/>
      <c r="B654" s="10"/>
      <c r="C654" s="11"/>
      <c r="D654" s="13"/>
      <c r="E654" s="13"/>
      <c r="F654" s="13"/>
      <c r="G654" s="2"/>
      <c r="H654" s="2"/>
      <c r="I654" s="13"/>
      <c r="J654" s="13"/>
      <c r="K654" s="13"/>
      <c r="L654" s="14"/>
      <c r="M654" s="4"/>
      <c r="N654" s="2"/>
      <c r="O654" s="4"/>
      <c r="P654" s="2"/>
      <c r="Q654" s="2"/>
      <c r="R654" s="4"/>
      <c r="S654" s="2"/>
      <c r="T654" s="2"/>
      <c r="U654" s="1"/>
      <c r="V654" s="2"/>
      <c r="W654" s="2"/>
      <c r="X654" s="2"/>
      <c r="Y654" s="2"/>
      <c r="Z654" s="2"/>
    </row>
    <row r="655" spans="1:26" ht="15.75" customHeight="1" x14ac:dyDescent="0.2">
      <c r="A655" s="12"/>
      <c r="B655" s="10"/>
      <c r="C655" s="11"/>
      <c r="D655" s="13"/>
      <c r="E655" s="13"/>
      <c r="F655" s="13"/>
      <c r="G655" s="2"/>
      <c r="H655" s="2"/>
      <c r="I655" s="13"/>
      <c r="J655" s="13"/>
      <c r="K655" s="13"/>
      <c r="L655" s="14"/>
      <c r="M655" s="4"/>
      <c r="N655" s="2"/>
      <c r="O655" s="4"/>
      <c r="P655" s="2"/>
      <c r="Q655" s="2"/>
      <c r="R655" s="4"/>
      <c r="S655" s="2"/>
      <c r="T655" s="2"/>
      <c r="U655" s="1"/>
      <c r="V655" s="2"/>
      <c r="W655" s="2"/>
      <c r="X655" s="2"/>
      <c r="Y655" s="2"/>
      <c r="Z655" s="2"/>
    </row>
    <row r="656" spans="1:26" ht="15.75" customHeight="1" x14ac:dyDescent="0.2">
      <c r="A656" s="12"/>
      <c r="B656" s="10"/>
      <c r="C656" s="11"/>
      <c r="D656" s="13"/>
      <c r="E656" s="13"/>
      <c r="F656" s="13"/>
      <c r="G656" s="2"/>
      <c r="H656" s="2"/>
      <c r="I656" s="13"/>
      <c r="J656" s="13"/>
      <c r="K656" s="13"/>
      <c r="L656" s="14"/>
      <c r="M656" s="4"/>
      <c r="N656" s="2"/>
      <c r="O656" s="4"/>
      <c r="P656" s="2"/>
      <c r="Q656" s="2"/>
      <c r="R656" s="4"/>
      <c r="S656" s="2"/>
      <c r="T656" s="2"/>
      <c r="U656" s="1"/>
      <c r="V656" s="2"/>
      <c r="W656" s="2"/>
      <c r="X656" s="2"/>
      <c r="Y656" s="2"/>
      <c r="Z656" s="2"/>
    </row>
    <row r="657" spans="1:26" ht="15.75" customHeight="1" x14ac:dyDescent="0.2">
      <c r="A657" s="12"/>
      <c r="B657" s="10"/>
      <c r="C657" s="11"/>
      <c r="D657" s="13"/>
      <c r="E657" s="13"/>
      <c r="F657" s="13"/>
      <c r="G657" s="2"/>
      <c r="H657" s="2"/>
      <c r="I657" s="13"/>
      <c r="J657" s="13"/>
      <c r="K657" s="13"/>
      <c r="L657" s="14"/>
      <c r="M657" s="4"/>
      <c r="N657" s="2"/>
      <c r="O657" s="4"/>
      <c r="P657" s="2"/>
      <c r="Q657" s="2"/>
      <c r="R657" s="4"/>
      <c r="S657" s="2"/>
      <c r="T657" s="2"/>
      <c r="U657" s="1"/>
      <c r="V657" s="2"/>
      <c r="W657" s="2"/>
      <c r="X657" s="2"/>
      <c r="Y657" s="2"/>
      <c r="Z657" s="2"/>
    </row>
    <row r="658" spans="1:26" ht="15.75" customHeight="1" x14ac:dyDescent="0.2">
      <c r="A658" s="12"/>
      <c r="B658" s="10"/>
      <c r="C658" s="11"/>
      <c r="D658" s="13"/>
      <c r="E658" s="13"/>
      <c r="F658" s="13"/>
      <c r="G658" s="2"/>
      <c r="H658" s="2"/>
      <c r="I658" s="13"/>
      <c r="J658" s="13"/>
      <c r="K658" s="13"/>
      <c r="L658" s="14"/>
      <c r="M658" s="4"/>
      <c r="N658" s="2"/>
      <c r="O658" s="4"/>
      <c r="P658" s="2"/>
      <c r="Q658" s="2"/>
      <c r="R658" s="4"/>
      <c r="S658" s="2"/>
      <c r="T658" s="2"/>
      <c r="U658" s="1"/>
      <c r="V658" s="2"/>
      <c r="W658" s="2"/>
      <c r="X658" s="2"/>
      <c r="Y658" s="2"/>
      <c r="Z658" s="2"/>
    </row>
    <row r="659" spans="1:26" ht="15.75" customHeight="1" x14ac:dyDescent="0.2">
      <c r="A659" s="12"/>
      <c r="B659" s="10"/>
      <c r="C659" s="11"/>
      <c r="D659" s="13"/>
      <c r="E659" s="13"/>
      <c r="F659" s="13"/>
      <c r="G659" s="2"/>
      <c r="H659" s="2"/>
      <c r="I659" s="13"/>
      <c r="J659" s="13"/>
      <c r="K659" s="13"/>
      <c r="L659" s="14"/>
      <c r="M659" s="4"/>
      <c r="N659" s="2"/>
      <c r="O659" s="4"/>
      <c r="P659" s="2"/>
      <c r="Q659" s="2"/>
      <c r="R659" s="4"/>
      <c r="S659" s="2"/>
      <c r="T659" s="2"/>
      <c r="U659" s="1"/>
      <c r="V659" s="2"/>
      <c r="W659" s="2"/>
      <c r="X659" s="2"/>
      <c r="Y659" s="2"/>
      <c r="Z659" s="2"/>
    </row>
    <row r="660" spans="1:26" ht="15.75" customHeight="1" x14ac:dyDescent="0.2">
      <c r="A660" s="12"/>
      <c r="B660" s="10"/>
      <c r="C660" s="11"/>
      <c r="D660" s="13"/>
      <c r="E660" s="13"/>
      <c r="F660" s="13"/>
      <c r="G660" s="2"/>
      <c r="H660" s="2"/>
      <c r="I660" s="13"/>
      <c r="J660" s="13"/>
      <c r="K660" s="13"/>
      <c r="L660" s="14"/>
      <c r="M660" s="4"/>
      <c r="N660" s="2"/>
      <c r="O660" s="4"/>
      <c r="P660" s="2"/>
      <c r="Q660" s="2"/>
      <c r="R660" s="4"/>
      <c r="S660" s="2"/>
      <c r="T660" s="2"/>
      <c r="U660" s="1"/>
      <c r="V660" s="2"/>
      <c r="W660" s="2"/>
      <c r="X660" s="2"/>
      <c r="Y660" s="2"/>
      <c r="Z660" s="2"/>
    </row>
    <row r="661" spans="1:26" ht="15.75" customHeight="1" x14ac:dyDescent="0.2">
      <c r="A661" s="12"/>
      <c r="B661" s="10"/>
      <c r="C661" s="11"/>
      <c r="D661" s="13"/>
      <c r="E661" s="13"/>
      <c r="F661" s="13"/>
      <c r="G661" s="2"/>
      <c r="H661" s="2"/>
      <c r="I661" s="13"/>
      <c r="J661" s="13"/>
      <c r="K661" s="13"/>
      <c r="L661" s="14"/>
      <c r="M661" s="4"/>
      <c r="N661" s="2"/>
      <c r="O661" s="4"/>
      <c r="P661" s="2"/>
      <c r="Q661" s="2"/>
      <c r="R661" s="4"/>
      <c r="S661" s="2"/>
      <c r="T661" s="2"/>
      <c r="U661" s="1"/>
      <c r="V661" s="2"/>
      <c r="W661" s="2"/>
      <c r="X661" s="2"/>
      <c r="Y661" s="2"/>
      <c r="Z661" s="2"/>
    </row>
    <row r="662" spans="1:26" ht="15.75" customHeight="1" x14ac:dyDescent="0.2">
      <c r="A662" s="12"/>
      <c r="B662" s="10"/>
      <c r="C662" s="11"/>
      <c r="D662" s="13"/>
      <c r="E662" s="13"/>
      <c r="F662" s="13"/>
      <c r="G662" s="2"/>
      <c r="H662" s="2"/>
      <c r="I662" s="13"/>
      <c r="J662" s="13"/>
      <c r="K662" s="13"/>
      <c r="L662" s="14"/>
      <c r="M662" s="4"/>
      <c r="N662" s="2"/>
      <c r="O662" s="4"/>
      <c r="P662" s="2"/>
      <c r="Q662" s="2"/>
      <c r="R662" s="4"/>
      <c r="S662" s="2"/>
      <c r="T662" s="2"/>
      <c r="U662" s="1"/>
      <c r="V662" s="2"/>
      <c r="W662" s="2"/>
      <c r="X662" s="2"/>
      <c r="Y662" s="2"/>
      <c r="Z662" s="2"/>
    </row>
    <row r="663" spans="1:26" ht="15.75" customHeight="1" x14ac:dyDescent="0.2">
      <c r="A663" s="12"/>
      <c r="B663" s="10"/>
      <c r="C663" s="11"/>
      <c r="D663" s="13"/>
      <c r="E663" s="13"/>
      <c r="F663" s="13"/>
      <c r="G663" s="2"/>
      <c r="H663" s="2"/>
      <c r="I663" s="13"/>
      <c r="J663" s="13"/>
      <c r="K663" s="13"/>
      <c r="L663" s="14"/>
      <c r="M663" s="4"/>
      <c r="N663" s="2"/>
      <c r="O663" s="4"/>
      <c r="P663" s="2"/>
      <c r="Q663" s="2"/>
      <c r="R663" s="4"/>
      <c r="S663" s="2"/>
      <c r="T663" s="2"/>
      <c r="U663" s="1"/>
      <c r="V663" s="2"/>
      <c r="W663" s="2"/>
      <c r="X663" s="2"/>
      <c r="Y663" s="2"/>
      <c r="Z663" s="2"/>
    </row>
    <row r="664" spans="1:26" ht="15.75" customHeight="1" x14ac:dyDescent="0.2">
      <c r="A664" s="12"/>
      <c r="B664" s="10"/>
      <c r="C664" s="11"/>
      <c r="D664" s="13"/>
      <c r="E664" s="13"/>
      <c r="F664" s="13"/>
      <c r="G664" s="2"/>
      <c r="H664" s="2"/>
      <c r="I664" s="13"/>
      <c r="J664" s="13"/>
      <c r="K664" s="13"/>
      <c r="L664" s="14"/>
      <c r="M664" s="4"/>
      <c r="N664" s="2"/>
      <c r="O664" s="4"/>
      <c r="P664" s="2"/>
      <c r="Q664" s="2"/>
      <c r="R664" s="4"/>
      <c r="S664" s="2"/>
      <c r="T664" s="2"/>
      <c r="U664" s="1"/>
      <c r="V664" s="2"/>
      <c r="W664" s="2"/>
      <c r="X664" s="2"/>
      <c r="Y664" s="2"/>
      <c r="Z664" s="2"/>
    </row>
    <row r="665" spans="1:26" ht="15.75" customHeight="1" x14ac:dyDescent="0.2">
      <c r="A665" s="12"/>
      <c r="B665" s="10"/>
      <c r="C665" s="11"/>
      <c r="D665" s="13"/>
      <c r="E665" s="13"/>
      <c r="F665" s="13"/>
      <c r="G665" s="2"/>
      <c r="H665" s="2"/>
      <c r="I665" s="13"/>
      <c r="J665" s="13"/>
      <c r="K665" s="13"/>
      <c r="L665" s="14"/>
      <c r="M665" s="4"/>
      <c r="N665" s="2"/>
      <c r="O665" s="4"/>
      <c r="P665" s="2"/>
      <c r="Q665" s="2"/>
      <c r="R665" s="4"/>
      <c r="S665" s="2"/>
      <c r="T665" s="2"/>
      <c r="U665" s="1"/>
      <c r="V665" s="2"/>
      <c r="W665" s="2"/>
      <c r="X665" s="2"/>
      <c r="Y665" s="2"/>
      <c r="Z665" s="2"/>
    </row>
    <row r="666" spans="1:26" ht="15.75" customHeight="1" x14ac:dyDescent="0.2">
      <c r="A666" s="12"/>
      <c r="B666" s="10"/>
      <c r="C666" s="11"/>
      <c r="D666" s="13"/>
      <c r="E666" s="13"/>
      <c r="F666" s="13"/>
      <c r="G666" s="2"/>
      <c r="H666" s="2"/>
      <c r="I666" s="13"/>
      <c r="J666" s="13"/>
      <c r="K666" s="13"/>
      <c r="L666" s="14"/>
      <c r="M666" s="4"/>
      <c r="N666" s="2"/>
      <c r="O666" s="4"/>
      <c r="P666" s="2"/>
      <c r="Q666" s="2"/>
      <c r="R666" s="4"/>
      <c r="S666" s="2"/>
      <c r="T666" s="2"/>
      <c r="U666" s="1"/>
      <c r="V666" s="2"/>
      <c r="W666" s="2"/>
      <c r="X666" s="2"/>
      <c r="Y666" s="2"/>
      <c r="Z666" s="2"/>
    </row>
    <row r="667" spans="1:26" ht="15.75" customHeight="1" x14ac:dyDescent="0.2">
      <c r="A667" s="12"/>
      <c r="B667" s="10"/>
      <c r="C667" s="11"/>
      <c r="D667" s="13"/>
      <c r="E667" s="13"/>
      <c r="F667" s="13"/>
      <c r="G667" s="2"/>
      <c r="H667" s="2"/>
      <c r="I667" s="13"/>
      <c r="J667" s="13"/>
      <c r="K667" s="13"/>
      <c r="L667" s="14"/>
      <c r="M667" s="4"/>
      <c r="N667" s="2"/>
      <c r="O667" s="4"/>
      <c r="P667" s="2"/>
      <c r="Q667" s="2"/>
      <c r="R667" s="4"/>
      <c r="S667" s="2"/>
      <c r="T667" s="2"/>
      <c r="U667" s="1"/>
      <c r="V667" s="2"/>
      <c r="W667" s="2"/>
      <c r="X667" s="2"/>
      <c r="Y667" s="2"/>
      <c r="Z667" s="2"/>
    </row>
    <row r="668" spans="1:26" ht="15.75" customHeight="1" x14ac:dyDescent="0.2">
      <c r="A668" s="12"/>
      <c r="B668" s="10"/>
      <c r="C668" s="11"/>
      <c r="D668" s="13"/>
      <c r="E668" s="13"/>
      <c r="F668" s="13"/>
      <c r="G668" s="2"/>
      <c r="H668" s="2"/>
      <c r="I668" s="13"/>
      <c r="J668" s="13"/>
      <c r="K668" s="13"/>
      <c r="L668" s="14"/>
      <c r="M668" s="4"/>
      <c r="N668" s="2"/>
      <c r="O668" s="4"/>
      <c r="P668" s="2"/>
      <c r="Q668" s="2"/>
      <c r="R668" s="4"/>
      <c r="S668" s="2"/>
      <c r="T668" s="2"/>
      <c r="U668" s="1"/>
      <c r="V668" s="2"/>
      <c r="W668" s="2"/>
      <c r="X668" s="2"/>
      <c r="Y668" s="2"/>
      <c r="Z668" s="2"/>
    </row>
    <row r="669" spans="1:26" ht="15.75" customHeight="1" x14ac:dyDescent="0.2">
      <c r="A669" s="12"/>
      <c r="B669" s="10"/>
      <c r="C669" s="11"/>
      <c r="D669" s="13"/>
      <c r="E669" s="13"/>
      <c r="F669" s="13"/>
      <c r="G669" s="2"/>
      <c r="H669" s="2"/>
      <c r="I669" s="13"/>
      <c r="J669" s="13"/>
      <c r="K669" s="13"/>
      <c r="L669" s="14"/>
      <c r="M669" s="4"/>
      <c r="N669" s="2"/>
      <c r="O669" s="4"/>
      <c r="P669" s="2"/>
      <c r="Q669" s="2"/>
      <c r="R669" s="4"/>
      <c r="S669" s="2"/>
      <c r="T669" s="2"/>
      <c r="U669" s="1"/>
      <c r="V669" s="2"/>
      <c r="W669" s="2"/>
      <c r="X669" s="2"/>
      <c r="Y669" s="2"/>
      <c r="Z669" s="2"/>
    </row>
    <row r="670" spans="1:26" ht="15.75" customHeight="1" x14ac:dyDescent="0.2">
      <c r="A670" s="12"/>
      <c r="B670" s="10"/>
      <c r="C670" s="11"/>
      <c r="D670" s="13"/>
      <c r="E670" s="13"/>
      <c r="F670" s="13"/>
      <c r="G670" s="2"/>
      <c r="H670" s="2"/>
      <c r="I670" s="13"/>
      <c r="J670" s="13"/>
      <c r="K670" s="13"/>
      <c r="L670" s="14"/>
      <c r="M670" s="4"/>
      <c r="N670" s="2"/>
      <c r="O670" s="4"/>
      <c r="P670" s="2"/>
      <c r="Q670" s="2"/>
      <c r="R670" s="4"/>
      <c r="S670" s="2"/>
      <c r="T670" s="2"/>
      <c r="U670" s="1"/>
      <c r="V670" s="2"/>
      <c r="W670" s="2"/>
      <c r="X670" s="2"/>
      <c r="Y670" s="2"/>
      <c r="Z670" s="2"/>
    </row>
    <row r="671" spans="1:26" ht="15.75" customHeight="1" x14ac:dyDescent="0.2">
      <c r="A671" s="12"/>
      <c r="B671" s="10"/>
      <c r="C671" s="11"/>
      <c r="D671" s="13"/>
      <c r="E671" s="13"/>
      <c r="F671" s="13"/>
      <c r="G671" s="2"/>
      <c r="H671" s="2"/>
      <c r="I671" s="13"/>
      <c r="J671" s="13"/>
      <c r="K671" s="13"/>
      <c r="L671" s="14"/>
      <c r="M671" s="4"/>
      <c r="N671" s="2"/>
      <c r="O671" s="4"/>
      <c r="P671" s="2"/>
      <c r="Q671" s="2"/>
      <c r="R671" s="4"/>
      <c r="S671" s="2"/>
      <c r="T671" s="2"/>
      <c r="U671" s="1"/>
      <c r="V671" s="2"/>
      <c r="W671" s="2"/>
      <c r="X671" s="2"/>
      <c r="Y671" s="2"/>
      <c r="Z671" s="2"/>
    </row>
    <row r="672" spans="1:26" ht="15.75" customHeight="1" x14ac:dyDescent="0.2">
      <c r="A672" s="12"/>
      <c r="B672" s="10"/>
      <c r="C672" s="11"/>
      <c r="D672" s="13"/>
      <c r="E672" s="13"/>
      <c r="F672" s="13"/>
      <c r="G672" s="2"/>
      <c r="H672" s="2"/>
      <c r="I672" s="13"/>
      <c r="J672" s="13"/>
      <c r="K672" s="13"/>
      <c r="L672" s="14"/>
      <c r="M672" s="4"/>
      <c r="N672" s="2"/>
      <c r="O672" s="4"/>
      <c r="P672" s="2"/>
      <c r="Q672" s="2"/>
      <c r="R672" s="4"/>
      <c r="S672" s="2"/>
      <c r="T672" s="2"/>
      <c r="U672" s="1"/>
      <c r="V672" s="2"/>
      <c r="W672" s="2"/>
      <c r="X672" s="2"/>
      <c r="Y672" s="2"/>
      <c r="Z672" s="2"/>
    </row>
    <row r="673" spans="1:26" ht="15.75" customHeight="1" x14ac:dyDescent="0.2">
      <c r="A673" s="12"/>
      <c r="B673" s="10"/>
      <c r="C673" s="11"/>
      <c r="D673" s="13"/>
      <c r="E673" s="13"/>
      <c r="F673" s="13"/>
      <c r="G673" s="2"/>
      <c r="H673" s="2"/>
      <c r="I673" s="13"/>
      <c r="J673" s="13"/>
      <c r="K673" s="13"/>
      <c r="L673" s="14"/>
      <c r="M673" s="4"/>
      <c r="N673" s="2"/>
      <c r="O673" s="4"/>
      <c r="P673" s="2"/>
      <c r="Q673" s="2"/>
      <c r="R673" s="4"/>
      <c r="S673" s="2"/>
      <c r="T673" s="2"/>
      <c r="U673" s="1"/>
      <c r="V673" s="2"/>
      <c r="W673" s="2"/>
      <c r="X673" s="2"/>
      <c r="Y673" s="2"/>
      <c r="Z673" s="2"/>
    </row>
    <row r="674" spans="1:26" ht="15.75" customHeight="1" x14ac:dyDescent="0.2">
      <c r="A674" s="12"/>
      <c r="B674" s="10"/>
      <c r="C674" s="11"/>
      <c r="D674" s="13"/>
      <c r="E674" s="13"/>
      <c r="F674" s="13"/>
      <c r="G674" s="2"/>
      <c r="H674" s="2"/>
      <c r="I674" s="13"/>
      <c r="J674" s="13"/>
      <c r="K674" s="13"/>
      <c r="L674" s="14"/>
      <c r="M674" s="4"/>
      <c r="N674" s="2"/>
      <c r="O674" s="4"/>
      <c r="P674" s="2"/>
      <c r="Q674" s="2"/>
      <c r="R674" s="4"/>
      <c r="S674" s="2"/>
      <c r="T674" s="2"/>
      <c r="U674" s="1"/>
      <c r="V674" s="2"/>
      <c r="W674" s="2"/>
      <c r="X674" s="2"/>
      <c r="Y674" s="2"/>
      <c r="Z674" s="2"/>
    </row>
    <row r="675" spans="1:26" ht="15.75" customHeight="1" x14ac:dyDescent="0.2">
      <c r="A675" s="12"/>
      <c r="B675" s="10"/>
      <c r="C675" s="11"/>
      <c r="D675" s="13"/>
      <c r="E675" s="13"/>
      <c r="F675" s="13"/>
      <c r="G675" s="2"/>
      <c r="H675" s="2"/>
      <c r="I675" s="13"/>
      <c r="J675" s="13"/>
      <c r="K675" s="13"/>
      <c r="L675" s="14"/>
      <c r="M675" s="4"/>
      <c r="N675" s="2"/>
      <c r="O675" s="4"/>
      <c r="P675" s="2"/>
      <c r="Q675" s="2"/>
      <c r="R675" s="4"/>
      <c r="S675" s="2"/>
      <c r="T675" s="2"/>
      <c r="U675" s="1"/>
      <c r="V675" s="2"/>
      <c r="W675" s="2"/>
      <c r="X675" s="2"/>
      <c r="Y675" s="2"/>
      <c r="Z675" s="2"/>
    </row>
    <row r="676" spans="1:26" ht="15.75" customHeight="1" x14ac:dyDescent="0.2">
      <c r="A676" s="12"/>
      <c r="B676" s="10"/>
      <c r="C676" s="11"/>
      <c r="D676" s="13"/>
      <c r="E676" s="13"/>
      <c r="F676" s="13"/>
      <c r="G676" s="2"/>
      <c r="H676" s="2"/>
      <c r="I676" s="13"/>
      <c r="J676" s="13"/>
      <c r="K676" s="13"/>
      <c r="L676" s="14"/>
      <c r="M676" s="4"/>
      <c r="N676" s="2"/>
      <c r="O676" s="4"/>
      <c r="P676" s="2"/>
      <c r="Q676" s="2"/>
      <c r="R676" s="4"/>
      <c r="S676" s="2"/>
      <c r="T676" s="2"/>
      <c r="U676" s="1"/>
      <c r="V676" s="2"/>
      <c r="W676" s="2"/>
      <c r="X676" s="2"/>
      <c r="Y676" s="2"/>
      <c r="Z676" s="2"/>
    </row>
    <row r="677" spans="1:26" ht="15.75" customHeight="1" x14ac:dyDescent="0.2">
      <c r="A677" s="12"/>
      <c r="B677" s="10"/>
      <c r="C677" s="11"/>
      <c r="D677" s="13"/>
      <c r="E677" s="13"/>
      <c r="F677" s="13"/>
      <c r="G677" s="2"/>
      <c r="H677" s="2"/>
      <c r="I677" s="13"/>
      <c r="J677" s="13"/>
      <c r="K677" s="13"/>
      <c r="L677" s="14"/>
      <c r="M677" s="4"/>
      <c r="N677" s="2"/>
      <c r="O677" s="4"/>
      <c r="P677" s="2"/>
      <c r="Q677" s="2"/>
      <c r="R677" s="4"/>
      <c r="S677" s="2"/>
      <c r="T677" s="2"/>
      <c r="U677" s="1"/>
      <c r="V677" s="2"/>
      <c r="W677" s="2"/>
      <c r="X677" s="2"/>
      <c r="Y677" s="2"/>
      <c r="Z677" s="2"/>
    </row>
    <row r="678" spans="1:26" ht="15.75" customHeight="1" x14ac:dyDescent="0.2">
      <c r="A678" s="12"/>
      <c r="B678" s="10"/>
      <c r="C678" s="11"/>
      <c r="D678" s="13"/>
      <c r="E678" s="13"/>
      <c r="F678" s="13"/>
      <c r="G678" s="2"/>
      <c r="H678" s="2"/>
      <c r="I678" s="13"/>
      <c r="J678" s="13"/>
      <c r="K678" s="13"/>
      <c r="L678" s="14"/>
      <c r="M678" s="4"/>
      <c r="N678" s="2"/>
      <c r="O678" s="4"/>
      <c r="P678" s="2"/>
      <c r="Q678" s="2"/>
      <c r="R678" s="4"/>
      <c r="S678" s="2"/>
      <c r="T678" s="2"/>
      <c r="U678" s="1"/>
      <c r="V678" s="2"/>
      <c r="W678" s="2"/>
      <c r="X678" s="2"/>
      <c r="Y678" s="2"/>
      <c r="Z678" s="2"/>
    </row>
    <row r="679" spans="1:26" ht="15.75" customHeight="1" x14ac:dyDescent="0.2">
      <c r="A679" s="12"/>
      <c r="B679" s="10"/>
      <c r="C679" s="11"/>
      <c r="D679" s="13"/>
      <c r="E679" s="13"/>
      <c r="F679" s="13"/>
      <c r="G679" s="2"/>
      <c r="H679" s="2"/>
      <c r="I679" s="13"/>
      <c r="J679" s="13"/>
      <c r="K679" s="13"/>
      <c r="L679" s="14"/>
      <c r="M679" s="4"/>
      <c r="N679" s="2"/>
      <c r="O679" s="4"/>
      <c r="P679" s="2"/>
      <c r="Q679" s="2"/>
      <c r="R679" s="4"/>
      <c r="S679" s="2"/>
      <c r="T679" s="2"/>
      <c r="U679" s="1"/>
      <c r="V679" s="2"/>
      <c r="W679" s="2"/>
      <c r="X679" s="2"/>
      <c r="Y679" s="2"/>
      <c r="Z679" s="2"/>
    </row>
    <row r="680" spans="1:26" ht="15.75" customHeight="1" x14ac:dyDescent="0.2">
      <c r="A680" s="12"/>
      <c r="B680" s="10"/>
      <c r="C680" s="11"/>
      <c r="D680" s="13"/>
      <c r="E680" s="13"/>
      <c r="F680" s="13"/>
      <c r="G680" s="2"/>
      <c r="H680" s="2"/>
      <c r="I680" s="13"/>
      <c r="J680" s="13"/>
      <c r="K680" s="13"/>
      <c r="L680" s="14"/>
      <c r="M680" s="4"/>
      <c r="N680" s="2"/>
      <c r="O680" s="4"/>
      <c r="P680" s="2"/>
      <c r="Q680" s="2"/>
      <c r="R680" s="4"/>
      <c r="S680" s="2"/>
      <c r="T680" s="2"/>
      <c r="U680" s="1"/>
      <c r="V680" s="2"/>
      <c r="W680" s="2"/>
      <c r="X680" s="2"/>
      <c r="Y680" s="2"/>
      <c r="Z680" s="2"/>
    </row>
    <row r="681" spans="1:26" ht="15.75" customHeight="1" x14ac:dyDescent="0.2">
      <c r="A681" s="12"/>
      <c r="B681" s="10"/>
      <c r="C681" s="11"/>
      <c r="D681" s="13"/>
      <c r="E681" s="13"/>
      <c r="F681" s="13"/>
      <c r="G681" s="2"/>
      <c r="H681" s="2"/>
      <c r="I681" s="13"/>
      <c r="J681" s="13"/>
      <c r="K681" s="13"/>
      <c r="L681" s="14"/>
      <c r="M681" s="4"/>
      <c r="N681" s="2"/>
      <c r="O681" s="4"/>
      <c r="P681" s="2"/>
      <c r="Q681" s="2"/>
      <c r="R681" s="4"/>
      <c r="S681" s="2"/>
      <c r="T681" s="2"/>
      <c r="U681" s="1"/>
      <c r="V681" s="2"/>
      <c r="W681" s="2"/>
      <c r="X681" s="2"/>
      <c r="Y681" s="2"/>
      <c r="Z681" s="2"/>
    </row>
    <row r="682" spans="1:26" ht="15.75" customHeight="1" x14ac:dyDescent="0.2">
      <c r="A682" s="12"/>
      <c r="B682" s="10"/>
      <c r="C682" s="11"/>
      <c r="D682" s="13"/>
      <c r="E682" s="13"/>
      <c r="F682" s="13"/>
      <c r="G682" s="2"/>
      <c r="H682" s="2"/>
      <c r="I682" s="13"/>
      <c r="J682" s="13"/>
      <c r="K682" s="13"/>
      <c r="L682" s="14"/>
      <c r="M682" s="4"/>
      <c r="N682" s="2"/>
      <c r="O682" s="4"/>
      <c r="P682" s="2"/>
      <c r="Q682" s="2"/>
      <c r="R682" s="4"/>
      <c r="S682" s="2"/>
      <c r="T682" s="2"/>
      <c r="U682" s="1"/>
      <c r="V682" s="2"/>
      <c r="W682" s="2"/>
      <c r="X682" s="2"/>
      <c r="Y682" s="2"/>
      <c r="Z682" s="2"/>
    </row>
    <row r="683" spans="1:26" ht="15.75" customHeight="1" x14ac:dyDescent="0.2">
      <c r="A683" s="12"/>
      <c r="B683" s="10"/>
      <c r="C683" s="11"/>
      <c r="D683" s="13"/>
      <c r="E683" s="13"/>
      <c r="F683" s="13"/>
      <c r="G683" s="2"/>
      <c r="H683" s="2"/>
      <c r="I683" s="13"/>
      <c r="J683" s="13"/>
      <c r="K683" s="13"/>
      <c r="L683" s="14"/>
      <c r="M683" s="4"/>
      <c r="N683" s="2"/>
      <c r="O683" s="4"/>
      <c r="P683" s="2"/>
      <c r="Q683" s="2"/>
      <c r="R683" s="4"/>
      <c r="S683" s="2"/>
      <c r="T683" s="2"/>
      <c r="U683" s="1"/>
      <c r="V683" s="2"/>
      <c r="W683" s="2"/>
      <c r="X683" s="2"/>
      <c r="Y683" s="2"/>
      <c r="Z683" s="2"/>
    </row>
    <row r="684" spans="1:26" ht="15.75" customHeight="1" x14ac:dyDescent="0.2">
      <c r="A684" s="12"/>
      <c r="B684" s="10"/>
      <c r="C684" s="11"/>
      <c r="D684" s="13"/>
      <c r="E684" s="13"/>
      <c r="F684" s="13"/>
      <c r="G684" s="2"/>
      <c r="H684" s="2"/>
      <c r="I684" s="13"/>
      <c r="J684" s="13"/>
      <c r="K684" s="13"/>
      <c r="L684" s="14"/>
      <c r="M684" s="4"/>
      <c r="N684" s="2"/>
      <c r="O684" s="4"/>
      <c r="P684" s="2"/>
      <c r="Q684" s="2"/>
      <c r="R684" s="4"/>
      <c r="S684" s="2"/>
      <c r="T684" s="2"/>
      <c r="U684" s="1"/>
      <c r="V684" s="2"/>
      <c r="W684" s="2"/>
      <c r="X684" s="2"/>
      <c r="Y684" s="2"/>
      <c r="Z684" s="2"/>
    </row>
    <row r="685" spans="1:26" ht="15.75" customHeight="1" x14ac:dyDescent="0.2">
      <c r="A685" s="12"/>
      <c r="B685" s="10"/>
      <c r="C685" s="11"/>
      <c r="D685" s="13"/>
      <c r="E685" s="13"/>
      <c r="F685" s="13"/>
      <c r="G685" s="2"/>
      <c r="H685" s="2"/>
      <c r="I685" s="13"/>
      <c r="J685" s="13"/>
      <c r="K685" s="13"/>
      <c r="L685" s="14"/>
      <c r="M685" s="4"/>
      <c r="N685" s="2"/>
      <c r="O685" s="4"/>
      <c r="P685" s="2"/>
      <c r="Q685" s="2"/>
      <c r="R685" s="4"/>
      <c r="S685" s="2"/>
      <c r="T685" s="2"/>
      <c r="U685" s="1"/>
      <c r="V685" s="2"/>
      <c r="W685" s="2"/>
      <c r="X685" s="2"/>
      <c r="Y685" s="2"/>
      <c r="Z685" s="2"/>
    </row>
    <row r="686" spans="1:26" ht="15.75" customHeight="1" x14ac:dyDescent="0.2">
      <c r="A686" s="12"/>
      <c r="B686" s="10"/>
      <c r="C686" s="11"/>
      <c r="D686" s="13"/>
      <c r="E686" s="13"/>
      <c r="F686" s="13"/>
      <c r="G686" s="2"/>
      <c r="H686" s="2"/>
      <c r="I686" s="13"/>
      <c r="J686" s="13"/>
      <c r="K686" s="13"/>
      <c r="L686" s="14"/>
      <c r="M686" s="4"/>
      <c r="N686" s="2"/>
      <c r="O686" s="4"/>
      <c r="P686" s="2"/>
      <c r="Q686" s="2"/>
      <c r="R686" s="4"/>
      <c r="S686" s="2"/>
      <c r="T686" s="2"/>
      <c r="U686" s="1"/>
      <c r="V686" s="2"/>
      <c r="W686" s="2"/>
      <c r="X686" s="2"/>
      <c r="Y686" s="2"/>
      <c r="Z686" s="2"/>
    </row>
    <row r="687" spans="1:26" ht="15.75" customHeight="1" x14ac:dyDescent="0.2">
      <c r="A687" s="12"/>
      <c r="B687" s="10"/>
      <c r="C687" s="11"/>
      <c r="D687" s="13"/>
      <c r="E687" s="13"/>
      <c r="F687" s="13"/>
      <c r="G687" s="2"/>
      <c r="H687" s="2"/>
      <c r="I687" s="13"/>
      <c r="J687" s="13"/>
      <c r="K687" s="13"/>
      <c r="L687" s="14"/>
      <c r="M687" s="4"/>
      <c r="N687" s="2"/>
      <c r="O687" s="4"/>
      <c r="P687" s="2"/>
      <c r="Q687" s="2"/>
      <c r="R687" s="4"/>
      <c r="S687" s="2"/>
      <c r="T687" s="2"/>
      <c r="U687" s="1"/>
      <c r="V687" s="2"/>
      <c r="W687" s="2"/>
      <c r="X687" s="2"/>
      <c r="Y687" s="2"/>
      <c r="Z687" s="2"/>
    </row>
    <row r="688" spans="1:26" ht="15.75" customHeight="1" x14ac:dyDescent="0.2">
      <c r="A688" s="12"/>
      <c r="B688" s="10"/>
      <c r="C688" s="11"/>
      <c r="D688" s="13"/>
      <c r="E688" s="13"/>
      <c r="F688" s="13"/>
      <c r="G688" s="2"/>
      <c r="H688" s="2"/>
      <c r="I688" s="13"/>
      <c r="J688" s="13"/>
      <c r="K688" s="13"/>
      <c r="L688" s="14"/>
      <c r="M688" s="4"/>
      <c r="N688" s="2"/>
      <c r="O688" s="4"/>
      <c r="P688" s="2"/>
      <c r="Q688" s="2"/>
      <c r="R688" s="4"/>
      <c r="S688" s="2"/>
      <c r="T688" s="2"/>
      <c r="U688" s="1"/>
      <c r="V688" s="2"/>
      <c r="W688" s="2"/>
      <c r="X688" s="2"/>
      <c r="Y688" s="2"/>
      <c r="Z688" s="2"/>
    </row>
    <row r="689" spans="1:26" ht="15.75" customHeight="1" x14ac:dyDescent="0.2">
      <c r="A689" s="12"/>
      <c r="B689" s="10"/>
      <c r="C689" s="11"/>
      <c r="D689" s="13"/>
      <c r="E689" s="13"/>
      <c r="F689" s="13"/>
      <c r="G689" s="2"/>
      <c r="H689" s="2"/>
      <c r="I689" s="13"/>
      <c r="J689" s="13"/>
      <c r="K689" s="13"/>
      <c r="L689" s="14"/>
      <c r="M689" s="4"/>
      <c r="N689" s="2"/>
      <c r="O689" s="4"/>
      <c r="P689" s="2"/>
      <c r="Q689" s="2"/>
      <c r="R689" s="4"/>
      <c r="S689" s="2"/>
      <c r="T689" s="2"/>
      <c r="U689" s="1"/>
      <c r="V689" s="2"/>
      <c r="W689" s="2"/>
      <c r="X689" s="2"/>
      <c r="Y689" s="2"/>
      <c r="Z689" s="2"/>
    </row>
    <row r="690" spans="1:26" ht="15.75" customHeight="1" x14ac:dyDescent="0.2">
      <c r="A690" s="12"/>
      <c r="B690" s="10"/>
      <c r="C690" s="11"/>
      <c r="D690" s="13"/>
      <c r="E690" s="13"/>
      <c r="F690" s="13"/>
      <c r="G690" s="2"/>
      <c r="H690" s="2"/>
      <c r="I690" s="13"/>
      <c r="J690" s="13"/>
      <c r="K690" s="13"/>
      <c r="L690" s="14"/>
      <c r="M690" s="4"/>
      <c r="N690" s="2"/>
      <c r="O690" s="4"/>
      <c r="P690" s="2"/>
      <c r="Q690" s="2"/>
      <c r="R690" s="4"/>
      <c r="S690" s="2"/>
      <c r="T690" s="2"/>
      <c r="U690" s="1"/>
      <c r="V690" s="2"/>
      <c r="W690" s="2"/>
      <c r="X690" s="2"/>
      <c r="Y690" s="2"/>
      <c r="Z690" s="2"/>
    </row>
    <row r="691" spans="1:26" ht="15.75" customHeight="1" x14ac:dyDescent="0.2">
      <c r="A691" s="12"/>
      <c r="B691" s="10"/>
      <c r="C691" s="11"/>
      <c r="D691" s="13"/>
      <c r="E691" s="13"/>
      <c r="F691" s="13"/>
      <c r="G691" s="2"/>
      <c r="H691" s="2"/>
      <c r="I691" s="13"/>
      <c r="J691" s="13"/>
      <c r="K691" s="13"/>
      <c r="L691" s="14"/>
      <c r="M691" s="4"/>
      <c r="N691" s="2"/>
      <c r="O691" s="4"/>
      <c r="P691" s="2"/>
      <c r="Q691" s="2"/>
      <c r="R691" s="4"/>
      <c r="S691" s="2"/>
      <c r="T691" s="2"/>
      <c r="U691" s="1"/>
      <c r="V691" s="2"/>
      <c r="W691" s="2"/>
      <c r="X691" s="2"/>
      <c r="Y691" s="2"/>
      <c r="Z691" s="2"/>
    </row>
    <row r="692" spans="1:26" ht="15.75" customHeight="1" x14ac:dyDescent="0.2">
      <c r="A692" s="12"/>
      <c r="B692" s="10"/>
      <c r="C692" s="11"/>
      <c r="D692" s="13"/>
      <c r="E692" s="13"/>
      <c r="F692" s="13"/>
      <c r="G692" s="2"/>
      <c r="H692" s="2"/>
      <c r="I692" s="13"/>
      <c r="J692" s="13"/>
      <c r="K692" s="13"/>
      <c r="L692" s="14"/>
      <c r="M692" s="4"/>
      <c r="N692" s="2"/>
      <c r="O692" s="4"/>
      <c r="P692" s="2"/>
      <c r="Q692" s="2"/>
      <c r="R692" s="4"/>
      <c r="S692" s="2"/>
      <c r="T692" s="2"/>
      <c r="U692" s="1"/>
      <c r="V692" s="2"/>
      <c r="W692" s="2"/>
      <c r="X692" s="2"/>
      <c r="Y692" s="2"/>
      <c r="Z692" s="2"/>
    </row>
    <row r="693" spans="1:26" ht="15.75" customHeight="1" x14ac:dyDescent="0.2">
      <c r="A693" s="12"/>
      <c r="B693" s="10"/>
      <c r="C693" s="11"/>
      <c r="D693" s="13"/>
      <c r="E693" s="13"/>
      <c r="F693" s="13"/>
      <c r="G693" s="2"/>
      <c r="H693" s="2"/>
      <c r="I693" s="13"/>
      <c r="J693" s="13"/>
      <c r="K693" s="13"/>
      <c r="L693" s="14"/>
      <c r="M693" s="4"/>
      <c r="N693" s="2"/>
      <c r="O693" s="4"/>
      <c r="P693" s="2"/>
      <c r="Q693" s="2"/>
      <c r="R693" s="4"/>
      <c r="S693" s="2"/>
      <c r="T693" s="2"/>
      <c r="U693" s="1"/>
      <c r="V693" s="2"/>
      <c r="W693" s="2"/>
      <c r="X693" s="2"/>
      <c r="Y693" s="2"/>
      <c r="Z693" s="2"/>
    </row>
    <row r="694" spans="1:26" ht="15.75" customHeight="1" x14ac:dyDescent="0.2">
      <c r="A694" s="12"/>
      <c r="B694" s="10"/>
      <c r="C694" s="11"/>
      <c r="D694" s="13"/>
      <c r="E694" s="13"/>
      <c r="F694" s="13"/>
      <c r="G694" s="2"/>
      <c r="H694" s="2"/>
      <c r="I694" s="13"/>
      <c r="J694" s="13"/>
      <c r="K694" s="13"/>
      <c r="L694" s="14"/>
      <c r="M694" s="4"/>
      <c r="N694" s="2"/>
      <c r="O694" s="4"/>
      <c r="P694" s="2"/>
      <c r="Q694" s="2"/>
      <c r="R694" s="4"/>
      <c r="S694" s="2"/>
      <c r="T694" s="2"/>
      <c r="U694" s="1"/>
      <c r="V694" s="2"/>
      <c r="W694" s="2"/>
      <c r="X694" s="2"/>
      <c r="Y694" s="2"/>
      <c r="Z694" s="2"/>
    </row>
    <row r="695" spans="1:26" ht="15.75" customHeight="1" x14ac:dyDescent="0.2">
      <c r="A695" s="12"/>
      <c r="B695" s="10"/>
      <c r="C695" s="11"/>
      <c r="D695" s="13"/>
      <c r="E695" s="13"/>
      <c r="F695" s="13"/>
      <c r="G695" s="2"/>
      <c r="H695" s="2"/>
      <c r="I695" s="13"/>
      <c r="J695" s="13"/>
      <c r="K695" s="13"/>
      <c r="L695" s="14"/>
      <c r="M695" s="4"/>
      <c r="N695" s="2"/>
      <c r="O695" s="4"/>
      <c r="P695" s="2"/>
      <c r="Q695" s="2"/>
      <c r="R695" s="4"/>
      <c r="S695" s="2"/>
      <c r="T695" s="2"/>
      <c r="U695" s="1"/>
      <c r="V695" s="2"/>
      <c r="W695" s="2"/>
      <c r="X695" s="2"/>
      <c r="Y695" s="2"/>
      <c r="Z695" s="2"/>
    </row>
    <row r="696" spans="1:26" ht="15.75" customHeight="1" x14ac:dyDescent="0.2">
      <c r="A696" s="12"/>
      <c r="B696" s="10"/>
      <c r="C696" s="11"/>
      <c r="D696" s="13"/>
      <c r="E696" s="13"/>
      <c r="F696" s="13"/>
      <c r="G696" s="2"/>
      <c r="H696" s="2"/>
      <c r="I696" s="13"/>
      <c r="J696" s="13"/>
      <c r="K696" s="13"/>
      <c r="L696" s="14"/>
      <c r="M696" s="4"/>
      <c r="N696" s="2"/>
      <c r="O696" s="4"/>
      <c r="P696" s="2"/>
      <c r="Q696" s="2"/>
      <c r="R696" s="4"/>
      <c r="S696" s="2"/>
      <c r="T696" s="2"/>
      <c r="U696" s="1"/>
      <c r="V696" s="2"/>
      <c r="W696" s="2"/>
      <c r="X696" s="2"/>
      <c r="Y696" s="2"/>
      <c r="Z696" s="2"/>
    </row>
    <row r="697" spans="1:26" ht="15.75" customHeight="1" x14ac:dyDescent="0.2">
      <c r="A697" s="12"/>
      <c r="B697" s="10"/>
      <c r="C697" s="11"/>
      <c r="D697" s="13"/>
      <c r="E697" s="13"/>
      <c r="F697" s="13"/>
      <c r="G697" s="2"/>
      <c r="H697" s="2"/>
      <c r="I697" s="13"/>
      <c r="J697" s="13"/>
      <c r="K697" s="13"/>
      <c r="L697" s="14"/>
      <c r="M697" s="4"/>
      <c r="N697" s="2"/>
      <c r="O697" s="4"/>
      <c r="P697" s="2"/>
      <c r="Q697" s="2"/>
      <c r="R697" s="4"/>
      <c r="S697" s="2"/>
      <c r="T697" s="2"/>
      <c r="U697" s="1"/>
      <c r="V697" s="2"/>
      <c r="W697" s="2"/>
      <c r="X697" s="2"/>
      <c r="Y697" s="2"/>
      <c r="Z697" s="2"/>
    </row>
    <row r="698" spans="1:26" ht="15.75" customHeight="1" x14ac:dyDescent="0.2">
      <c r="A698" s="12"/>
      <c r="B698" s="10"/>
      <c r="C698" s="11"/>
      <c r="D698" s="13"/>
      <c r="E698" s="13"/>
      <c r="F698" s="13"/>
      <c r="G698" s="2"/>
      <c r="H698" s="2"/>
      <c r="I698" s="13"/>
      <c r="J698" s="13"/>
      <c r="K698" s="13"/>
      <c r="L698" s="14"/>
      <c r="M698" s="4"/>
      <c r="N698" s="2"/>
      <c r="O698" s="4"/>
      <c r="P698" s="2"/>
      <c r="Q698" s="2"/>
      <c r="R698" s="4"/>
      <c r="S698" s="2"/>
      <c r="T698" s="2"/>
      <c r="U698" s="1"/>
      <c r="V698" s="2"/>
      <c r="W698" s="2"/>
      <c r="X698" s="2"/>
      <c r="Y698" s="2"/>
      <c r="Z698" s="2"/>
    </row>
    <row r="699" spans="1:26" ht="15.75" customHeight="1" x14ac:dyDescent="0.2">
      <c r="A699" s="12"/>
      <c r="B699" s="10"/>
      <c r="C699" s="11"/>
      <c r="D699" s="13"/>
      <c r="E699" s="13"/>
      <c r="F699" s="13"/>
      <c r="G699" s="2"/>
      <c r="H699" s="2"/>
      <c r="I699" s="13"/>
      <c r="J699" s="13"/>
      <c r="K699" s="13"/>
      <c r="L699" s="14"/>
      <c r="M699" s="4"/>
      <c r="N699" s="2"/>
      <c r="O699" s="4"/>
      <c r="P699" s="2"/>
      <c r="Q699" s="2"/>
      <c r="R699" s="4"/>
      <c r="S699" s="2"/>
      <c r="T699" s="2"/>
      <c r="U699" s="1"/>
      <c r="V699" s="2"/>
      <c r="W699" s="2"/>
      <c r="X699" s="2"/>
      <c r="Y699" s="2"/>
      <c r="Z699" s="2"/>
    </row>
    <row r="700" spans="1:26" ht="15.75" customHeight="1" x14ac:dyDescent="0.2">
      <c r="A700" s="12"/>
      <c r="B700" s="10"/>
      <c r="C700" s="11"/>
      <c r="D700" s="13"/>
      <c r="E700" s="13"/>
      <c r="F700" s="13"/>
      <c r="G700" s="2"/>
      <c r="H700" s="2"/>
      <c r="I700" s="13"/>
      <c r="J700" s="13"/>
      <c r="K700" s="13"/>
      <c r="L700" s="14"/>
      <c r="M700" s="4"/>
      <c r="N700" s="2"/>
      <c r="O700" s="4"/>
      <c r="P700" s="2"/>
      <c r="Q700" s="2"/>
      <c r="R700" s="4"/>
      <c r="S700" s="2"/>
      <c r="T700" s="2"/>
      <c r="U700" s="1"/>
      <c r="V700" s="2"/>
      <c r="W700" s="2"/>
      <c r="X700" s="2"/>
      <c r="Y700" s="2"/>
      <c r="Z700" s="2"/>
    </row>
    <row r="701" spans="1:26" ht="15.75" customHeight="1" x14ac:dyDescent="0.2">
      <c r="A701" s="12"/>
      <c r="B701" s="10"/>
      <c r="C701" s="11"/>
      <c r="D701" s="13"/>
      <c r="E701" s="13"/>
      <c r="F701" s="13"/>
      <c r="G701" s="2"/>
      <c r="H701" s="2"/>
      <c r="I701" s="13"/>
      <c r="J701" s="13"/>
      <c r="K701" s="13"/>
      <c r="L701" s="14"/>
      <c r="M701" s="4"/>
      <c r="N701" s="2"/>
      <c r="O701" s="4"/>
      <c r="P701" s="2"/>
      <c r="Q701" s="2"/>
      <c r="R701" s="4"/>
      <c r="S701" s="2"/>
      <c r="T701" s="2"/>
      <c r="U701" s="1"/>
      <c r="V701" s="2"/>
      <c r="W701" s="2"/>
      <c r="X701" s="2"/>
      <c r="Y701" s="2"/>
      <c r="Z701" s="2"/>
    </row>
    <row r="702" spans="1:26" ht="15.75" customHeight="1" x14ac:dyDescent="0.2">
      <c r="A702" s="12"/>
      <c r="B702" s="10"/>
      <c r="C702" s="11"/>
      <c r="D702" s="13"/>
      <c r="E702" s="13"/>
      <c r="F702" s="13"/>
      <c r="G702" s="2"/>
      <c r="H702" s="2"/>
      <c r="I702" s="13"/>
      <c r="J702" s="13"/>
      <c r="K702" s="13"/>
      <c r="L702" s="14"/>
      <c r="M702" s="4"/>
      <c r="N702" s="2"/>
      <c r="O702" s="4"/>
      <c r="P702" s="2"/>
      <c r="Q702" s="2"/>
      <c r="R702" s="4"/>
      <c r="S702" s="2"/>
      <c r="T702" s="2"/>
      <c r="U702" s="1"/>
      <c r="V702" s="2"/>
      <c r="W702" s="2"/>
      <c r="X702" s="2"/>
      <c r="Y702" s="2"/>
      <c r="Z702" s="2"/>
    </row>
    <row r="703" spans="1:26" ht="15.75" customHeight="1" x14ac:dyDescent="0.2">
      <c r="A703" s="12"/>
      <c r="B703" s="10"/>
      <c r="C703" s="11"/>
      <c r="D703" s="13"/>
      <c r="E703" s="13"/>
      <c r="F703" s="13"/>
      <c r="G703" s="2"/>
      <c r="H703" s="2"/>
      <c r="I703" s="13"/>
      <c r="J703" s="13"/>
      <c r="K703" s="13"/>
      <c r="L703" s="14"/>
      <c r="M703" s="4"/>
      <c r="N703" s="2"/>
      <c r="O703" s="4"/>
      <c r="P703" s="2"/>
      <c r="Q703" s="2"/>
      <c r="R703" s="4"/>
      <c r="S703" s="2"/>
      <c r="T703" s="2"/>
      <c r="U703" s="1"/>
      <c r="V703" s="2"/>
      <c r="W703" s="2"/>
      <c r="X703" s="2"/>
      <c r="Y703" s="2"/>
      <c r="Z703" s="2"/>
    </row>
    <row r="704" spans="1:26" ht="15.75" customHeight="1" x14ac:dyDescent="0.2">
      <c r="A704" s="12"/>
      <c r="B704" s="10"/>
      <c r="C704" s="11"/>
      <c r="D704" s="13"/>
      <c r="E704" s="13"/>
      <c r="F704" s="13"/>
      <c r="G704" s="2"/>
      <c r="H704" s="2"/>
      <c r="I704" s="13"/>
      <c r="J704" s="13"/>
      <c r="K704" s="13"/>
      <c r="L704" s="14"/>
      <c r="M704" s="4"/>
      <c r="N704" s="2"/>
      <c r="O704" s="4"/>
      <c r="P704" s="2"/>
      <c r="Q704" s="2"/>
      <c r="R704" s="4"/>
      <c r="S704" s="2"/>
      <c r="T704" s="2"/>
      <c r="U704" s="1"/>
      <c r="V704" s="2"/>
      <c r="W704" s="2"/>
      <c r="X704" s="2"/>
      <c r="Y704" s="2"/>
      <c r="Z704" s="2"/>
    </row>
    <row r="705" spans="1:26" ht="15.75" customHeight="1" x14ac:dyDescent="0.2">
      <c r="A705" s="12"/>
      <c r="B705" s="10"/>
      <c r="C705" s="11"/>
      <c r="D705" s="13"/>
      <c r="E705" s="13"/>
      <c r="F705" s="13"/>
      <c r="G705" s="2"/>
      <c r="H705" s="2"/>
      <c r="I705" s="13"/>
      <c r="J705" s="13"/>
      <c r="K705" s="13"/>
      <c r="L705" s="14"/>
      <c r="M705" s="4"/>
      <c r="N705" s="2"/>
      <c r="O705" s="4"/>
      <c r="P705" s="2"/>
      <c r="Q705" s="2"/>
      <c r="R705" s="4"/>
      <c r="S705" s="2"/>
      <c r="T705" s="2"/>
      <c r="U705" s="1"/>
      <c r="V705" s="2"/>
      <c r="W705" s="2"/>
      <c r="X705" s="2"/>
      <c r="Y705" s="2"/>
      <c r="Z705" s="2"/>
    </row>
    <row r="706" spans="1:26" ht="15.75" customHeight="1" x14ac:dyDescent="0.2">
      <c r="A706" s="12"/>
      <c r="B706" s="10"/>
      <c r="C706" s="11"/>
      <c r="D706" s="13"/>
      <c r="E706" s="13"/>
      <c r="F706" s="13"/>
      <c r="G706" s="2"/>
      <c r="H706" s="2"/>
      <c r="I706" s="13"/>
      <c r="J706" s="13"/>
      <c r="K706" s="13"/>
      <c r="L706" s="14"/>
      <c r="M706" s="4"/>
      <c r="N706" s="2"/>
      <c r="O706" s="4"/>
      <c r="P706" s="2"/>
      <c r="Q706" s="2"/>
      <c r="R706" s="4"/>
      <c r="S706" s="2"/>
      <c r="T706" s="2"/>
      <c r="U706" s="1"/>
      <c r="V706" s="2"/>
      <c r="W706" s="2"/>
      <c r="X706" s="2"/>
      <c r="Y706" s="2"/>
      <c r="Z706" s="2"/>
    </row>
    <row r="707" spans="1:26" ht="15.75" customHeight="1" x14ac:dyDescent="0.2">
      <c r="A707" s="12"/>
      <c r="B707" s="10"/>
      <c r="C707" s="11"/>
      <c r="D707" s="13"/>
      <c r="E707" s="13"/>
      <c r="F707" s="13"/>
      <c r="G707" s="2"/>
      <c r="H707" s="2"/>
      <c r="I707" s="13"/>
      <c r="J707" s="13"/>
      <c r="K707" s="13"/>
      <c r="L707" s="14"/>
      <c r="M707" s="4"/>
      <c r="N707" s="2"/>
      <c r="O707" s="4"/>
      <c r="P707" s="2"/>
      <c r="Q707" s="2"/>
      <c r="R707" s="4"/>
      <c r="S707" s="2"/>
      <c r="T707" s="2"/>
      <c r="U707" s="1"/>
      <c r="V707" s="2"/>
      <c r="W707" s="2"/>
      <c r="X707" s="2"/>
      <c r="Y707" s="2"/>
      <c r="Z707" s="2"/>
    </row>
    <row r="708" spans="1:26" ht="15.75" customHeight="1" x14ac:dyDescent="0.2">
      <c r="A708" s="12"/>
      <c r="B708" s="10"/>
      <c r="C708" s="11"/>
      <c r="D708" s="13"/>
      <c r="E708" s="13"/>
      <c r="F708" s="13"/>
      <c r="G708" s="2"/>
      <c r="H708" s="2"/>
      <c r="I708" s="13"/>
      <c r="J708" s="13"/>
      <c r="K708" s="13"/>
      <c r="L708" s="14"/>
      <c r="M708" s="4"/>
      <c r="N708" s="2"/>
      <c r="O708" s="4"/>
      <c r="P708" s="2"/>
      <c r="Q708" s="2"/>
      <c r="R708" s="4"/>
      <c r="S708" s="2"/>
      <c r="T708" s="2"/>
      <c r="U708" s="1"/>
      <c r="V708" s="2"/>
      <c r="W708" s="2"/>
      <c r="X708" s="2"/>
      <c r="Y708" s="2"/>
      <c r="Z708" s="2"/>
    </row>
    <row r="709" spans="1:26" ht="15.75" customHeight="1" x14ac:dyDescent="0.2">
      <c r="A709" s="12"/>
      <c r="B709" s="10"/>
      <c r="C709" s="11"/>
      <c r="D709" s="13"/>
      <c r="E709" s="13"/>
      <c r="F709" s="13"/>
      <c r="G709" s="2"/>
      <c r="H709" s="2"/>
      <c r="I709" s="13"/>
      <c r="J709" s="13"/>
      <c r="K709" s="13"/>
      <c r="L709" s="14"/>
      <c r="M709" s="4"/>
      <c r="N709" s="2"/>
      <c r="O709" s="4"/>
      <c r="P709" s="2"/>
      <c r="Q709" s="2"/>
      <c r="R709" s="4"/>
      <c r="S709" s="2"/>
      <c r="T709" s="2"/>
      <c r="U709" s="1"/>
      <c r="V709" s="2"/>
      <c r="W709" s="2"/>
      <c r="X709" s="2"/>
      <c r="Y709" s="2"/>
      <c r="Z709" s="2"/>
    </row>
    <row r="710" spans="1:26" ht="15.75" customHeight="1" x14ac:dyDescent="0.2">
      <c r="A710" s="12"/>
      <c r="B710" s="10"/>
      <c r="C710" s="11"/>
      <c r="D710" s="13"/>
      <c r="E710" s="13"/>
      <c r="F710" s="13"/>
      <c r="G710" s="2"/>
      <c r="H710" s="2"/>
      <c r="I710" s="13"/>
      <c r="J710" s="13"/>
      <c r="K710" s="13"/>
      <c r="L710" s="14"/>
      <c r="M710" s="4"/>
      <c r="N710" s="2"/>
      <c r="O710" s="4"/>
      <c r="P710" s="2"/>
      <c r="Q710" s="2"/>
      <c r="R710" s="4"/>
      <c r="S710" s="2"/>
      <c r="T710" s="2"/>
      <c r="U710" s="1"/>
      <c r="V710" s="2"/>
      <c r="W710" s="2"/>
      <c r="X710" s="2"/>
      <c r="Y710" s="2"/>
      <c r="Z710" s="2"/>
    </row>
    <row r="711" spans="1:26" ht="15.75" customHeight="1" x14ac:dyDescent="0.2">
      <c r="A711" s="12"/>
      <c r="B711" s="10"/>
      <c r="C711" s="11"/>
      <c r="D711" s="13"/>
      <c r="E711" s="13"/>
      <c r="F711" s="13"/>
      <c r="G711" s="2"/>
      <c r="H711" s="2"/>
      <c r="I711" s="13"/>
      <c r="J711" s="13"/>
      <c r="K711" s="13"/>
      <c r="L711" s="14"/>
      <c r="M711" s="4"/>
      <c r="N711" s="2"/>
      <c r="O711" s="4"/>
      <c r="P711" s="2"/>
      <c r="Q711" s="2"/>
      <c r="R711" s="4"/>
      <c r="S711" s="2"/>
      <c r="T711" s="2"/>
      <c r="U711" s="1"/>
      <c r="V711" s="2"/>
      <c r="W711" s="2"/>
      <c r="X711" s="2"/>
      <c r="Y711" s="2"/>
      <c r="Z711" s="2"/>
    </row>
    <row r="712" spans="1:26" ht="15.75" customHeight="1" x14ac:dyDescent="0.2">
      <c r="A712" s="12"/>
      <c r="B712" s="10"/>
      <c r="C712" s="11"/>
      <c r="D712" s="13"/>
      <c r="E712" s="13"/>
      <c r="F712" s="13"/>
      <c r="G712" s="2"/>
      <c r="H712" s="2"/>
      <c r="I712" s="13"/>
      <c r="J712" s="13"/>
      <c r="K712" s="13"/>
      <c r="L712" s="14"/>
      <c r="M712" s="4"/>
      <c r="N712" s="2"/>
      <c r="O712" s="4"/>
      <c r="P712" s="2"/>
      <c r="Q712" s="2"/>
      <c r="R712" s="4"/>
      <c r="S712" s="2"/>
      <c r="T712" s="2"/>
      <c r="U712" s="1"/>
      <c r="V712" s="2"/>
      <c r="W712" s="2"/>
      <c r="X712" s="2"/>
      <c r="Y712" s="2"/>
      <c r="Z712" s="2"/>
    </row>
    <row r="713" spans="1:26" ht="15.75" customHeight="1" x14ac:dyDescent="0.2">
      <c r="A713" s="12"/>
      <c r="B713" s="10"/>
      <c r="C713" s="11"/>
      <c r="D713" s="13"/>
      <c r="E713" s="13"/>
      <c r="F713" s="13"/>
      <c r="G713" s="2"/>
      <c r="H713" s="2"/>
      <c r="I713" s="13"/>
      <c r="J713" s="13"/>
      <c r="K713" s="13"/>
      <c r="L713" s="14"/>
      <c r="M713" s="4"/>
      <c r="N713" s="2"/>
      <c r="O713" s="4"/>
      <c r="P713" s="2"/>
      <c r="Q713" s="2"/>
      <c r="R713" s="4"/>
      <c r="S713" s="2"/>
      <c r="T713" s="2"/>
      <c r="U713" s="1"/>
      <c r="V713" s="2"/>
      <c r="W713" s="2"/>
      <c r="X713" s="2"/>
      <c r="Y713" s="2"/>
      <c r="Z713" s="2"/>
    </row>
    <row r="714" spans="1:26" ht="15.75" customHeight="1" x14ac:dyDescent="0.2">
      <c r="A714" s="12"/>
      <c r="B714" s="10"/>
      <c r="C714" s="11"/>
      <c r="D714" s="13"/>
      <c r="E714" s="13"/>
      <c r="F714" s="13"/>
      <c r="G714" s="2"/>
      <c r="H714" s="2"/>
      <c r="I714" s="13"/>
      <c r="J714" s="13"/>
      <c r="K714" s="13"/>
      <c r="L714" s="14"/>
      <c r="M714" s="4"/>
      <c r="N714" s="2"/>
      <c r="O714" s="4"/>
      <c r="P714" s="2"/>
      <c r="Q714" s="2"/>
      <c r="R714" s="4"/>
      <c r="S714" s="2"/>
      <c r="T714" s="2"/>
      <c r="U714" s="1"/>
      <c r="V714" s="2"/>
      <c r="W714" s="2"/>
      <c r="X714" s="2"/>
      <c r="Y714" s="2"/>
      <c r="Z714" s="2"/>
    </row>
    <row r="715" spans="1:26" ht="15.75" customHeight="1" x14ac:dyDescent="0.2">
      <c r="A715" s="12"/>
      <c r="B715" s="10"/>
      <c r="C715" s="11"/>
      <c r="D715" s="13"/>
      <c r="E715" s="13"/>
      <c r="F715" s="13"/>
      <c r="G715" s="2"/>
      <c r="H715" s="2"/>
      <c r="I715" s="13"/>
      <c r="J715" s="13"/>
      <c r="K715" s="13"/>
      <c r="L715" s="14"/>
      <c r="M715" s="4"/>
      <c r="N715" s="2"/>
      <c r="O715" s="4"/>
      <c r="P715" s="2"/>
      <c r="Q715" s="2"/>
      <c r="R715" s="4"/>
      <c r="S715" s="2"/>
      <c r="T715" s="2"/>
      <c r="U715" s="1"/>
      <c r="V715" s="2"/>
      <c r="W715" s="2"/>
      <c r="X715" s="2"/>
      <c r="Y715" s="2"/>
      <c r="Z715" s="2"/>
    </row>
    <row r="716" spans="1:26" ht="15.75" customHeight="1" x14ac:dyDescent="0.2">
      <c r="A716" s="12"/>
      <c r="B716" s="10"/>
      <c r="C716" s="11"/>
      <c r="D716" s="13"/>
      <c r="E716" s="13"/>
      <c r="F716" s="13"/>
      <c r="G716" s="2"/>
      <c r="H716" s="2"/>
      <c r="I716" s="13"/>
      <c r="J716" s="13"/>
      <c r="K716" s="13"/>
      <c r="L716" s="14"/>
      <c r="M716" s="4"/>
      <c r="N716" s="2"/>
      <c r="O716" s="4"/>
      <c r="P716" s="2"/>
      <c r="Q716" s="2"/>
      <c r="R716" s="4"/>
      <c r="S716" s="2"/>
      <c r="T716" s="2"/>
      <c r="U716" s="1"/>
      <c r="V716" s="2"/>
      <c r="W716" s="2"/>
      <c r="X716" s="2"/>
      <c r="Y716" s="2"/>
      <c r="Z716" s="2"/>
    </row>
    <row r="717" spans="1:26" ht="15.75" customHeight="1" x14ac:dyDescent="0.2">
      <c r="A717" s="12"/>
      <c r="B717" s="10"/>
      <c r="C717" s="11"/>
      <c r="D717" s="13"/>
      <c r="E717" s="13"/>
      <c r="F717" s="13"/>
      <c r="G717" s="2"/>
      <c r="H717" s="2"/>
      <c r="I717" s="13"/>
      <c r="J717" s="13"/>
      <c r="K717" s="13"/>
      <c r="L717" s="14"/>
      <c r="M717" s="4"/>
      <c r="N717" s="2"/>
      <c r="O717" s="4"/>
      <c r="P717" s="2"/>
      <c r="Q717" s="2"/>
      <c r="R717" s="4"/>
      <c r="S717" s="2"/>
      <c r="T717" s="2"/>
      <c r="U717" s="1"/>
      <c r="V717" s="2"/>
      <c r="W717" s="2"/>
      <c r="X717" s="2"/>
      <c r="Y717" s="2"/>
      <c r="Z717" s="2"/>
    </row>
    <row r="718" spans="1:26" ht="15.75" customHeight="1" x14ac:dyDescent="0.2">
      <c r="A718" s="12"/>
      <c r="B718" s="10"/>
      <c r="C718" s="11"/>
      <c r="D718" s="13"/>
      <c r="E718" s="13"/>
      <c r="F718" s="13"/>
      <c r="G718" s="2"/>
      <c r="H718" s="2"/>
      <c r="I718" s="13"/>
      <c r="J718" s="13"/>
      <c r="K718" s="13"/>
      <c r="L718" s="14"/>
      <c r="M718" s="4"/>
      <c r="N718" s="2"/>
      <c r="O718" s="4"/>
      <c r="P718" s="2"/>
      <c r="Q718" s="2"/>
      <c r="R718" s="4"/>
      <c r="S718" s="2"/>
      <c r="T718" s="2"/>
      <c r="U718" s="1"/>
      <c r="V718" s="2"/>
      <c r="W718" s="2"/>
      <c r="X718" s="2"/>
      <c r="Y718" s="2"/>
      <c r="Z718" s="2"/>
    </row>
    <row r="719" spans="1:26" ht="15.75" customHeight="1" x14ac:dyDescent="0.2">
      <c r="A719" s="12"/>
      <c r="B719" s="10"/>
      <c r="C719" s="11"/>
      <c r="D719" s="13"/>
      <c r="E719" s="13"/>
      <c r="F719" s="13"/>
      <c r="G719" s="2"/>
      <c r="H719" s="2"/>
      <c r="I719" s="13"/>
      <c r="J719" s="13"/>
      <c r="K719" s="13"/>
      <c r="L719" s="14"/>
      <c r="M719" s="4"/>
      <c r="N719" s="2"/>
      <c r="O719" s="4"/>
      <c r="P719" s="2"/>
      <c r="Q719" s="2"/>
      <c r="R719" s="4"/>
      <c r="S719" s="2"/>
      <c r="T719" s="2"/>
      <c r="U719" s="1"/>
      <c r="V719" s="2"/>
      <c r="W719" s="2"/>
      <c r="X719" s="2"/>
      <c r="Y719" s="2"/>
      <c r="Z719" s="2"/>
    </row>
    <row r="720" spans="1:26" ht="15.75" customHeight="1" x14ac:dyDescent="0.2">
      <c r="A720" s="12"/>
      <c r="B720" s="10"/>
      <c r="C720" s="11"/>
      <c r="D720" s="13"/>
      <c r="E720" s="13"/>
      <c r="F720" s="13"/>
      <c r="G720" s="2"/>
      <c r="H720" s="2"/>
      <c r="I720" s="13"/>
      <c r="J720" s="13"/>
      <c r="K720" s="13"/>
      <c r="L720" s="14"/>
      <c r="M720" s="4"/>
      <c r="N720" s="2"/>
      <c r="O720" s="4"/>
      <c r="P720" s="2"/>
      <c r="Q720" s="2"/>
      <c r="R720" s="4"/>
      <c r="S720" s="2"/>
      <c r="T720" s="2"/>
      <c r="U720" s="1"/>
      <c r="V720" s="2"/>
      <c r="W720" s="2"/>
      <c r="X720" s="2"/>
      <c r="Y720" s="2"/>
      <c r="Z720" s="2"/>
    </row>
    <row r="721" spans="1:26" ht="15.75" customHeight="1" x14ac:dyDescent="0.2">
      <c r="A721" s="12"/>
      <c r="B721" s="10"/>
      <c r="C721" s="11"/>
      <c r="D721" s="13"/>
      <c r="E721" s="13"/>
      <c r="F721" s="13"/>
      <c r="G721" s="2"/>
      <c r="H721" s="2"/>
      <c r="I721" s="13"/>
      <c r="J721" s="13"/>
      <c r="K721" s="13"/>
      <c r="L721" s="14"/>
      <c r="M721" s="4"/>
      <c r="N721" s="2"/>
      <c r="O721" s="4"/>
      <c r="P721" s="2"/>
      <c r="Q721" s="2"/>
      <c r="R721" s="4"/>
      <c r="S721" s="2"/>
      <c r="T721" s="2"/>
      <c r="U721" s="1"/>
      <c r="V721" s="2"/>
      <c r="W721" s="2"/>
      <c r="X721" s="2"/>
      <c r="Y721" s="2"/>
      <c r="Z721" s="2"/>
    </row>
    <row r="722" spans="1:26" ht="15.75" customHeight="1" x14ac:dyDescent="0.2">
      <c r="A722" s="12"/>
      <c r="B722" s="10"/>
      <c r="C722" s="11"/>
      <c r="D722" s="13"/>
      <c r="E722" s="13"/>
      <c r="F722" s="13"/>
      <c r="G722" s="2"/>
      <c r="H722" s="2"/>
      <c r="I722" s="13"/>
      <c r="J722" s="13"/>
      <c r="K722" s="13"/>
      <c r="L722" s="14"/>
      <c r="M722" s="4"/>
      <c r="N722" s="2"/>
      <c r="O722" s="4"/>
      <c r="P722" s="2"/>
      <c r="Q722" s="2"/>
      <c r="R722" s="4"/>
      <c r="S722" s="2"/>
      <c r="T722" s="2"/>
      <c r="U722" s="1"/>
      <c r="V722" s="2"/>
      <c r="W722" s="2"/>
      <c r="X722" s="2"/>
      <c r="Y722" s="2"/>
      <c r="Z722" s="2"/>
    </row>
    <row r="723" spans="1:26" ht="15.75" customHeight="1" x14ac:dyDescent="0.2">
      <c r="A723" s="12"/>
      <c r="B723" s="10"/>
      <c r="C723" s="11"/>
      <c r="D723" s="13"/>
      <c r="E723" s="13"/>
      <c r="F723" s="13"/>
      <c r="G723" s="2"/>
      <c r="H723" s="2"/>
      <c r="I723" s="13"/>
      <c r="J723" s="13"/>
      <c r="K723" s="13"/>
      <c r="L723" s="14"/>
      <c r="M723" s="4"/>
      <c r="N723" s="2"/>
      <c r="O723" s="4"/>
      <c r="P723" s="2"/>
      <c r="Q723" s="2"/>
      <c r="R723" s="4"/>
      <c r="S723" s="2"/>
      <c r="T723" s="2"/>
      <c r="U723" s="1"/>
      <c r="V723" s="2"/>
      <c r="W723" s="2"/>
      <c r="X723" s="2"/>
      <c r="Y723" s="2"/>
      <c r="Z723" s="2"/>
    </row>
    <row r="724" spans="1:26" ht="15.75" customHeight="1" x14ac:dyDescent="0.2">
      <c r="A724" s="12"/>
      <c r="B724" s="10"/>
      <c r="C724" s="11"/>
      <c r="D724" s="13"/>
      <c r="E724" s="13"/>
      <c r="F724" s="13"/>
      <c r="G724" s="2"/>
      <c r="H724" s="2"/>
      <c r="I724" s="13"/>
      <c r="J724" s="13"/>
      <c r="K724" s="13"/>
      <c r="L724" s="14"/>
      <c r="M724" s="4"/>
      <c r="N724" s="2"/>
      <c r="O724" s="4"/>
      <c r="P724" s="2"/>
      <c r="Q724" s="2"/>
      <c r="R724" s="4"/>
      <c r="S724" s="2"/>
      <c r="T724" s="2"/>
      <c r="U724" s="1"/>
      <c r="V724" s="2"/>
      <c r="W724" s="2"/>
      <c r="X724" s="2"/>
      <c r="Y724" s="2"/>
      <c r="Z724" s="2"/>
    </row>
    <row r="725" spans="1:26" ht="15.75" customHeight="1" x14ac:dyDescent="0.2">
      <c r="A725" s="12"/>
      <c r="B725" s="10"/>
      <c r="C725" s="11"/>
      <c r="D725" s="13"/>
      <c r="E725" s="13"/>
      <c r="F725" s="13"/>
      <c r="G725" s="2"/>
      <c r="H725" s="2"/>
      <c r="I725" s="13"/>
      <c r="J725" s="13"/>
      <c r="K725" s="13"/>
      <c r="L725" s="14"/>
      <c r="M725" s="4"/>
      <c r="N725" s="2"/>
      <c r="O725" s="4"/>
      <c r="P725" s="2"/>
      <c r="Q725" s="2"/>
      <c r="R725" s="4"/>
      <c r="S725" s="2"/>
      <c r="T725" s="2"/>
      <c r="U725" s="1"/>
      <c r="V725" s="2"/>
      <c r="W725" s="2"/>
      <c r="X725" s="2"/>
      <c r="Y725" s="2"/>
      <c r="Z725" s="2"/>
    </row>
    <row r="726" spans="1:26" ht="15.75" customHeight="1" x14ac:dyDescent="0.2">
      <c r="A726" s="12"/>
      <c r="B726" s="10"/>
      <c r="C726" s="11"/>
      <c r="D726" s="13"/>
      <c r="E726" s="13"/>
      <c r="F726" s="13"/>
      <c r="G726" s="2"/>
      <c r="H726" s="2"/>
      <c r="I726" s="13"/>
      <c r="J726" s="13"/>
      <c r="K726" s="13"/>
      <c r="L726" s="14"/>
      <c r="M726" s="4"/>
      <c r="N726" s="2"/>
      <c r="O726" s="4"/>
      <c r="P726" s="2"/>
      <c r="Q726" s="2"/>
      <c r="R726" s="4"/>
      <c r="S726" s="2"/>
      <c r="T726" s="2"/>
      <c r="U726" s="1"/>
      <c r="V726" s="2"/>
      <c r="W726" s="2"/>
      <c r="X726" s="2"/>
      <c r="Y726" s="2"/>
      <c r="Z726" s="2"/>
    </row>
    <row r="727" spans="1:26" ht="15.75" customHeight="1" x14ac:dyDescent="0.2">
      <c r="A727" s="12"/>
      <c r="B727" s="10"/>
      <c r="C727" s="11"/>
      <c r="D727" s="13"/>
      <c r="E727" s="13"/>
      <c r="F727" s="13"/>
      <c r="G727" s="2"/>
      <c r="H727" s="2"/>
      <c r="I727" s="13"/>
      <c r="J727" s="13"/>
      <c r="K727" s="13"/>
      <c r="L727" s="14"/>
      <c r="M727" s="4"/>
      <c r="N727" s="2"/>
      <c r="O727" s="4"/>
      <c r="P727" s="2"/>
      <c r="Q727" s="2"/>
      <c r="R727" s="4"/>
      <c r="S727" s="2"/>
      <c r="T727" s="2"/>
      <c r="U727" s="1"/>
      <c r="V727" s="2"/>
      <c r="W727" s="2"/>
      <c r="X727" s="2"/>
      <c r="Y727" s="2"/>
      <c r="Z727" s="2"/>
    </row>
    <row r="728" spans="1:26" ht="15.75" customHeight="1" x14ac:dyDescent="0.2">
      <c r="A728" s="12"/>
      <c r="B728" s="10"/>
      <c r="C728" s="11"/>
      <c r="D728" s="13"/>
      <c r="E728" s="13"/>
      <c r="F728" s="13"/>
      <c r="G728" s="2"/>
      <c r="H728" s="2"/>
      <c r="I728" s="13"/>
      <c r="J728" s="13"/>
      <c r="K728" s="13"/>
      <c r="L728" s="14"/>
      <c r="M728" s="4"/>
      <c r="N728" s="2"/>
      <c r="O728" s="4"/>
      <c r="P728" s="2"/>
      <c r="Q728" s="2"/>
      <c r="R728" s="4"/>
      <c r="S728" s="2"/>
      <c r="T728" s="2"/>
      <c r="U728" s="1"/>
      <c r="V728" s="2"/>
      <c r="W728" s="2"/>
      <c r="X728" s="2"/>
      <c r="Y728" s="2"/>
      <c r="Z728" s="2"/>
    </row>
    <row r="729" spans="1:26" ht="15.75" customHeight="1" x14ac:dyDescent="0.2">
      <c r="A729" s="12"/>
      <c r="B729" s="10"/>
      <c r="C729" s="11"/>
      <c r="D729" s="13"/>
      <c r="E729" s="13"/>
      <c r="F729" s="13"/>
      <c r="G729" s="2"/>
      <c r="H729" s="2"/>
      <c r="I729" s="13"/>
      <c r="J729" s="13"/>
      <c r="K729" s="13"/>
      <c r="L729" s="14"/>
      <c r="M729" s="4"/>
      <c r="N729" s="2"/>
      <c r="O729" s="4"/>
      <c r="P729" s="2"/>
      <c r="Q729" s="2"/>
      <c r="R729" s="4"/>
      <c r="S729" s="2"/>
      <c r="T729" s="2"/>
      <c r="U729" s="1"/>
      <c r="V729" s="2"/>
      <c r="W729" s="2"/>
      <c r="X729" s="2"/>
      <c r="Y729" s="2"/>
      <c r="Z729" s="2"/>
    </row>
    <row r="730" spans="1:26" ht="15.75" customHeight="1" x14ac:dyDescent="0.2">
      <c r="A730" s="12"/>
      <c r="B730" s="10"/>
      <c r="C730" s="11"/>
      <c r="D730" s="13"/>
      <c r="E730" s="13"/>
      <c r="F730" s="13"/>
      <c r="G730" s="2"/>
      <c r="H730" s="2"/>
      <c r="I730" s="13"/>
      <c r="J730" s="13"/>
      <c r="K730" s="13"/>
      <c r="L730" s="14"/>
      <c r="M730" s="4"/>
      <c r="N730" s="2"/>
      <c r="O730" s="4"/>
      <c r="P730" s="2"/>
      <c r="Q730" s="2"/>
      <c r="R730" s="4"/>
      <c r="S730" s="2"/>
      <c r="T730" s="2"/>
      <c r="U730" s="1"/>
      <c r="V730" s="2"/>
      <c r="W730" s="2"/>
      <c r="X730" s="2"/>
      <c r="Y730" s="2"/>
      <c r="Z730" s="2"/>
    </row>
    <row r="731" spans="1:26" ht="15.75" customHeight="1" x14ac:dyDescent="0.2">
      <c r="A731" s="12"/>
      <c r="B731" s="10"/>
      <c r="C731" s="11"/>
      <c r="D731" s="13"/>
      <c r="E731" s="13"/>
      <c r="F731" s="13"/>
      <c r="G731" s="2"/>
      <c r="H731" s="2"/>
      <c r="I731" s="13"/>
      <c r="J731" s="13"/>
      <c r="K731" s="13"/>
      <c r="L731" s="14"/>
      <c r="M731" s="4"/>
      <c r="N731" s="2"/>
      <c r="O731" s="4"/>
      <c r="P731" s="2"/>
      <c r="Q731" s="2"/>
      <c r="R731" s="4"/>
      <c r="S731" s="2"/>
      <c r="T731" s="2"/>
      <c r="U731" s="1"/>
      <c r="V731" s="2"/>
      <c r="W731" s="2"/>
      <c r="X731" s="2"/>
      <c r="Y731" s="2"/>
      <c r="Z731" s="2"/>
    </row>
    <row r="732" spans="1:26" ht="15.75" customHeight="1" x14ac:dyDescent="0.2">
      <c r="A732" s="12"/>
      <c r="B732" s="10"/>
      <c r="C732" s="11"/>
      <c r="D732" s="13"/>
      <c r="E732" s="13"/>
      <c r="F732" s="13"/>
      <c r="G732" s="2"/>
      <c r="H732" s="2"/>
      <c r="I732" s="13"/>
      <c r="J732" s="13"/>
      <c r="K732" s="13"/>
      <c r="L732" s="14"/>
      <c r="M732" s="4"/>
      <c r="N732" s="2"/>
      <c r="O732" s="4"/>
      <c r="P732" s="2"/>
      <c r="Q732" s="2"/>
      <c r="R732" s="4"/>
      <c r="S732" s="2"/>
      <c r="T732" s="2"/>
      <c r="U732" s="1"/>
      <c r="V732" s="2"/>
      <c r="W732" s="2"/>
      <c r="X732" s="2"/>
      <c r="Y732" s="2"/>
      <c r="Z732" s="2"/>
    </row>
    <row r="733" spans="1:26" ht="15.75" customHeight="1" x14ac:dyDescent="0.2">
      <c r="A733" s="12"/>
      <c r="B733" s="10"/>
      <c r="C733" s="11"/>
      <c r="D733" s="13"/>
      <c r="E733" s="13"/>
      <c r="F733" s="13"/>
      <c r="G733" s="2"/>
      <c r="H733" s="2"/>
      <c r="I733" s="13"/>
      <c r="J733" s="13"/>
      <c r="K733" s="13"/>
      <c r="L733" s="14"/>
      <c r="M733" s="4"/>
      <c r="N733" s="2"/>
      <c r="O733" s="4"/>
      <c r="P733" s="2"/>
      <c r="Q733" s="2"/>
      <c r="R733" s="4"/>
      <c r="S733" s="2"/>
      <c r="T733" s="2"/>
      <c r="U733" s="1"/>
      <c r="V733" s="2"/>
      <c r="W733" s="2"/>
      <c r="X733" s="2"/>
      <c r="Y733" s="2"/>
      <c r="Z733" s="2"/>
    </row>
    <row r="734" spans="1:26" ht="15.75" customHeight="1" x14ac:dyDescent="0.2">
      <c r="A734" s="12"/>
      <c r="B734" s="10"/>
      <c r="C734" s="11"/>
      <c r="D734" s="13"/>
      <c r="E734" s="13"/>
      <c r="F734" s="13"/>
      <c r="G734" s="2"/>
      <c r="H734" s="2"/>
      <c r="I734" s="13"/>
      <c r="J734" s="13"/>
      <c r="K734" s="13"/>
      <c r="L734" s="14"/>
      <c r="M734" s="4"/>
      <c r="N734" s="2"/>
      <c r="O734" s="4"/>
      <c r="P734" s="2"/>
      <c r="Q734" s="2"/>
      <c r="R734" s="4"/>
      <c r="S734" s="2"/>
      <c r="T734" s="2"/>
      <c r="U734" s="1"/>
      <c r="V734" s="2"/>
      <c r="W734" s="2"/>
      <c r="X734" s="2"/>
      <c r="Y734" s="2"/>
      <c r="Z734" s="2"/>
    </row>
    <row r="735" spans="1:26" ht="15.75" customHeight="1" x14ac:dyDescent="0.2">
      <c r="A735" s="12"/>
      <c r="B735" s="10"/>
      <c r="C735" s="11"/>
      <c r="D735" s="13"/>
      <c r="E735" s="13"/>
      <c r="F735" s="13"/>
      <c r="G735" s="2"/>
      <c r="H735" s="2"/>
      <c r="I735" s="13"/>
      <c r="J735" s="13"/>
      <c r="K735" s="13"/>
      <c r="L735" s="14"/>
      <c r="M735" s="4"/>
      <c r="N735" s="2"/>
      <c r="O735" s="4"/>
      <c r="P735" s="2"/>
      <c r="Q735" s="2"/>
      <c r="R735" s="4"/>
      <c r="S735" s="2"/>
      <c r="T735" s="2"/>
      <c r="U735" s="1"/>
      <c r="V735" s="2"/>
      <c r="W735" s="2"/>
      <c r="X735" s="2"/>
      <c r="Y735" s="2"/>
      <c r="Z735" s="2"/>
    </row>
    <row r="736" spans="1:26" ht="15.75" customHeight="1" x14ac:dyDescent="0.2">
      <c r="A736" s="12"/>
      <c r="B736" s="10"/>
      <c r="C736" s="11"/>
      <c r="D736" s="13"/>
      <c r="E736" s="13"/>
      <c r="F736" s="13"/>
      <c r="G736" s="2"/>
      <c r="H736" s="2"/>
      <c r="I736" s="13"/>
      <c r="J736" s="13"/>
      <c r="K736" s="13"/>
      <c r="L736" s="14"/>
      <c r="M736" s="4"/>
      <c r="N736" s="2"/>
      <c r="O736" s="4"/>
      <c r="P736" s="2"/>
      <c r="Q736" s="2"/>
      <c r="R736" s="4"/>
      <c r="S736" s="2"/>
      <c r="T736" s="2"/>
      <c r="U736" s="1"/>
      <c r="V736" s="2"/>
      <c r="W736" s="2"/>
      <c r="X736" s="2"/>
      <c r="Y736" s="2"/>
      <c r="Z736" s="2"/>
    </row>
    <row r="737" spans="1:26" ht="15.75" customHeight="1" x14ac:dyDescent="0.2">
      <c r="A737" s="12"/>
      <c r="B737" s="10"/>
      <c r="C737" s="11"/>
      <c r="D737" s="13"/>
      <c r="E737" s="13"/>
      <c r="F737" s="13"/>
      <c r="G737" s="2"/>
      <c r="H737" s="2"/>
      <c r="I737" s="13"/>
      <c r="J737" s="13"/>
      <c r="K737" s="13"/>
      <c r="L737" s="14"/>
      <c r="M737" s="4"/>
      <c r="N737" s="2"/>
      <c r="O737" s="4"/>
      <c r="P737" s="2"/>
      <c r="Q737" s="2"/>
      <c r="R737" s="4"/>
      <c r="S737" s="2"/>
      <c r="T737" s="2"/>
      <c r="U737" s="1"/>
      <c r="V737" s="2"/>
      <c r="W737" s="2"/>
      <c r="X737" s="2"/>
      <c r="Y737" s="2"/>
      <c r="Z737" s="2"/>
    </row>
    <row r="738" spans="1:26" ht="15.75" customHeight="1" x14ac:dyDescent="0.2">
      <c r="A738" s="12"/>
      <c r="B738" s="10"/>
      <c r="C738" s="11"/>
      <c r="D738" s="13"/>
      <c r="E738" s="13"/>
      <c r="F738" s="13"/>
      <c r="G738" s="2"/>
      <c r="H738" s="2"/>
      <c r="I738" s="13"/>
      <c r="J738" s="13"/>
      <c r="K738" s="13"/>
      <c r="L738" s="14"/>
      <c r="M738" s="4"/>
      <c r="N738" s="2"/>
      <c r="O738" s="4"/>
      <c r="P738" s="2"/>
      <c r="Q738" s="2"/>
      <c r="R738" s="4"/>
      <c r="S738" s="2"/>
      <c r="T738" s="2"/>
      <c r="U738" s="1"/>
      <c r="V738" s="2"/>
      <c r="W738" s="2"/>
      <c r="X738" s="2"/>
      <c r="Y738" s="2"/>
      <c r="Z738" s="2"/>
    </row>
    <row r="739" spans="1:26" ht="15.75" customHeight="1" x14ac:dyDescent="0.2">
      <c r="A739" s="12"/>
      <c r="B739" s="10"/>
      <c r="C739" s="11"/>
      <c r="D739" s="13"/>
      <c r="E739" s="13"/>
      <c r="F739" s="13"/>
      <c r="G739" s="2"/>
      <c r="H739" s="2"/>
      <c r="I739" s="13"/>
      <c r="J739" s="13"/>
      <c r="K739" s="13"/>
      <c r="L739" s="14"/>
      <c r="M739" s="4"/>
      <c r="N739" s="2"/>
      <c r="O739" s="4"/>
      <c r="P739" s="2"/>
      <c r="Q739" s="2"/>
      <c r="R739" s="4"/>
      <c r="S739" s="2"/>
      <c r="T739" s="2"/>
      <c r="U739" s="1"/>
      <c r="V739" s="2"/>
      <c r="W739" s="2"/>
      <c r="X739" s="2"/>
      <c r="Y739" s="2"/>
      <c r="Z739" s="2"/>
    </row>
    <row r="740" spans="1:26" ht="15.75" customHeight="1" x14ac:dyDescent="0.2">
      <c r="A740" s="12"/>
      <c r="B740" s="10"/>
      <c r="C740" s="11"/>
      <c r="D740" s="13"/>
      <c r="E740" s="13"/>
      <c r="F740" s="13"/>
      <c r="G740" s="2"/>
      <c r="H740" s="2"/>
      <c r="I740" s="13"/>
      <c r="J740" s="13"/>
      <c r="K740" s="13"/>
      <c r="L740" s="14"/>
      <c r="M740" s="4"/>
      <c r="N740" s="2"/>
      <c r="O740" s="4"/>
      <c r="P740" s="2"/>
      <c r="Q740" s="2"/>
      <c r="R740" s="4"/>
      <c r="S740" s="2"/>
      <c r="T740" s="2"/>
      <c r="U740" s="1"/>
      <c r="V740" s="2"/>
      <c r="W740" s="2"/>
      <c r="X740" s="2"/>
      <c r="Y740" s="2"/>
      <c r="Z740" s="2"/>
    </row>
    <row r="741" spans="1:26" ht="15.75" customHeight="1" x14ac:dyDescent="0.2">
      <c r="A741" s="12"/>
      <c r="B741" s="10"/>
      <c r="C741" s="11"/>
      <c r="D741" s="13"/>
      <c r="E741" s="13"/>
      <c r="F741" s="13"/>
      <c r="G741" s="2"/>
      <c r="H741" s="2"/>
      <c r="I741" s="13"/>
      <c r="J741" s="13"/>
      <c r="K741" s="13"/>
      <c r="L741" s="14"/>
      <c r="M741" s="4"/>
      <c r="N741" s="2"/>
      <c r="O741" s="4"/>
      <c r="P741" s="2"/>
      <c r="Q741" s="2"/>
      <c r="R741" s="4"/>
      <c r="S741" s="2"/>
      <c r="T741" s="2"/>
      <c r="U741" s="1"/>
      <c r="V741" s="2"/>
      <c r="W741" s="2"/>
      <c r="X741" s="2"/>
      <c r="Y741" s="2"/>
      <c r="Z741" s="2"/>
    </row>
    <row r="742" spans="1:26" ht="15.75" customHeight="1" x14ac:dyDescent="0.2">
      <c r="A742" s="12"/>
      <c r="B742" s="10"/>
      <c r="C742" s="11"/>
      <c r="D742" s="13"/>
      <c r="E742" s="13"/>
      <c r="F742" s="13"/>
      <c r="G742" s="2"/>
      <c r="H742" s="2"/>
      <c r="I742" s="13"/>
      <c r="J742" s="13"/>
      <c r="K742" s="13"/>
      <c r="L742" s="14"/>
      <c r="M742" s="4"/>
      <c r="N742" s="2"/>
      <c r="O742" s="4"/>
      <c r="P742" s="2"/>
      <c r="Q742" s="2"/>
      <c r="R742" s="4"/>
      <c r="S742" s="2"/>
      <c r="T742" s="2"/>
      <c r="U742" s="1"/>
      <c r="V742" s="2"/>
      <c r="W742" s="2"/>
      <c r="X742" s="2"/>
      <c r="Y742" s="2"/>
      <c r="Z742" s="2"/>
    </row>
    <row r="743" spans="1:26" ht="15.75" customHeight="1" x14ac:dyDescent="0.2">
      <c r="A743" s="12"/>
      <c r="B743" s="10"/>
      <c r="C743" s="11"/>
      <c r="D743" s="13"/>
      <c r="E743" s="13"/>
      <c r="F743" s="13"/>
      <c r="G743" s="2"/>
      <c r="H743" s="2"/>
      <c r="I743" s="13"/>
      <c r="J743" s="13"/>
      <c r="K743" s="13"/>
      <c r="L743" s="14"/>
      <c r="M743" s="4"/>
      <c r="N743" s="2"/>
      <c r="O743" s="4"/>
      <c r="P743" s="2"/>
      <c r="Q743" s="2"/>
      <c r="R743" s="4"/>
      <c r="S743" s="2"/>
      <c r="T743" s="2"/>
      <c r="U743" s="1"/>
      <c r="V743" s="2"/>
      <c r="W743" s="2"/>
      <c r="X743" s="2"/>
      <c r="Y743" s="2"/>
      <c r="Z743" s="2"/>
    </row>
    <row r="744" spans="1:26" ht="15.75" customHeight="1" x14ac:dyDescent="0.2">
      <c r="A744" s="12"/>
      <c r="B744" s="10"/>
      <c r="C744" s="11"/>
      <c r="D744" s="13"/>
      <c r="E744" s="13"/>
      <c r="F744" s="13"/>
      <c r="G744" s="2"/>
      <c r="H744" s="2"/>
      <c r="I744" s="13"/>
      <c r="J744" s="13"/>
      <c r="K744" s="13"/>
      <c r="L744" s="14"/>
      <c r="M744" s="4"/>
      <c r="N744" s="2"/>
      <c r="O744" s="4"/>
      <c r="P744" s="2"/>
      <c r="Q744" s="2"/>
      <c r="R744" s="4"/>
      <c r="S744" s="2"/>
      <c r="T744" s="2"/>
      <c r="U744" s="1"/>
      <c r="V744" s="2"/>
      <c r="W744" s="2"/>
      <c r="X744" s="2"/>
      <c r="Y744" s="2"/>
      <c r="Z744" s="2"/>
    </row>
    <row r="745" spans="1:26" ht="15.75" customHeight="1" x14ac:dyDescent="0.2">
      <c r="A745" s="12"/>
      <c r="B745" s="10"/>
      <c r="C745" s="11"/>
      <c r="D745" s="13"/>
      <c r="E745" s="13"/>
      <c r="F745" s="13"/>
      <c r="G745" s="2"/>
      <c r="H745" s="2"/>
      <c r="I745" s="13"/>
      <c r="J745" s="13"/>
      <c r="K745" s="13"/>
      <c r="L745" s="14"/>
      <c r="M745" s="4"/>
      <c r="N745" s="2"/>
      <c r="O745" s="4"/>
      <c r="P745" s="2"/>
      <c r="Q745" s="2"/>
      <c r="R745" s="4"/>
      <c r="S745" s="2"/>
      <c r="T745" s="2"/>
      <c r="U745" s="1"/>
      <c r="V745" s="2"/>
      <c r="W745" s="2"/>
      <c r="X745" s="2"/>
      <c r="Y745" s="2"/>
      <c r="Z745" s="2"/>
    </row>
    <row r="746" spans="1:26" ht="15.75" customHeight="1" x14ac:dyDescent="0.2">
      <c r="A746" s="12"/>
      <c r="B746" s="10"/>
      <c r="C746" s="11"/>
      <c r="D746" s="13"/>
      <c r="E746" s="13"/>
      <c r="F746" s="13"/>
      <c r="G746" s="2"/>
      <c r="H746" s="2"/>
      <c r="I746" s="13"/>
      <c r="J746" s="13"/>
      <c r="K746" s="13"/>
      <c r="L746" s="14"/>
      <c r="M746" s="4"/>
      <c r="N746" s="2"/>
      <c r="O746" s="4"/>
      <c r="P746" s="2"/>
      <c r="Q746" s="2"/>
      <c r="R746" s="4"/>
      <c r="S746" s="2"/>
      <c r="T746" s="2"/>
      <c r="U746" s="1"/>
      <c r="V746" s="2"/>
      <c r="W746" s="2"/>
      <c r="X746" s="2"/>
      <c r="Y746" s="2"/>
      <c r="Z746" s="2"/>
    </row>
    <row r="747" spans="1:26" ht="15.75" customHeight="1" x14ac:dyDescent="0.2">
      <c r="A747" s="12"/>
      <c r="B747" s="10"/>
      <c r="C747" s="11"/>
      <c r="D747" s="13"/>
      <c r="E747" s="13"/>
      <c r="F747" s="13"/>
      <c r="G747" s="2"/>
      <c r="H747" s="2"/>
      <c r="I747" s="13"/>
      <c r="J747" s="13"/>
      <c r="K747" s="13"/>
      <c r="L747" s="14"/>
      <c r="M747" s="4"/>
      <c r="N747" s="2"/>
      <c r="O747" s="4"/>
      <c r="P747" s="2"/>
      <c r="Q747" s="2"/>
      <c r="R747" s="4"/>
      <c r="S747" s="2"/>
      <c r="T747" s="2"/>
      <c r="U747" s="1"/>
      <c r="V747" s="2"/>
      <c r="W747" s="2"/>
      <c r="X747" s="2"/>
      <c r="Y747" s="2"/>
      <c r="Z747" s="2"/>
    </row>
    <row r="748" spans="1:26" ht="15.75" customHeight="1" x14ac:dyDescent="0.2">
      <c r="A748" s="12"/>
      <c r="B748" s="10"/>
      <c r="C748" s="11"/>
      <c r="D748" s="13"/>
      <c r="E748" s="13"/>
      <c r="F748" s="13"/>
      <c r="G748" s="2"/>
      <c r="H748" s="2"/>
      <c r="I748" s="13"/>
      <c r="J748" s="13"/>
      <c r="K748" s="13"/>
      <c r="L748" s="14"/>
      <c r="M748" s="4"/>
      <c r="N748" s="2"/>
      <c r="O748" s="4"/>
      <c r="P748" s="2"/>
      <c r="Q748" s="2"/>
      <c r="R748" s="4"/>
      <c r="S748" s="2"/>
      <c r="T748" s="2"/>
      <c r="U748" s="1"/>
      <c r="V748" s="2"/>
      <c r="W748" s="2"/>
      <c r="X748" s="2"/>
      <c r="Y748" s="2"/>
      <c r="Z748" s="2"/>
    </row>
    <row r="749" spans="1:26" ht="15.75" customHeight="1" x14ac:dyDescent="0.2">
      <c r="A749" s="12"/>
      <c r="B749" s="10"/>
      <c r="C749" s="11"/>
      <c r="D749" s="13"/>
      <c r="E749" s="13"/>
      <c r="F749" s="13"/>
      <c r="G749" s="2"/>
      <c r="H749" s="2"/>
      <c r="I749" s="13"/>
      <c r="J749" s="13"/>
      <c r="K749" s="13"/>
      <c r="L749" s="14"/>
      <c r="M749" s="4"/>
      <c r="N749" s="2"/>
      <c r="O749" s="4"/>
      <c r="P749" s="2"/>
      <c r="Q749" s="2"/>
      <c r="R749" s="4"/>
      <c r="S749" s="2"/>
      <c r="T749" s="2"/>
      <c r="U749" s="1"/>
      <c r="V749" s="2"/>
      <c r="W749" s="2"/>
      <c r="X749" s="2"/>
      <c r="Y749" s="2"/>
      <c r="Z749" s="2"/>
    </row>
    <row r="750" spans="1:26" ht="15.75" customHeight="1" x14ac:dyDescent="0.2">
      <c r="A750" s="12"/>
      <c r="B750" s="10"/>
      <c r="C750" s="11"/>
      <c r="D750" s="13"/>
      <c r="E750" s="13"/>
      <c r="F750" s="13"/>
      <c r="G750" s="2"/>
      <c r="H750" s="2"/>
      <c r="I750" s="13"/>
      <c r="J750" s="13"/>
      <c r="K750" s="13"/>
      <c r="L750" s="14"/>
      <c r="M750" s="4"/>
      <c r="N750" s="2"/>
      <c r="O750" s="4"/>
      <c r="P750" s="2"/>
      <c r="Q750" s="2"/>
      <c r="R750" s="4"/>
      <c r="S750" s="2"/>
      <c r="T750" s="2"/>
      <c r="U750" s="1"/>
      <c r="V750" s="2"/>
      <c r="W750" s="2"/>
      <c r="X750" s="2"/>
      <c r="Y750" s="2"/>
      <c r="Z750" s="2"/>
    </row>
    <row r="751" spans="1:26" ht="15.75" customHeight="1" x14ac:dyDescent="0.2">
      <c r="A751" s="12"/>
      <c r="B751" s="10"/>
      <c r="C751" s="11"/>
      <c r="D751" s="13"/>
      <c r="E751" s="13"/>
      <c r="F751" s="13"/>
      <c r="G751" s="2"/>
      <c r="H751" s="2"/>
      <c r="I751" s="13"/>
      <c r="J751" s="13"/>
      <c r="K751" s="13"/>
      <c r="L751" s="14"/>
      <c r="M751" s="4"/>
      <c r="N751" s="2"/>
      <c r="O751" s="4"/>
      <c r="P751" s="2"/>
      <c r="Q751" s="2"/>
      <c r="R751" s="4"/>
      <c r="S751" s="2"/>
      <c r="T751" s="2"/>
      <c r="U751" s="1"/>
      <c r="V751" s="2"/>
      <c r="W751" s="2"/>
      <c r="X751" s="2"/>
      <c r="Y751" s="2"/>
      <c r="Z751" s="2"/>
    </row>
    <row r="752" spans="1:26" ht="15.75" customHeight="1" x14ac:dyDescent="0.2">
      <c r="A752" s="12"/>
      <c r="B752" s="10"/>
      <c r="C752" s="11"/>
      <c r="D752" s="13"/>
      <c r="E752" s="13"/>
      <c r="F752" s="13"/>
      <c r="G752" s="2"/>
      <c r="H752" s="2"/>
      <c r="I752" s="13"/>
      <c r="J752" s="13"/>
      <c r="K752" s="13"/>
      <c r="L752" s="14"/>
      <c r="M752" s="4"/>
      <c r="N752" s="2"/>
      <c r="O752" s="4"/>
      <c r="P752" s="2"/>
      <c r="Q752" s="2"/>
      <c r="R752" s="4"/>
      <c r="S752" s="2"/>
      <c r="T752" s="2"/>
      <c r="U752" s="1"/>
      <c r="V752" s="2"/>
      <c r="W752" s="2"/>
      <c r="X752" s="2"/>
      <c r="Y752" s="2"/>
      <c r="Z752" s="2"/>
    </row>
    <row r="753" spans="1:26" ht="15.75" customHeight="1" x14ac:dyDescent="0.2">
      <c r="A753" s="12"/>
      <c r="B753" s="10"/>
      <c r="C753" s="11"/>
      <c r="D753" s="13"/>
      <c r="E753" s="13"/>
      <c r="F753" s="13"/>
      <c r="G753" s="2"/>
      <c r="H753" s="2"/>
      <c r="I753" s="13"/>
      <c r="J753" s="13"/>
      <c r="K753" s="13"/>
      <c r="L753" s="14"/>
      <c r="M753" s="4"/>
      <c r="N753" s="2"/>
      <c r="O753" s="4"/>
      <c r="P753" s="2"/>
      <c r="Q753" s="2"/>
      <c r="R753" s="4"/>
      <c r="S753" s="2"/>
      <c r="T753" s="2"/>
      <c r="U753" s="1"/>
      <c r="V753" s="2"/>
      <c r="W753" s="2"/>
      <c r="X753" s="2"/>
      <c r="Y753" s="2"/>
      <c r="Z753" s="2"/>
    </row>
    <row r="754" spans="1:26" ht="15.75" customHeight="1" x14ac:dyDescent="0.2">
      <c r="A754" s="12"/>
      <c r="B754" s="10"/>
      <c r="C754" s="11"/>
      <c r="D754" s="13"/>
      <c r="E754" s="13"/>
      <c r="F754" s="13"/>
      <c r="G754" s="2"/>
      <c r="H754" s="2"/>
      <c r="I754" s="13"/>
      <c r="J754" s="13"/>
      <c r="K754" s="13"/>
      <c r="L754" s="14"/>
      <c r="M754" s="4"/>
      <c r="N754" s="2"/>
      <c r="O754" s="4"/>
      <c r="P754" s="2"/>
      <c r="Q754" s="2"/>
      <c r="R754" s="4"/>
      <c r="S754" s="2"/>
      <c r="T754" s="2"/>
      <c r="U754" s="1"/>
      <c r="V754" s="2"/>
      <c r="W754" s="2"/>
      <c r="X754" s="2"/>
      <c r="Y754" s="2"/>
      <c r="Z754" s="2"/>
    </row>
    <row r="755" spans="1:26" ht="15.75" customHeight="1" x14ac:dyDescent="0.2">
      <c r="A755" s="12"/>
      <c r="B755" s="10"/>
      <c r="C755" s="11"/>
      <c r="D755" s="13"/>
      <c r="E755" s="13"/>
      <c r="F755" s="13"/>
      <c r="G755" s="2"/>
      <c r="H755" s="2"/>
      <c r="I755" s="13"/>
      <c r="J755" s="13"/>
      <c r="K755" s="13"/>
      <c r="L755" s="14"/>
      <c r="M755" s="4"/>
      <c r="N755" s="2"/>
      <c r="O755" s="4"/>
      <c r="P755" s="2"/>
      <c r="Q755" s="2"/>
      <c r="R755" s="4"/>
      <c r="S755" s="2"/>
      <c r="T755" s="2"/>
      <c r="U755" s="1"/>
      <c r="V755" s="2"/>
      <c r="W755" s="2"/>
      <c r="X755" s="2"/>
      <c r="Y755" s="2"/>
      <c r="Z755" s="2"/>
    </row>
    <row r="756" spans="1:26" ht="15.75" customHeight="1" x14ac:dyDescent="0.2">
      <c r="A756" s="12"/>
      <c r="B756" s="10"/>
      <c r="C756" s="11"/>
      <c r="D756" s="13"/>
      <c r="E756" s="13"/>
      <c r="F756" s="13"/>
      <c r="G756" s="2"/>
      <c r="H756" s="2"/>
      <c r="I756" s="13"/>
      <c r="J756" s="13"/>
      <c r="K756" s="13"/>
      <c r="L756" s="14"/>
      <c r="M756" s="4"/>
      <c r="N756" s="2"/>
      <c r="O756" s="4"/>
      <c r="P756" s="2"/>
      <c r="Q756" s="2"/>
      <c r="R756" s="4"/>
      <c r="S756" s="2"/>
      <c r="T756" s="2"/>
      <c r="U756" s="1"/>
      <c r="V756" s="2"/>
      <c r="W756" s="2"/>
      <c r="X756" s="2"/>
      <c r="Y756" s="2"/>
      <c r="Z756" s="2"/>
    </row>
    <row r="757" spans="1:26" ht="15.75" customHeight="1" x14ac:dyDescent="0.2">
      <c r="A757" s="12"/>
      <c r="B757" s="10"/>
      <c r="C757" s="11"/>
      <c r="D757" s="13"/>
      <c r="E757" s="13"/>
      <c r="F757" s="13"/>
      <c r="G757" s="2"/>
      <c r="H757" s="2"/>
      <c r="I757" s="13"/>
      <c r="J757" s="13"/>
      <c r="K757" s="13"/>
      <c r="L757" s="14"/>
      <c r="M757" s="4"/>
      <c r="N757" s="2"/>
      <c r="O757" s="4"/>
      <c r="P757" s="2"/>
      <c r="Q757" s="2"/>
      <c r="R757" s="4"/>
      <c r="S757" s="2"/>
      <c r="T757" s="2"/>
      <c r="U757" s="1"/>
      <c r="V757" s="2"/>
      <c r="W757" s="2"/>
      <c r="X757" s="2"/>
      <c r="Y757" s="2"/>
      <c r="Z757" s="2"/>
    </row>
    <row r="758" spans="1:26" ht="15.75" customHeight="1" x14ac:dyDescent="0.2">
      <c r="A758" s="12"/>
      <c r="B758" s="10"/>
      <c r="C758" s="11"/>
      <c r="D758" s="13"/>
      <c r="E758" s="13"/>
      <c r="F758" s="13"/>
      <c r="G758" s="2"/>
      <c r="H758" s="2"/>
      <c r="I758" s="13"/>
      <c r="J758" s="13"/>
      <c r="K758" s="13"/>
      <c r="L758" s="14"/>
      <c r="M758" s="4"/>
      <c r="N758" s="2"/>
      <c r="O758" s="4"/>
      <c r="P758" s="2"/>
      <c r="Q758" s="2"/>
      <c r="R758" s="4"/>
      <c r="S758" s="2"/>
      <c r="T758" s="2"/>
      <c r="U758" s="1"/>
      <c r="V758" s="2"/>
      <c r="W758" s="2"/>
      <c r="X758" s="2"/>
      <c r="Y758" s="2"/>
      <c r="Z758" s="2"/>
    </row>
    <row r="759" spans="1:26" ht="15.75" customHeight="1" x14ac:dyDescent="0.2">
      <c r="A759" s="12"/>
      <c r="B759" s="10"/>
      <c r="C759" s="11"/>
      <c r="D759" s="13"/>
      <c r="E759" s="13"/>
      <c r="F759" s="13"/>
      <c r="G759" s="2"/>
      <c r="H759" s="2"/>
      <c r="I759" s="13"/>
      <c r="J759" s="13"/>
      <c r="K759" s="13"/>
      <c r="L759" s="14"/>
      <c r="M759" s="4"/>
      <c r="N759" s="2"/>
      <c r="O759" s="4"/>
      <c r="P759" s="2"/>
      <c r="Q759" s="2"/>
      <c r="R759" s="4"/>
      <c r="S759" s="2"/>
      <c r="T759" s="2"/>
      <c r="U759" s="1"/>
      <c r="V759" s="2"/>
      <c r="W759" s="2"/>
      <c r="X759" s="2"/>
      <c r="Y759" s="2"/>
      <c r="Z759" s="2"/>
    </row>
    <row r="760" spans="1:26" ht="15.75" customHeight="1" x14ac:dyDescent="0.2">
      <c r="A760" s="12"/>
      <c r="B760" s="10"/>
      <c r="C760" s="11"/>
      <c r="D760" s="13"/>
      <c r="E760" s="13"/>
      <c r="F760" s="13"/>
      <c r="G760" s="2"/>
      <c r="H760" s="2"/>
      <c r="I760" s="13"/>
      <c r="J760" s="13"/>
      <c r="K760" s="13"/>
      <c r="L760" s="14"/>
      <c r="M760" s="4"/>
      <c r="N760" s="2"/>
      <c r="O760" s="4"/>
      <c r="P760" s="2"/>
      <c r="Q760" s="2"/>
      <c r="R760" s="4"/>
      <c r="S760" s="2"/>
      <c r="T760" s="2"/>
      <c r="U760" s="1"/>
      <c r="V760" s="2"/>
      <c r="W760" s="2"/>
      <c r="X760" s="2"/>
      <c r="Y760" s="2"/>
      <c r="Z760" s="2"/>
    </row>
    <row r="761" spans="1:26" ht="15.75" customHeight="1" x14ac:dyDescent="0.2">
      <c r="A761" s="12"/>
      <c r="B761" s="10"/>
      <c r="C761" s="11"/>
      <c r="D761" s="13"/>
      <c r="E761" s="13"/>
      <c r="F761" s="13"/>
      <c r="G761" s="2"/>
      <c r="H761" s="2"/>
      <c r="I761" s="13"/>
      <c r="J761" s="13"/>
      <c r="K761" s="13"/>
      <c r="L761" s="14"/>
      <c r="M761" s="4"/>
      <c r="N761" s="2"/>
      <c r="O761" s="4"/>
      <c r="P761" s="2"/>
      <c r="Q761" s="2"/>
      <c r="R761" s="4"/>
      <c r="S761" s="2"/>
      <c r="T761" s="2"/>
      <c r="U761" s="1"/>
      <c r="V761" s="2"/>
      <c r="W761" s="2"/>
      <c r="X761" s="2"/>
      <c r="Y761" s="2"/>
      <c r="Z761" s="2"/>
    </row>
    <row r="762" spans="1:26" ht="15.75" customHeight="1" x14ac:dyDescent="0.2">
      <c r="A762" s="12"/>
      <c r="B762" s="10"/>
      <c r="C762" s="11"/>
      <c r="D762" s="13"/>
      <c r="E762" s="13"/>
      <c r="F762" s="13"/>
      <c r="G762" s="2"/>
      <c r="H762" s="2"/>
      <c r="I762" s="13"/>
      <c r="J762" s="13"/>
      <c r="K762" s="13"/>
      <c r="L762" s="14"/>
      <c r="M762" s="4"/>
      <c r="N762" s="2"/>
      <c r="O762" s="4"/>
      <c r="P762" s="2"/>
      <c r="Q762" s="2"/>
      <c r="R762" s="4"/>
      <c r="S762" s="2"/>
      <c r="T762" s="2"/>
      <c r="U762" s="1"/>
      <c r="V762" s="2"/>
      <c r="W762" s="2"/>
      <c r="X762" s="2"/>
      <c r="Y762" s="2"/>
      <c r="Z762" s="2"/>
    </row>
    <row r="763" spans="1:26" ht="15.75" customHeight="1" x14ac:dyDescent="0.2">
      <c r="A763" s="12"/>
      <c r="B763" s="10"/>
      <c r="C763" s="11"/>
      <c r="D763" s="13"/>
      <c r="E763" s="13"/>
      <c r="F763" s="13"/>
      <c r="G763" s="2"/>
      <c r="H763" s="2"/>
      <c r="I763" s="13"/>
      <c r="J763" s="13"/>
      <c r="K763" s="13"/>
      <c r="L763" s="14"/>
      <c r="M763" s="4"/>
      <c r="N763" s="2"/>
      <c r="O763" s="4"/>
      <c r="P763" s="2"/>
      <c r="Q763" s="2"/>
      <c r="R763" s="4"/>
      <c r="S763" s="2"/>
      <c r="T763" s="2"/>
      <c r="U763" s="1"/>
      <c r="V763" s="2"/>
      <c r="W763" s="2"/>
      <c r="X763" s="2"/>
      <c r="Y763" s="2"/>
      <c r="Z763" s="2"/>
    </row>
    <row r="764" spans="1:26" ht="15.75" customHeight="1" x14ac:dyDescent="0.2">
      <c r="A764" s="12"/>
      <c r="B764" s="10"/>
      <c r="C764" s="11"/>
      <c r="D764" s="13"/>
      <c r="E764" s="13"/>
      <c r="F764" s="13"/>
      <c r="G764" s="2"/>
      <c r="H764" s="2"/>
      <c r="I764" s="13"/>
      <c r="J764" s="13"/>
      <c r="K764" s="13"/>
      <c r="L764" s="14"/>
      <c r="M764" s="4"/>
      <c r="N764" s="2"/>
      <c r="O764" s="4"/>
      <c r="P764" s="2"/>
      <c r="Q764" s="2"/>
      <c r="R764" s="4"/>
      <c r="S764" s="2"/>
      <c r="T764" s="2"/>
      <c r="U764" s="1"/>
      <c r="V764" s="2"/>
      <c r="W764" s="2"/>
      <c r="X764" s="2"/>
      <c r="Y764" s="2"/>
      <c r="Z764" s="2"/>
    </row>
    <row r="765" spans="1:26" ht="15.75" customHeight="1" x14ac:dyDescent="0.2">
      <c r="A765" s="12"/>
      <c r="B765" s="10"/>
      <c r="C765" s="11"/>
      <c r="D765" s="13"/>
      <c r="E765" s="13"/>
      <c r="F765" s="13"/>
      <c r="G765" s="2"/>
      <c r="H765" s="2"/>
      <c r="I765" s="13"/>
      <c r="J765" s="13"/>
      <c r="K765" s="13"/>
      <c r="L765" s="14"/>
      <c r="M765" s="4"/>
      <c r="N765" s="2"/>
      <c r="O765" s="4"/>
      <c r="P765" s="2"/>
      <c r="Q765" s="2"/>
      <c r="R765" s="4"/>
      <c r="S765" s="2"/>
      <c r="T765" s="2"/>
      <c r="U765" s="1"/>
      <c r="V765" s="2"/>
      <c r="W765" s="2"/>
      <c r="X765" s="2"/>
      <c r="Y765" s="2"/>
      <c r="Z765" s="2"/>
    </row>
    <row r="766" spans="1:26" ht="15.75" customHeight="1" x14ac:dyDescent="0.2">
      <c r="A766" s="12"/>
      <c r="B766" s="10"/>
      <c r="C766" s="11"/>
      <c r="D766" s="13"/>
      <c r="E766" s="13"/>
      <c r="F766" s="13"/>
      <c r="G766" s="2"/>
      <c r="H766" s="2"/>
      <c r="I766" s="13"/>
      <c r="J766" s="13"/>
      <c r="K766" s="13"/>
      <c r="L766" s="14"/>
      <c r="M766" s="4"/>
      <c r="N766" s="2"/>
      <c r="O766" s="4"/>
      <c r="P766" s="2"/>
      <c r="Q766" s="2"/>
      <c r="R766" s="4"/>
      <c r="S766" s="2"/>
      <c r="T766" s="2"/>
      <c r="U766" s="1"/>
      <c r="V766" s="2"/>
      <c r="W766" s="2"/>
      <c r="X766" s="2"/>
      <c r="Y766" s="2"/>
      <c r="Z766" s="2"/>
    </row>
    <row r="767" spans="1:26" ht="15.75" customHeight="1" x14ac:dyDescent="0.2">
      <c r="A767" s="12"/>
      <c r="B767" s="10"/>
      <c r="C767" s="11"/>
      <c r="D767" s="13"/>
      <c r="E767" s="13"/>
      <c r="F767" s="13"/>
      <c r="G767" s="2"/>
      <c r="H767" s="2"/>
      <c r="I767" s="13"/>
      <c r="J767" s="13"/>
      <c r="K767" s="13"/>
      <c r="L767" s="14"/>
      <c r="M767" s="4"/>
      <c r="N767" s="2"/>
      <c r="O767" s="4"/>
      <c r="P767" s="2"/>
      <c r="Q767" s="2"/>
      <c r="R767" s="4"/>
      <c r="S767" s="2"/>
      <c r="T767" s="2"/>
      <c r="U767" s="1"/>
      <c r="V767" s="2"/>
      <c r="W767" s="2"/>
      <c r="X767" s="2"/>
      <c r="Y767" s="2"/>
      <c r="Z767" s="2"/>
    </row>
    <row r="768" spans="1:26" ht="15.75" customHeight="1" x14ac:dyDescent="0.2">
      <c r="A768" s="12"/>
      <c r="B768" s="10"/>
      <c r="C768" s="11"/>
      <c r="D768" s="13"/>
      <c r="E768" s="13"/>
      <c r="F768" s="13"/>
      <c r="G768" s="2"/>
      <c r="H768" s="2"/>
      <c r="I768" s="13"/>
      <c r="J768" s="13"/>
      <c r="K768" s="13"/>
      <c r="L768" s="14"/>
      <c r="M768" s="4"/>
      <c r="N768" s="2"/>
      <c r="O768" s="4"/>
      <c r="P768" s="2"/>
      <c r="Q768" s="2"/>
      <c r="R768" s="4"/>
      <c r="S768" s="2"/>
      <c r="T768" s="2"/>
      <c r="U768" s="1"/>
      <c r="V768" s="2"/>
      <c r="W768" s="2"/>
      <c r="X768" s="2"/>
      <c r="Y768" s="2"/>
      <c r="Z768" s="2"/>
    </row>
    <row r="769" spans="1:26" ht="15.75" customHeight="1" x14ac:dyDescent="0.2">
      <c r="A769" s="12"/>
      <c r="B769" s="10"/>
      <c r="C769" s="11"/>
      <c r="D769" s="13"/>
      <c r="E769" s="13"/>
      <c r="F769" s="13"/>
      <c r="G769" s="2"/>
      <c r="H769" s="2"/>
      <c r="I769" s="13"/>
      <c r="J769" s="13"/>
      <c r="K769" s="13"/>
      <c r="L769" s="14"/>
      <c r="M769" s="4"/>
      <c r="N769" s="2"/>
      <c r="O769" s="4"/>
      <c r="P769" s="2"/>
      <c r="Q769" s="2"/>
      <c r="R769" s="4"/>
      <c r="S769" s="2"/>
      <c r="T769" s="2"/>
      <c r="U769" s="1"/>
      <c r="V769" s="2"/>
      <c r="W769" s="2"/>
      <c r="X769" s="2"/>
      <c r="Y769" s="2"/>
      <c r="Z769" s="2"/>
    </row>
    <row r="770" spans="1:26" ht="15.75" customHeight="1" x14ac:dyDescent="0.2">
      <c r="A770" s="12"/>
      <c r="B770" s="10"/>
      <c r="C770" s="11"/>
      <c r="D770" s="13"/>
      <c r="E770" s="13"/>
      <c r="F770" s="13"/>
      <c r="G770" s="2"/>
      <c r="H770" s="2"/>
      <c r="I770" s="13"/>
      <c r="J770" s="13"/>
      <c r="K770" s="13"/>
      <c r="L770" s="14"/>
      <c r="M770" s="4"/>
      <c r="N770" s="2"/>
      <c r="O770" s="4"/>
      <c r="P770" s="2"/>
      <c r="Q770" s="2"/>
      <c r="R770" s="4"/>
      <c r="S770" s="2"/>
      <c r="T770" s="2"/>
      <c r="U770" s="1"/>
      <c r="V770" s="2"/>
      <c r="W770" s="2"/>
      <c r="X770" s="2"/>
      <c r="Y770" s="2"/>
      <c r="Z770" s="2"/>
    </row>
    <row r="771" spans="1:26" ht="15.75" customHeight="1" x14ac:dyDescent="0.2">
      <c r="A771" s="12"/>
      <c r="B771" s="10"/>
      <c r="C771" s="11"/>
      <c r="D771" s="13"/>
      <c r="E771" s="13"/>
      <c r="F771" s="13"/>
      <c r="G771" s="2"/>
      <c r="H771" s="2"/>
      <c r="I771" s="13"/>
      <c r="J771" s="13"/>
      <c r="K771" s="13"/>
      <c r="L771" s="14"/>
      <c r="M771" s="4"/>
      <c r="N771" s="2"/>
      <c r="O771" s="4"/>
      <c r="P771" s="2"/>
      <c r="Q771" s="2"/>
      <c r="R771" s="4"/>
      <c r="S771" s="2"/>
      <c r="T771" s="2"/>
      <c r="U771" s="1"/>
      <c r="V771" s="2"/>
      <c r="W771" s="2"/>
      <c r="X771" s="2"/>
      <c r="Y771" s="2"/>
      <c r="Z771" s="2"/>
    </row>
    <row r="772" spans="1:26" ht="15.75" customHeight="1" x14ac:dyDescent="0.2">
      <c r="A772" s="12"/>
      <c r="B772" s="10"/>
      <c r="C772" s="11"/>
      <c r="D772" s="13"/>
      <c r="E772" s="13"/>
      <c r="F772" s="13"/>
      <c r="G772" s="2"/>
      <c r="H772" s="2"/>
      <c r="I772" s="13"/>
      <c r="J772" s="13"/>
      <c r="K772" s="13"/>
      <c r="L772" s="14"/>
      <c r="M772" s="4"/>
      <c r="N772" s="2"/>
      <c r="O772" s="4"/>
      <c r="P772" s="2"/>
      <c r="Q772" s="2"/>
      <c r="R772" s="4"/>
      <c r="S772" s="2"/>
      <c r="T772" s="2"/>
      <c r="U772" s="1"/>
      <c r="V772" s="2"/>
      <c r="W772" s="2"/>
      <c r="X772" s="2"/>
      <c r="Y772" s="2"/>
      <c r="Z772" s="2"/>
    </row>
    <row r="773" spans="1:26" ht="15.75" customHeight="1" x14ac:dyDescent="0.2">
      <c r="A773" s="12"/>
      <c r="B773" s="10"/>
      <c r="C773" s="11"/>
      <c r="D773" s="13"/>
      <c r="E773" s="13"/>
      <c r="F773" s="13"/>
      <c r="G773" s="2"/>
      <c r="H773" s="2"/>
      <c r="I773" s="13"/>
      <c r="J773" s="13"/>
      <c r="K773" s="13"/>
      <c r="L773" s="14"/>
      <c r="M773" s="4"/>
      <c r="N773" s="2"/>
      <c r="O773" s="4"/>
      <c r="P773" s="2"/>
      <c r="Q773" s="2"/>
      <c r="R773" s="4"/>
      <c r="S773" s="2"/>
      <c r="T773" s="2"/>
      <c r="U773" s="1"/>
      <c r="V773" s="2"/>
      <c r="W773" s="2"/>
      <c r="X773" s="2"/>
      <c r="Y773" s="2"/>
      <c r="Z773" s="2"/>
    </row>
    <row r="774" spans="1:26" ht="15.75" customHeight="1" x14ac:dyDescent="0.2">
      <c r="A774" s="12"/>
      <c r="B774" s="10"/>
      <c r="C774" s="11"/>
      <c r="D774" s="13"/>
      <c r="E774" s="13"/>
      <c r="F774" s="13"/>
      <c r="G774" s="2"/>
      <c r="H774" s="2"/>
      <c r="I774" s="13"/>
      <c r="J774" s="13"/>
      <c r="K774" s="13"/>
      <c r="L774" s="14"/>
      <c r="M774" s="4"/>
      <c r="N774" s="2"/>
      <c r="O774" s="4"/>
      <c r="P774" s="2"/>
      <c r="Q774" s="2"/>
      <c r="R774" s="4"/>
      <c r="S774" s="2"/>
      <c r="T774" s="2"/>
      <c r="U774" s="1"/>
      <c r="V774" s="2"/>
      <c r="W774" s="2"/>
      <c r="X774" s="2"/>
      <c r="Y774" s="2"/>
      <c r="Z774" s="2"/>
    </row>
    <row r="775" spans="1:26" ht="15.75" customHeight="1" x14ac:dyDescent="0.2">
      <c r="A775" s="12"/>
      <c r="B775" s="10"/>
      <c r="C775" s="11"/>
      <c r="D775" s="13"/>
      <c r="E775" s="13"/>
      <c r="F775" s="13"/>
      <c r="G775" s="2"/>
      <c r="H775" s="2"/>
      <c r="I775" s="13"/>
      <c r="J775" s="13"/>
      <c r="K775" s="13"/>
      <c r="L775" s="14"/>
      <c r="M775" s="4"/>
      <c r="N775" s="2"/>
      <c r="O775" s="4"/>
      <c r="P775" s="2"/>
      <c r="Q775" s="2"/>
      <c r="R775" s="4"/>
      <c r="S775" s="2"/>
      <c r="T775" s="2"/>
      <c r="U775" s="1"/>
      <c r="V775" s="2"/>
      <c r="W775" s="2"/>
      <c r="X775" s="2"/>
      <c r="Y775" s="2"/>
      <c r="Z775" s="2"/>
    </row>
    <row r="776" spans="1:26" ht="15.75" customHeight="1" x14ac:dyDescent="0.2">
      <c r="A776" s="12"/>
      <c r="B776" s="10"/>
      <c r="C776" s="11"/>
      <c r="D776" s="13"/>
      <c r="E776" s="13"/>
      <c r="F776" s="13"/>
      <c r="G776" s="2"/>
      <c r="H776" s="2"/>
      <c r="I776" s="13"/>
      <c r="J776" s="13"/>
      <c r="K776" s="13"/>
      <c r="L776" s="14"/>
      <c r="M776" s="4"/>
      <c r="N776" s="2"/>
      <c r="O776" s="4"/>
      <c r="P776" s="2"/>
      <c r="Q776" s="2"/>
      <c r="R776" s="4"/>
      <c r="S776" s="2"/>
      <c r="T776" s="2"/>
      <c r="U776" s="1"/>
      <c r="V776" s="2"/>
      <c r="W776" s="2"/>
      <c r="X776" s="2"/>
      <c r="Y776" s="2"/>
      <c r="Z776" s="2"/>
    </row>
    <row r="777" spans="1:26" ht="15.75" customHeight="1" x14ac:dyDescent="0.2">
      <c r="A777" s="12"/>
      <c r="B777" s="10"/>
      <c r="C777" s="11"/>
      <c r="D777" s="13"/>
      <c r="E777" s="13"/>
      <c r="F777" s="13"/>
      <c r="G777" s="2"/>
      <c r="H777" s="2"/>
      <c r="I777" s="13"/>
      <c r="J777" s="13"/>
      <c r="K777" s="13"/>
      <c r="L777" s="14"/>
      <c r="M777" s="4"/>
      <c r="N777" s="2"/>
      <c r="O777" s="4"/>
      <c r="P777" s="2"/>
      <c r="Q777" s="2"/>
      <c r="R777" s="4"/>
      <c r="S777" s="2"/>
      <c r="T777" s="2"/>
      <c r="U777" s="1"/>
      <c r="V777" s="2"/>
      <c r="W777" s="2"/>
      <c r="X777" s="2"/>
      <c r="Y777" s="2"/>
      <c r="Z777" s="2"/>
    </row>
    <row r="778" spans="1:26" ht="15.75" customHeight="1" x14ac:dyDescent="0.2">
      <c r="A778" s="12"/>
      <c r="B778" s="10"/>
      <c r="C778" s="11"/>
      <c r="D778" s="13"/>
      <c r="E778" s="13"/>
      <c r="F778" s="13"/>
      <c r="G778" s="2"/>
      <c r="H778" s="2"/>
      <c r="I778" s="13"/>
      <c r="J778" s="13"/>
      <c r="K778" s="13"/>
      <c r="L778" s="14"/>
      <c r="M778" s="4"/>
      <c r="N778" s="2"/>
      <c r="O778" s="4"/>
      <c r="P778" s="2"/>
      <c r="Q778" s="2"/>
      <c r="R778" s="4"/>
      <c r="S778" s="2"/>
      <c r="T778" s="2"/>
      <c r="U778" s="1"/>
      <c r="V778" s="2"/>
      <c r="W778" s="2"/>
      <c r="X778" s="2"/>
      <c r="Y778" s="2"/>
      <c r="Z778" s="2"/>
    </row>
    <row r="779" spans="1:26" ht="15.75" customHeight="1" x14ac:dyDescent="0.2">
      <c r="A779" s="12"/>
      <c r="B779" s="10"/>
      <c r="C779" s="11"/>
      <c r="D779" s="13"/>
      <c r="E779" s="13"/>
      <c r="F779" s="13"/>
      <c r="G779" s="2"/>
      <c r="H779" s="2"/>
      <c r="I779" s="13"/>
      <c r="J779" s="13"/>
      <c r="K779" s="13"/>
      <c r="L779" s="14"/>
      <c r="M779" s="4"/>
      <c r="N779" s="2"/>
      <c r="O779" s="4"/>
      <c r="P779" s="2"/>
      <c r="Q779" s="2"/>
      <c r="R779" s="4"/>
      <c r="S779" s="2"/>
      <c r="T779" s="2"/>
      <c r="U779" s="1"/>
      <c r="V779" s="2"/>
      <c r="W779" s="2"/>
      <c r="X779" s="2"/>
      <c r="Y779" s="2"/>
      <c r="Z779" s="2"/>
    </row>
    <row r="780" spans="1:26" ht="15.75" customHeight="1" x14ac:dyDescent="0.2">
      <c r="A780" s="12"/>
      <c r="B780" s="10"/>
      <c r="C780" s="11"/>
      <c r="D780" s="13"/>
      <c r="E780" s="13"/>
      <c r="F780" s="13"/>
      <c r="G780" s="2"/>
      <c r="H780" s="2"/>
      <c r="I780" s="13"/>
      <c r="J780" s="13"/>
      <c r="K780" s="13"/>
      <c r="L780" s="14"/>
      <c r="M780" s="4"/>
      <c r="N780" s="2"/>
      <c r="O780" s="4"/>
      <c r="P780" s="2"/>
      <c r="Q780" s="2"/>
      <c r="R780" s="4"/>
      <c r="S780" s="2"/>
      <c r="T780" s="2"/>
      <c r="U780" s="1"/>
      <c r="V780" s="2"/>
      <c r="W780" s="2"/>
      <c r="X780" s="2"/>
      <c r="Y780" s="2"/>
      <c r="Z780" s="2"/>
    </row>
    <row r="781" spans="1:26" ht="15.75" customHeight="1" x14ac:dyDescent="0.2">
      <c r="A781" s="12"/>
      <c r="B781" s="10"/>
      <c r="C781" s="11"/>
      <c r="D781" s="13"/>
      <c r="E781" s="13"/>
      <c r="F781" s="13"/>
      <c r="G781" s="2"/>
      <c r="H781" s="2"/>
      <c r="I781" s="13"/>
      <c r="J781" s="13"/>
      <c r="K781" s="13"/>
      <c r="L781" s="14"/>
      <c r="M781" s="4"/>
      <c r="N781" s="2"/>
      <c r="O781" s="4"/>
      <c r="P781" s="2"/>
      <c r="Q781" s="2"/>
      <c r="R781" s="4"/>
      <c r="S781" s="2"/>
      <c r="T781" s="2"/>
      <c r="U781" s="1"/>
      <c r="V781" s="2"/>
      <c r="W781" s="2"/>
      <c r="X781" s="2"/>
      <c r="Y781" s="2"/>
      <c r="Z781" s="2"/>
    </row>
    <row r="782" spans="1:26" ht="15.75" customHeight="1" x14ac:dyDescent="0.2">
      <c r="A782" s="12"/>
      <c r="B782" s="10"/>
      <c r="C782" s="11"/>
      <c r="D782" s="13"/>
      <c r="E782" s="13"/>
      <c r="F782" s="13"/>
      <c r="G782" s="2"/>
      <c r="H782" s="2"/>
      <c r="I782" s="13"/>
      <c r="J782" s="13"/>
      <c r="K782" s="13"/>
      <c r="L782" s="14"/>
      <c r="M782" s="4"/>
      <c r="N782" s="2"/>
      <c r="O782" s="4"/>
      <c r="P782" s="2"/>
      <c r="Q782" s="2"/>
      <c r="R782" s="4"/>
      <c r="S782" s="2"/>
      <c r="T782" s="2"/>
      <c r="U782" s="1"/>
      <c r="V782" s="2"/>
      <c r="W782" s="2"/>
      <c r="X782" s="2"/>
      <c r="Y782" s="2"/>
      <c r="Z782" s="2"/>
    </row>
    <row r="783" spans="1:26" ht="15.75" customHeight="1" x14ac:dyDescent="0.2">
      <c r="A783" s="12"/>
      <c r="B783" s="10"/>
      <c r="C783" s="11"/>
      <c r="D783" s="13"/>
      <c r="E783" s="13"/>
      <c r="F783" s="13"/>
      <c r="G783" s="2"/>
      <c r="H783" s="2"/>
      <c r="I783" s="13"/>
      <c r="J783" s="13"/>
      <c r="K783" s="13"/>
      <c r="L783" s="14"/>
      <c r="M783" s="4"/>
      <c r="N783" s="2"/>
      <c r="O783" s="4"/>
      <c r="P783" s="2"/>
      <c r="Q783" s="2"/>
      <c r="R783" s="4"/>
      <c r="S783" s="2"/>
      <c r="T783" s="2"/>
      <c r="U783" s="1"/>
      <c r="V783" s="2"/>
      <c r="W783" s="2"/>
      <c r="X783" s="2"/>
      <c r="Y783" s="2"/>
      <c r="Z783" s="2"/>
    </row>
    <row r="784" spans="1:26" ht="15.75" customHeight="1" x14ac:dyDescent="0.2">
      <c r="A784" s="12"/>
      <c r="B784" s="10"/>
      <c r="C784" s="11"/>
      <c r="D784" s="13"/>
      <c r="E784" s="13"/>
      <c r="F784" s="13"/>
      <c r="G784" s="2"/>
      <c r="H784" s="2"/>
      <c r="I784" s="13"/>
      <c r="J784" s="13"/>
      <c r="K784" s="13"/>
      <c r="L784" s="14"/>
      <c r="M784" s="4"/>
      <c r="N784" s="2"/>
      <c r="O784" s="4"/>
      <c r="P784" s="2"/>
      <c r="Q784" s="2"/>
      <c r="R784" s="4"/>
      <c r="S784" s="2"/>
      <c r="T784" s="2"/>
      <c r="U784" s="1"/>
      <c r="V784" s="2"/>
      <c r="W784" s="2"/>
      <c r="X784" s="2"/>
      <c r="Y784" s="2"/>
      <c r="Z784" s="2"/>
    </row>
    <row r="785" spans="1:26" ht="15.75" customHeight="1" x14ac:dyDescent="0.2">
      <c r="A785" s="12"/>
      <c r="B785" s="10"/>
      <c r="C785" s="11"/>
      <c r="D785" s="13"/>
      <c r="E785" s="13"/>
      <c r="F785" s="13"/>
      <c r="G785" s="2"/>
      <c r="H785" s="2"/>
      <c r="I785" s="13"/>
      <c r="J785" s="13"/>
      <c r="K785" s="13"/>
      <c r="L785" s="14"/>
      <c r="M785" s="4"/>
      <c r="N785" s="2"/>
      <c r="O785" s="4"/>
      <c r="P785" s="2"/>
      <c r="Q785" s="2"/>
      <c r="R785" s="4"/>
      <c r="S785" s="2"/>
      <c r="T785" s="2"/>
      <c r="U785" s="1"/>
      <c r="V785" s="2"/>
      <c r="W785" s="2"/>
      <c r="X785" s="2"/>
      <c r="Y785" s="2"/>
      <c r="Z785" s="2"/>
    </row>
    <row r="786" spans="1:26" ht="15.75" customHeight="1" x14ac:dyDescent="0.2">
      <c r="A786" s="12"/>
      <c r="B786" s="10"/>
      <c r="C786" s="11"/>
      <c r="D786" s="13"/>
      <c r="E786" s="13"/>
      <c r="F786" s="13"/>
      <c r="G786" s="2"/>
      <c r="H786" s="2"/>
      <c r="I786" s="13"/>
      <c r="J786" s="13"/>
      <c r="K786" s="13"/>
      <c r="L786" s="14"/>
      <c r="M786" s="4"/>
      <c r="N786" s="2"/>
      <c r="O786" s="4"/>
      <c r="P786" s="2"/>
      <c r="Q786" s="2"/>
      <c r="R786" s="4"/>
      <c r="S786" s="2"/>
      <c r="T786" s="2"/>
      <c r="U786" s="1"/>
      <c r="V786" s="2"/>
      <c r="W786" s="2"/>
      <c r="X786" s="2"/>
      <c r="Y786" s="2"/>
      <c r="Z786" s="2"/>
    </row>
    <row r="787" spans="1:26" ht="15.75" customHeight="1" x14ac:dyDescent="0.2">
      <c r="A787" s="12"/>
      <c r="B787" s="10"/>
      <c r="C787" s="11"/>
      <c r="D787" s="13"/>
      <c r="E787" s="13"/>
      <c r="F787" s="13"/>
      <c r="G787" s="2"/>
      <c r="H787" s="2"/>
      <c r="I787" s="13"/>
      <c r="J787" s="13"/>
      <c r="K787" s="13"/>
      <c r="L787" s="14"/>
      <c r="M787" s="4"/>
      <c r="N787" s="2"/>
      <c r="O787" s="4"/>
      <c r="P787" s="2"/>
      <c r="Q787" s="2"/>
      <c r="R787" s="4"/>
      <c r="S787" s="2"/>
      <c r="T787" s="2"/>
      <c r="U787" s="1"/>
      <c r="V787" s="2"/>
      <c r="W787" s="2"/>
      <c r="X787" s="2"/>
      <c r="Y787" s="2"/>
      <c r="Z787" s="2"/>
    </row>
    <row r="788" spans="1:26" ht="15.75" customHeight="1" x14ac:dyDescent="0.2">
      <c r="A788" s="12"/>
      <c r="B788" s="10"/>
      <c r="C788" s="11"/>
      <c r="D788" s="13"/>
      <c r="E788" s="13"/>
      <c r="F788" s="13"/>
      <c r="G788" s="2"/>
      <c r="H788" s="2"/>
      <c r="I788" s="13"/>
      <c r="J788" s="13"/>
      <c r="K788" s="13"/>
      <c r="L788" s="14"/>
      <c r="M788" s="4"/>
      <c r="N788" s="2"/>
      <c r="O788" s="4"/>
      <c r="P788" s="2"/>
      <c r="Q788" s="2"/>
      <c r="R788" s="4"/>
      <c r="S788" s="2"/>
      <c r="T788" s="2"/>
      <c r="U788" s="1"/>
      <c r="V788" s="2"/>
      <c r="W788" s="2"/>
      <c r="X788" s="2"/>
      <c r="Y788" s="2"/>
      <c r="Z788" s="2"/>
    </row>
    <row r="789" spans="1:26" ht="15.75" customHeight="1" x14ac:dyDescent="0.2">
      <c r="A789" s="12"/>
      <c r="B789" s="10"/>
      <c r="C789" s="11"/>
      <c r="D789" s="13"/>
      <c r="E789" s="13"/>
      <c r="F789" s="13"/>
      <c r="G789" s="2"/>
      <c r="H789" s="2"/>
      <c r="I789" s="13"/>
      <c r="J789" s="13"/>
      <c r="K789" s="13"/>
      <c r="L789" s="14"/>
      <c r="M789" s="4"/>
      <c r="N789" s="2"/>
      <c r="O789" s="4"/>
      <c r="P789" s="2"/>
      <c r="Q789" s="2"/>
      <c r="R789" s="4"/>
      <c r="S789" s="2"/>
      <c r="T789" s="2"/>
      <c r="U789" s="1"/>
      <c r="V789" s="2"/>
      <c r="W789" s="2"/>
      <c r="X789" s="2"/>
      <c r="Y789" s="2"/>
      <c r="Z789" s="2"/>
    </row>
    <row r="790" spans="1:26" ht="15.75" customHeight="1" x14ac:dyDescent="0.2">
      <c r="A790" s="12"/>
      <c r="B790" s="10"/>
      <c r="C790" s="11"/>
      <c r="D790" s="13"/>
      <c r="E790" s="13"/>
      <c r="F790" s="13"/>
      <c r="G790" s="2"/>
      <c r="H790" s="2"/>
      <c r="I790" s="13"/>
      <c r="J790" s="13"/>
      <c r="K790" s="13"/>
      <c r="L790" s="14"/>
      <c r="M790" s="4"/>
      <c r="N790" s="2"/>
      <c r="O790" s="4"/>
      <c r="P790" s="2"/>
      <c r="Q790" s="2"/>
      <c r="R790" s="4"/>
      <c r="S790" s="2"/>
      <c r="T790" s="2"/>
      <c r="U790" s="1"/>
      <c r="V790" s="2"/>
      <c r="W790" s="2"/>
      <c r="X790" s="2"/>
      <c r="Y790" s="2"/>
      <c r="Z790" s="2"/>
    </row>
    <row r="791" spans="1:26" ht="15.75" customHeight="1" x14ac:dyDescent="0.2">
      <c r="A791" s="12"/>
      <c r="B791" s="10"/>
      <c r="C791" s="11"/>
      <c r="D791" s="13"/>
      <c r="E791" s="13"/>
      <c r="F791" s="13"/>
      <c r="G791" s="2"/>
      <c r="H791" s="2"/>
      <c r="I791" s="13"/>
      <c r="J791" s="13"/>
      <c r="K791" s="13"/>
      <c r="L791" s="14"/>
      <c r="M791" s="4"/>
      <c r="N791" s="2"/>
      <c r="O791" s="4"/>
      <c r="P791" s="2"/>
      <c r="Q791" s="2"/>
      <c r="R791" s="4"/>
      <c r="S791" s="2"/>
      <c r="T791" s="2"/>
      <c r="U791" s="1"/>
      <c r="V791" s="2"/>
      <c r="W791" s="2"/>
      <c r="X791" s="2"/>
      <c r="Y791" s="2"/>
      <c r="Z791" s="2"/>
    </row>
    <row r="792" spans="1:26" ht="15.75" customHeight="1" x14ac:dyDescent="0.2">
      <c r="A792" s="12"/>
      <c r="B792" s="10"/>
      <c r="C792" s="11"/>
      <c r="D792" s="13"/>
      <c r="E792" s="13"/>
      <c r="F792" s="13"/>
      <c r="G792" s="2"/>
      <c r="H792" s="2"/>
      <c r="I792" s="13"/>
      <c r="J792" s="13"/>
      <c r="K792" s="13"/>
      <c r="L792" s="14"/>
      <c r="M792" s="4"/>
      <c r="N792" s="2"/>
      <c r="O792" s="4"/>
      <c r="P792" s="2"/>
      <c r="Q792" s="2"/>
      <c r="R792" s="4"/>
      <c r="S792" s="2"/>
      <c r="T792" s="2"/>
      <c r="U792" s="1"/>
      <c r="V792" s="2"/>
      <c r="W792" s="2"/>
      <c r="X792" s="2"/>
      <c r="Y792" s="2"/>
      <c r="Z792" s="2"/>
    </row>
    <row r="793" spans="1:26" ht="15.75" customHeight="1" x14ac:dyDescent="0.2">
      <c r="A793" s="12"/>
      <c r="B793" s="10"/>
      <c r="C793" s="11"/>
      <c r="D793" s="13"/>
      <c r="E793" s="13"/>
      <c r="F793" s="13"/>
      <c r="G793" s="2"/>
      <c r="H793" s="2"/>
      <c r="I793" s="13"/>
      <c r="J793" s="13"/>
      <c r="K793" s="13"/>
      <c r="L793" s="14"/>
      <c r="M793" s="4"/>
      <c r="N793" s="2"/>
      <c r="O793" s="4"/>
      <c r="P793" s="2"/>
      <c r="Q793" s="2"/>
      <c r="R793" s="4"/>
      <c r="S793" s="2"/>
      <c r="T793" s="2"/>
      <c r="U793" s="1"/>
      <c r="V793" s="2"/>
      <c r="W793" s="2"/>
      <c r="X793" s="2"/>
      <c r="Y793" s="2"/>
      <c r="Z793" s="2"/>
    </row>
    <row r="794" spans="1:26" ht="15.75" customHeight="1" x14ac:dyDescent="0.2">
      <c r="A794" s="12"/>
      <c r="B794" s="10"/>
      <c r="C794" s="11"/>
      <c r="D794" s="13"/>
      <c r="E794" s="13"/>
      <c r="F794" s="13"/>
      <c r="G794" s="2"/>
      <c r="H794" s="2"/>
      <c r="I794" s="13"/>
      <c r="J794" s="13"/>
      <c r="K794" s="13"/>
      <c r="L794" s="14"/>
      <c r="M794" s="4"/>
      <c r="N794" s="2"/>
      <c r="O794" s="4"/>
      <c r="P794" s="2"/>
      <c r="Q794" s="2"/>
      <c r="R794" s="4"/>
      <c r="S794" s="2"/>
      <c r="T794" s="2"/>
      <c r="U794" s="1"/>
      <c r="V794" s="2"/>
      <c r="W794" s="2"/>
      <c r="X794" s="2"/>
      <c r="Y794" s="2"/>
      <c r="Z794" s="2"/>
    </row>
    <row r="795" spans="1:26" ht="15.75" customHeight="1" x14ac:dyDescent="0.2">
      <c r="A795" s="12"/>
      <c r="B795" s="10"/>
      <c r="C795" s="11"/>
      <c r="D795" s="13"/>
      <c r="E795" s="13"/>
      <c r="F795" s="13"/>
      <c r="G795" s="2"/>
      <c r="H795" s="2"/>
      <c r="I795" s="13"/>
      <c r="J795" s="13"/>
      <c r="K795" s="13"/>
      <c r="L795" s="14"/>
      <c r="M795" s="4"/>
      <c r="N795" s="2"/>
      <c r="O795" s="4"/>
      <c r="P795" s="2"/>
      <c r="Q795" s="2"/>
      <c r="R795" s="4"/>
      <c r="S795" s="2"/>
      <c r="T795" s="2"/>
      <c r="U795" s="1"/>
      <c r="V795" s="2"/>
      <c r="W795" s="2"/>
      <c r="X795" s="2"/>
      <c r="Y795" s="2"/>
      <c r="Z795" s="2"/>
    </row>
    <row r="796" spans="1:26" ht="15.75" customHeight="1" x14ac:dyDescent="0.2">
      <c r="A796" s="12"/>
      <c r="B796" s="10"/>
      <c r="C796" s="11"/>
      <c r="D796" s="13"/>
      <c r="E796" s="13"/>
      <c r="F796" s="13"/>
      <c r="G796" s="2"/>
      <c r="H796" s="2"/>
      <c r="I796" s="13"/>
      <c r="J796" s="13"/>
      <c r="K796" s="13"/>
      <c r="L796" s="14"/>
      <c r="M796" s="4"/>
      <c r="N796" s="2"/>
      <c r="O796" s="4"/>
      <c r="P796" s="2"/>
      <c r="Q796" s="2"/>
      <c r="R796" s="4"/>
      <c r="S796" s="2"/>
      <c r="T796" s="2"/>
      <c r="U796" s="1"/>
      <c r="V796" s="2"/>
      <c r="W796" s="2"/>
      <c r="X796" s="2"/>
      <c r="Y796" s="2"/>
      <c r="Z796" s="2"/>
    </row>
    <row r="797" spans="1:26" ht="15.75" customHeight="1" x14ac:dyDescent="0.2">
      <c r="A797" s="12"/>
      <c r="B797" s="10"/>
      <c r="C797" s="11"/>
      <c r="D797" s="13"/>
      <c r="E797" s="13"/>
      <c r="F797" s="13"/>
      <c r="G797" s="2"/>
      <c r="H797" s="2"/>
      <c r="I797" s="13"/>
      <c r="J797" s="13"/>
      <c r="K797" s="13"/>
      <c r="L797" s="14"/>
      <c r="M797" s="4"/>
      <c r="N797" s="2"/>
      <c r="O797" s="4"/>
      <c r="P797" s="2"/>
      <c r="Q797" s="2"/>
      <c r="R797" s="4"/>
      <c r="S797" s="2"/>
      <c r="T797" s="2"/>
      <c r="U797" s="1"/>
      <c r="V797" s="2"/>
      <c r="W797" s="2"/>
      <c r="X797" s="2"/>
      <c r="Y797" s="2"/>
      <c r="Z797" s="2"/>
    </row>
    <row r="798" spans="1:26" ht="15.75" customHeight="1" x14ac:dyDescent="0.2">
      <c r="A798" s="12"/>
      <c r="B798" s="10"/>
      <c r="C798" s="11"/>
      <c r="D798" s="13"/>
      <c r="E798" s="13"/>
      <c r="F798" s="13"/>
      <c r="G798" s="2"/>
      <c r="H798" s="2"/>
      <c r="I798" s="13"/>
      <c r="J798" s="13"/>
      <c r="K798" s="13"/>
      <c r="L798" s="14"/>
      <c r="M798" s="4"/>
      <c r="N798" s="2"/>
      <c r="O798" s="4"/>
      <c r="P798" s="2"/>
      <c r="Q798" s="2"/>
      <c r="R798" s="4"/>
      <c r="S798" s="2"/>
      <c r="T798" s="2"/>
      <c r="U798" s="1"/>
      <c r="V798" s="2"/>
      <c r="W798" s="2"/>
      <c r="X798" s="2"/>
      <c r="Y798" s="2"/>
      <c r="Z798" s="2"/>
    </row>
    <row r="799" spans="1:26" ht="15.75" customHeight="1" x14ac:dyDescent="0.2">
      <c r="A799" s="12"/>
      <c r="B799" s="10"/>
      <c r="C799" s="11"/>
      <c r="D799" s="13"/>
      <c r="E799" s="13"/>
      <c r="F799" s="13"/>
      <c r="G799" s="2"/>
      <c r="H799" s="2"/>
      <c r="I799" s="13"/>
      <c r="J799" s="13"/>
      <c r="K799" s="13"/>
      <c r="L799" s="14"/>
      <c r="M799" s="4"/>
      <c r="N799" s="2"/>
      <c r="O799" s="4"/>
      <c r="P799" s="2"/>
      <c r="Q799" s="2"/>
      <c r="R799" s="4"/>
      <c r="S799" s="2"/>
      <c r="T799" s="2"/>
      <c r="U799" s="1"/>
      <c r="V799" s="2"/>
      <c r="W799" s="2"/>
      <c r="X799" s="2"/>
      <c r="Y799" s="2"/>
      <c r="Z799" s="2"/>
    </row>
    <row r="800" spans="1:26" ht="15.75" customHeight="1" x14ac:dyDescent="0.2">
      <c r="A800" s="12"/>
      <c r="B800" s="10"/>
      <c r="C800" s="11"/>
      <c r="D800" s="13"/>
      <c r="E800" s="13"/>
      <c r="F800" s="13"/>
      <c r="G800" s="2"/>
      <c r="H800" s="2"/>
      <c r="I800" s="13"/>
      <c r="J800" s="13"/>
      <c r="K800" s="13"/>
      <c r="L800" s="14"/>
      <c r="M800" s="4"/>
      <c r="N800" s="2"/>
      <c r="O800" s="4"/>
      <c r="P800" s="2"/>
      <c r="Q800" s="2"/>
      <c r="R800" s="4"/>
      <c r="S800" s="2"/>
      <c r="T800" s="2"/>
      <c r="U800" s="1"/>
      <c r="V800" s="2"/>
      <c r="W800" s="2"/>
      <c r="X800" s="2"/>
      <c r="Y800" s="2"/>
      <c r="Z800" s="2"/>
    </row>
    <row r="801" spans="1:26" ht="15.75" customHeight="1" x14ac:dyDescent="0.2">
      <c r="A801" s="12"/>
      <c r="B801" s="10"/>
      <c r="C801" s="11"/>
      <c r="D801" s="13"/>
      <c r="E801" s="13"/>
      <c r="F801" s="13"/>
      <c r="G801" s="2"/>
      <c r="H801" s="2"/>
      <c r="I801" s="13"/>
      <c r="J801" s="13"/>
      <c r="K801" s="13"/>
      <c r="L801" s="14"/>
      <c r="M801" s="4"/>
      <c r="N801" s="2"/>
      <c r="O801" s="4"/>
      <c r="P801" s="2"/>
      <c r="Q801" s="2"/>
      <c r="R801" s="4"/>
      <c r="S801" s="2"/>
      <c r="T801" s="2"/>
      <c r="U801" s="1"/>
      <c r="V801" s="2"/>
      <c r="W801" s="2"/>
      <c r="X801" s="2"/>
      <c r="Y801" s="2"/>
      <c r="Z801" s="2"/>
    </row>
    <row r="802" spans="1:26" ht="15.75" customHeight="1" x14ac:dyDescent="0.2">
      <c r="A802" s="12"/>
      <c r="B802" s="10"/>
      <c r="C802" s="11"/>
      <c r="D802" s="13"/>
      <c r="E802" s="13"/>
      <c r="F802" s="13"/>
      <c r="G802" s="2"/>
      <c r="H802" s="2"/>
      <c r="I802" s="13"/>
      <c r="J802" s="13"/>
      <c r="K802" s="13"/>
      <c r="L802" s="14"/>
      <c r="M802" s="4"/>
      <c r="N802" s="2"/>
      <c r="O802" s="4"/>
      <c r="P802" s="2"/>
      <c r="Q802" s="2"/>
      <c r="R802" s="4"/>
      <c r="S802" s="2"/>
      <c r="T802" s="2"/>
      <c r="U802" s="1"/>
      <c r="V802" s="2"/>
      <c r="W802" s="2"/>
      <c r="X802" s="2"/>
      <c r="Y802" s="2"/>
      <c r="Z802" s="2"/>
    </row>
    <row r="803" spans="1:26" ht="15.75" customHeight="1" x14ac:dyDescent="0.2">
      <c r="A803" s="12"/>
      <c r="B803" s="10"/>
      <c r="C803" s="11"/>
      <c r="D803" s="13"/>
      <c r="E803" s="13"/>
      <c r="F803" s="13"/>
      <c r="G803" s="2"/>
      <c r="H803" s="2"/>
      <c r="I803" s="13"/>
      <c r="J803" s="13"/>
      <c r="K803" s="13"/>
      <c r="L803" s="14"/>
      <c r="M803" s="4"/>
      <c r="N803" s="2"/>
      <c r="O803" s="4"/>
      <c r="P803" s="2"/>
      <c r="Q803" s="2"/>
      <c r="R803" s="4"/>
      <c r="S803" s="2"/>
      <c r="T803" s="2"/>
      <c r="U803" s="1"/>
      <c r="V803" s="2"/>
      <c r="W803" s="2"/>
      <c r="X803" s="2"/>
      <c r="Y803" s="2"/>
      <c r="Z803" s="2"/>
    </row>
    <row r="804" spans="1:26" ht="15.75" customHeight="1" x14ac:dyDescent="0.2">
      <c r="A804" s="12"/>
      <c r="B804" s="10"/>
      <c r="C804" s="11"/>
      <c r="D804" s="13"/>
      <c r="E804" s="13"/>
      <c r="F804" s="13"/>
      <c r="G804" s="2"/>
      <c r="H804" s="2"/>
      <c r="I804" s="13"/>
      <c r="J804" s="13"/>
      <c r="K804" s="13"/>
      <c r="L804" s="14"/>
      <c r="M804" s="4"/>
      <c r="N804" s="2"/>
      <c r="O804" s="4"/>
      <c r="P804" s="2"/>
      <c r="Q804" s="2"/>
      <c r="R804" s="4"/>
      <c r="S804" s="2"/>
      <c r="T804" s="2"/>
      <c r="U804" s="1"/>
      <c r="V804" s="2"/>
      <c r="W804" s="2"/>
      <c r="X804" s="2"/>
      <c r="Y804" s="2"/>
      <c r="Z804" s="2"/>
    </row>
    <row r="805" spans="1:26" ht="15.75" customHeight="1" x14ac:dyDescent="0.2">
      <c r="A805" s="12"/>
      <c r="B805" s="10"/>
      <c r="C805" s="11"/>
      <c r="D805" s="13"/>
      <c r="E805" s="13"/>
      <c r="F805" s="13"/>
      <c r="G805" s="2"/>
      <c r="H805" s="2"/>
      <c r="I805" s="13"/>
      <c r="J805" s="13"/>
      <c r="K805" s="13"/>
      <c r="L805" s="14"/>
      <c r="M805" s="4"/>
      <c r="N805" s="2"/>
      <c r="O805" s="4"/>
      <c r="P805" s="2"/>
      <c r="Q805" s="2"/>
      <c r="R805" s="4"/>
      <c r="S805" s="2"/>
      <c r="T805" s="2"/>
      <c r="U805" s="1"/>
      <c r="V805" s="2"/>
      <c r="W805" s="2"/>
      <c r="X805" s="2"/>
      <c r="Y805" s="2"/>
      <c r="Z805" s="2"/>
    </row>
    <row r="806" spans="1:26" ht="15.75" customHeight="1" x14ac:dyDescent="0.2">
      <c r="A806" s="12"/>
      <c r="B806" s="10"/>
      <c r="C806" s="11"/>
      <c r="D806" s="13"/>
      <c r="E806" s="13"/>
      <c r="F806" s="13"/>
      <c r="G806" s="2"/>
      <c r="H806" s="2"/>
      <c r="I806" s="13"/>
      <c r="J806" s="13"/>
      <c r="K806" s="13"/>
      <c r="L806" s="14"/>
      <c r="M806" s="4"/>
      <c r="N806" s="2"/>
      <c r="O806" s="4"/>
      <c r="P806" s="2"/>
      <c r="Q806" s="2"/>
      <c r="R806" s="4"/>
      <c r="S806" s="2"/>
      <c r="T806" s="2"/>
      <c r="U806" s="1"/>
      <c r="V806" s="2"/>
      <c r="W806" s="2"/>
      <c r="X806" s="2"/>
      <c r="Y806" s="2"/>
      <c r="Z806" s="2"/>
    </row>
    <row r="807" spans="1:26" ht="15.75" customHeight="1" x14ac:dyDescent="0.2">
      <c r="A807" s="12"/>
      <c r="B807" s="10"/>
      <c r="C807" s="11"/>
      <c r="D807" s="13"/>
      <c r="E807" s="13"/>
      <c r="F807" s="13"/>
      <c r="G807" s="2"/>
      <c r="H807" s="2"/>
      <c r="I807" s="13"/>
      <c r="J807" s="13"/>
      <c r="K807" s="13"/>
      <c r="L807" s="14"/>
      <c r="M807" s="4"/>
      <c r="N807" s="2"/>
      <c r="O807" s="4"/>
      <c r="P807" s="2"/>
      <c r="Q807" s="2"/>
      <c r="R807" s="4"/>
      <c r="S807" s="2"/>
      <c r="T807" s="2"/>
      <c r="U807" s="1"/>
      <c r="V807" s="2"/>
      <c r="W807" s="2"/>
      <c r="X807" s="2"/>
      <c r="Y807" s="2"/>
      <c r="Z807" s="2"/>
    </row>
    <row r="808" spans="1:26" ht="15.75" customHeight="1" x14ac:dyDescent="0.2">
      <c r="A808" s="12"/>
      <c r="B808" s="10"/>
      <c r="C808" s="11"/>
      <c r="D808" s="13"/>
      <c r="E808" s="13"/>
      <c r="F808" s="13"/>
      <c r="G808" s="2"/>
      <c r="H808" s="2"/>
      <c r="I808" s="13"/>
      <c r="J808" s="13"/>
      <c r="K808" s="13"/>
      <c r="L808" s="14"/>
      <c r="M808" s="4"/>
      <c r="N808" s="2"/>
      <c r="O808" s="4"/>
      <c r="P808" s="2"/>
      <c r="Q808" s="2"/>
      <c r="R808" s="4"/>
      <c r="S808" s="2"/>
      <c r="T808" s="2"/>
      <c r="U808" s="1"/>
      <c r="V808" s="2"/>
      <c r="W808" s="2"/>
      <c r="X808" s="2"/>
      <c r="Y808" s="2"/>
      <c r="Z808" s="2"/>
    </row>
    <row r="809" spans="1:26" ht="15.75" customHeight="1" x14ac:dyDescent="0.2">
      <c r="A809" s="12"/>
      <c r="B809" s="10"/>
      <c r="C809" s="11"/>
      <c r="D809" s="13"/>
      <c r="E809" s="13"/>
      <c r="F809" s="13"/>
      <c r="G809" s="2"/>
      <c r="H809" s="2"/>
      <c r="I809" s="13"/>
      <c r="J809" s="13"/>
      <c r="K809" s="13"/>
      <c r="L809" s="14"/>
      <c r="M809" s="4"/>
      <c r="N809" s="2"/>
      <c r="O809" s="4"/>
      <c r="P809" s="2"/>
      <c r="Q809" s="2"/>
      <c r="R809" s="4"/>
      <c r="S809" s="2"/>
      <c r="T809" s="2"/>
      <c r="U809" s="1"/>
      <c r="V809" s="2"/>
      <c r="W809" s="2"/>
      <c r="X809" s="2"/>
      <c r="Y809" s="2"/>
      <c r="Z809" s="2"/>
    </row>
    <row r="810" spans="1:26" ht="15.75" customHeight="1" x14ac:dyDescent="0.2">
      <c r="A810" s="12"/>
      <c r="B810" s="10"/>
      <c r="C810" s="11"/>
      <c r="D810" s="13"/>
      <c r="E810" s="13"/>
      <c r="F810" s="13"/>
      <c r="G810" s="2"/>
      <c r="H810" s="2"/>
      <c r="I810" s="13"/>
      <c r="J810" s="13"/>
      <c r="K810" s="13"/>
      <c r="L810" s="14"/>
      <c r="M810" s="4"/>
      <c r="N810" s="2"/>
      <c r="O810" s="4"/>
      <c r="P810" s="2"/>
      <c r="Q810" s="2"/>
      <c r="R810" s="4"/>
      <c r="S810" s="2"/>
      <c r="T810" s="2"/>
      <c r="U810" s="1"/>
      <c r="V810" s="2"/>
      <c r="W810" s="2"/>
      <c r="X810" s="2"/>
      <c r="Y810" s="2"/>
      <c r="Z810" s="2"/>
    </row>
    <row r="811" spans="1:26" ht="15.75" customHeight="1" x14ac:dyDescent="0.2">
      <c r="A811" s="12"/>
      <c r="B811" s="10"/>
      <c r="C811" s="11"/>
      <c r="D811" s="13"/>
      <c r="E811" s="13"/>
      <c r="F811" s="13"/>
      <c r="G811" s="2"/>
      <c r="H811" s="2"/>
      <c r="I811" s="13"/>
      <c r="J811" s="13"/>
      <c r="K811" s="13"/>
      <c r="L811" s="14"/>
      <c r="M811" s="4"/>
      <c r="N811" s="2"/>
      <c r="O811" s="4"/>
      <c r="P811" s="2"/>
      <c r="Q811" s="2"/>
      <c r="R811" s="4"/>
      <c r="S811" s="2"/>
      <c r="T811" s="2"/>
      <c r="U811" s="1"/>
      <c r="V811" s="2"/>
      <c r="W811" s="2"/>
      <c r="X811" s="2"/>
      <c r="Y811" s="2"/>
      <c r="Z811" s="2"/>
    </row>
    <row r="812" spans="1:26" ht="15.75" customHeight="1" x14ac:dyDescent="0.2">
      <c r="A812" s="12"/>
      <c r="B812" s="10"/>
      <c r="C812" s="11"/>
      <c r="D812" s="13"/>
      <c r="E812" s="13"/>
      <c r="F812" s="13"/>
      <c r="G812" s="2"/>
      <c r="H812" s="2"/>
      <c r="I812" s="13"/>
      <c r="J812" s="13"/>
      <c r="K812" s="13"/>
      <c r="L812" s="14"/>
      <c r="M812" s="4"/>
      <c r="N812" s="2"/>
      <c r="O812" s="4"/>
      <c r="P812" s="2"/>
      <c r="Q812" s="2"/>
      <c r="R812" s="4"/>
      <c r="S812" s="2"/>
      <c r="T812" s="2"/>
      <c r="U812" s="1"/>
      <c r="V812" s="2"/>
      <c r="W812" s="2"/>
      <c r="X812" s="2"/>
      <c r="Y812" s="2"/>
      <c r="Z812" s="2"/>
    </row>
    <row r="813" spans="1:26" ht="15.75" customHeight="1" x14ac:dyDescent="0.2">
      <c r="A813" s="12"/>
      <c r="B813" s="10"/>
      <c r="C813" s="11"/>
      <c r="D813" s="13"/>
      <c r="E813" s="13"/>
      <c r="F813" s="13"/>
      <c r="G813" s="2"/>
      <c r="H813" s="2"/>
      <c r="I813" s="13"/>
      <c r="J813" s="13"/>
      <c r="K813" s="13"/>
      <c r="L813" s="14"/>
      <c r="M813" s="4"/>
      <c r="N813" s="2"/>
      <c r="O813" s="4"/>
      <c r="P813" s="2"/>
      <c r="Q813" s="2"/>
      <c r="R813" s="4"/>
      <c r="S813" s="2"/>
      <c r="T813" s="2"/>
      <c r="U813" s="1"/>
      <c r="V813" s="2"/>
      <c r="W813" s="2"/>
      <c r="X813" s="2"/>
      <c r="Y813" s="2"/>
      <c r="Z813" s="2"/>
    </row>
    <row r="814" spans="1:26" ht="15.75" customHeight="1" x14ac:dyDescent="0.2">
      <c r="A814" s="12"/>
      <c r="B814" s="10"/>
      <c r="C814" s="11"/>
      <c r="D814" s="13"/>
      <c r="E814" s="13"/>
      <c r="F814" s="13"/>
      <c r="G814" s="2"/>
      <c r="H814" s="2"/>
      <c r="I814" s="13"/>
      <c r="J814" s="13"/>
      <c r="K814" s="13"/>
      <c r="L814" s="14"/>
      <c r="M814" s="4"/>
      <c r="N814" s="2"/>
      <c r="O814" s="4"/>
      <c r="P814" s="2"/>
      <c r="Q814" s="2"/>
      <c r="R814" s="4"/>
      <c r="S814" s="2"/>
      <c r="T814" s="2"/>
      <c r="U814" s="1"/>
      <c r="V814" s="2"/>
      <c r="W814" s="2"/>
      <c r="X814" s="2"/>
      <c r="Y814" s="2"/>
      <c r="Z814" s="2"/>
    </row>
    <row r="815" spans="1:26" ht="15.75" customHeight="1" x14ac:dyDescent="0.2">
      <c r="A815" s="12"/>
      <c r="B815" s="10"/>
      <c r="C815" s="11"/>
      <c r="D815" s="13"/>
      <c r="E815" s="13"/>
      <c r="F815" s="13"/>
      <c r="G815" s="2"/>
      <c r="H815" s="2"/>
      <c r="I815" s="13"/>
      <c r="J815" s="13"/>
      <c r="K815" s="13"/>
      <c r="L815" s="14"/>
      <c r="M815" s="4"/>
      <c r="N815" s="2"/>
      <c r="O815" s="4"/>
      <c r="P815" s="2"/>
      <c r="Q815" s="2"/>
      <c r="R815" s="4"/>
      <c r="S815" s="2"/>
      <c r="T815" s="2"/>
      <c r="U815" s="1"/>
      <c r="V815" s="2"/>
      <c r="W815" s="2"/>
      <c r="X815" s="2"/>
      <c r="Y815" s="2"/>
      <c r="Z815" s="2"/>
    </row>
    <row r="816" spans="1:26" ht="15.75" customHeight="1" x14ac:dyDescent="0.2">
      <c r="A816" s="12"/>
      <c r="B816" s="10"/>
      <c r="C816" s="11"/>
      <c r="D816" s="13"/>
      <c r="E816" s="13"/>
      <c r="F816" s="13"/>
      <c r="G816" s="2"/>
      <c r="H816" s="2"/>
      <c r="I816" s="13"/>
      <c r="J816" s="13"/>
      <c r="K816" s="13"/>
      <c r="L816" s="14"/>
      <c r="M816" s="4"/>
      <c r="N816" s="2"/>
      <c r="O816" s="4"/>
      <c r="P816" s="2"/>
      <c r="Q816" s="2"/>
      <c r="R816" s="4"/>
      <c r="S816" s="2"/>
      <c r="T816" s="2"/>
      <c r="U816" s="1"/>
      <c r="V816" s="2"/>
      <c r="W816" s="2"/>
      <c r="X816" s="2"/>
      <c r="Y816" s="2"/>
      <c r="Z816" s="2"/>
    </row>
    <row r="817" spans="1:26" ht="15.75" customHeight="1" x14ac:dyDescent="0.2">
      <c r="A817" s="12"/>
      <c r="B817" s="10"/>
      <c r="C817" s="11"/>
      <c r="D817" s="13"/>
      <c r="E817" s="13"/>
      <c r="F817" s="13"/>
      <c r="G817" s="2"/>
      <c r="H817" s="2"/>
      <c r="I817" s="13"/>
      <c r="J817" s="13"/>
      <c r="K817" s="13"/>
      <c r="L817" s="14"/>
      <c r="M817" s="4"/>
      <c r="N817" s="2"/>
      <c r="O817" s="4"/>
      <c r="P817" s="2"/>
      <c r="Q817" s="2"/>
      <c r="R817" s="4"/>
      <c r="S817" s="2"/>
      <c r="T817" s="2"/>
      <c r="U817" s="1"/>
      <c r="V817" s="2"/>
      <c r="W817" s="2"/>
      <c r="X817" s="2"/>
      <c r="Y817" s="2"/>
      <c r="Z817" s="2"/>
    </row>
    <row r="818" spans="1:26" ht="15.75" customHeight="1" x14ac:dyDescent="0.2">
      <c r="A818" s="12"/>
      <c r="B818" s="10"/>
      <c r="C818" s="11"/>
      <c r="D818" s="13"/>
      <c r="E818" s="13"/>
      <c r="F818" s="13"/>
      <c r="G818" s="2"/>
      <c r="H818" s="2"/>
      <c r="I818" s="13"/>
      <c r="J818" s="13"/>
      <c r="K818" s="13"/>
      <c r="L818" s="14"/>
      <c r="M818" s="4"/>
      <c r="N818" s="2"/>
      <c r="O818" s="4"/>
      <c r="P818" s="2"/>
      <c r="Q818" s="2"/>
      <c r="R818" s="4"/>
      <c r="S818" s="2"/>
      <c r="T818" s="2"/>
      <c r="U818" s="1"/>
      <c r="V818" s="2"/>
      <c r="W818" s="2"/>
      <c r="X818" s="2"/>
      <c r="Y818" s="2"/>
      <c r="Z818" s="2"/>
    </row>
    <row r="819" spans="1:26" ht="15.75" customHeight="1" x14ac:dyDescent="0.2">
      <c r="A819" s="12"/>
      <c r="B819" s="10"/>
      <c r="C819" s="11"/>
      <c r="D819" s="13"/>
      <c r="E819" s="13"/>
      <c r="F819" s="13"/>
      <c r="G819" s="2"/>
      <c r="H819" s="2"/>
      <c r="I819" s="13"/>
      <c r="J819" s="13"/>
      <c r="K819" s="13"/>
      <c r="L819" s="14"/>
      <c r="M819" s="4"/>
      <c r="N819" s="2"/>
      <c r="O819" s="4"/>
      <c r="P819" s="2"/>
      <c r="Q819" s="2"/>
      <c r="R819" s="4"/>
      <c r="S819" s="2"/>
      <c r="T819" s="2"/>
      <c r="U819" s="1"/>
      <c r="V819" s="2"/>
      <c r="W819" s="2"/>
      <c r="X819" s="2"/>
      <c r="Y819" s="2"/>
      <c r="Z819" s="2"/>
    </row>
    <row r="820" spans="1:26" ht="15.75" customHeight="1" x14ac:dyDescent="0.2">
      <c r="A820" s="12"/>
      <c r="B820" s="10"/>
      <c r="C820" s="11"/>
      <c r="D820" s="13"/>
      <c r="E820" s="13"/>
      <c r="F820" s="13"/>
      <c r="G820" s="2"/>
      <c r="H820" s="2"/>
      <c r="I820" s="13"/>
      <c r="J820" s="13"/>
      <c r="K820" s="13"/>
      <c r="L820" s="14"/>
      <c r="M820" s="4"/>
      <c r="N820" s="2"/>
      <c r="O820" s="4"/>
      <c r="P820" s="2"/>
      <c r="Q820" s="2"/>
      <c r="R820" s="4"/>
      <c r="S820" s="2"/>
      <c r="T820" s="2"/>
      <c r="U820" s="1"/>
      <c r="V820" s="2"/>
      <c r="W820" s="2"/>
      <c r="X820" s="2"/>
      <c r="Y820" s="2"/>
      <c r="Z820" s="2"/>
    </row>
    <row r="821" spans="1:26" ht="15.75" customHeight="1" x14ac:dyDescent="0.2">
      <c r="A821" s="12"/>
      <c r="B821" s="10"/>
      <c r="C821" s="11"/>
      <c r="D821" s="13"/>
      <c r="E821" s="13"/>
      <c r="F821" s="13"/>
      <c r="G821" s="2"/>
      <c r="H821" s="2"/>
      <c r="I821" s="13"/>
      <c r="J821" s="13"/>
      <c r="K821" s="13"/>
      <c r="L821" s="14"/>
      <c r="M821" s="4"/>
      <c r="N821" s="2"/>
      <c r="O821" s="4"/>
      <c r="P821" s="2"/>
      <c r="Q821" s="2"/>
      <c r="R821" s="4"/>
      <c r="S821" s="2"/>
      <c r="T821" s="2"/>
      <c r="U821" s="1"/>
      <c r="V821" s="2"/>
      <c r="W821" s="2"/>
      <c r="X821" s="2"/>
      <c r="Y821" s="2"/>
      <c r="Z821" s="2"/>
    </row>
    <row r="822" spans="1:26" ht="15.75" customHeight="1" x14ac:dyDescent="0.2">
      <c r="A822" s="12"/>
      <c r="B822" s="10"/>
      <c r="C822" s="11"/>
      <c r="D822" s="13"/>
      <c r="E822" s="13"/>
      <c r="F822" s="13"/>
      <c r="G822" s="2"/>
      <c r="H822" s="2"/>
      <c r="I822" s="13"/>
      <c r="J822" s="13"/>
      <c r="K822" s="13"/>
      <c r="L822" s="14"/>
      <c r="M822" s="4"/>
      <c r="N822" s="2"/>
      <c r="O822" s="4"/>
      <c r="P822" s="2"/>
      <c r="Q822" s="2"/>
      <c r="R822" s="4"/>
      <c r="S822" s="2"/>
      <c r="T822" s="2"/>
      <c r="U822" s="1"/>
      <c r="V822" s="2"/>
      <c r="W822" s="2"/>
      <c r="X822" s="2"/>
      <c r="Y822" s="2"/>
      <c r="Z822" s="2"/>
    </row>
    <row r="823" spans="1:26" ht="15.75" customHeight="1" x14ac:dyDescent="0.2">
      <c r="A823" s="12"/>
      <c r="B823" s="10"/>
      <c r="C823" s="11"/>
      <c r="D823" s="13"/>
      <c r="E823" s="13"/>
      <c r="F823" s="13"/>
      <c r="G823" s="2"/>
      <c r="H823" s="2"/>
      <c r="I823" s="13"/>
      <c r="J823" s="13"/>
      <c r="K823" s="13"/>
      <c r="L823" s="14"/>
      <c r="M823" s="4"/>
      <c r="N823" s="2"/>
      <c r="O823" s="4"/>
      <c r="P823" s="2"/>
      <c r="Q823" s="2"/>
      <c r="R823" s="4"/>
      <c r="S823" s="2"/>
      <c r="T823" s="2"/>
      <c r="U823" s="1"/>
      <c r="V823" s="2"/>
      <c r="W823" s="2"/>
      <c r="X823" s="2"/>
      <c r="Y823" s="2"/>
      <c r="Z823" s="2"/>
    </row>
    <row r="824" spans="1:26" ht="15.75" customHeight="1" x14ac:dyDescent="0.2">
      <c r="A824" s="12"/>
      <c r="B824" s="10"/>
      <c r="C824" s="11"/>
      <c r="D824" s="13"/>
      <c r="E824" s="13"/>
      <c r="F824" s="13"/>
      <c r="G824" s="2"/>
      <c r="H824" s="2"/>
      <c r="I824" s="13"/>
      <c r="J824" s="13"/>
      <c r="K824" s="13"/>
      <c r="L824" s="14"/>
      <c r="M824" s="4"/>
      <c r="N824" s="2"/>
      <c r="O824" s="4"/>
      <c r="P824" s="2"/>
      <c r="Q824" s="2"/>
      <c r="R824" s="4"/>
      <c r="S824" s="2"/>
      <c r="T824" s="2"/>
      <c r="U824" s="1"/>
      <c r="V824" s="2"/>
      <c r="W824" s="2"/>
      <c r="X824" s="2"/>
      <c r="Y824" s="2"/>
      <c r="Z824" s="2"/>
    </row>
    <row r="825" spans="1:26" ht="15.75" customHeight="1" x14ac:dyDescent="0.2">
      <c r="A825" s="12"/>
      <c r="B825" s="10"/>
      <c r="C825" s="11"/>
      <c r="D825" s="13"/>
      <c r="E825" s="13"/>
      <c r="F825" s="13"/>
      <c r="G825" s="2"/>
      <c r="H825" s="2"/>
      <c r="I825" s="13"/>
      <c r="J825" s="13"/>
      <c r="K825" s="13"/>
      <c r="L825" s="14"/>
      <c r="M825" s="4"/>
      <c r="N825" s="2"/>
      <c r="O825" s="4"/>
      <c r="P825" s="2"/>
      <c r="Q825" s="2"/>
      <c r="R825" s="4"/>
      <c r="S825" s="2"/>
      <c r="T825" s="2"/>
      <c r="U825" s="1"/>
      <c r="V825" s="2"/>
      <c r="W825" s="2"/>
      <c r="X825" s="2"/>
      <c r="Y825" s="2"/>
      <c r="Z825" s="2"/>
    </row>
    <row r="826" spans="1:26" ht="15.75" customHeight="1" x14ac:dyDescent="0.2">
      <c r="A826" s="12"/>
      <c r="B826" s="10"/>
      <c r="C826" s="11"/>
      <c r="D826" s="13"/>
      <c r="E826" s="13"/>
      <c r="F826" s="13"/>
      <c r="G826" s="2"/>
      <c r="H826" s="2"/>
      <c r="I826" s="13"/>
      <c r="J826" s="13"/>
      <c r="K826" s="13"/>
      <c r="L826" s="14"/>
      <c r="M826" s="4"/>
      <c r="N826" s="2"/>
      <c r="O826" s="4"/>
      <c r="P826" s="2"/>
      <c r="Q826" s="2"/>
      <c r="R826" s="4"/>
      <c r="S826" s="2"/>
      <c r="T826" s="2"/>
      <c r="U826" s="1"/>
      <c r="V826" s="2"/>
      <c r="W826" s="2"/>
      <c r="X826" s="2"/>
      <c r="Y826" s="2"/>
      <c r="Z826" s="2"/>
    </row>
    <row r="827" spans="1:26" ht="15.75" customHeight="1" x14ac:dyDescent="0.2">
      <c r="A827" s="12"/>
      <c r="B827" s="10"/>
      <c r="C827" s="11"/>
      <c r="D827" s="13"/>
      <c r="E827" s="13"/>
      <c r="F827" s="13"/>
      <c r="G827" s="2"/>
      <c r="H827" s="2"/>
      <c r="I827" s="13"/>
      <c r="J827" s="13"/>
      <c r="K827" s="13"/>
      <c r="L827" s="14"/>
      <c r="M827" s="4"/>
      <c r="N827" s="2"/>
      <c r="O827" s="4"/>
      <c r="P827" s="2"/>
      <c r="Q827" s="2"/>
      <c r="R827" s="4"/>
      <c r="S827" s="2"/>
      <c r="T827" s="2"/>
      <c r="U827" s="1"/>
      <c r="V827" s="2"/>
      <c r="W827" s="2"/>
      <c r="X827" s="2"/>
      <c r="Y827" s="2"/>
      <c r="Z827" s="2"/>
    </row>
    <row r="828" spans="1:26" ht="15.75" customHeight="1" x14ac:dyDescent="0.2">
      <c r="A828" s="12"/>
      <c r="B828" s="10"/>
      <c r="C828" s="11"/>
      <c r="D828" s="13"/>
      <c r="E828" s="13"/>
      <c r="F828" s="13"/>
      <c r="G828" s="2"/>
      <c r="H828" s="2"/>
      <c r="I828" s="13"/>
      <c r="J828" s="13"/>
      <c r="K828" s="13"/>
      <c r="L828" s="14"/>
      <c r="M828" s="4"/>
      <c r="N828" s="2"/>
      <c r="O828" s="4"/>
      <c r="P828" s="2"/>
      <c r="Q828" s="2"/>
      <c r="R828" s="4"/>
      <c r="S828" s="2"/>
      <c r="T828" s="2"/>
      <c r="U828" s="1"/>
      <c r="V828" s="2"/>
      <c r="W828" s="2"/>
      <c r="X828" s="2"/>
      <c r="Y828" s="2"/>
      <c r="Z828" s="2"/>
    </row>
    <row r="829" spans="1:26" ht="15.75" customHeight="1" x14ac:dyDescent="0.2">
      <c r="A829" s="12"/>
      <c r="B829" s="10"/>
      <c r="C829" s="11"/>
      <c r="D829" s="13"/>
      <c r="E829" s="13"/>
      <c r="F829" s="13"/>
      <c r="G829" s="2"/>
      <c r="H829" s="2"/>
      <c r="I829" s="13"/>
      <c r="J829" s="13"/>
      <c r="K829" s="13"/>
      <c r="L829" s="14"/>
      <c r="M829" s="4"/>
      <c r="N829" s="2"/>
      <c r="O829" s="4"/>
      <c r="P829" s="2"/>
      <c r="Q829" s="2"/>
      <c r="R829" s="4"/>
      <c r="S829" s="2"/>
      <c r="T829" s="2"/>
      <c r="U829" s="1"/>
      <c r="V829" s="2"/>
      <c r="W829" s="2"/>
      <c r="X829" s="2"/>
      <c r="Y829" s="2"/>
      <c r="Z829" s="2"/>
    </row>
    <row r="830" spans="1:26" ht="15.75" customHeight="1" x14ac:dyDescent="0.2">
      <c r="A830" s="12"/>
      <c r="B830" s="10"/>
      <c r="C830" s="11"/>
      <c r="D830" s="13"/>
      <c r="E830" s="13"/>
      <c r="F830" s="13"/>
      <c r="G830" s="2"/>
      <c r="H830" s="2"/>
      <c r="I830" s="13"/>
      <c r="J830" s="13"/>
      <c r="K830" s="13"/>
      <c r="L830" s="14"/>
      <c r="M830" s="4"/>
      <c r="N830" s="2"/>
      <c r="O830" s="4"/>
      <c r="P830" s="2"/>
      <c r="Q830" s="2"/>
      <c r="R830" s="4"/>
      <c r="S830" s="2"/>
      <c r="T830" s="2"/>
      <c r="U830" s="1"/>
      <c r="V830" s="2"/>
      <c r="W830" s="2"/>
      <c r="X830" s="2"/>
      <c r="Y830" s="2"/>
      <c r="Z830" s="2"/>
    </row>
    <row r="831" spans="1:26" ht="15.75" customHeight="1" x14ac:dyDescent="0.2">
      <c r="A831" s="12"/>
      <c r="B831" s="10"/>
      <c r="C831" s="11"/>
      <c r="D831" s="13"/>
      <c r="E831" s="13"/>
      <c r="F831" s="13"/>
      <c r="G831" s="2"/>
      <c r="H831" s="2"/>
      <c r="I831" s="13"/>
      <c r="J831" s="13"/>
      <c r="K831" s="13"/>
      <c r="L831" s="14"/>
      <c r="M831" s="4"/>
      <c r="N831" s="2"/>
      <c r="O831" s="4"/>
      <c r="P831" s="2"/>
      <c r="Q831" s="2"/>
      <c r="R831" s="4"/>
      <c r="S831" s="2"/>
      <c r="T831" s="2"/>
      <c r="U831" s="1"/>
      <c r="V831" s="2"/>
      <c r="W831" s="2"/>
      <c r="X831" s="2"/>
      <c r="Y831" s="2"/>
      <c r="Z831" s="2"/>
    </row>
    <row r="832" spans="1:26" ht="15.75" customHeight="1" x14ac:dyDescent="0.2">
      <c r="A832" s="12"/>
      <c r="B832" s="10"/>
      <c r="C832" s="11"/>
      <c r="D832" s="13"/>
      <c r="E832" s="13"/>
      <c r="F832" s="13"/>
      <c r="G832" s="2"/>
      <c r="H832" s="2"/>
      <c r="I832" s="13"/>
      <c r="J832" s="13"/>
      <c r="K832" s="13"/>
      <c r="L832" s="14"/>
      <c r="M832" s="4"/>
      <c r="N832" s="2"/>
      <c r="O832" s="4"/>
      <c r="P832" s="2"/>
      <c r="Q832" s="2"/>
      <c r="R832" s="4"/>
      <c r="S832" s="2"/>
      <c r="T832" s="2"/>
      <c r="U832" s="1"/>
      <c r="V832" s="2"/>
      <c r="W832" s="2"/>
      <c r="X832" s="2"/>
      <c r="Y832" s="2"/>
      <c r="Z832" s="2"/>
    </row>
    <row r="833" spans="1:26" ht="15.75" customHeight="1" x14ac:dyDescent="0.2">
      <c r="A833" s="12"/>
      <c r="B833" s="10"/>
      <c r="C833" s="11"/>
      <c r="D833" s="13"/>
      <c r="E833" s="13"/>
      <c r="F833" s="13"/>
      <c r="G833" s="2"/>
      <c r="H833" s="2"/>
      <c r="I833" s="13"/>
      <c r="J833" s="13"/>
      <c r="K833" s="13"/>
      <c r="L833" s="14"/>
      <c r="M833" s="4"/>
      <c r="N833" s="2"/>
      <c r="O833" s="4"/>
      <c r="P833" s="2"/>
      <c r="Q833" s="2"/>
      <c r="R833" s="4"/>
      <c r="S833" s="2"/>
      <c r="T833" s="2"/>
      <c r="U833" s="1"/>
      <c r="V833" s="2"/>
      <c r="W833" s="2"/>
      <c r="X833" s="2"/>
      <c r="Y833" s="2"/>
      <c r="Z833" s="2"/>
    </row>
    <row r="834" spans="1:26" ht="15.75" customHeight="1" x14ac:dyDescent="0.2">
      <c r="A834" s="12"/>
      <c r="B834" s="10"/>
      <c r="C834" s="11"/>
      <c r="D834" s="13"/>
      <c r="E834" s="13"/>
      <c r="F834" s="13"/>
      <c r="G834" s="2"/>
      <c r="H834" s="2"/>
      <c r="I834" s="13"/>
      <c r="J834" s="13"/>
      <c r="K834" s="13"/>
      <c r="L834" s="14"/>
      <c r="M834" s="4"/>
      <c r="N834" s="2"/>
      <c r="O834" s="4"/>
      <c r="P834" s="2"/>
      <c r="Q834" s="2"/>
      <c r="R834" s="4"/>
      <c r="S834" s="2"/>
      <c r="T834" s="2"/>
      <c r="U834" s="1"/>
      <c r="V834" s="2"/>
      <c r="W834" s="2"/>
      <c r="X834" s="2"/>
      <c r="Y834" s="2"/>
      <c r="Z834" s="2"/>
    </row>
    <row r="835" spans="1:26" ht="15.75" customHeight="1" x14ac:dyDescent="0.2">
      <c r="A835" s="12"/>
      <c r="B835" s="10"/>
      <c r="C835" s="11"/>
      <c r="D835" s="13"/>
      <c r="E835" s="13"/>
      <c r="F835" s="13"/>
      <c r="G835" s="2"/>
      <c r="H835" s="2"/>
      <c r="I835" s="13"/>
      <c r="J835" s="13"/>
      <c r="K835" s="13"/>
      <c r="L835" s="14"/>
      <c r="M835" s="4"/>
      <c r="N835" s="2"/>
      <c r="O835" s="4"/>
      <c r="P835" s="2"/>
      <c r="Q835" s="2"/>
      <c r="R835" s="4"/>
      <c r="S835" s="2"/>
      <c r="T835" s="2"/>
      <c r="U835" s="1"/>
      <c r="V835" s="2"/>
      <c r="W835" s="2"/>
      <c r="X835" s="2"/>
      <c r="Y835" s="2"/>
      <c r="Z835" s="2"/>
    </row>
    <row r="836" spans="1:26" ht="15.75" customHeight="1" x14ac:dyDescent="0.2">
      <c r="A836" s="12"/>
      <c r="B836" s="10"/>
      <c r="C836" s="11"/>
      <c r="D836" s="13"/>
      <c r="E836" s="13"/>
      <c r="F836" s="13"/>
      <c r="G836" s="2"/>
      <c r="H836" s="2"/>
      <c r="I836" s="13"/>
      <c r="J836" s="13"/>
      <c r="K836" s="13"/>
      <c r="L836" s="14"/>
      <c r="M836" s="4"/>
      <c r="N836" s="2"/>
      <c r="O836" s="4"/>
      <c r="P836" s="2"/>
      <c r="Q836" s="2"/>
      <c r="R836" s="4"/>
      <c r="S836" s="2"/>
      <c r="T836" s="2"/>
      <c r="U836" s="1"/>
      <c r="V836" s="2"/>
      <c r="W836" s="2"/>
      <c r="X836" s="2"/>
      <c r="Y836" s="2"/>
      <c r="Z836" s="2"/>
    </row>
    <row r="837" spans="1:26" ht="15.75" customHeight="1" x14ac:dyDescent="0.2">
      <c r="A837" s="12"/>
      <c r="B837" s="10"/>
      <c r="C837" s="11"/>
      <c r="D837" s="13"/>
      <c r="E837" s="13"/>
      <c r="F837" s="13"/>
      <c r="G837" s="2"/>
      <c r="H837" s="2"/>
      <c r="I837" s="13"/>
      <c r="J837" s="13"/>
      <c r="K837" s="13"/>
      <c r="L837" s="14"/>
      <c r="M837" s="4"/>
      <c r="N837" s="2"/>
      <c r="O837" s="4"/>
      <c r="P837" s="2"/>
      <c r="Q837" s="2"/>
      <c r="R837" s="4"/>
      <c r="S837" s="2"/>
      <c r="T837" s="2"/>
      <c r="U837" s="1"/>
      <c r="V837" s="2"/>
      <c r="W837" s="2"/>
      <c r="X837" s="2"/>
      <c r="Y837" s="2"/>
      <c r="Z837" s="2"/>
    </row>
    <row r="838" spans="1:26" ht="15.75" customHeight="1" x14ac:dyDescent="0.2">
      <c r="A838" s="12"/>
      <c r="B838" s="10"/>
      <c r="C838" s="11"/>
      <c r="D838" s="13"/>
      <c r="E838" s="13"/>
      <c r="F838" s="13"/>
      <c r="G838" s="2"/>
      <c r="H838" s="2"/>
      <c r="I838" s="13"/>
      <c r="J838" s="13"/>
      <c r="K838" s="13"/>
      <c r="L838" s="14"/>
      <c r="M838" s="4"/>
      <c r="N838" s="2"/>
      <c r="O838" s="4"/>
      <c r="P838" s="2"/>
      <c r="Q838" s="2"/>
      <c r="R838" s="4"/>
      <c r="S838" s="2"/>
      <c r="T838" s="2"/>
      <c r="U838" s="1"/>
      <c r="V838" s="2"/>
      <c r="W838" s="2"/>
      <c r="X838" s="2"/>
      <c r="Y838" s="2"/>
      <c r="Z838" s="2"/>
    </row>
    <row r="839" spans="1:26" ht="15.75" customHeight="1" x14ac:dyDescent="0.2">
      <c r="A839" s="12"/>
      <c r="B839" s="10"/>
      <c r="C839" s="11"/>
      <c r="D839" s="13"/>
      <c r="E839" s="13"/>
      <c r="F839" s="13"/>
      <c r="G839" s="2"/>
      <c r="H839" s="2"/>
      <c r="I839" s="13"/>
      <c r="J839" s="13"/>
      <c r="K839" s="13"/>
      <c r="L839" s="14"/>
      <c r="M839" s="4"/>
      <c r="N839" s="2"/>
      <c r="O839" s="4"/>
      <c r="P839" s="2"/>
      <c r="Q839" s="2"/>
      <c r="R839" s="4"/>
      <c r="S839" s="2"/>
      <c r="T839" s="2"/>
      <c r="U839" s="1"/>
      <c r="V839" s="2"/>
      <c r="W839" s="2"/>
      <c r="X839" s="2"/>
      <c r="Y839" s="2"/>
      <c r="Z839" s="2"/>
    </row>
    <row r="840" spans="1:26" ht="15.75" customHeight="1" x14ac:dyDescent="0.2">
      <c r="A840" s="12"/>
      <c r="B840" s="10"/>
      <c r="C840" s="11"/>
      <c r="D840" s="13"/>
      <c r="E840" s="13"/>
      <c r="F840" s="13"/>
      <c r="G840" s="2"/>
      <c r="H840" s="2"/>
      <c r="I840" s="13"/>
      <c r="J840" s="13"/>
      <c r="K840" s="13"/>
      <c r="L840" s="14"/>
      <c r="M840" s="4"/>
      <c r="N840" s="2"/>
      <c r="O840" s="4"/>
      <c r="P840" s="2"/>
      <c r="Q840" s="2"/>
      <c r="R840" s="4"/>
      <c r="S840" s="2"/>
      <c r="T840" s="2"/>
      <c r="U840" s="1"/>
      <c r="V840" s="2"/>
      <c r="W840" s="2"/>
      <c r="X840" s="2"/>
      <c r="Y840" s="2"/>
      <c r="Z840" s="2"/>
    </row>
    <row r="841" spans="1:26" ht="15.75" customHeight="1" x14ac:dyDescent="0.2">
      <c r="A841" s="12"/>
      <c r="B841" s="10"/>
      <c r="C841" s="11"/>
      <c r="D841" s="13"/>
      <c r="E841" s="13"/>
      <c r="F841" s="13"/>
      <c r="G841" s="2"/>
      <c r="H841" s="2"/>
      <c r="I841" s="13"/>
      <c r="J841" s="13"/>
      <c r="K841" s="13"/>
      <c r="L841" s="14"/>
      <c r="M841" s="4"/>
      <c r="N841" s="2"/>
      <c r="O841" s="4"/>
      <c r="P841" s="2"/>
      <c r="Q841" s="2"/>
      <c r="R841" s="4"/>
      <c r="S841" s="2"/>
      <c r="T841" s="2"/>
      <c r="U841" s="1"/>
      <c r="V841" s="2"/>
      <c r="W841" s="2"/>
      <c r="X841" s="2"/>
      <c r="Y841" s="2"/>
      <c r="Z841" s="2"/>
    </row>
    <row r="842" spans="1:26" ht="15.75" customHeight="1" x14ac:dyDescent="0.2">
      <c r="A842" s="12"/>
      <c r="B842" s="10"/>
      <c r="C842" s="11"/>
      <c r="D842" s="13"/>
      <c r="E842" s="13"/>
      <c r="F842" s="13"/>
      <c r="G842" s="2"/>
      <c r="H842" s="2"/>
      <c r="I842" s="13"/>
      <c r="J842" s="13"/>
      <c r="K842" s="13"/>
      <c r="L842" s="14"/>
      <c r="M842" s="4"/>
      <c r="N842" s="2"/>
      <c r="O842" s="4"/>
      <c r="P842" s="2"/>
      <c r="Q842" s="2"/>
      <c r="R842" s="4"/>
      <c r="S842" s="2"/>
      <c r="T842" s="2"/>
      <c r="U842" s="1"/>
      <c r="V842" s="2"/>
      <c r="W842" s="2"/>
      <c r="X842" s="2"/>
      <c r="Y842" s="2"/>
      <c r="Z842" s="2"/>
    </row>
    <row r="843" spans="1:26" ht="15.75" customHeight="1" x14ac:dyDescent="0.2">
      <c r="A843" s="12"/>
      <c r="B843" s="10"/>
      <c r="C843" s="11"/>
      <c r="D843" s="13"/>
      <c r="E843" s="13"/>
      <c r="F843" s="13"/>
      <c r="G843" s="2"/>
      <c r="H843" s="2"/>
      <c r="I843" s="13"/>
      <c r="J843" s="13"/>
      <c r="K843" s="13"/>
      <c r="L843" s="14"/>
      <c r="M843" s="4"/>
      <c r="N843" s="2"/>
      <c r="O843" s="4"/>
      <c r="P843" s="2"/>
      <c r="Q843" s="2"/>
      <c r="R843" s="4"/>
      <c r="S843" s="2"/>
      <c r="T843" s="2"/>
      <c r="U843" s="1"/>
      <c r="V843" s="2"/>
      <c r="W843" s="2"/>
      <c r="X843" s="2"/>
      <c r="Y843" s="2"/>
      <c r="Z843" s="2"/>
    </row>
    <row r="844" spans="1:26" ht="15.75" customHeight="1" x14ac:dyDescent="0.2">
      <c r="A844" s="12"/>
      <c r="B844" s="10"/>
      <c r="C844" s="11"/>
      <c r="D844" s="13"/>
      <c r="E844" s="13"/>
      <c r="F844" s="13"/>
      <c r="G844" s="2"/>
      <c r="H844" s="2"/>
      <c r="I844" s="13"/>
      <c r="J844" s="13"/>
      <c r="K844" s="13"/>
      <c r="L844" s="14"/>
      <c r="M844" s="4"/>
      <c r="N844" s="2"/>
      <c r="O844" s="4"/>
      <c r="P844" s="2"/>
      <c r="Q844" s="2"/>
      <c r="R844" s="4"/>
      <c r="S844" s="2"/>
      <c r="T844" s="2"/>
      <c r="U844" s="1"/>
      <c r="V844" s="2"/>
      <c r="W844" s="2"/>
      <c r="X844" s="2"/>
      <c r="Y844" s="2"/>
      <c r="Z844" s="2"/>
    </row>
    <row r="845" spans="1:26" ht="15.75" customHeight="1" x14ac:dyDescent="0.2">
      <c r="A845" s="12"/>
      <c r="B845" s="10"/>
      <c r="C845" s="11"/>
      <c r="D845" s="13"/>
      <c r="E845" s="13"/>
      <c r="F845" s="13"/>
      <c r="G845" s="2"/>
      <c r="H845" s="2"/>
      <c r="I845" s="13"/>
      <c r="J845" s="13"/>
      <c r="K845" s="13"/>
      <c r="L845" s="14"/>
      <c r="M845" s="4"/>
      <c r="N845" s="2"/>
      <c r="O845" s="4"/>
      <c r="P845" s="2"/>
      <c r="Q845" s="2"/>
      <c r="R845" s="4"/>
      <c r="S845" s="2"/>
      <c r="T845" s="2"/>
      <c r="U845" s="1"/>
      <c r="V845" s="2"/>
      <c r="W845" s="2"/>
      <c r="X845" s="2"/>
      <c r="Y845" s="2"/>
      <c r="Z845" s="2"/>
    </row>
    <row r="846" spans="1:26" ht="15.75" customHeight="1" x14ac:dyDescent="0.2">
      <c r="A846" s="12"/>
      <c r="B846" s="10"/>
      <c r="C846" s="11"/>
      <c r="D846" s="13"/>
      <c r="E846" s="13"/>
      <c r="F846" s="13"/>
      <c r="G846" s="2"/>
      <c r="H846" s="2"/>
      <c r="I846" s="13"/>
      <c r="J846" s="13"/>
      <c r="K846" s="13"/>
      <c r="L846" s="14"/>
      <c r="M846" s="4"/>
      <c r="N846" s="2"/>
      <c r="O846" s="4"/>
      <c r="P846" s="2"/>
      <c r="Q846" s="2"/>
      <c r="R846" s="4"/>
      <c r="S846" s="2"/>
      <c r="T846" s="2"/>
      <c r="U846" s="1"/>
      <c r="V846" s="2"/>
      <c r="W846" s="2"/>
      <c r="X846" s="2"/>
      <c r="Y846" s="2"/>
      <c r="Z846" s="2"/>
    </row>
    <row r="847" spans="1:26" ht="15.75" customHeight="1" x14ac:dyDescent="0.2">
      <c r="A847" s="12"/>
      <c r="B847" s="10"/>
      <c r="C847" s="11"/>
      <c r="D847" s="13"/>
      <c r="E847" s="13"/>
      <c r="F847" s="13"/>
      <c r="G847" s="2"/>
      <c r="H847" s="2"/>
      <c r="I847" s="13"/>
      <c r="J847" s="13"/>
      <c r="K847" s="13"/>
      <c r="L847" s="14"/>
      <c r="M847" s="4"/>
      <c r="N847" s="2"/>
      <c r="O847" s="4"/>
      <c r="P847" s="2"/>
      <c r="Q847" s="2"/>
      <c r="R847" s="4"/>
      <c r="S847" s="2"/>
      <c r="T847" s="2"/>
      <c r="U847" s="1"/>
      <c r="V847" s="2"/>
      <c r="W847" s="2"/>
      <c r="X847" s="2"/>
      <c r="Y847" s="2"/>
      <c r="Z847" s="2"/>
    </row>
    <row r="848" spans="1:26" ht="15.75" customHeight="1" x14ac:dyDescent="0.2">
      <c r="A848" s="12"/>
      <c r="B848" s="10"/>
      <c r="C848" s="11"/>
      <c r="D848" s="13"/>
      <c r="E848" s="13"/>
      <c r="F848" s="13"/>
      <c r="G848" s="2"/>
      <c r="H848" s="2"/>
      <c r="I848" s="13"/>
      <c r="J848" s="13"/>
      <c r="K848" s="13"/>
      <c r="L848" s="14"/>
      <c r="M848" s="4"/>
      <c r="N848" s="2"/>
      <c r="O848" s="4"/>
      <c r="P848" s="2"/>
      <c r="Q848" s="2"/>
      <c r="R848" s="4"/>
      <c r="S848" s="2"/>
      <c r="T848" s="2"/>
      <c r="U848" s="1"/>
      <c r="V848" s="2"/>
      <c r="W848" s="2"/>
      <c r="X848" s="2"/>
      <c r="Y848" s="2"/>
      <c r="Z848" s="2"/>
    </row>
    <row r="849" spans="1:26" ht="15.75" customHeight="1" x14ac:dyDescent="0.2">
      <c r="A849" s="12"/>
      <c r="B849" s="10"/>
      <c r="C849" s="11"/>
      <c r="D849" s="13"/>
      <c r="E849" s="13"/>
      <c r="F849" s="13"/>
      <c r="G849" s="2"/>
      <c r="H849" s="2"/>
      <c r="I849" s="13"/>
      <c r="J849" s="13"/>
      <c r="K849" s="13"/>
      <c r="L849" s="14"/>
      <c r="M849" s="4"/>
      <c r="N849" s="2"/>
      <c r="O849" s="4"/>
      <c r="P849" s="2"/>
      <c r="Q849" s="2"/>
      <c r="R849" s="4"/>
      <c r="S849" s="2"/>
      <c r="T849" s="2"/>
      <c r="U849" s="1"/>
      <c r="V849" s="2"/>
      <c r="W849" s="2"/>
      <c r="X849" s="2"/>
      <c r="Y849" s="2"/>
      <c r="Z849" s="2"/>
    </row>
    <row r="850" spans="1:26" ht="15.75" customHeight="1" x14ac:dyDescent="0.2">
      <c r="A850" s="12"/>
      <c r="B850" s="10"/>
      <c r="C850" s="11"/>
      <c r="D850" s="13"/>
      <c r="E850" s="13"/>
      <c r="F850" s="13"/>
      <c r="G850" s="2"/>
      <c r="H850" s="2"/>
      <c r="I850" s="13"/>
      <c r="J850" s="13"/>
      <c r="K850" s="13"/>
      <c r="L850" s="14"/>
      <c r="M850" s="4"/>
      <c r="N850" s="2"/>
      <c r="O850" s="4"/>
      <c r="P850" s="2"/>
      <c r="Q850" s="2"/>
      <c r="R850" s="4"/>
      <c r="S850" s="2"/>
      <c r="T850" s="2"/>
      <c r="U850" s="1"/>
      <c r="V850" s="2"/>
      <c r="W850" s="2"/>
      <c r="X850" s="2"/>
      <c r="Y850" s="2"/>
      <c r="Z850" s="2"/>
    </row>
    <row r="851" spans="1:26" ht="15.75" customHeight="1" x14ac:dyDescent="0.2">
      <c r="A851" s="12"/>
      <c r="B851" s="10"/>
      <c r="C851" s="11"/>
      <c r="D851" s="13"/>
      <c r="E851" s="13"/>
      <c r="F851" s="13"/>
      <c r="G851" s="2"/>
      <c r="H851" s="2"/>
      <c r="I851" s="13"/>
      <c r="J851" s="13"/>
      <c r="K851" s="13"/>
      <c r="L851" s="14"/>
      <c r="M851" s="4"/>
      <c r="N851" s="2"/>
      <c r="O851" s="4"/>
      <c r="P851" s="2"/>
      <c r="Q851" s="2"/>
      <c r="R851" s="4"/>
      <c r="S851" s="2"/>
      <c r="T851" s="2"/>
      <c r="U851" s="1"/>
      <c r="V851" s="2"/>
      <c r="W851" s="2"/>
      <c r="X851" s="2"/>
      <c r="Y851" s="2"/>
      <c r="Z851" s="2"/>
    </row>
    <row r="852" spans="1:26" ht="15.75" customHeight="1" x14ac:dyDescent="0.2">
      <c r="A852" s="12"/>
      <c r="B852" s="10"/>
      <c r="C852" s="11"/>
      <c r="D852" s="13"/>
      <c r="E852" s="13"/>
      <c r="F852" s="13"/>
      <c r="G852" s="2"/>
      <c r="H852" s="2"/>
      <c r="I852" s="13"/>
      <c r="J852" s="13"/>
      <c r="K852" s="13"/>
      <c r="L852" s="14"/>
      <c r="M852" s="4"/>
      <c r="N852" s="2"/>
      <c r="O852" s="4"/>
      <c r="P852" s="2"/>
      <c r="Q852" s="2"/>
      <c r="R852" s="4"/>
      <c r="S852" s="2"/>
      <c r="T852" s="2"/>
      <c r="U852" s="1"/>
      <c r="V852" s="2"/>
      <c r="W852" s="2"/>
      <c r="X852" s="2"/>
      <c r="Y852" s="2"/>
      <c r="Z852" s="2"/>
    </row>
    <row r="853" spans="1:26" ht="15.75" customHeight="1" x14ac:dyDescent="0.2">
      <c r="A853" s="12"/>
      <c r="B853" s="10"/>
      <c r="C853" s="11"/>
      <c r="D853" s="13"/>
      <c r="E853" s="13"/>
      <c r="F853" s="13"/>
      <c r="G853" s="2"/>
      <c r="H853" s="2"/>
      <c r="I853" s="13"/>
      <c r="J853" s="13"/>
      <c r="K853" s="13"/>
      <c r="L853" s="14"/>
      <c r="M853" s="4"/>
      <c r="N853" s="2"/>
      <c r="O853" s="4"/>
      <c r="P853" s="2"/>
      <c r="Q853" s="2"/>
      <c r="R853" s="4"/>
      <c r="S853" s="2"/>
      <c r="T853" s="2"/>
      <c r="U853" s="1"/>
      <c r="V853" s="2"/>
      <c r="W853" s="2"/>
      <c r="X853" s="2"/>
      <c r="Y853" s="2"/>
      <c r="Z853" s="2"/>
    </row>
    <row r="854" spans="1:26" ht="15.75" customHeight="1" x14ac:dyDescent="0.2">
      <c r="A854" s="12"/>
      <c r="B854" s="10"/>
      <c r="C854" s="11"/>
      <c r="D854" s="13"/>
      <c r="E854" s="13"/>
      <c r="F854" s="13"/>
      <c r="G854" s="2"/>
      <c r="H854" s="2"/>
      <c r="I854" s="13"/>
      <c r="J854" s="13"/>
      <c r="K854" s="13"/>
      <c r="L854" s="14"/>
      <c r="M854" s="4"/>
      <c r="N854" s="2"/>
      <c r="O854" s="4"/>
      <c r="P854" s="2"/>
      <c r="Q854" s="2"/>
      <c r="R854" s="4"/>
      <c r="S854" s="2"/>
      <c r="T854" s="2"/>
      <c r="U854" s="1"/>
      <c r="V854" s="2"/>
      <c r="W854" s="2"/>
      <c r="X854" s="2"/>
      <c r="Y854" s="2"/>
      <c r="Z854" s="2"/>
    </row>
    <row r="855" spans="1:26" ht="15.75" customHeight="1" x14ac:dyDescent="0.2">
      <c r="A855" s="12"/>
      <c r="B855" s="10"/>
      <c r="C855" s="11"/>
      <c r="D855" s="13"/>
      <c r="E855" s="13"/>
      <c r="F855" s="13"/>
      <c r="G855" s="2"/>
      <c r="H855" s="2"/>
      <c r="I855" s="13"/>
      <c r="J855" s="13"/>
      <c r="K855" s="13"/>
      <c r="L855" s="14"/>
      <c r="M855" s="4"/>
      <c r="N855" s="2"/>
      <c r="O855" s="4"/>
      <c r="P855" s="2"/>
      <c r="Q855" s="2"/>
      <c r="R855" s="4"/>
      <c r="S855" s="2"/>
      <c r="T855" s="2"/>
      <c r="U855" s="1"/>
      <c r="V855" s="2"/>
      <c r="W855" s="2"/>
      <c r="X855" s="2"/>
      <c r="Y855" s="2"/>
      <c r="Z855" s="2"/>
    </row>
    <row r="856" spans="1:26" ht="15.75" customHeight="1" x14ac:dyDescent="0.2">
      <c r="A856" s="12"/>
      <c r="B856" s="10"/>
      <c r="C856" s="11"/>
      <c r="D856" s="13"/>
      <c r="E856" s="13"/>
      <c r="F856" s="13"/>
      <c r="G856" s="2"/>
      <c r="H856" s="2"/>
      <c r="I856" s="13"/>
      <c r="J856" s="13"/>
      <c r="K856" s="13"/>
      <c r="L856" s="14"/>
      <c r="M856" s="4"/>
      <c r="N856" s="2"/>
      <c r="O856" s="4"/>
      <c r="P856" s="2"/>
      <c r="Q856" s="2"/>
      <c r="R856" s="4"/>
      <c r="S856" s="2"/>
      <c r="T856" s="2"/>
      <c r="U856" s="1"/>
      <c r="V856" s="2"/>
      <c r="W856" s="2"/>
      <c r="X856" s="2"/>
      <c r="Y856" s="2"/>
      <c r="Z856" s="2"/>
    </row>
    <row r="857" spans="1:26" ht="15.75" customHeight="1" x14ac:dyDescent="0.2">
      <c r="A857" s="12"/>
      <c r="B857" s="10"/>
      <c r="C857" s="11"/>
      <c r="D857" s="13"/>
      <c r="E857" s="13"/>
      <c r="F857" s="13"/>
      <c r="G857" s="2"/>
      <c r="H857" s="2"/>
      <c r="I857" s="13"/>
      <c r="J857" s="13"/>
      <c r="K857" s="13"/>
      <c r="L857" s="14"/>
      <c r="M857" s="4"/>
      <c r="N857" s="2"/>
      <c r="O857" s="4"/>
      <c r="P857" s="2"/>
      <c r="Q857" s="2"/>
      <c r="R857" s="4"/>
      <c r="S857" s="2"/>
      <c r="T857" s="2"/>
      <c r="U857" s="1"/>
      <c r="V857" s="2"/>
      <c r="W857" s="2"/>
      <c r="X857" s="2"/>
      <c r="Y857" s="2"/>
      <c r="Z857" s="2"/>
    </row>
    <row r="858" spans="1:26" ht="15.75" customHeight="1" x14ac:dyDescent="0.2">
      <c r="A858" s="12"/>
      <c r="B858" s="10"/>
      <c r="C858" s="11"/>
      <c r="D858" s="13"/>
      <c r="E858" s="13"/>
      <c r="F858" s="13"/>
      <c r="G858" s="2"/>
      <c r="H858" s="2"/>
      <c r="I858" s="13"/>
      <c r="J858" s="13"/>
      <c r="K858" s="13"/>
      <c r="L858" s="14"/>
      <c r="M858" s="4"/>
      <c r="N858" s="2"/>
      <c r="O858" s="4"/>
      <c r="P858" s="2"/>
      <c r="Q858" s="2"/>
      <c r="R858" s="4"/>
      <c r="S858" s="2"/>
      <c r="T858" s="2"/>
      <c r="U858" s="1"/>
      <c r="V858" s="2"/>
      <c r="W858" s="2"/>
      <c r="X858" s="2"/>
      <c r="Y858" s="2"/>
      <c r="Z858" s="2"/>
    </row>
    <row r="859" spans="1:26" ht="15.75" customHeight="1" x14ac:dyDescent="0.2">
      <c r="A859" s="12"/>
      <c r="B859" s="10"/>
      <c r="C859" s="11"/>
      <c r="D859" s="13"/>
      <c r="E859" s="13"/>
      <c r="F859" s="13"/>
      <c r="G859" s="2"/>
      <c r="H859" s="2"/>
      <c r="I859" s="13"/>
      <c r="J859" s="13"/>
      <c r="K859" s="13"/>
      <c r="L859" s="14"/>
      <c r="M859" s="4"/>
      <c r="N859" s="2"/>
      <c r="O859" s="4"/>
      <c r="P859" s="2"/>
      <c r="Q859" s="2"/>
      <c r="R859" s="4"/>
      <c r="S859" s="2"/>
      <c r="T859" s="2"/>
      <c r="U859" s="1"/>
      <c r="V859" s="2"/>
      <c r="W859" s="2"/>
      <c r="X859" s="2"/>
      <c r="Y859" s="2"/>
      <c r="Z859" s="2"/>
    </row>
    <row r="860" spans="1:26" ht="15.75" customHeight="1" x14ac:dyDescent="0.2">
      <c r="A860" s="12"/>
      <c r="B860" s="10"/>
      <c r="C860" s="11"/>
      <c r="D860" s="13"/>
      <c r="E860" s="13"/>
      <c r="F860" s="13"/>
      <c r="G860" s="2"/>
      <c r="H860" s="2"/>
      <c r="I860" s="13"/>
      <c r="J860" s="13"/>
      <c r="K860" s="13"/>
      <c r="L860" s="14"/>
      <c r="M860" s="4"/>
      <c r="N860" s="2"/>
      <c r="O860" s="4"/>
      <c r="P860" s="2"/>
      <c r="Q860" s="2"/>
      <c r="R860" s="4"/>
      <c r="S860" s="2"/>
      <c r="T860" s="2"/>
      <c r="U860" s="1"/>
      <c r="V860" s="2"/>
      <c r="W860" s="2"/>
      <c r="X860" s="2"/>
      <c r="Y860" s="2"/>
      <c r="Z860" s="2"/>
    </row>
    <row r="861" spans="1:26" ht="15.75" customHeight="1" x14ac:dyDescent="0.2">
      <c r="A861" s="12"/>
      <c r="B861" s="10"/>
      <c r="C861" s="11"/>
      <c r="D861" s="13"/>
      <c r="E861" s="13"/>
      <c r="F861" s="13"/>
      <c r="G861" s="2"/>
      <c r="H861" s="2"/>
      <c r="I861" s="13"/>
      <c r="J861" s="13"/>
      <c r="K861" s="13"/>
      <c r="L861" s="14"/>
      <c r="M861" s="4"/>
      <c r="N861" s="2"/>
      <c r="O861" s="4"/>
      <c r="P861" s="2"/>
      <c r="Q861" s="2"/>
      <c r="R861" s="4"/>
      <c r="S861" s="2"/>
      <c r="T861" s="2"/>
      <c r="U861" s="1"/>
      <c r="V861" s="2"/>
      <c r="W861" s="2"/>
      <c r="X861" s="2"/>
      <c r="Y861" s="2"/>
      <c r="Z861" s="2"/>
    </row>
    <row r="862" spans="1:26" ht="15.75" customHeight="1" x14ac:dyDescent="0.2">
      <c r="A862" s="12"/>
      <c r="B862" s="10"/>
      <c r="C862" s="11"/>
      <c r="D862" s="13"/>
      <c r="E862" s="13"/>
      <c r="F862" s="13"/>
      <c r="G862" s="2"/>
      <c r="H862" s="2"/>
      <c r="I862" s="13"/>
      <c r="J862" s="13"/>
      <c r="K862" s="13"/>
      <c r="L862" s="14"/>
      <c r="M862" s="4"/>
      <c r="N862" s="2"/>
      <c r="O862" s="4"/>
      <c r="P862" s="2"/>
      <c r="Q862" s="2"/>
      <c r="R862" s="4"/>
      <c r="S862" s="2"/>
      <c r="T862" s="2"/>
      <c r="U862" s="1"/>
      <c r="V862" s="2"/>
      <c r="W862" s="2"/>
      <c r="X862" s="2"/>
      <c r="Y862" s="2"/>
      <c r="Z862" s="2"/>
    </row>
    <row r="863" spans="1:26" ht="15.75" customHeight="1" x14ac:dyDescent="0.2">
      <c r="A863" s="12"/>
      <c r="B863" s="10"/>
      <c r="C863" s="11"/>
      <c r="D863" s="13"/>
      <c r="E863" s="13"/>
      <c r="F863" s="13"/>
      <c r="G863" s="2"/>
      <c r="H863" s="2"/>
      <c r="I863" s="13"/>
      <c r="J863" s="13"/>
      <c r="K863" s="13"/>
      <c r="L863" s="14"/>
      <c r="M863" s="4"/>
      <c r="N863" s="2"/>
      <c r="O863" s="4"/>
      <c r="P863" s="2"/>
      <c r="Q863" s="2"/>
      <c r="R863" s="4"/>
      <c r="S863" s="2"/>
      <c r="T863" s="2"/>
      <c r="U863" s="1"/>
      <c r="V863" s="2"/>
      <c r="W863" s="2"/>
      <c r="X863" s="2"/>
      <c r="Y863" s="2"/>
      <c r="Z863" s="2"/>
    </row>
    <row r="864" spans="1:26" ht="15.75" customHeight="1" x14ac:dyDescent="0.2">
      <c r="A864" s="12"/>
      <c r="B864" s="10"/>
      <c r="C864" s="11"/>
      <c r="D864" s="13"/>
      <c r="E864" s="13"/>
      <c r="F864" s="13"/>
      <c r="G864" s="2"/>
      <c r="H864" s="2"/>
      <c r="I864" s="13"/>
      <c r="J864" s="13"/>
      <c r="K864" s="13"/>
      <c r="L864" s="14"/>
      <c r="M864" s="4"/>
      <c r="N864" s="2"/>
      <c r="O864" s="4"/>
      <c r="P864" s="2"/>
      <c r="Q864" s="2"/>
      <c r="R864" s="4"/>
      <c r="S864" s="2"/>
      <c r="T864" s="2"/>
      <c r="U864" s="1"/>
      <c r="V864" s="2"/>
      <c r="W864" s="2"/>
      <c r="X864" s="2"/>
      <c r="Y864" s="2"/>
      <c r="Z864" s="2"/>
    </row>
    <row r="865" spans="1:26" ht="15.75" customHeight="1" x14ac:dyDescent="0.2">
      <c r="A865" s="12"/>
      <c r="B865" s="10"/>
      <c r="C865" s="11"/>
      <c r="D865" s="13"/>
      <c r="E865" s="13"/>
      <c r="F865" s="13"/>
      <c r="G865" s="2"/>
      <c r="H865" s="2"/>
      <c r="I865" s="13"/>
      <c r="J865" s="13"/>
      <c r="K865" s="13"/>
      <c r="L865" s="14"/>
      <c r="M865" s="4"/>
      <c r="N865" s="2"/>
      <c r="O865" s="4"/>
      <c r="P865" s="2"/>
      <c r="Q865" s="2"/>
      <c r="R865" s="4"/>
      <c r="S865" s="2"/>
      <c r="T865" s="2"/>
      <c r="U865" s="1"/>
      <c r="V865" s="2"/>
      <c r="W865" s="2"/>
      <c r="X865" s="2"/>
      <c r="Y865" s="2"/>
      <c r="Z865" s="2"/>
    </row>
    <row r="866" spans="1:26" ht="15.75" customHeight="1" x14ac:dyDescent="0.2">
      <c r="A866" s="12"/>
      <c r="B866" s="10"/>
      <c r="C866" s="11"/>
      <c r="D866" s="13"/>
      <c r="E866" s="13"/>
      <c r="F866" s="13"/>
      <c r="G866" s="2"/>
      <c r="H866" s="2"/>
      <c r="I866" s="13"/>
      <c r="J866" s="13"/>
      <c r="K866" s="13"/>
      <c r="L866" s="14"/>
      <c r="M866" s="4"/>
      <c r="N866" s="2"/>
      <c r="O866" s="4"/>
      <c r="P866" s="2"/>
      <c r="Q866" s="2"/>
      <c r="R866" s="4"/>
      <c r="S866" s="2"/>
      <c r="T866" s="2"/>
      <c r="U866" s="1"/>
      <c r="V866" s="2"/>
      <c r="W866" s="2"/>
      <c r="X866" s="2"/>
      <c r="Y866" s="2"/>
      <c r="Z866" s="2"/>
    </row>
    <row r="867" spans="1:26" ht="15.75" customHeight="1" x14ac:dyDescent="0.2">
      <c r="A867" s="12"/>
      <c r="B867" s="10"/>
      <c r="C867" s="11"/>
      <c r="D867" s="13"/>
      <c r="E867" s="13"/>
      <c r="F867" s="13"/>
      <c r="G867" s="2"/>
      <c r="H867" s="2"/>
      <c r="I867" s="13"/>
      <c r="J867" s="13"/>
      <c r="K867" s="13"/>
      <c r="L867" s="14"/>
      <c r="M867" s="4"/>
      <c r="N867" s="2"/>
      <c r="O867" s="4"/>
      <c r="P867" s="2"/>
      <c r="Q867" s="2"/>
      <c r="R867" s="4"/>
      <c r="S867" s="2"/>
      <c r="T867" s="2"/>
      <c r="U867" s="1"/>
      <c r="V867" s="2"/>
      <c r="W867" s="2"/>
      <c r="X867" s="2"/>
      <c r="Y867" s="2"/>
      <c r="Z867" s="2"/>
    </row>
    <row r="868" spans="1:26" ht="15.75" customHeight="1" x14ac:dyDescent="0.2">
      <c r="A868" s="12"/>
      <c r="B868" s="10"/>
      <c r="C868" s="11"/>
      <c r="D868" s="13"/>
      <c r="E868" s="13"/>
      <c r="F868" s="13"/>
      <c r="G868" s="2"/>
      <c r="H868" s="2"/>
      <c r="I868" s="13"/>
      <c r="J868" s="13"/>
      <c r="K868" s="13"/>
      <c r="L868" s="14"/>
      <c r="M868" s="4"/>
      <c r="N868" s="2"/>
      <c r="O868" s="4"/>
      <c r="P868" s="2"/>
      <c r="Q868" s="2"/>
      <c r="R868" s="4"/>
      <c r="S868" s="2"/>
      <c r="T868" s="2"/>
      <c r="U868" s="1"/>
      <c r="V868" s="2"/>
      <c r="W868" s="2"/>
      <c r="X868" s="2"/>
      <c r="Y868" s="2"/>
      <c r="Z868" s="2"/>
    </row>
    <row r="869" spans="1:26" ht="15.75" customHeight="1" x14ac:dyDescent="0.2">
      <c r="A869" s="12"/>
      <c r="B869" s="10"/>
      <c r="C869" s="11"/>
      <c r="D869" s="13"/>
      <c r="E869" s="13"/>
      <c r="F869" s="13"/>
      <c r="G869" s="2"/>
      <c r="H869" s="2"/>
      <c r="I869" s="13"/>
      <c r="J869" s="13"/>
      <c r="K869" s="13"/>
      <c r="L869" s="14"/>
      <c r="M869" s="4"/>
      <c r="N869" s="2"/>
      <c r="O869" s="4"/>
      <c r="P869" s="2"/>
      <c r="Q869" s="2"/>
      <c r="R869" s="4"/>
      <c r="S869" s="2"/>
      <c r="T869" s="2"/>
      <c r="U869" s="1"/>
      <c r="V869" s="2"/>
      <c r="W869" s="2"/>
      <c r="X869" s="2"/>
      <c r="Y869" s="2"/>
      <c r="Z869" s="2"/>
    </row>
    <row r="870" spans="1:26" ht="15.75" customHeight="1" x14ac:dyDescent="0.2">
      <c r="A870" s="12"/>
      <c r="B870" s="10"/>
      <c r="C870" s="11"/>
      <c r="D870" s="13"/>
      <c r="E870" s="13"/>
      <c r="F870" s="13"/>
      <c r="G870" s="2"/>
      <c r="H870" s="2"/>
      <c r="I870" s="13"/>
      <c r="J870" s="13"/>
      <c r="K870" s="13"/>
      <c r="L870" s="14"/>
      <c r="M870" s="4"/>
      <c r="N870" s="2"/>
      <c r="O870" s="4"/>
      <c r="P870" s="2"/>
      <c r="Q870" s="2"/>
      <c r="R870" s="4"/>
      <c r="S870" s="2"/>
      <c r="T870" s="2"/>
      <c r="U870" s="1"/>
      <c r="V870" s="2"/>
      <c r="W870" s="2"/>
      <c r="X870" s="2"/>
      <c r="Y870" s="2"/>
      <c r="Z870" s="2"/>
    </row>
    <row r="871" spans="1:26" ht="15.75" customHeight="1" x14ac:dyDescent="0.2">
      <c r="A871" s="12"/>
      <c r="B871" s="10"/>
      <c r="C871" s="11"/>
      <c r="D871" s="13"/>
      <c r="E871" s="13"/>
      <c r="F871" s="13"/>
      <c r="G871" s="2"/>
      <c r="H871" s="2"/>
      <c r="I871" s="13"/>
      <c r="J871" s="13"/>
      <c r="K871" s="13"/>
      <c r="L871" s="14"/>
      <c r="M871" s="4"/>
      <c r="N871" s="2"/>
      <c r="O871" s="4"/>
      <c r="P871" s="2"/>
      <c r="Q871" s="2"/>
      <c r="R871" s="4"/>
      <c r="S871" s="2"/>
      <c r="T871" s="2"/>
      <c r="U871" s="1"/>
      <c r="V871" s="2"/>
      <c r="W871" s="2"/>
      <c r="X871" s="2"/>
      <c r="Y871" s="2"/>
      <c r="Z871" s="2"/>
    </row>
    <row r="872" spans="1:26" ht="15.75" customHeight="1" x14ac:dyDescent="0.2">
      <c r="A872" s="12"/>
      <c r="B872" s="10"/>
      <c r="C872" s="11"/>
      <c r="D872" s="13"/>
      <c r="E872" s="13"/>
      <c r="F872" s="13"/>
      <c r="G872" s="2"/>
      <c r="H872" s="2"/>
      <c r="I872" s="13"/>
      <c r="J872" s="13"/>
      <c r="K872" s="13"/>
      <c r="L872" s="14"/>
      <c r="M872" s="4"/>
      <c r="N872" s="2"/>
      <c r="O872" s="4"/>
      <c r="P872" s="2"/>
      <c r="Q872" s="2"/>
      <c r="R872" s="4"/>
      <c r="S872" s="2"/>
      <c r="T872" s="2"/>
      <c r="U872" s="1"/>
      <c r="V872" s="2"/>
      <c r="W872" s="2"/>
      <c r="X872" s="2"/>
      <c r="Y872" s="2"/>
      <c r="Z872" s="2"/>
    </row>
    <row r="873" spans="1:26" ht="15.75" customHeight="1" x14ac:dyDescent="0.2">
      <c r="A873" s="12"/>
      <c r="B873" s="10"/>
      <c r="C873" s="11"/>
      <c r="D873" s="13"/>
      <c r="E873" s="13"/>
      <c r="F873" s="13"/>
      <c r="G873" s="2"/>
      <c r="H873" s="2"/>
      <c r="I873" s="13"/>
      <c r="J873" s="13"/>
      <c r="K873" s="13"/>
      <c r="L873" s="14"/>
      <c r="M873" s="4"/>
      <c r="N873" s="2"/>
      <c r="O873" s="4"/>
      <c r="P873" s="2"/>
      <c r="Q873" s="2"/>
      <c r="R873" s="4"/>
      <c r="S873" s="2"/>
      <c r="T873" s="2"/>
      <c r="U873" s="1"/>
      <c r="V873" s="2"/>
      <c r="W873" s="2"/>
      <c r="X873" s="2"/>
      <c r="Y873" s="2"/>
      <c r="Z873" s="2"/>
    </row>
    <row r="874" spans="1:26" ht="15.75" customHeight="1" x14ac:dyDescent="0.2">
      <c r="A874" s="12"/>
      <c r="B874" s="10"/>
      <c r="C874" s="11"/>
      <c r="D874" s="13"/>
      <c r="E874" s="13"/>
      <c r="F874" s="13"/>
      <c r="G874" s="2"/>
      <c r="H874" s="2"/>
      <c r="I874" s="13"/>
      <c r="J874" s="13"/>
      <c r="K874" s="13"/>
      <c r="L874" s="14"/>
      <c r="M874" s="4"/>
      <c r="N874" s="2"/>
      <c r="O874" s="4"/>
      <c r="P874" s="2"/>
      <c r="Q874" s="2"/>
      <c r="R874" s="4"/>
      <c r="S874" s="2"/>
      <c r="T874" s="2"/>
      <c r="U874" s="1"/>
      <c r="V874" s="2"/>
      <c r="W874" s="2"/>
      <c r="X874" s="2"/>
      <c r="Y874" s="2"/>
      <c r="Z874" s="2"/>
    </row>
    <row r="875" spans="1:26" ht="15.75" customHeight="1" x14ac:dyDescent="0.2">
      <c r="A875" s="12"/>
      <c r="B875" s="10"/>
      <c r="C875" s="11"/>
      <c r="D875" s="13"/>
      <c r="E875" s="13"/>
      <c r="F875" s="13"/>
      <c r="G875" s="2"/>
      <c r="H875" s="2"/>
      <c r="I875" s="13"/>
      <c r="J875" s="13"/>
      <c r="K875" s="13"/>
      <c r="L875" s="14"/>
      <c r="M875" s="4"/>
      <c r="N875" s="2"/>
      <c r="O875" s="4"/>
      <c r="P875" s="2"/>
      <c r="Q875" s="2"/>
      <c r="R875" s="4"/>
      <c r="S875" s="2"/>
      <c r="T875" s="2"/>
      <c r="U875" s="1"/>
      <c r="V875" s="2"/>
      <c r="W875" s="2"/>
      <c r="X875" s="2"/>
      <c r="Y875" s="2"/>
      <c r="Z875" s="2"/>
    </row>
    <row r="876" spans="1:26" ht="15.75" customHeight="1" x14ac:dyDescent="0.2">
      <c r="A876" s="12"/>
      <c r="B876" s="10"/>
      <c r="C876" s="11"/>
      <c r="D876" s="13"/>
      <c r="E876" s="13"/>
      <c r="F876" s="13"/>
      <c r="G876" s="2"/>
      <c r="H876" s="2"/>
      <c r="I876" s="13"/>
      <c r="J876" s="13"/>
      <c r="K876" s="13"/>
      <c r="L876" s="14"/>
      <c r="M876" s="4"/>
      <c r="N876" s="2"/>
      <c r="O876" s="4"/>
      <c r="P876" s="2"/>
      <c r="Q876" s="2"/>
      <c r="R876" s="4"/>
      <c r="S876" s="2"/>
      <c r="T876" s="2"/>
      <c r="U876" s="1"/>
      <c r="V876" s="2"/>
      <c r="W876" s="2"/>
      <c r="X876" s="2"/>
      <c r="Y876" s="2"/>
      <c r="Z876" s="2"/>
    </row>
    <row r="877" spans="1:26" ht="15.75" customHeight="1" x14ac:dyDescent="0.2">
      <c r="A877" s="12"/>
      <c r="B877" s="10"/>
      <c r="C877" s="11"/>
      <c r="D877" s="13"/>
      <c r="E877" s="13"/>
      <c r="F877" s="13"/>
      <c r="G877" s="2"/>
      <c r="H877" s="2"/>
      <c r="I877" s="13"/>
      <c r="J877" s="13"/>
      <c r="K877" s="13"/>
      <c r="L877" s="14"/>
      <c r="M877" s="4"/>
      <c r="N877" s="2"/>
      <c r="O877" s="4"/>
      <c r="P877" s="2"/>
      <c r="Q877" s="2"/>
      <c r="R877" s="4"/>
      <c r="S877" s="2"/>
      <c r="T877" s="2"/>
      <c r="U877" s="1"/>
      <c r="V877" s="2"/>
      <c r="W877" s="2"/>
      <c r="X877" s="2"/>
      <c r="Y877" s="2"/>
      <c r="Z877" s="2"/>
    </row>
    <row r="878" spans="1:26" ht="15.75" customHeight="1" x14ac:dyDescent="0.2">
      <c r="A878" s="12"/>
      <c r="B878" s="10"/>
      <c r="C878" s="11"/>
      <c r="D878" s="13"/>
      <c r="E878" s="13"/>
      <c r="F878" s="13"/>
      <c r="G878" s="2"/>
      <c r="H878" s="2"/>
      <c r="I878" s="13"/>
      <c r="J878" s="13"/>
      <c r="K878" s="13"/>
      <c r="L878" s="14"/>
      <c r="M878" s="4"/>
      <c r="N878" s="2"/>
      <c r="O878" s="4"/>
      <c r="P878" s="2"/>
      <c r="Q878" s="2"/>
      <c r="R878" s="4"/>
      <c r="S878" s="2"/>
      <c r="T878" s="2"/>
      <c r="U878" s="1"/>
      <c r="V878" s="2"/>
      <c r="W878" s="2"/>
      <c r="X878" s="2"/>
      <c r="Y878" s="2"/>
      <c r="Z878" s="2"/>
    </row>
    <row r="879" spans="1:26" ht="15.75" customHeight="1" x14ac:dyDescent="0.2">
      <c r="A879" s="12"/>
      <c r="B879" s="10"/>
      <c r="C879" s="11"/>
      <c r="D879" s="13"/>
      <c r="E879" s="13"/>
      <c r="F879" s="13"/>
      <c r="G879" s="2"/>
      <c r="H879" s="2"/>
      <c r="I879" s="13"/>
      <c r="J879" s="13"/>
      <c r="K879" s="13"/>
      <c r="L879" s="14"/>
      <c r="M879" s="4"/>
      <c r="N879" s="2"/>
      <c r="O879" s="4"/>
      <c r="P879" s="2"/>
      <c r="Q879" s="2"/>
      <c r="R879" s="4"/>
      <c r="S879" s="2"/>
      <c r="T879" s="2"/>
      <c r="U879" s="1"/>
      <c r="V879" s="2"/>
      <c r="W879" s="2"/>
      <c r="X879" s="2"/>
      <c r="Y879" s="2"/>
      <c r="Z879" s="2"/>
    </row>
    <row r="880" spans="1:26" ht="15.75" customHeight="1" x14ac:dyDescent="0.2">
      <c r="A880" s="12"/>
      <c r="B880" s="10"/>
      <c r="C880" s="11"/>
      <c r="D880" s="13"/>
      <c r="E880" s="13"/>
      <c r="F880" s="13"/>
      <c r="G880" s="2"/>
      <c r="H880" s="2"/>
      <c r="I880" s="13"/>
      <c r="J880" s="13"/>
      <c r="K880" s="13"/>
      <c r="L880" s="14"/>
      <c r="M880" s="4"/>
      <c r="N880" s="2"/>
      <c r="O880" s="4"/>
      <c r="P880" s="2"/>
      <c r="Q880" s="2"/>
      <c r="R880" s="4"/>
      <c r="S880" s="2"/>
      <c r="T880" s="2"/>
      <c r="U880" s="1"/>
      <c r="V880" s="2"/>
      <c r="W880" s="2"/>
      <c r="X880" s="2"/>
      <c r="Y880" s="2"/>
      <c r="Z880" s="2"/>
    </row>
    <row r="881" spans="1:26" ht="15.75" customHeight="1" x14ac:dyDescent="0.2">
      <c r="A881" s="12"/>
      <c r="B881" s="10"/>
      <c r="C881" s="11"/>
      <c r="D881" s="13"/>
      <c r="E881" s="13"/>
      <c r="F881" s="13"/>
      <c r="G881" s="2"/>
      <c r="H881" s="2"/>
      <c r="I881" s="13"/>
      <c r="J881" s="13"/>
      <c r="K881" s="13"/>
      <c r="L881" s="14"/>
      <c r="M881" s="4"/>
      <c r="N881" s="2"/>
      <c r="O881" s="4"/>
      <c r="P881" s="2"/>
      <c r="Q881" s="2"/>
      <c r="R881" s="4"/>
      <c r="S881" s="2"/>
      <c r="T881" s="2"/>
      <c r="U881" s="1"/>
      <c r="V881" s="2"/>
      <c r="W881" s="2"/>
      <c r="X881" s="2"/>
      <c r="Y881" s="2"/>
      <c r="Z881" s="2"/>
    </row>
    <row r="882" spans="1:26" ht="15.75" customHeight="1" x14ac:dyDescent="0.2">
      <c r="A882" s="12"/>
      <c r="B882" s="10"/>
      <c r="C882" s="11"/>
      <c r="D882" s="13"/>
      <c r="E882" s="13"/>
      <c r="F882" s="13"/>
      <c r="G882" s="2"/>
      <c r="H882" s="2"/>
      <c r="I882" s="13"/>
      <c r="J882" s="13"/>
      <c r="K882" s="13"/>
      <c r="L882" s="14"/>
      <c r="M882" s="4"/>
      <c r="N882" s="2"/>
      <c r="O882" s="4"/>
      <c r="P882" s="2"/>
      <c r="Q882" s="2"/>
      <c r="R882" s="4"/>
      <c r="S882" s="2"/>
      <c r="T882" s="2"/>
      <c r="U882" s="1"/>
      <c r="V882" s="2"/>
      <c r="W882" s="2"/>
      <c r="X882" s="2"/>
      <c r="Y882" s="2"/>
      <c r="Z882" s="2"/>
    </row>
    <row r="883" spans="1:26" ht="15.75" customHeight="1" x14ac:dyDescent="0.2">
      <c r="A883" s="12"/>
      <c r="B883" s="10"/>
      <c r="C883" s="11"/>
      <c r="D883" s="13"/>
      <c r="E883" s="13"/>
      <c r="F883" s="13"/>
      <c r="G883" s="2"/>
      <c r="H883" s="2"/>
      <c r="I883" s="13"/>
      <c r="J883" s="13"/>
      <c r="K883" s="13"/>
      <c r="L883" s="14"/>
      <c r="M883" s="4"/>
      <c r="N883" s="2"/>
      <c r="O883" s="4"/>
      <c r="P883" s="2"/>
      <c r="Q883" s="2"/>
      <c r="R883" s="4"/>
      <c r="S883" s="2"/>
      <c r="T883" s="2"/>
      <c r="U883" s="1"/>
      <c r="V883" s="2"/>
      <c r="W883" s="2"/>
      <c r="X883" s="2"/>
      <c r="Y883" s="2"/>
      <c r="Z883" s="2"/>
    </row>
    <row r="884" spans="1:26" ht="15.75" customHeight="1" x14ac:dyDescent="0.2">
      <c r="A884" s="12"/>
      <c r="B884" s="10"/>
      <c r="C884" s="11"/>
      <c r="D884" s="13"/>
      <c r="E884" s="13"/>
      <c r="F884" s="13"/>
      <c r="G884" s="2"/>
      <c r="H884" s="2"/>
      <c r="I884" s="13"/>
      <c r="J884" s="13"/>
      <c r="K884" s="13"/>
      <c r="L884" s="14"/>
      <c r="M884" s="4"/>
      <c r="N884" s="2"/>
      <c r="O884" s="4"/>
      <c r="P884" s="2"/>
      <c r="Q884" s="2"/>
      <c r="R884" s="4"/>
      <c r="S884" s="2"/>
      <c r="T884" s="2"/>
      <c r="U884" s="1"/>
      <c r="V884" s="2"/>
      <c r="W884" s="2"/>
      <c r="X884" s="2"/>
      <c r="Y884" s="2"/>
      <c r="Z884" s="2"/>
    </row>
    <row r="885" spans="1:26" ht="15.75" customHeight="1" x14ac:dyDescent="0.2">
      <c r="A885" s="12"/>
      <c r="B885" s="10"/>
      <c r="C885" s="11"/>
      <c r="D885" s="13"/>
      <c r="E885" s="13"/>
      <c r="F885" s="13"/>
      <c r="G885" s="2"/>
      <c r="H885" s="2"/>
      <c r="I885" s="13"/>
      <c r="J885" s="13"/>
      <c r="K885" s="13"/>
      <c r="L885" s="14"/>
      <c r="M885" s="4"/>
      <c r="N885" s="2"/>
      <c r="O885" s="4"/>
      <c r="P885" s="2"/>
      <c r="Q885" s="2"/>
      <c r="R885" s="4"/>
      <c r="S885" s="2"/>
      <c r="T885" s="2"/>
      <c r="U885" s="1"/>
      <c r="V885" s="2"/>
      <c r="W885" s="2"/>
      <c r="X885" s="2"/>
      <c r="Y885" s="2"/>
      <c r="Z885" s="2"/>
    </row>
    <row r="886" spans="1:26" ht="15.75" customHeight="1" x14ac:dyDescent="0.2">
      <c r="A886" s="12"/>
      <c r="B886" s="10"/>
      <c r="C886" s="11"/>
      <c r="D886" s="13"/>
      <c r="E886" s="13"/>
      <c r="F886" s="13"/>
      <c r="G886" s="2"/>
      <c r="H886" s="2"/>
      <c r="I886" s="13"/>
      <c r="J886" s="13"/>
      <c r="K886" s="13"/>
      <c r="L886" s="14"/>
      <c r="M886" s="4"/>
      <c r="N886" s="2"/>
      <c r="O886" s="4"/>
      <c r="P886" s="2"/>
      <c r="Q886" s="2"/>
      <c r="R886" s="4"/>
      <c r="S886" s="2"/>
      <c r="T886" s="2"/>
      <c r="U886" s="1"/>
      <c r="V886" s="2"/>
      <c r="W886" s="2"/>
      <c r="X886" s="2"/>
      <c r="Y886" s="2"/>
      <c r="Z886" s="2"/>
    </row>
    <row r="887" spans="1:26" ht="15.75" customHeight="1" x14ac:dyDescent="0.2">
      <c r="A887" s="12"/>
      <c r="B887" s="10"/>
      <c r="C887" s="11"/>
      <c r="D887" s="13"/>
      <c r="E887" s="13"/>
      <c r="F887" s="13"/>
      <c r="G887" s="2"/>
      <c r="H887" s="2"/>
      <c r="I887" s="13"/>
      <c r="J887" s="13"/>
      <c r="K887" s="13"/>
      <c r="L887" s="14"/>
      <c r="M887" s="4"/>
      <c r="N887" s="2"/>
      <c r="O887" s="4"/>
      <c r="P887" s="2"/>
      <c r="Q887" s="2"/>
      <c r="R887" s="4"/>
      <c r="S887" s="2"/>
      <c r="T887" s="2"/>
      <c r="U887" s="1"/>
      <c r="V887" s="2"/>
      <c r="W887" s="2"/>
      <c r="X887" s="2"/>
      <c r="Y887" s="2"/>
      <c r="Z887" s="2"/>
    </row>
    <row r="888" spans="1:26" ht="15.75" customHeight="1" x14ac:dyDescent="0.2">
      <c r="A888" s="12"/>
      <c r="B888" s="10"/>
      <c r="C888" s="11"/>
      <c r="D888" s="13"/>
      <c r="E888" s="13"/>
      <c r="F888" s="13"/>
      <c r="G888" s="2"/>
      <c r="H888" s="2"/>
      <c r="I888" s="13"/>
      <c r="J888" s="13"/>
      <c r="K888" s="13"/>
      <c r="L888" s="14"/>
      <c r="M888" s="4"/>
      <c r="N888" s="2"/>
      <c r="O888" s="4"/>
      <c r="P888" s="2"/>
      <c r="Q888" s="2"/>
      <c r="R888" s="4"/>
      <c r="S888" s="2"/>
      <c r="T888" s="2"/>
      <c r="U888" s="1"/>
      <c r="V888" s="2"/>
      <c r="W888" s="2"/>
      <c r="X888" s="2"/>
      <c r="Y888" s="2"/>
      <c r="Z888" s="2"/>
    </row>
    <row r="889" spans="1:26" ht="15.75" customHeight="1" x14ac:dyDescent="0.2">
      <c r="A889" s="12"/>
      <c r="B889" s="10"/>
      <c r="C889" s="11"/>
      <c r="D889" s="13"/>
      <c r="E889" s="13"/>
      <c r="F889" s="13"/>
      <c r="G889" s="2"/>
      <c r="H889" s="2"/>
      <c r="I889" s="13"/>
      <c r="J889" s="13"/>
      <c r="K889" s="13"/>
      <c r="L889" s="14"/>
      <c r="M889" s="4"/>
      <c r="N889" s="2"/>
      <c r="O889" s="4"/>
      <c r="P889" s="2"/>
      <c r="Q889" s="2"/>
      <c r="R889" s="4"/>
      <c r="S889" s="2"/>
      <c r="T889" s="2"/>
      <c r="U889" s="1"/>
      <c r="V889" s="2"/>
      <c r="W889" s="2"/>
      <c r="X889" s="2"/>
      <c r="Y889" s="2"/>
      <c r="Z889" s="2"/>
    </row>
    <row r="890" spans="1:26" ht="15.75" customHeight="1" x14ac:dyDescent="0.2">
      <c r="A890" s="12"/>
      <c r="B890" s="10"/>
      <c r="C890" s="11"/>
      <c r="D890" s="13"/>
      <c r="E890" s="13"/>
      <c r="F890" s="13"/>
      <c r="G890" s="2"/>
      <c r="H890" s="2"/>
      <c r="I890" s="13"/>
      <c r="J890" s="13"/>
      <c r="K890" s="13"/>
      <c r="L890" s="14"/>
      <c r="M890" s="4"/>
      <c r="N890" s="2"/>
      <c r="O890" s="4"/>
      <c r="P890" s="2"/>
      <c r="Q890" s="2"/>
      <c r="R890" s="4"/>
      <c r="S890" s="2"/>
      <c r="T890" s="2"/>
      <c r="U890" s="1"/>
      <c r="V890" s="2"/>
      <c r="W890" s="2"/>
      <c r="X890" s="2"/>
      <c r="Y890" s="2"/>
      <c r="Z890" s="2"/>
    </row>
    <row r="891" spans="1:26" ht="15.75" customHeight="1" x14ac:dyDescent="0.2">
      <c r="A891" s="12"/>
      <c r="B891" s="10"/>
      <c r="C891" s="11"/>
      <c r="D891" s="13"/>
      <c r="E891" s="13"/>
      <c r="F891" s="13"/>
      <c r="G891" s="2"/>
      <c r="H891" s="2"/>
      <c r="I891" s="13"/>
      <c r="J891" s="13"/>
      <c r="K891" s="13"/>
      <c r="L891" s="14"/>
      <c r="M891" s="4"/>
      <c r="N891" s="2"/>
      <c r="O891" s="4"/>
      <c r="P891" s="2"/>
      <c r="Q891" s="2"/>
      <c r="R891" s="4"/>
      <c r="S891" s="2"/>
      <c r="T891" s="2"/>
      <c r="U891" s="1"/>
      <c r="V891" s="2"/>
      <c r="W891" s="2"/>
      <c r="X891" s="2"/>
      <c r="Y891" s="2"/>
      <c r="Z891" s="2"/>
    </row>
    <row r="892" spans="1:26" ht="15.75" customHeight="1" x14ac:dyDescent="0.2">
      <c r="A892" s="12"/>
      <c r="B892" s="10"/>
      <c r="C892" s="11"/>
      <c r="D892" s="13"/>
      <c r="E892" s="13"/>
      <c r="F892" s="13"/>
      <c r="G892" s="2"/>
      <c r="H892" s="2"/>
      <c r="I892" s="13"/>
      <c r="J892" s="13"/>
      <c r="K892" s="13"/>
      <c r="L892" s="14"/>
      <c r="M892" s="4"/>
      <c r="N892" s="2"/>
      <c r="O892" s="4"/>
      <c r="P892" s="2"/>
      <c r="Q892" s="2"/>
      <c r="R892" s="4"/>
      <c r="S892" s="2"/>
      <c r="T892" s="2"/>
      <c r="U892" s="1"/>
      <c r="V892" s="2"/>
      <c r="W892" s="2"/>
      <c r="X892" s="2"/>
      <c r="Y892" s="2"/>
      <c r="Z892" s="2"/>
    </row>
    <row r="893" spans="1:26" ht="15.75" customHeight="1" x14ac:dyDescent="0.2">
      <c r="A893" s="12"/>
      <c r="B893" s="10"/>
      <c r="C893" s="11"/>
      <c r="D893" s="13"/>
      <c r="E893" s="13"/>
      <c r="F893" s="13"/>
      <c r="G893" s="2"/>
      <c r="H893" s="2"/>
      <c r="I893" s="13"/>
      <c r="J893" s="13"/>
      <c r="K893" s="13"/>
      <c r="L893" s="14"/>
      <c r="M893" s="4"/>
      <c r="N893" s="2"/>
      <c r="O893" s="4"/>
      <c r="P893" s="2"/>
      <c r="Q893" s="2"/>
      <c r="R893" s="4"/>
      <c r="S893" s="2"/>
      <c r="T893" s="2"/>
      <c r="U893" s="1"/>
      <c r="V893" s="2"/>
      <c r="W893" s="2"/>
      <c r="X893" s="2"/>
      <c r="Y893" s="2"/>
      <c r="Z893" s="2"/>
    </row>
    <row r="894" spans="1:26" ht="15.75" customHeight="1" x14ac:dyDescent="0.2">
      <c r="A894" s="12"/>
      <c r="B894" s="10"/>
      <c r="C894" s="11"/>
      <c r="D894" s="13"/>
      <c r="E894" s="13"/>
      <c r="F894" s="13"/>
      <c r="G894" s="2"/>
      <c r="H894" s="2"/>
      <c r="I894" s="13"/>
      <c r="J894" s="13"/>
      <c r="K894" s="13"/>
      <c r="L894" s="14"/>
      <c r="M894" s="4"/>
      <c r="N894" s="2"/>
      <c r="O894" s="4"/>
      <c r="P894" s="2"/>
      <c r="Q894" s="2"/>
      <c r="R894" s="4"/>
      <c r="S894" s="2"/>
      <c r="T894" s="2"/>
      <c r="U894" s="1"/>
      <c r="V894" s="2"/>
      <c r="W894" s="2"/>
      <c r="X894" s="2"/>
      <c r="Y894" s="2"/>
      <c r="Z894" s="2"/>
    </row>
    <row r="895" spans="1:26" ht="15.75" customHeight="1" x14ac:dyDescent="0.2">
      <c r="A895" s="12"/>
      <c r="B895" s="10"/>
      <c r="C895" s="11"/>
      <c r="D895" s="13"/>
      <c r="E895" s="13"/>
      <c r="F895" s="13"/>
      <c r="G895" s="2"/>
      <c r="H895" s="2"/>
      <c r="I895" s="13"/>
      <c r="J895" s="13"/>
      <c r="K895" s="13"/>
      <c r="L895" s="14"/>
      <c r="M895" s="4"/>
      <c r="N895" s="2"/>
      <c r="O895" s="4"/>
      <c r="P895" s="2"/>
      <c r="Q895" s="2"/>
      <c r="R895" s="4"/>
      <c r="S895" s="2"/>
      <c r="T895" s="2"/>
      <c r="U895" s="1"/>
      <c r="V895" s="2"/>
      <c r="W895" s="2"/>
      <c r="X895" s="2"/>
      <c r="Y895" s="2"/>
      <c r="Z895" s="2"/>
    </row>
    <row r="896" spans="1:26" ht="15.75" customHeight="1" x14ac:dyDescent="0.2">
      <c r="A896" s="12"/>
      <c r="B896" s="10"/>
      <c r="C896" s="11"/>
      <c r="D896" s="13"/>
      <c r="E896" s="13"/>
      <c r="F896" s="13"/>
      <c r="G896" s="2"/>
      <c r="H896" s="2"/>
      <c r="I896" s="13"/>
      <c r="J896" s="13"/>
      <c r="K896" s="13"/>
      <c r="L896" s="14"/>
      <c r="M896" s="4"/>
      <c r="N896" s="2"/>
      <c r="O896" s="4"/>
      <c r="P896" s="2"/>
      <c r="Q896" s="2"/>
      <c r="R896" s="4"/>
      <c r="S896" s="2"/>
      <c r="T896" s="2"/>
      <c r="U896" s="1"/>
      <c r="V896" s="2"/>
      <c r="W896" s="2"/>
      <c r="X896" s="2"/>
      <c r="Y896" s="2"/>
      <c r="Z896" s="2"/>
    </row>
    <row r="897" spans="1:26" ht="15.75" customHeight="1" x14ac:dyDescent="0.2">
      <c r="A897" s="12"/>
      <c r="B897" s="10"/>
      <c r="C897" s="11"/>
      <c r="D897" s="13"/>
      <c r="E897" s="13"/>
      <c r="F897" s="13"/>
      <c r="G897" s="2"/>
      <c r="H897" s="2"/>
      <c r="I897" s="13"/>
      <c r="J897" s="13"/>
      <c r="K897" s="13"/>
      <c r="L897" s="14"/>
      <c r="M897" s="4"/>
      <c r="N897" s="2"/>
      <c r="O897" s="4"/>
      <c r="P897" s="2"/>
      <c r="Q897" s="2"/>
      <c r="R897" s="4"/>
      <c r="S897" s="2"/>
      <c r="T897" s="2"/>
      <c r="U897" s="1"/>
      <c r="V897" s="2"/>
      <c r="W897" s="2"/>
      <c r="X897" s="2"/>
      <c r="Y897" s="2"/>
      <c r="Z897" s="2"/>
    </row>
    <row r="898" spans="1:26" ht="15.75" customHeight="1" x14ac:dyDescent="0.2">
      <c r="A898" s="12"/>
      <c r="B898" s="10"/>
      <c r="C898" s="11"/>
      <c r="D898" s="13"/>
      <c r="E898" s="13"/>
      <c r="F898" s="13"/>
      <c r="G898" s="2"/>
      <c r="H898" s="2"/>
      <c r="I898" s="13"/>
      <c r="J898" s="13"/>
      <c r="K898" s="13"/>
      <c r="L898" s="14"/>
      <c r="M898" s="4"/>
      <c r="N898" s="2"/>
      <c r="O898" s="4"/>
      <c r="P898" s="2"/>
      <c r="Q898" s="2"/>
      <c r="R898" s="4"/>
      <c r="S898" s="2"/>
      <c r="T898" s="2"/>
      <c r="U898" s="1"/>
      <c r="V898" s="2"/>
      <c r="W898" s="2"/>
      <c r="X898" s="2"/>
      <c r="Y898" s="2"/>
      <c r="Z898" s="2"/>
    </row>
    <row r="899" spans="1:26" ht="15.75" customHeight="1" x14ac:dyDescent="0.2">
      <c r="A899" s="12"/>
      <c r="B899" s="10"/>
      <c r="C899" s="11"/>
      <c r="D899" s="13"/>
      <c r="E899" s="13"/>
      <c r="F899" s="13"/>
      <c r="G899" s="2"/>
      <c r="H899" s="2"/>
      <c r="I899" s="13"/>
      <c r="J899" s="13"/>
      <c r="K899" s="13"/>
      <c r="L899" s="14"/>
      <c r="M899" s="4"/>
      <c r="N899" s="2"/>
      <c r="O899" s="4"/>
      <c r="P899" s="2"/>
      <c r="Q899" s="2"/>
      <c r="R899" s="4"/>
      <c r="S899" s="2"/>
      <c r="T899" s="2"/>
      <c r="U899" s="1"/>
      <c r="V899" s="2"/>
      <c r="W899" s="2"/>
      <c r="X899" s="2"/>
      <c r="Y899" s="2"/>
      <c r="Z899" s="2"/>
    </row>
    <row r="900" spans="1:26" ht="15.75" customHeight="1" x14ac:dyDescent="0.2">
      <c r="A900" s="12"/>
      <c r="B900" s="10"/>
      <c r="C900" s="11"/>
      <c r="D900" s="13"/>
      <c r="E900" s="13"/>
      <c r="F900" s="13"/>
      <c r="G900" s="2"/>
      <c r="H900" s="2"/>
      <c r="I900" s="13"/>
      <c r="J900" s="13"/>
      <c r="K900" s="13"/>
      <c r="L900" s="14"/>
      <c r="M900" s="4"/>
      <c r="N900" s="2"/>
      <c r="O900" s="4"/>
      <c r="P900" s="2"/>
      <c r="Q900" s="2"/>
      <c r="R900" s="4"/>
      <c r="S900" s="2"/>
      <c r="T900" s="2"/>
      <c r="U900" s="1"/>
      <c r="V900" s="2"/>
      <c r="W900" s="2"/>
      <c r="X900" s="2"/>
      <c r="Y900" s="2"/>
      <c r="Z900" s="2"/>
    </row>
    <row r="901" spans="1:26" ht="15.75" customHeight="1" x14ac:dyDescent="0.2">
      <c r="A901" s="12"/>
      <c r="B901" s="10"/>
      <c r="C901" s="11"/>
      <c r="D901" s="13"/>
      <c r="E901" s="13"/>
      <c r="F901" s="13"/>
      <c r="G901" s="2"/>
      <c r="H901" s="2"/>
      <c r="I901" s="13"/>
      <c r="J901" s="13"/>
      <c r="K901" s="13"/>
      <c r="L901" s="14"/>
      <c r="M901" s="4"/>
      <c r="N901" s="2"/>
      <c r="O901" s="4"/>
      <c r="P901" s="2"/>
      <c r="Q901" s="2"/>
      <c r="R901" s="4"/>
      <c r="S901" s="2"/>
      <c r="T901" s="2"/>
      <c r="U901" s="1"/>
      <c r="V901" s="2"/>
      <c r="W901" s="2"/>
      <c r="X901" s="2"/>
      <c r="Y901" s="2"/>
      <c r="Z901" s="2"/>
    </row>
    <row r="902" spans="1:26" ht="15.75" customHeight="1" x14ac:dyDescent="0.2">
      <c r="A902" s="12"/>
      <c r="B902" s="10"/>
      <c r="C902" s="11"/>
      <c r="D902" s="13"/>
      <c r="E902" s="13"/>
      <c r="F902" s="13"/>
      <c r="G902" s="2"/>
      <c r="H902" s="2"/>
      <c r="I902" s="13"/>
      <c r="J902" s="13"/>
      <c r="K902" s="13"/>
      <c r="L902" s="14"/>
      <c r="M902" s="4"/>
      <c r="N902" s="2"/>
      <c r="O902" s="4"/>
      <c r="P902" s="2"/>
      <c r="Q902" s="2"/>
      <c r="R902" s="4"/>
      <c r="S902" s="2"/>
      <c r="T902" s="2"/>
      <c r="U902" s="1"/>
      <c r="V902" s="2"/>
      <c r="W902" s="2"/>
      <c r="X902" s="2"/>
      <c r="Y902" s="2"/>
      <c r="Z902" s="2"/>
    </row>
    <row r="903" spans="1:26" ht="15.75" customHeight="1" x14ac:dyDescent="0.2">
      <c r="A903" s="12"/>
      <c r="B903" s="10"/>
      <c r="C903" s="11"/>
      <c r="D903" s="13"/>
      <c r="E903" s="13"/>
      <c r="F903" s="13"/>
      <c r="G903" s="2"/>
      <c r="H903" s="2"/>
      <c r="I903" s="13"/>
      <c r="J903" s="13"/>
      <c r="K903" s="13"/>
      <c r="L903" s="14"/>
      <c r="M903" s="4"/>
      <c r="N903" s="2"/>
      <c r="O903" s="4"/>
      <c r="P903" s="2"/>
      <c r="Q903" s="2"/>
      <c r="R903" s="4"/>
      <c r="S903" s="2"/>
      <c r="T903" s="2"/>
      <c r="U903" s="1"/>
      <c r="V903" s="2"/>
      <c r="W903" s="2"/>
      <c r="X903" s="2"/>
      <c r="Y903" s="2"/>
      <c r="Z903" s="2"/>
    </row>
    <row r="904" spans="1:26" ht="15.75" customHeight="1" x14ac:dyDescent="0.2">
      <c r="A904" s="12"/>
      <c r="B904" s="10"/>
      <c r="C904" s="11"/>
      <c r="D904" s="13"/>
      <c r="E904" s="13"/>
      <c r="F904" s="13"/>
      <c r="G904" s="2"/>
      <c r="H904" s="2"/>
      <c r="I904" s="13"/>
      <c r="J904" s="13"/>
      <c r="K904" s="13"/>
      <c r="L904" s="14"/>
      <c r="M904" s="4"/>
      <c r="N904" s="2"/>
      <c r="O904" s="4"/>
      <c r="P904" s="2"/>
      <c r="Q904" s="2"/>
      <c r="R904" s="4"/>
      <c r="S904" s="2"/>
      <c r="T904" s="2"/>
      <c r="U904" s="1"/>
      <c r="V904" s="2"/>
      <c r="W904" s="2"/>
      <c r="X904" s="2"/>
      <c r="Y904" s="2"/>
      <c r="Z904" s="2"/>
    </row>
    <row r="905" spans="1:26" ht="15.75" customHeight="1" x14ac:dyDescent="0.2">
      <c r="A905" s="12"/>
      <c r="B905" s="10"/>
      <c r="C905" s="11"/>
      <c r="D905" s="13"/>
      <c r="E905" s="13"/>
      <c r="F905" s="13"/>
      <c r="G905" s="2"/>
      <c r="H905" s="2"/>
      <c r="I905" s="13"/>
      <c r="J905" s="13"/>
      <c r="K905" s="13"/>
      <c r="L905" s="14"/>
      <c r="M905" s="4"/>
      <c r="N905" s="2"/>
      <c r="O905" s="4"/>
      <c r="P905" s="2"/>
      <c r="Q905" s="2"/>
      <c r="R905" s="4"/>
      <c r="S905" s="2"/>
      <c r="T905" s="2"/>
      <c r="U905" s="1"/>
      <c r="V905" s="2"/>
      <c r="W905" s="2"/>
      <c r="X905" s="2"/>
      <c r="Y905" s="2"/>
      <c r="Z905" s="2"/>
    </row>
    <row r="906" spans="1:26" ht="15.75" customHeight="1" x14ac:dyDescent="0.2">
      <c r="A906" s="12"/>
      <c r="B906" s="10"/>
      <c r="C906" s="11"/>
      <c r="D906" s="13"/>
      <c r="E906" s="13"/>
      <c r="F906" s="13"/>
      <c r="G906" s="2"/>
      <c r="H906" s="2"/>
      <c r="I906" s="13"/>
      <c r="J906" s="13"/>
      <c r="K906" s="13"/>
      <c r="L906" s="14"/>
      <c r="M906" s="4"/>
      <c r="N906" s="2"/>
      <c r="O906" s="4"/>
      <c r="P906" s="2"/>
      <c r="Q906" s="2"/>
      <c r="R906" s="4"/>
      <c r="S906" s="2"/>
      <c r="T906" s="2"/>
      <c r="U906" s="1"/>
      <c r="V906" s="2"/>
      <c r="W906" s="2"/>
      <c r="X906" s="2"/>
      <c r="Y906" s="2"/>
      <c r="Z906" s="2"/>
    </row>
    <row r="907" spans="1:26" ht="15.75" customHeight="1" x14ac:dyDescent="0.2">
      <c r="A907" s="12"/>
      <c r="B907" s="10"/>
      <c r="C907" s="11"/>
      <c r="D907" s="13"/>
      <c r="E907" s="13"/>
      <c r="F907" s="13"/>
      <c r="G907" s="2"/>
      <c r="H907" s="2"/>
      <c r="I907" s="13"/>
      <c r="J907" s="13"/>
      <c r="K907" s="13"/>
      <c r="L907" s="14"/>
      <c r="M907" s="4"/>
      <c r="N907" s="2"/>
      <c r="O907" s="4"/>
      <c r="P907" s="2"/>
      <c r="Q907" s="2"/>
      <c r="R907" s="4"/>
      <c r="S907" s="2"/>
      <c r="T907" s="2"/>
      <c r="U907" s="1"/>
      <c r="V907" s="2"/>
      <c r="W907" s="2"/>
      <c r="X907" s="2"/>
      <c r="Y907" s="2"/>
      <c r="Z907" s="2"/>
    </row>
    <row r="908" spans="1:26" ht="15.75" customHeight="1" x14ac:dyDescent="0.2">
      <c r="A908" s="12"/>
      <c r="B908" s="10"/>
      <c r="C908" s="11"/>
      <c r="D908" s="13"/>
      <c r="E908" s="13"/>
      <c r="F908" s="13"/>
      <c r="G908" s="2"/>
      <c r="H908" s="2"/>
      <c r="I908" s="13"/>
      <c r="J908" s="13"/>
      <c r="K908" s="13"/>
      <c r="L908" s="14"/>
      <c r="M908" s="4"/>
      <c r="N908" s="2"/>
      <c r="O908" s="4"/>
      <c r="P908" s="2"/>
      <c r="Q908" s="2"/>
      <c r="R908" s="4"/>
      <c r="S908" s="2"/>
      <c r="T908" s="2"/>
      <c r="U908" s="1"/>
      <c r="V908" s="2"/>
      <c r="W908" s="2"/>
      <c r="X908" s="2"/>
      <c r="Y908" s="2"/>
      <c r="Z908" s="2"/>
    </row>
    <row r="909" spans="1:26" ht="15.75" customHeight="1" x14ac:dyDescent="0.2">
      <c r="A909" s="12"/>
      <c r="B909" s="10"/>
      <c r="C909" s="11"/>
      <c r="D909" s="13"/>
      <c r="E909" s="13"/>
      <c r="F909" s="13"/>
      <c r="G909" s="2"/>
      <c r="H909" s="2"/>
      <c r="I909" s="13"/>
      <c r="J909" s="13"/>
      <c r="K909" s="13"/>
      <c r="L909" s="14"/>
      <c r="M909" s="4"/>
      <c r="N909" s="2"/>
      <c r="O909" s="4"/>
      <c r="P909" s="2"/>
      <c r="Q909" s="2"/>
      <c r="R909" s="4"/>
      <c r="S909" s="2"/>
      <c r="T909" s="2"/>
      <c r="U909" s="1"/>
      <c r="V909" s="2"/>
      <c r="W909" s="2"/>
      <c r="X909" s="2"/>
      <c r="Y909" s="2"/>
      <c r="Z909" s="2"/>
    </row>
    <row r="910" spans="1:26" ht="15.75" customHeight="1" x14ac:dyDescent="0.2">
      <c r="A910" s="12"/>
      <c r="B910" s="10"/>
      <c r="C910" s="11"/>
      <c r="D910" s="13"/>
      <c r="E910" s="13"/>
      <c r="F910" s="13"/>
      <c r="G910" s="2"/>
      <c r="H910" s="2"/>
      <c r="I910" s="13"/>
      <c r="J910" s="13"/>
      <c r="K910" s="13"/>
      <c r="L910" s="14"/>
      <c r="M910" s="4"/>
      <c r="N910" s="2"/>
      <c r="O910" s="4"/>
      <c r="P910" s="2"/>
      <c r="Q910" s="2"/>
      <c r="R910" s="4"/>
      <c r="S910" s="2"/>
      <c r="T910" s="2"/>
      <c r="U910" s="1"/>
      <c r="V910" s="2"/>
      <c r="W910" s="2"/>
      <c r="X910" s="2"/>
      <c r="Y910" s="2"/>
      <c r="Z910" s="2"/>
    </row>
    <row r="911" spans="1:26" ht="15.75" customHeight="1" x14ac:dyDescent="0.2">
      <c r="A911" s="12"/>
      <c r="B911" s="10"/>
      <c r="C911" s="11"/>
      <c r="D911" s="13"/>
      <c r="E911" s="13"/>
      <c r="F911" s="13"/>
      <c r="G911" s="2"/>
      <c r="H911" s="2"/>
      <c r="I911" s="13"/>
      <c r="J911" s="13"/>
      <c r="K911" s="13"/>
      <c r="L911" s="14"/>
      <c r="M911" s="4"/>
      <c r="N911" s="2"/>
      <c r="O911" s="4"/>
      <c r="P911" s="2"/>
      <c r="Q911" s="2"/>
      <c r="R911" s="4"/>
      <c r="S911" s="2"/>
      <c r="T911" s="2"/>
      <c r="U911" s="1"/>
      <c r="V911" s="2"/>
      <c r="W911" s="2"/>
      <c r="X911" s="2"/>
      <c r="Y911" s="2"/>
      <c r="Z911" s="2"/>
    </row>
    <row r="912" spans="1:26" ht="15.75" customHeight="1" x14ac:dyDescent="0.2">
      <c r="A912" s="12"/>
      <c r="B912" s="10"/>
      <c r="C912" s="11"/>
      <c r="D912" s="13"/>
      <c r="E912" s="13"/>
      <c r="F912" s="13"/>
      <c r="G912" s="2"/>
      <c r="H912" s="2"/>
      <c r="I912" s="13"/>
      <c r="J912" s="13"/>
      <c r="K912" s="13"/>
      <c r="L912" s="14"/>
      <c r="M912" s="4"/>
      <c r="N912" s="2"/>
      <c r="O912" s="4"/>
      <c r="P912" s="2"/>
      <c r="Q912" s="2"/>
      <c r="R912" s="4"/>
      <c r="S912" s="2"/>
      <c r="T912" s="2"/>
      <c r="U912" s="1"/>
      <c r="V912" s="2"/>
      <c r="W912" s="2"/>
      <c r="X912" s="2"/>
      <c r="Y912" s="2"/>
      <c r="Z912" s="2"/>
    </row>
    <row r="913" spans="1:26" ht="15.75" customHeight="1" x14ac:dyDescent="0.2">
      <c r="A913" s="12"/>
      <c r="B913" s="10"/>
      <c r="C913" s="11"/>
      <c r="D913" s="13"/>
      <c r="E913" s="13"/>
      <c r="F913" s="13"/>
      <c r="G913" s="2"/>
      <c r="H913" s="2"/>
      <c r="I913" s="13"/>
      <c r="J913" s="13"/>
      <c r="K913" s="13"/>
      <c r="L913" s="14"/>
      <c r="M913" s="4"/>
      <c r="N913" s="2"/>
      <c r="O913" s="4"/>
      <c r="P913" s="2"/>
      <c r="Q913" s="2"/>
      <c r="R913" s="4"/>
      <c r="S913" s="2"/>
      <c r="T913" s="2"/>
      <c r="U913" s="1"/>
      <c r="V913" s="2"/>
      <c r="W913" s="2"/>
      <c r="X913" s="2"/>
      <c r="Y913" s="2"/>
      <c r="Z913" s="2"/>
    </row>
    <row r="914" spans="1:26" ht="15.75" customHeight="1" x14ac:dyDescent="0.2">
      <c r="A914" s="12"/>
      <c r="B914" s="10"/>
      <c r="C914" s="11"/>
      <c r="D914" s="13"/>
      <c r="E914" s="13"/>
      <c r="F914" s="13"/>
      <c r="G914" s="2"/>
      <c r="H914" s="2"/>
      <c r="I914" s="13"/>
      <c r="J914" s="13"/>
      <c r="K914" s="13"/>
      <c r="L914" s="14"/>
      <c r="M914" s="4"/>
      <c r="N914" s="2"/>
      <c r="O914" s="4"/>
      <c r="P914" s="2"/>
      <c r="Q914" s="2"/>
      <c r="R914" s="4"/>
      <c r="S914" s="2"/>
      <c r="T914" s="2"/>
      <c r="U914" s="1"/>
      <c r="V914" s="2"/>
      <c r="W914" s="2"/>
      <c r="X914" s="2"/>
      <c r="Y914" s="2"/>
      <c r="Z914" s="2"/>
    </row>
    <row r="915" spans="1:26" ht="15.75" customHeight="1" x14ac:dyDescent="0.2">
      <c r="A915" s="12"/>
      <c r="B915" s="10"/>
      <c r="C915" s="11"/>
      <c r="D915" s="13"/>
      <c r="E915" s="13"/>
      <c r="F915" s="13"/>
      <c r="G915" s="2"/>
      <c r="H915" s="2"/>
      <c r="I915" s="13"/>
      <c r="J915" s="13"/>
      <c r="K915" s="13"/>
      <c r="L915" s="14"/>
      <c r="M915" s="4"/>
      <c r="N915" s="2"/>
      <c r="O915" s="4"/>
      <c r="P915" s="2"/>
      <c r="Q915" s="2"/>
      <c r="R915" s="4"/>
      <c r="S915" s="2"/>
      <c r="T915" s="2"/>
      <c r="U915" s="1"/>
      <c r="V915" s="2"/>
      <c r="W915" s="2"/>
      <c r="X915" s="2"/>
      <c r="Y915" s="2"/>
      <c r="Z915" s="2"/>
    </row>
    <row r="916" spans="1:26" ht="15.75" customHeight="1" x14ac:dyDescent="0.2">
      <c r="A916" s="12"/>
      <c r="B916" s="10"/>
      <c r="C916" s="11"/>
      <c r="D916" s="13"/>
      <c r="E916" s="13"/>
      <c r="F916" s="13"/>
      <c r="G916" s="2"/>
      <c r="H916" s="2"/>
      <c r="I916" s="13"/>
      <c r="J916" s="13"/>
      <c r="K916" s="13"/>
      <c r="L916" s="14"/>
      <c r="M916" s="4"/>
      <c r="N916" s="2"/>
      <c r="O916" s="4"/>
      <c r="P916" s="2"/>
      <c r="Q916" s="2"/>
      <c r="R916" s="4"/>
      <c r="S916" s="2"/>
      <c r="T916" s="2"/>
      <c r="U916" s="1"/>
      <c r="V916" s="2"/>
      <c r="W916" s="2"/>
      <c r="X916" s="2"/>
      <c r="Y916" s="2"/>
      <c r="Z916" s="2"/>
    </row>
    <row r="917" spans="1:26" ht="15.75" customHeight="1" x14ac:dyDescent="0.2">
      <c r="A917" s="12"/>
      <c r="B917" s="10"/>
      <c r="C917" s="11"/>
      <c r="D917" s="13"/>
      <c r="E917" s="13"/>
      <c r="F917" s="13"/>
      <c r="G917" s="2"/>
      <c r="H917" s="2"/>
      <c r="I917" s="13"/>
      <c r="J917" s="13"/>
      <c r="K917" s="13"/>
      <c r="L917" s="14"/>
      <c r="M917" s="4"/>
      <c r="N917" s="2"/>
      <c r="O917" s="4"/>
      <c r="P917" s="2"/>
      <c r="Q917" s="2"/>
      <c r="R917" s="4"/>
      <c r="S917" s="2"/>
      <c r="T917" s="2"/>
      <c r="U917" s="1"/>
      <c r="V917" s="2"/>
      <c r="W917" s="2"/>
      <c r="X917" s="2"/>
      <c r="Y917" s="2"/>
      <c r="Z917" s="2"/>
    </row>
    <row r="918" spans="1:26" ht="15.75" customHeight="1" x14ac:dyDescent="0.2">
      <c r="A918" s="12"/>
      <c r="B918" s="10"/>
      <c r="C918" s="11"/>
      <c r="D918" s="13"/>
      <c r="E918" s="13"/>
      <c r="F918" s="13"/>
      <c r="G918" s="2"/>
      <c r="H918" s="2"/>
      <c r="I918" s="13"/>
      <c r="J918" s="13"/>
      <c r="K918" s="13"/>
      <c r="L918" s="14"/>
      <c r="M918" s="4"/>
      <c r="N918" s="2"/>
      <c r="O918" s="4"/>
      <c r="P918" s="2"/>
      <c r="Q918" s="2"/>
      <c r="R918" s="4"/>
      <c r="S918" s="2"/>
      <c r="T918" s="2"/>
      <c r="U918" s="1"/>
      <c r="V918" s="2"/>
      <c r="W918" s="2"/>
      <c r="X918" s="2"/>
      <c r="Y918" s="2"/>
      <c r="Z918" s="2"/>
    </row>
    <row r="919" spans="1:26" ht="15.75" customHeight="1" x14ac:dyDescent="0.2">
      <c r="A919" s="12"/>
      <c r="B919" s="10"/>
      <c r="C919" s="11"/>
      <c r="D919" s="13"/>
      <c r="E919" s="13"/>
      <c r="F919" s="13"/>
      <c r="G919" s="2"/>
      <c r="H919" s="2"/>
      <c r="I919" s="13"/>
      <c r="J919" s="13"/>
      <c r="K919" s="13"/>
      <c r="L919" s="14"/>
      <c r="M919" s="4"/>
      <c r="N919" s="2"/>
      <c r="O919" s="4"/>
      <c r="P919" s="2"/>
      <c r="Q919" s="2"/>
      <c r="R919" s="4"/>
      <c r="S919" s="2"/>
      <c r="T919" s="2"/>
      <c r="U919" s="1"/>
      <c r="V919" s="2"/>
      <c r="W919" s="2"/>
      <c r="X919" s="2"/>
      <c r="Y919" s="2"/>
      <c r="Z919" s="2"/>
    </row>
    <row r="920" spans="1:26" ht="15.75" customHeight="1" x14ac:dyDescent="0.2">
      <c r="A920" s="12"/>
      <c r="B920" s="10"/>
      <c r="C920" s="11"/>
      <c r="D920" s="13"/>
      <c r="E920" s="13"/>
      <c r="F920" s="13"/>
      <c r="G920" s="2"/>
      <c r="H920" s="2"/>
      <c r="I920" s="13"/>
      <c r="J920" s="13"/>
      <c r="K920" s="13"/>
      <c r="L920" s="14"/>
      <c r="M920" s="4"/>
      <c r="N920" s="2"/>
      <c r="O920" s="4"/>
      <c r="P920" s="2"/>
      <c r="Q920" s="2"/>
      <c r="R920" s="4"/>
      <c r="S920" s="2"/>
      <c r="T920" s="2"/>
      <c r="U920" s="1"/>
      <c r="V920" s="2"/>
      <c r="W920" s="2"/>
      <c r="X920" s="2"/>
      <c r="Y920" s="2"/>
      <c r="Z920" s="2"/>
    </row>
    <row r="921" spans="1:26" ht="15.75" customHeight="1" x14ac:dyDescent="0.2">
      <c r="A921" s="12"/>
      <c r="B921" s="10"/>
      <c r="C921" s="11"/>
      <c r="D921" s="13"/>
      <c r="E921" s="13"/>
      <c r="F921" s="13"/>
      <c r="G921" s="2"/>
      <c r="H921" s="2"/>
      <c r="I921" s="13"/>
      <c r="J921" s="13"/>
      <c r="K921" s="13"/>
      <c r="L921" s="14"/>
      <c r="M921" s="4"/>
      <c r="N921" s="2"/>
      <c r="O921" s="4"/>
      <c r="P921" s="2"/>
      <c r="Q921" s="2"/>
      <c r="R921" s="4"/>
      <c r="S921" s="2"/>
      <c r="T921" s="2"/>
      <c r="U921" s="1"/>
      <c r="V921" s="2"/>
      <c r="W921" s="2"/>
      <c r="X921" s="2"/>
      <c r="Y921" s="2"/>
      <c r="Z921" s="2"/>
    </row>
    <row r="922" spans="1:26" ht="15.75" customHeight="1" x14ac:dyDescent="0.2">
      <c r="A922" s="12"/>
      <c r="B922" s="10"/>
      <c r="C922" s="11"/>
      <c r="D922" s="13"/>
      <c r="E922" s="13"/>
      <c r="F922" s="13"/>
      <c r="G922" s="2"/>
      <c r="H922" s="2"/>
      <c r="I922" s="13"/>
      <c r="J922" s="13"/>
      <c r="K922" s="13"/>
      <c r="L922" s="14"/>
      <c r="M922" s="4"/>
      <c r="N922" s="2"/>
      <c r="O922" s="4"/>
      <c r="P922" s="2"/>
      <c r="Q922" s="2"/>
      <c r="R922" s="4"/>
      <c r="S922" s="2"/>
      <c r="T922" s="2"/>
      <c r="U922" s="1"/>
      <c r="V922" s="2"/>
      <c r="W922" s="2"/>
      <c r="X922" s="2"/>
      <c r="Y922" s="2"/>
      <c r="Z922" s="2"/>
    </row>
    <row r="923" spans="1:26" ht="15.75" customHeight="1" x14ac:dyDescent="0.2">
      <c r="A923" s="12"/>
      <c r="B923" s="10"/>
      <c r="C923" s="11"/>
      <c r="D923" s="13"/>
      <c r="E923" s="13"/>
      <c r="F923" s="13"/>
      <c r="G923" s="2"/>
      <c r="H923" s="2"/>
      <c r="I923" s="13"/>
      <c r="J923" s="13"/>
      <c r="K923" s="13"/>
      <c r="L923" s="14"/>
      <c r="M923" s="4"/>
      <c r="N923" s="2"/>
      <c r="O923" s="4"/>
      <c r="P923" s="2"/>
      <c r="Q923" s="2"/>
      <c r="R923" s="4"/>
      <c r="S923" s="2"/>
      <c r="T923" s="2"/>
      <c r="U923" s="1"/>
      <c r="V923" s="2"/>
      <c r="W923" s="2"/>
      <c r="X923" s="2"/>
      <c r="Y923" s="2"/>
      <c r="Z923" s="2"/>
    </row>
    <row r="924" spans="1:26" ht="15.75" customHeight="1" x14ac:dyDescent="0.2">
      <c r="A924" s="12"/>
      <c r="B924" s="10"/>
      <c r="C924" s="11"/>
      <c r="D924" s="13"/>
      <c r="E924" s="13"/>
      <c r="F924" s="13"/>
      <c r="G924" s="2"/>
      <c r="H924" s="2"/>
      <c r="I924" s="13"/>
      <c r="J924" s="13"/>
      <c r="K924" s="13"/>
      <c r="L924" s="14"/>
      <c r="M924" s="4"/>
      <c r="N924" s="2"/>
      <c r="O924" s="4"/>
      <c r="P924" s="2"/>
      <c r="Q924" s="2"/>
      <c r="R924" s="4"/>
      <c r="S924" s="2"/>
      <c r="T924" s="2"/>
      <c r="U924" s="1"/>
      <c r="V924" s="2"/>
      <c r="W924" s="2"/>
      <c r="X924" s="2"/>
      <c r="Y924" s="2"/>
      <c r="Z924" s="2"/>
    </row>
    <row r="925" spans="1:26" ht="15.75" customHeight="1" x14ac:dyDescent="0.2">
      <c r="A925" s="12"/>
      <c r="B925" s="10"/>
      <c r="C925" s="11"/>
      <c r="D925" s="13"/>
      <c r="E925" s="13"/>
      <c r="F925" s="13"/>
      <c r="G925" s="2"/>
      <c r="H925" s="2"/>
      <c r="I925" s="13"/>
      <c r="J925" s="13"/>
      <c r="K925" s="13"/>
      <c r="L925" s="14"/>
      <c r="M925" s="4"/>
      <c r="N925" s="2"/>
      <c r="O925" s="4"/>
      <c r="P925" s="2"/>
      <c r="Q925" s="2"/>
      <c r="R925" s="4"/>
      <c r="S925" s="2"/>
      <c r="T925" s="2"/>
      <c r="U925" s="1"/>
      <c r="V925" s="2"/>
      <c r="W925" s="2"/>
      <c r="X925" s="2"/>
      <c r="Y925" s="2"/>
      <c r="Z925" s="2"/>
    </row>
    <row r="926" spans="1:26" ht="15.75" customHeight="1" x14ac:dyDescent="0.2">
      <c r="A926" s="12"/>
      <c r="B926" s="10"/>
      <c r="C926" s="11"/>
      <c r="D926" s="13"/>
      <c r="E926" s="13"/>
      <c r="F926" s="13"/>
      <c r="G926" s="2"/>
      <c r="H926" s="2"/>
      <c r="I926" s="13"/>
      <c r="J926" s="13"/>
      <c r="K926" s="13"/>
      <c r="L926" s="14"/>
      <c r="M926" s="4"/>
      <c r="N926" s="2"/>
      <c r="O926" s="4"/>
      <c r="P926" s="2"/>
      <c r="Q926" s="2"/>
      <c r="R926" s="4"/>
      <c r="S926" s="2"/>
      <c r="T926" s="2"/>
      <c r="U926" s="1"/>
      <c r="V926" s="2"/>
      <c r="W926" s="2"/>
      <c r="X926" s="2"/>
      <c r="Y926" s="2"/>
      <c r="Z926" s="2"/>
    </row>
    <row r="927" spans="1:26" ht="15.75" customHeight="1" x14ac:dyDescent="0.2">
      <c r="A927" s="12"/>
      <c r="B927" s="10"/>
      <c r="C927" s="11"/>
      <c r="D927" s="13"/>
      <c r="E927" s="13"/>
      <c r="F927" s="13"/>
      <c r="G927" s="2"/>
      <c r="H927" s="2"/>
      <c r="I927" s="13"/>
      <c r="J927" s="13"/>
      <c r="K927" s="13"/>
      <c r="L927" s="14"/>
      <c r="M927" s="4"/>
      <c r="N927" s="2"/>
      <c r="O927" s="4"/>
      <c r="P927" s="2"/>
      <c r="Q927" s="2"/>
      <c r="R927" s="4"/>
      <c r="S927" s="2"/>
      <c r="T927" s="2"/>
      <c r="U927" s="1"/>
      <c r="V927" s="2"/>
      <c r="W927" s="2"/>
      <c r="X927" s="2"/>
      <c r="Y927" s="2"/>
      <c r="Z927" s="2"/>
    </row>
    <row r="928" spans="1:26" ht="15.75" customHeight="1" x14ac:dyDescent="0.2">
      <c r="A928" s="12"/>
      <c r="B928" s="10"/>
      <c r="C928" s="11"/>
      <c r="D928" s="13"/>
      <c r="E928" s="13"/>
      <c r="F928" s="13"/>
      <c r="G928" s="2"/>
      <c r="H928" s="2"/>
      <c r="I928" s="13"/>
      <c r="J928" s="13"/>
      <c r="K928" s="13"/>
      <c r="L928" s="14"/>
      <c r="M928" s="4"/>
      <c r="N928" s="2"/>
      <c r="O928" s="4"/>
      <c r="P928" s="2"/>
      <c r="Q928" s="2"/>
      <c r="R928" s="4"/>
      <c r="S928" s="2"/>
      <c r="T928" s="2"/>
      <c r="U928" s="1"/>
      <c r="V928" s="2"/>
      <c r="W928" s="2"/>
      <c r="X928" s="2"/>
      <c r="Y928" s="2"/>
      <c r="Z928" s="2"/>
    </row>
    <row r="929" spans="1:26" ht="15.75" customHeight="1" x14ac:dyDescent="0.2">
      <c r="A929" s="12"/>
      <c r="B929" s="10"/>
      <c r="C929" s="11"/>
      <c r="D929" s="13"/>
      <c r="E929" s="13"/>
      <c r="F929" s="13"/>
      <c r="G929" s="2"/>
      <c r="H929" s="2"/>
      <c r="I929" s="13"/>
      <c r="J929" s="13"/>
      <c r="K929" s="13"/>
      <c r="L929" s="14"/>
      <c r="M929" s="4"/>
      <c r="N929" s="2"/>
      <c r="O929" s="4"/>
      <c r="P929" s="2"/>
      <c r="Q929" s="2"/>
      <c r="R929" s="4"/>
      <c r="S929" s="2"/>
      <c r="T929" s="2"/>
      <c r="U929" s="1"/>
      <c r="V929" s="2"/>
      <c r="W929" s="2"/>
      <c r="X929" s="2"/>
      <c r="Y929" s="2"/>
      <c r="Z929" s="2"/>
    </row>
    <row r="930" spans="1:26" ht="15.75" customHeight="1" x14ac:dyDescent="0.2">
      <c r="A930" s="12"/>
      <c r="B930" s="10"/>
      <c r="C930" s="11"/>
      <c r="D930" s="13"/>
      <c r="E930" s="13"/>
      <c r="F930" s="13"/>
      <c r="G930" s="2"/>
      <c r="H930" s="2"/>
      <c r="I930" s="13"/>
      <c r="J930" s="13"/>
      <c r="K930" s="13"/>
      <c r="L930" s="14"/>
      <c r="M930" s="4"/>
      <c r="N930" s="2"/>
      <c r="O930" s="4"/>
      <c r="P930" s="2"/>
      <c r="Q930" s="2"/>
      <c r="R930" s="4"/>
      <c r="S930" s="2"/>
      <c r="T930" s="2"/>
      <c r="U930" s="1"/>
      <c r="V930" s="2"/>
      <c r="W930" s="2"/>
      <c r="X930" s="2"/>
      <c r="Y930" s="2"/>
      <c r="Z930" s="2"/>
    </row>
    <row r="931" spans="1:26" ht="15.75" customHeight="1" x14ac:dyDescent="0.2">
      <c r="A931" s="12"/>
      <c r="B931" s="10"/>
      <c r="C931" s="11"/>
      <c r="D931" s="13"/>
      <c r="E931" s="13"/>
      <c r="F931" s="13"/>
      <c r="G931" s="2"/>
      <c r="H931" s="2"/>
      <c r="I931" s="13"/>
      <c r="J931" s="13"/>
      <c r="K931" s="13"/>
      <c r="L931" s="14"/>
      <c r="M931" s="4"/>
      <c r="N931" s="2"/>
      <c r="O931" s="4"/>
      <c r="P931" s="2"/>
      <c r="Q931" s="2"/>
      <c r="R931" s="4"/>
      <c r="S931" s="2"/>
      <c r="T931" s="2"/>
      <c r="U931" s="1"/>
      <c r="V931" s="2"/>
      <c r="W931" s="2"/>
      <c r="X931" s="2"/>
      <c r="Y931" s="2"/>
      <c r="Z931" s="2"/>
    </row>
    <row r="932" spans="1:26" ht="15.75" customHeight="1" x14ac:dyDescent="0.2">
      <c r="A932" s="12"/>
      <c r="B932" s="10"/>
      <c r="C932" s="11"/>
      <c r="D932" s="13"/>
      <c r="E932" s="13"/>
      <c r="F932" s="13"/>
      <c r="G932" s="2"/>
      <c r="H932" s="2"/>
      <c r="I932" s="13"/>
      <c r="J932" s="13"/>
      <c r="K932" s="13"/>
      <c r="L932" s="14"/>
      <c r="M932" s="4"/>
      <c r="N932" s="2"/>
      <c r="O932" s="4"/>
      <c r="P932" s="2"/>
      <c r="Q932" s="2"/>
      <c r="R932" s="4"/>
      <c r="S932" s="2"/>
      <c r="T932" s="2"/>
      <c r="U932" s="1"/>
      <c r="V932" s="2"/>
      <c r="W932" s="2"/>
      <c r="X932" s="2"/>
      <c r="Y932" s="2"/>
      <c r="Z932" s="2"/>
    </row>
    <row r="933" spans="1:26" ht="15.75" customHeight="1" x14ac:dyDescent="0.2">
      <c r="A933" s="12"/>
      <c r="B933" s="10"/>
      <c r="C933" s="11"/>
      <c r="D933" s="13"/>
      <c r="E933" s="13"/>
      <c r="F933" s="13"/>
      <c r="G933" s="2"/>
      <c r="H933" s="2"/>
      <c r="I933" s="13"/>
      <c r="J933" s="13"/>
      <c r="K933" s="13"/>
      <c r="L933" s="14"/>
      <c r="M933" s="4"/>
      <c r="N933" s="2"/>
      <c r="O933" s="4"/>
      <c r="P933" s="2"/>
      <c r="Q933" s="2"/>
      <c r="R933" s="4"/>
      <c r="S933" s="2"/>
      <c r="T933" s="2"/>
      <c r="U933" s="1"/>
      <c r="V933" s="2"/>
      <c r="W933" s="2"/>
      <c r="X933" s="2"/>
      <c r="Y933" s="2"/>
      <c r="Z933" s="2"/>
    </row>
    <row r="934" spans="1:26" ht="15.75" customHeight="1" x14ac:dyDescent="0.2">
      <c r="A934" s="12"/>
      <c r="B934" s="10"/>
      <c r="C934" s="11"/>
      <c r="D934" s="13"/>
      <c r="E934" s="13"/>
      <c r="F934" s="13"/>
      <c r="G934" s="2"/>
      <c r="H934" s="2"/>
      <c r="I934" s="13"/>
      <c r="J934" s="13"/>
      <c r="K934" s="13"/>
      <c r="L934" s="14"/>
      <c r="M934" s="4"/>
      <c r="N934" s="2"/>
      <c r="O934" s="4"/>
      <c r="P934" s="2"/>
      <c r="Q934" s="2"/>
      <c r="R934" s="4"/>
      <c r="S934" s="2"/>
      <c r="T934" s="2"/>
      <c r="U934" s="1"/>
      <c r="V934" s="2"/>
      <c r="W934" s="2"/>
      <c r="X934" s="2"/>
      <c r="Y934" s="2"/>
      <c r="Z934" s="2"/>
    </row>
    <row r="935" spans="1:26" ht="15.75" customHeight="1" x14ac:dyDescent="0.2">
      <c r="A935" s="12"/>
      <c r="B935" s="10"/>
      <c r="C935" s="11"/>
      <c r="D935" s="13"/>
      <c r="E935" s="13"/>
      <c r="F935" s="13"/>
      <c r="G935" s="2"/>
      <c r="H935" s="2"/>
      <c r="I935" s="13"/>
      <c r="J935" s="13"/>
      <c r="K935" s="13"/>
      <c r="L935" s="14"/>
      <c r="M935" s="4"/>
      <c r="N935" s="2"/>
      <c r="O935" s="4"/>
      <c r="P935" s="2"/>
      <c r="Q935" s="2"/>
      <c r="R935" s="4"/>
      <c r="S935" s="2"/>
      <c r="T935" s="2"/>
      <c r="U935" s="1"/>
      <c r="V935" s="2"/>
      <c r="W935" s="2"/>
      <c r="X935" s="2"/>
      <c r="Y935" s="2"/>
      <c r="Z935" s="2"/>
    </row>
    <row r="936" spans="1:26" ht="15.75" customHeight="1" x14ac:dyDescent="0.2">
      <c r="A936" s="12"/>
      <c r="B936" s="10"/>
      <c r="C936" s="11"/>
      <c r="D936" s="13"/>
      <c r="E936" s="13"/>
      <c r="F936" s="13"/>
      <c r="G936" s="2"/>
      <c r="H936" s="2"/>
      <c r="I936" s="13"/>
      <c r="J936" s="13"/>
      <c r="K936" s="13"/>
      <c r="L936" s="14"/>
      <c r="M936" s="4"/>
      <c r="N936" s="2"/>
      <c r="O936" s="4"/>
      <c r="P936" s="2"/>
      <c r="Q936" s="2"/>
      <c r="R936" s="4"/>
      <c r="S936" s="2"/>
      <c r="T936" s="2"/>
      <c r="U936" s="1"/>
      <c r="V936" s="2"/>
      <c r="W936" s="2"/>
      <c r="X936" s="2"/>
      <c r="Y936" s="2"/>
      <c r="Z936" s="2"/>
    </row>
    <row r="937" spans="1:26" ht="15.75" customHeight="1" x14ac:dyDescent="0.2">
      <c r="A937" s="12"/>
      <c r="B937" s="10"/>
      <c r="C937" s="11"/>
      <c r="D937" s="13"/>
      <c r="E937" s="13"/>
      <c r="F937" s="13"/>
      <c r="G937" s="2"/>
      <c r="H937" s="2"/>
      <c r="I937" s="13"/>
      <c r="J937" s="13"/>
      <c r="K937" s="13"/>
      <c r="L937" s="14"/>
      <c r="M937" s="4"/>
      <c r="N937" s="2"/>
      <c r="O937" s="4"/>
      <c r="P937" s="2"/>
      <c r="Q937" s="2"/>
      <c r="R937" s="4"/>
      <c r="S937" s="2"/>
      <c r="T937" s="2"/>
      <c r="U937" s="1"/>
      <c r="V937" s="2"/>
      <c r="W937" s="2"/>
      <c r="X937" s="2"/>
      <c r="Y937" s="2"/>
      <c r="Z937" s="2"/>
    </row>
    <row r="938" spans="1:26" ht="15.75" customHeight="1" x14ac:dyDescent="0.2">
      <c r="A938" s="12"/>
      <c r="B938" s="10"/>
      <c r="C938" s="11"/>
      <c r="D938" s="13"/>
      <c r="E938" s="13"/>
      <c r="F938" s="13"/>
      <c r="G938" s="2"/>
      <c r="H938" s="2"/>
      <c r="I938" s="13"/>
      <c r="J938" s="13"/>
      <c r="K938" s="13"/>
      <c r="L938" s="14"/>
      <c r="M938" s="4"/>
      <c r="N938" s="2"/>
      <c r="O938" s="4"/>
      <c r="P938" s="2"/>
      <c r="Q938" s="2"/>
      <c r="R938" s="4"/>
      <c r="S938" s="2"/>
      <c r="T938" s="2"/>
      <c r="U938" s="1"/>
      <c r="V938" s="2"/>
      <c r="W938" s="2"/>
      <c r="X938" s="2"/>
      <c r="Y938" s="2"/>
      <c r="Z938" s="2"/>
    </row>
    <row r="939" spans="1:26" ht="15.75" customHeight="1" x14ac:dyDescent="0.2">
      <c r="A939" s="12"/>
      <c r="B939" s="10"/>
      <c r="C939" s="11"/>
      <c r="D939" s="13"/>
      <c r="E939" s="13"/>
      <c r="F939" s="13"/>
      <c r="G939" s="2"/>
      <c r="H939" s="2"/>
      <c r="I939" s="13"/>
      <c r="J939" s="13"/>
      <c r="K939" s="13"/>
      <c r="L939" s="14"/>
      <c r="M939" s="4"/>
      <c r="N939" s="2"/>
      <c r="O939" s="4"/>
      <c r="P939" s="2"/>
      <c r="Q939" s="2"/>
      <c r="R939" s="4"/>
      <c r="S939" s="2"/>
      <c r="T939" s="2"/>
      <c r="U939" s="1"/>
      <c r="V939" s="2"/>
      <c r="W939" s="2"/>
      <c r="X939" s="2"/>
      <c r="Y939" s="2"/>
      <c r="Z939" s="2"/>
    </row>
    <row r="940" spans="1:26" ht="15.75" customHeight="1" x14ac:dyDescent="0.2">
      <c r="A940" s="12"/>
      <c r="B940" s="10"/>
      <c r="C940" s="11"/>
      <c r="D940" s="13"/>
      <c r="E940" s="13"/>
      <c r="F940" s="13"/>
      <c r="G940" s="2"/>
      <c r="H940" s="2"/>
      <c r="I940" s="13"/>
      <c r="J940" s="13"/>
      <c r="K940" s="13"/>
      <c r="L940" s="14"/>
      <c r="M940" s="4"/>
      <c r="N940" s="2"/>
      <c r="O940" s="4"/>
      <c r="P940" s="2"/>
      <c r="Q940" s="2"/>
      <c r="R940" s="4"/>
      <c r="S940" s="2"/>
      <c r="T940" s="2"/>
      <c r="U940" s="1"/>
      <c r="V940" s="2"/>
      <c r="W940" s="2"/>
      <c r="X940" s="2"/>
      <c r="Y940" s="2"/>
      <c r="Z940" s="2"/>
    </row>
  </sheetData>
  <conditionalFormatting sqref="L653:L940">
    <cfRule type="cellIs" dxfId="70" priority="6" operator="greaterThan">
      <formula>"30%"</formula>
    </cfRule>
    <cfRule type="cellIs" dxfId="69" priority="7" operator="lessThan">
      <formula>"25%"</formula>
    </cfRule>
    <cfRule type="cellIs" dxfId="68" priority="8" operator="between">
      <formula>"25%"</formula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1017-3184-5349-8B30-4529BA5FC812}">
  <sheetPr>
    <outlinePr summaryBelow="0" summaryRight="0"/>
  </sheetPr>
  <dimension ref="A1:Z333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0"/>
      <c r="M2" s="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0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6" t="s">
        <v>119</v>
      </c>
      <c r="B4" s="1"/>
      <c r="C4" s="1"/>
      <c r="D4" s="22" t="s">
        <v>1076</v>
      </c>
      <c r="E4" s="8">
        <v>46125</v>
      </c>
      <c r="F4" s="24" t="s">
        <v>37</v>
      </c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2"/>
      <c r="C5" s="4"/>
      <c r="D5" s="2"/>
      <c r="E5" s="2"/>
      <c r="F5" s="2"/>
      <c r="G5" s="2"/>
      <c r="H5" s="2"/>
      <c r="I5" s="2"/>
      <c r="J5" s="2"/>
      <c r="K5" s="2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6" t="s">
        <v>3</v>
      </c>
      <c r="B6" s="10" t="s">
        <v>4</v>
      </c>
      <c r="C6" s="11" t="s">
        <v>5</v>
      </c>
      <c r="D6" s="10" t="s">
        <v>6</v>
      </c>
      <c r="E6" s="10" t="s">
        <v>7</v>
      </c>
      <c r="F6" s="2"/>
      <c r="G6" s="2"/>
      <c r="H6" s="2"/>
      <c r="I6" s="10" t="s">
        <v>6</v>
      </c>
      <c r="J6" s="10" t="s">
        <v>7</v>
      </c>
      <c r="K6" s="10" t="s">
        <v>10</v>
      </c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21</v>
      </c>
      <c r="C7" s="11" t="s">
        <v>51</v>
      </c>
      <c r="D7" s="13">
        <v>1500</v>
      </c>
      <c r="E7" s="13">
        <f t="shared" ref="E7:E21" si="0">A7*D7</f>
        <v>1500</v>
      </c>
      <c r="F7" s="2"/>
      <c r="G7" s="2"/>
      <c r="H7" s="2"/>
      <c r="I7" s="13">
        <f>10000/12</f>
        <v>833.33333333333337</v>
      </c>
      <c r="J7" s="13">
        <f t="shared" ref="J7:J21" si="1">I7*A7</f>
        <v>833.33333333333337</v>
      </c>
      <c r="K7" s="13">
        <f t="shared" ref="K7:K21" si="2">E7-J7</f>
        <v>666.66666666666663</v>
      </c>
      <c r="L7" s="21">
        <f t="shared" ref="L7:L21" si="3">K7/E7</f>
        <v>0.44444444444444442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2</v>
      </c>
      <c r="B8" s="10" t="s">
        <v>17</v>
      </c>
      <c r="C8" s="11" t="s">
        <v>87</v>
      </c>
      <c r="D8" s="13">
        <v>3000</v>
      </c>
      <c r="E8" s="13">
        <f t="shared" si="0"/>
        <v>6000</v>
      </c>
      <c r="F8" s="2"/>
      <c r="G8" s="2"/>
      <c r="H8" s="2"/>
      <c r="I8" s="13">
        <f>28000/17</f>
        <v>1647.0588235294117</v>
      </c>
      <c r="J8" s="13">
        <f t="shared" si="1"/>
        <v>3294.1176470588234</v>
      </c>
      <c r="K8" s="13">
        <f t="shared" si="2"/>
        <v>2705.8823529411766</v>
      </c>
      <c r="L8" s="21">
        <f t="shared" si="3"/>
        <v>0.45098039215686275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0.5</v>
      </c>
      <c r="B9" s="10" t="s">
        <v>17</v>
      </c>
      <c r="C9" s="11" t="s">
        <v>55</v>
      </c>
      <c r="D9" s="13">
        <v>21000</v>
      </c>
      <c r="E9" s="13">
        <f t="shared" si="0"/>
        <v>10500</v>
      </c>
      <c r="F9" s="2"/>
      <c r="G9" s="2"/>
      <c r="H9" s="2"/>
      <c r="I9" s="13">
        <f>16000</f>
        <v>16000</v>
      </c>
      <c r="J9" s="13">
        <f t="shared" si="1"/>
        <v>8000</v>
      </c>
      <c r="K9" s="13">
        <f t="shared" si="2"/>
        <v>2500</v>
      </c>
      <c r="L9" s="32">
        <f t="shared" si="3"/>
        <v>0.23809523809523808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1</v>
      </c>
      <c r="B10" s="10" t="s">
        <v>23</v>
      </c>
      <c r="C10" s="11" t="s">
        <v>22</v>
      </c>
      <c r="D10" s="13">
        <v>17000</v>
      </c>
      <c r="E10" s="13">
        <f t="shared" si="0"/>
        <v>17000</v>
      </c>
      <c r="F10" s="2"/>
      <c r="G10" s="2"/>
      <c r="H10" s="2"/>
      <c r="I10" s="13">
        <v>13000</v>
      </c>
      <c r="J10" s="13">
        <f t="shared" si="1"/>
        <v>13000</v>
      </c>
      <c r="K10" s="13">
        <f t="shared" si="2"/>
        <v>4000</v>
      </c>
      <c r="L10" s="32">
        <f t="shared" si="3"/>
        <v>0.23529411764705882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3</v>
      </c>
      <c r="B11" s="10" t="s">
        <v>23</v>
      </c>
      <c r="C11" s="11" t="s">
        <v>85</v>
      </c>
      <c r="D11" s="13">
        <v>55000</v>
      </c>
      <c r="E11" s="13">
        <f t="shared" si="0"/>
        <v>165000</v>
      </c>
      <c r="F11" s="2"/>
      <c r="G11" s="2"/>
      <c r="H11" s="2"/>
      <c r="I11" s="13">
        <v>50000</v>
      </c>
      <c r="J11" s="13">
        <f t="shared" si="1"/>
        <v>150000</v>
      </c>
      <c r="K11" s="13">
        <f t="shared" si="2"/>
        <v>15000</v>
      </c>
      <c r="L11" s="32">
        <f t="shared" si="3"/>
        <v>9.0909090909090912E-2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0.5</v>
      </c>
      <c r="B12" s="10" t="s">
        <v>17</v>
      </c>
      <c r="C12" s="11" t="s">
        <v>111</v>
      </c>
      <c r="D12" s="13">
        <v>11000</v>
      </c>
      <c r="E12" s="13">
        <f t="shared" si="0"/>
        <v>5500</v>
      </c>
      <c r="F12" s="2"/>
      <c r="G12" s="2"/>
      <c r="H12" s="2"/>
      <c r="I12" s="13">
        <v>7000</v>
      </c>
      <c r="J12" s="13">
        <f t="shared" si="1"/>
        <v>3500</v>
      </c>
      <c r="K12" s="13">
        <f t="shared" si="2"/>
        <v>2000</v>
      </c>
      <c r="L12" s="35">
        <f t="shared" si="3"/>
        <v>0.36363636363636365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</v>
      </c>
      <c r="B13" s="10" t="s">
        <v>17</v>
      </c>
      <c r="C13" s="11" t="s">
        <v>90</v>
      </c>
      <c r="D13" s="13">
        <v>8600</v>
      </c>
      <c r="E13" s="13">
        <f t="shared" si="0"/>
        <v>8600</v>
      </c>
      <c r="F13" s="2"/>
      <c r="G13" s="2"/>
      <c r="H13" s="2"/>
      <c r="I13" s="13">
        <v>6100</v>
      </c>
      <c r="J13" s="13">
        <f t="shared" si="1"/>
        <v>6100</v>
      </c>
      <c r="K13" s="13">
        <f t="shared" si="2"/>
        <v>2500</v>
      </c>
      <c r="L13" s="32">
        <f t="shared" si="3"/>
        <v>0.29069767441860467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2</v>
      </c>
      <c r="B14" s="10" t="s">
        <v>17</v>
      </c>
      <c r="C14" s="11" t="s">
        <v>113</v>
      </c>
      <c r="D14" s="13">
        <v>4000</v>
      </c>
      <c r="E14" s="13">
        <f t="shared" si="0"/>
        <v>8000</v>
      </c>
      <c r="F14" s="2"/>
      <c r="G14" s="2"/>
      <c r="H14" s="2"/>
      <c r="I14" s="13">
        <v>2000</v>
      </c>
      <c r="J14" s="13">
        <f t="shared" si="1"/>
        <v>4000</v>
      </c>
      <c r="K14" s="13">
        <f t="shared" si="2"/>
        <v>4000</v>
      </c>
      <c r="L14" s="35">
        <f t="shared" si="3"/>
        <v>0.5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1</v>
      </c>
      <c r="B15" s="10" t="s">
        <v>23</v>
      </c>
      <c r="C15" s="11" t="s">
        <v>88</v>
      </c>
      <c r="D15" s="13">
        <v>28000</v>
      </c>
      <c r="E15" s="13">
        <f t="shared" si="0"/>
        <v>28000</v>
      </c>
      <c r="F15" s="2"/>
      <c r="G15" s="2"/>
      <c r="H15" s="2"/>
      <c r="I15" s="13">
        <v>16000</v>
      </c>
      <c r="J15" s="13">
        <f t="shared" si="1"/>
        <v>16000</v>
      </c>
      <c r="K15" s="13">
        <f t="shared" si="2"/>
        <v>12000</v>
      </c>
      <c r="L15" s="32">
        <f t="shared" si="3"/>
        <v>0.42857142857142855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17</v>
      </c>
      <c r="C16" s="11" t="s">
        <v>25</v>
      </c>
      <c r="D16" s="13">
        <v>4500</v>
      </c>
      <c r="E16" s="13">
        <f t="shared" si="0"/>
        <v>4500</v>
      </c>
      <c r="F16" s="2"/>
      <c r="G16" s="2"/>
      <c r="H16" s="2"/>
      <c r="I16" s="13">
        <f>60000/17</f>
        <v>3529.4117647058824</v>
      </c>
      <c r="J16" s="13">
        <f t="shared" si="1"/>
        <v>3529.4117647058824</v>
      </c>
      <c r="K16" s="13">
        <f t="shared" si="2"/>
        <v>970.58823529411757</v>
      </c>
      <c r="L16" s="32">
        <f t="shared" si="3"/>
        <v>0.2156862745098039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1</v>
      </c>
      <c r="B17" s="10" t="s">
        <v>23</v>
      </c>
      <c r="C17" s="11" t="s">
        <v>26</v>
      </c>
      <c r="D17" s="13">
        <v>27000</v>
      </c>
      <c r="E17" s="13">
        <f t="shared" si="0"/>
        <v>27000</v>
      </c>
      <c r="F17" s="2"/>
      <c r="G17" s="2"/>
      <c r="H17" s="2"/>
      <c r="I17" s="13">
        <v>16000</v>
      </c>
      <c r="J17" s="13">
        <f t="shared" si="1"/>
        <v>16000</v>
      </c>
      <c r="K17" s="13">
        <f t="shared" si="2"/>
        <v>11000</v>
      </c>
      <c r="L17" s="32">
        <f t="shared" si="3"/>
        <v>0.40740740740740738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4</v>
      </c>
      <c r="B18" s="10" t="s">
        <v>21</v>
      </c>
      <c r="C18" s="11" t="s">
        <v>34</v>
      </c>
      <c r="D18" s="13">
        <v>5000</v>
      </c>
      <c r="E18" s="13">
        <f t="shared" si="0"/>
        <v>20000</v>
      </c>
      <c r="F18" s="2"/>
      <c r="G18" s="2"/>
      <c r="H18" s="2"/>
      <c r="I18" s="13">
        <v>2000</v>
      </c>
      <c r="J18" s="13">
        <f t="shared" si="1"/>
        <v>8000</v>
      </c>
      <c r="K18" s="13">
        <f t="shared" si="2"/>
        <v>12000</v>
      </c>
      <c r="L18" s="35">
        <f t="shared" si="3"/>
        <v>0.6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0.5</v>
      </c>
      <c r="B19" s="10" t="s">
        <v>23</v>
      </c>
      <c r="C19" s="11" t="s">
        <v>81</v>
      </c>
      <c r="D19" s="13">
        <v>14000</v>
      </c>
      <c r="E19" s="13">
        <f t="shared" si="0"/>
        <v>7000</v>
      </c>
      <c r="F19" s="2"/>
      <c r="G19" s="2"/>
      <c r="H19" s="2"/>
      <c r="I19" s="13">
        <f>7000</f>
        <v>7000</v>
      </c>
      <c r="J19" s="13">
        <f t="shared" si="1"/>
        <v>3500</v>
      </c>
      <c r="K19" s="13">
        <f t="shared" si="2"/>
        <v>3500</v>
      </c>
      <c r="L19" s="35">
        <f t="shared" si="3"/>
        <v>0.5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3</v>
      </c>
      <c r="B20" s="10" t="s">
        <v>17</v>
      </c>
      <c r="C20" s="11" t="s">
        <v>16</v>
      </c>
      <c r="D20" s="13">
        <v>1000</v>
      </c>
      <c r="E20" s="13">
        <f t="shared" si="0"/>
        <v>3000</v>
      </c>
      <c r="F20" s="2"/>
      <c r="G20" s="2"/>
      <c r="H20" s="2"/>
      <c r="I20" s="13">
        <f>8000/15</f>
        <v>533.33333333333337</v>
      </c>
      <c r="J20" s="13">
        <f t="shared" si="1"/>
        <v>1600</v>
      </c>
      <c r="K20" s="13">
        <f t="shared" si="2"/>
        <v>1400</v>
      </c>
      <c r="L20" s="32">
        <f t="shared" si="3"/>
        <v>0.46666666666666667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1</v>
      </c>
      <c r="B21" s="10" t="s">
        <v>17</v>
      </c>
      <c r="C21" s="11" t="s">
        <v>162</v>
      </c>
      <c r="D21" s="13">
        <v>4500</v>
      </c>
      <c r="E21" s="13">
        <f t="shared" si="0"/>
        <v>4500</v>
      </c>
      <c r="F21" s="2"/>
      <c r="G21" s="2"/>
      <c r="H21" s="2"/>
      <c r="I21" s="13">
        <f>12120/3</f>
        <v>4040</v>
      </c>
      <c r="J21" s="13">
        <f t="shared" si="1"/>
        <v>4040</v>
      </c>
      <c r="K21" s="13">
        <f t="shared" si="2"/>
        <v>460</v>
      </c>
      <c r="L21" s="32">
        <f t="shared" si="3"/>
        <v>0.10222222222222223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5"/>
      <c r="B22" s="2"/>
      <c r="C22" s="4"/>
      <c r="D22" s="2"/>
      <c r="E22" s="2"/>
      <c r="F22" s="2"/>
      <c r="G22" s="4"/>
      <c r="H22" s="2"/>
      <c r="I22" s="2"/>
      <c r="J22" s="2"/>
      <c r="K22" s="2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"/>
      <c r="B23" s="2"/>
      <c r="C23" s="4"/>
      <c r="D23" s="2"/>
      <c r="E23" s="13">
        <f>SUM(E7:E21)</f>
        <v>316100</v>
      </c>
      <c r="F23" s="2"/>
      <c r="G23" s="2"/>
      <c r="H23" s="2"/>
      <c r="I23" s="2"/>
      <c r="J23" s="2"/>
      <c r="K23" s="13">
        <f>SUM(K7:K21)</f>
        <v>74703.137254901958</v>
      </c>
      <c r="L23" s="14">
        <f>K23/E23</f>
        <v>0.23632754588706725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6" t="s">
        <v>121</v>
      </c>
      <c r="B26" s="1"/>
      <c r="C26" s="1"/>
      <c r="D26" s="22" t="s">
        <v>1077</v>
      </c>
      <c r="E26" s="8">
        <v>46125</v>
      </c>
      <c r="F26" s="24" t="s">
        <v>37</v>
      </c>
      <c r="G26" s="2"/>
      <c r="H26" s="2"/>
      <c r="I26" s="2"/>
      <c r="J26" s="2"/>
      <c r="K26" s="2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2"/>
      <c r="C27" s="4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6" t="s">
        <v>3</v>
      </c>
      <c r="B28" s="10" t="s">
        <v>4</v>
      </c>
      <c r="C28" s="11" t="s">
        <v>5</v>
      </c>
      <c r="D28" s="10" t="s">
        <v>6</v>
      </c>
      <c r="E28" s="10" t="s">
        <v>7</v>
      </c>
      <c r="F28" s="2"/>
      <c r="G28" s="2"/>
      <c r="H28" s="2"/>
      <c r="I28" s="10" t="s">
        <v>6</v>
      </c>
      <c r="J28" s="10" t="s">
        <v>7</v>
      </c>
      <c r="K28" s="10" t="s">
        <v>10</v>
      </c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1</v>
      </c>
      <c r="B29" s="10" t="s">
        <v>21</v>
      </c>
      <c r="C29" s="11" t="s">
        <v>51</v>
      </c>
      <c r="D29" s="13">
        <v>1500</v>
      </c>
      <c r="E29" s="13">
        <f t="shared" ref="E29:E34" si="4">A29*D29</f>
        <v>1500</v>
      </c>
      <c r="F29" s="2"/>
      <c r="G29" s="2"/>
      <c r="H29" s="2"/>
      <c r="I29" s="13">
        <f>10000/12</f>
        <v>833.33333333333337</v>
      </c>
      <c r="J29" s="13">
        <f t="shared" ref="J29:J34" si="5">I29*A29</f>
        <v>833.33333333333337</v>
      </c>
      <c r="K29" s="13">
        <f t="shared" ref="K29:K34" si="6">E29-J29</f>
        <v>666.66666666666663</v>
      </c>
      <c r="L29" s="21">
        <f t="shared" ref="L29:L34" si="7">K29/E29</f>
        <v>0.44444444444444442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2</v>
      </c>
      <c r="B30" s="10" t="s">
        <v>17</v>
      </c>
      <c r="C30" s="11" t="s">
        <v>87</v>
      </c>
      <c r="D30" s="13">
        <v>3000</v>
      </c>
      <c r="E30" s="13">
        <f t="shared" si="4"/>
        <v>6000</v>
      </c>
      <c r="F30" s="2"/>
      <c r="G30" s="2"/>
      <c r="H30" s="2"/>
      <c r="I30" s="13">
        <f>28000/17</f>
        <v>1647.0588235294117</v>
      </c>
      <c r="J30" s="13">
        <f t="shared" si="5"/>
        <v>3294.1176470588234</v>
      </c>
      <c r="K30" s="13">
        <f t="shared" si="6"/>
        <v>2705.8823529411766</v>
      </c>
      <c r="L30" s="21">
        <f t="shared" si="7"/>
        <v>0.45098039215686275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1</v>
      </c>
      <c r="B31" s="10" t="s">
        <v>17</v>
      </c>
      <c r="C31" s="11" t="s">
        <v>25</v>
      </c>
      <c r="D31" s="13">
        <v>4500</v>
      </c>
      <c r="E31" s="13">
        <f t="shared" si="4"/>
        <v>4500</v>
      </c>
      <c r="F31" s="2"/>
      <c r="G31" s="2"/>
      <c r="H31" s="2"/>
      <c r="I31" s="13">
        <f>60000/17</f>
        <v>3529.4117647058824</v>
      </c>
      <c r="J31" s="13">
        <f t="shared" si="5"/>
        <v>3529.4117647058824</v>
      </c>
      <c r="K31" s="13">
        <f t="shared" si="6"/>
        <v>970.58823529411757</v>
      </c>
      <c r="L31" s="21">
        <f t="shared" si="7"/>
        <v>0.2156862745098039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1</v>
      </c>
      <c r="B32" s="10" t="s">
        <v>21</v>
      </c>
      <c r="C32" s="11" t="s">
        <v>112</v>
      </c>
      <c r="D32" s="13">
        <v>3000</v>
      </c>
      <c r="E32" s="13">
        <f t="shared" si="4"/>
        <v>3000</v>
      </c>
      <c r="F32" s="2"/>
      <c r="G32" s="2"/>
      <c r="H32" s="2"/>
      <c r="I32" s="13">
        <v>2000</v>
      </c>
      <c r="J32" s="13">
        <f t="shared" si="5"/>
        <v>2000</v>
      </c>
      <c r="K32" s="13">
        <f t="shared" si="6"/>
        <v>1000</v>
      </c>
      <c r="L32" s="21">
        <f t="shared" si="7"/>
        <v>0.33333333333333331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1</v>
      </c>
      <c r="B33" s="10" t="s">
        <v>23</v>
      </c>
      <c r="C33" s="11" t="s">
        <v>26</v>
      </c>
      <c r="D33" s="13">
        <v>27000</v>
      </c>
      <c r="E33" s="13">
        <f t="shared" si="4"/>
        <v>27000</v>
      </c>
      <c r="F33" s="2"/>
      <c r="G33" s="2"/>
      <c r="H33" s="2"/>
      <c r="I33" s="13">
        <v>16000</v>
      </c>
      <c r="J33" s="13">
        <f t="shared" si="5"/>
        <v>16000</v>
      </c>
      <c r="K33" s="13">
        <f t="shared" si="6"/>
        <v>11000</v>
      </c>
      <c r="L33" s="21">
        <f t="shared" si="7"/>
        <v>0.40740740740740738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1</v>
      </c>
      <c r="B34" s="10" t="s">
        <v>17</v>
      </c>
      <c r="C34" s="11" t="s">
        <v>1078</v>
      </c>
      <c r="D34" s="13">
        <v>1000</v>
      </c>
      <c r="E34" s="13">
        <f t="shared" si="4"/>
        <v>1000</v>
      </c>
      <c r="F34" s="2"/>
      <c r="G34" s="2"/>
      <c r="H34" s="2"/>
      <c r="I34" s="13">
        <f>2000/3</f>
        <v>666.66666666666663</v>
      </c>
      <c r="J34" s="13">
        <f t="shared" si="5"/>
        <v>666.66666666666663</v>
      </c>
      <c r="K34" s="13">
        <f t="shared" si="6"/>
        <v>333.33333333333337</v>
      </c>
      <c r="L34" s="21">
        <f t="shared" si="7"/>
        <v>0.33333333333333337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5"/>
      <c r="B35" s="2"/>
      <c r="C35" s="4"/>
      <c r="D35" s="2"/>
      <c r="E35" s="2"/>
      <c r="F35" s="2"/>
      <c r="G35" s="4"/>
      <c r="H35" s="2"/>
      <c r="I35" s="2"/>
      <c r="J35" s="2"/>
      <c r="K35" s="2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"/>
      <c r="B36" s="2"/>
      <c r="C36" s="4"/>
      <c r="D36" s="2"/>
      <c r="E36" s="13">
        <f>SUM(E29:E34)</f>
        <v>43000</v>
      </c>
      <c r="F36" s="2"/>
      <c r="G36" s="2"/>
      <c r="H36" s="2"/>
      <c r="I36" s="2"/>
      <c r="J36" s="2"/>
      <c r="K36" s="13">
        <f>SUM(K29:K34)</f>
        <v>16676.470588235294</v>
      </c>
      <c r="L36" s="14">
        <f>K36/E36</f>
        <v>0.38782489740082077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6" t="s">
        <v>116</v>
      </c>
      <c r="B40" s="1"/>
      <c r="C40" s="1"/>
      <c r="D40" s="22" t="s">
        <v>1079</v>
      </c>
      <c r="E40" s="8">
        <v>46125</v>
      </c>
      <c r="F40" s="24" t="s">
        <v>37</v>
      </c>
      <c r="G40" s="2"/>
      <c r="H40" s="2"/>
      <c r="I40" s="2"/>
      <c r="J40" s="2"/>
      <c r="K40" s="2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2"/>
      <c r="C41" s="4"/>
      <c r="D41" s="2"/>
      <c r="E41" s="2"/>
      <c r="F41" s="2"/>
      <c r="G41" s="2"/>
      <c r="H41" s="2"/>
      <c r="I41" s="2"/>
      <c r="J41" s="2"/>
      <c r="K41" s="2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6" t="s">
        <v>3</v>
      </c>
      <c r="B42" s="10" t="s">
        <v>4</v>
      </c>
      <c r="C42" s="11" t="s">
        <v>5</v>
      </c>
      <c r="D42" s="10" t="s">
        <v>6</v>
      </c>
      <c r="E42" s="10" t="s">
        <v>7</v>
      </c>
      <c r="F42" s="2"/>
      <c r="G42" s="2"/>
      <c r="H42" s="2"/>
      <c r="I42" s="10" t="s">
        <v>6</v>
      </c>
      <c r="J42" s="10" t="s">
        <v>7</v>
      </c>
      <c r="K42" s="10" t="s">
        <v>10</v>
      </c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10</v>
      </c>
      <c r="B43" s="10" t="s">
        <v>17</v>
      </c>
      <c r="C43" s="11" t="s">
        <v>88</v>
      </c>
      <c r="D43" s="13">
        <v>2400</v>
      </c>
      <c r="E43" s="13">
        <f t="shared" ref="E43:E57" si="8">A43*D43</f>
        <v>24000</v>
      </c>
      <c r="F43" s="2"/>
      <c r="G43" s="2"/>
      <c r="H43" s="2"/>
      <c r="I43" s="13">
        <f>16000/14</f>
        <v>1142.8571428571429</v>
      </c>
      <c r="J43" s="13">
        <f t="shared" ref="J43:J57" si="9">I43*A43</f>
        <v>11428.571428571429</v>
      </c>
      <c r="K43" s="13">
        <f t="shared" ref="K43:K57" si="10">E43-J43</f>
        <v>12571.428571428571</v>
      </c>
      <c r="L43" s="14">
        <f t="shared" ref="L43:L57" si="11">K43/E43</f>
        <v>0.52380952380952372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10</v>
      </c>
      <c r="B44" s="10" t="s">
        <v>17</v>
      </c>
      <c r="C44" s="11" t="s">
        <v>26</v>
      </c>
      <c r="D44" s="13">
        <v>1800</v>
      </c>
      <c r="E44" s="13">
        <f t="shared" si="8"/>
        <v>18000</v>
      </c>
      <c r="F44" s="2"/>
      <c r="G44" s="2"/>
      <c r="H44" s="2"/>
      <c r="I44" s="13">
        <f>16000/15</f>
        <v>1066.6666666666667</v>
      </c>
      <c r="J44" s="13">
        <f t="shared" si="9"/>
        <v>10666.666666666668</v>
      </c>
      <c r="K44" s="13">
        <f t="shared" si="10"/>
        <v>7333.3333333333321</v>
      </c>
      <c r="L44" s="14">
        <f t="shared" si="11"/>
        <v>0.40740740740740733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8</v>
      </c>
      <c r="B45" s="10" t="s">
        <v>17</v>
      </c>
      <c r="C45" s="11" t="s">
        <v>123</v>
      </c>
      <c r="D45" s="13">
        <v>3000</v>
      </c>
      <c r="E45" s="13">
        <f t="shared" si="8"/>
        <v>24000</v>
      </c>
      <c r="F45" s="2"/>
      <c r="G45" s="2"/>
      <c r="H45" s="2"/>
      <c r="I45" s="13">
        <f>32000/15</f>
        <v>2133.3333333333335</v>
      </c>
      <c r="J45" s="13">
        <f t="shared" si="9"/>
        <v>17066.666666666668</v>
      </c>
      <c r="K45" s="13">
        <f t="shared" si="10"/>
        <v>6933.3333333333321</v>
      </c>
      <c r="L45" s="14">
        <f t="shared" si="11"/>
        <v>0.28888888888888886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3</v>
      </c>
      <c r="B46" s="10" t="s">
        <v>23</v>
      </c>
      <c r="C46" s="11" t="s">
        <v>22</v>
      </c>
      <c r="D46" s="13">
        <v>17000</v>
      </c>
      <c r="E46" s="13">
        <f t="shared" si="8"/>
        <v>51000</v>
      </c>
      <c r="F46" s="2"/>
      <c r="G46" s="2"/>
      <c r="H46" s="2"/>
      <c r="I46" s="13">
        <v>13000</v>
      </c>
      <c r="J46" s="13">
        <f t="shared" si="9"/>
        <v>39000</v>
      </c>
      <c r="K46" s="13">
        <f t="shared" si="10"/>
        <v>12000</v>
      </c>
      <c r="L46" s="14">
        <f t="shared" si="11"/>
        <v>0.23529411764705882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6</v>
      </c>
      <c r="B47" s="10" t="s">
        <v>17</v>
      </c>
      <c r="C47" s="11" t="s">
        <v>39</v>
      </c>
      <c r="D47" s="13">
        <v>2200</v>
      </c>
      <c r="E47" s="13">
        <f t="shared" si="8"/>
        <v>13200</v>
      </c>
      <c r="F47" s="2"/>
      <c r="G47" s="2"/>
      <c r="H47" s="2"/>
      <c r="I47" s="13">
        <f>11000/15</f>
        <v>733.33333333333337</v>
      </c>
      <c r="J47" s="13">
        <f t="shared" si="9"/>
        <v>4400</v>
      </c>
      <c r="K47" s="13">
        <f t="shared" si="10"/>
        <v>8800</v>
      </c>
      <c r="L47" s="14">
        <f t="shared" si="11"/>
        <v>0.66666666666666663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2</v>
      </c>
      <c r="B48" s="10" t="s">
        <v>15</v>
      </c>
      <c r="C48" s="11" t="s">
        <v>27</v>
      </c>
      <c r="D48" s="13">
        <v>25000</v>
      </c>
      <c r="E48" s="13">
        <f t="shared" si="8"/>
        <v>50000</v>
      </c>
      <c r="F48" s="2"/>
      <c r="G48" s="2"/>
      <c r="H48" s="2"/>
      <c r="I48" s="13">
        <v>18000</v>
      </c>
      <c r="J48" s="13">
        <f t="shared" si="9"/>
        <v>36000</v>
      </c>
      <c r="K48" s="13">
        <f t="shared" si="10"/>
        <v>14000</v>
      </c>
      <c r="L48" s="14">
        <f t="shared" si="11"/>
        <v>0.28000000000000003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1.5</v>
      </c>
      <c r="B49" s="10" t="s">
        <v>17</v>
      </c>
      <c r="C49" s="11" t="s">
        <v>110</v>
      </c>
      <c r="D49" s="13">
        <v>4000</v>
      </c>
      <c r="E49" s="13">
        <f t="shared" si="8"/>
        <v>6000</v>
      </c>
      <c r="F49" s="2"/>
      <c r="G49" s="2"/>
      <c r="H49" s="2"/>
      <c r="I49" s="13">
        <v>2000</v>
      </c>
      <c r="J49" s="13">
        <f t="shared" si="9"/>
        <v>3000</v>
      </c>
      <c r="K49" s="13">
        <f t="shared" si="10"/>
        <v>3000</v>
      </c>
      <c r="L49" s="14">
        <f t="shared" si="11"/>
        <v>0.5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7</v>
      </c>
      <c r="B50" s="10" t="s">
        <v>17</v>
      </c>
      <c r="C50" s="11" t="s">
        <v>40</v>
      </c>
      <c r="D50" s="13">
        <v>1300</v>
      </c>
      <c r="E50" s="13">
        <f t="shared" si="8"/>
        <v>9100</v>
      </c>
      <c r="F50" s="2"/>
      <c r="G50" s="2"/>
      <c r="H50" s="2"/>
      <c r="I50" s="13">
        <v>750</v>
      </c>
      <c r="J50" s="13">
        <f t="shared" si="9"/>
        <v>5250</v>
      </c>
      <c r="K50" s="13">
        <f t="shared" si="10"/>
        <v>3850</v>
      </c>
      <c r="L50" s="14">
        <f t="shared" si="11"/>
        <v>0.42307692307692307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1</v>
      </c>
      <c r="B51" s="10" t="s">
        <v>21</v>
      </c>
      <c r="C51" s="11" t="s">
        <v>64</v>
      </c>
      <c r="D51" s="13">
        <v>2500</v>
      </c>
      <c r="E51" s="13">
        <f t="shared" si="8"/>
        <v>2500</v>
      </c>
      <c r="F51" s="2"/>
      <c r="G51" s="2"/>
      <c r="H51" s="2"/>
      <c r="I51" s="13">
        <f>9000/8</f>
        <v>1125</v>
      </c>
      <c r="J51" s="13">
        <f t="shared" si="9"/>
        <v>1125</v>
      </c>
      <c r="K51" s="13">
        <f t="shared" si="10"/>
        <v>1375</v>
      </c>
      <c r="L51" s="14">
        <f t="shared" si="11"/>
        <v>0.55000000000000004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3</v>
      </c>
      <c r="B52" s="10" t="s">
        <v>17</v>
      </c>
      <c r="C52" s="11" t="s">
        <v>77</v>
      </c>
      <c r="D52" s="13">
        <v>2400</v>
      </c>
      <c r="E52" s="13">
        <f t="shared" si="8"/>
        <v>7200</v>
      </c>
      <c r="F52" s="2"/>
      <c r="G52" s="2"/>
      <c r="H52" s="2"/>
      <c r="I52" s="13">
        <f>20000/11</f>
        <v>1818.1818181818182</v>
      </c>
      <c r="J52" s="13">
        <f t="shared" si="9"/>
        <v>5454.545454545455</v>
      </c>
      <c r="K52" s="13">
        <f t="shared" si="10"/>
        <v>1745.454545454545</v>
      </c>
      <c r="L52" s="14">
        <f t="shared" si="11"/>
        <v>0.24242424242424238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3</v>
      </c>
      <c r="B53" s="10" t="s">
        <v>4</v>
      </c>
      <c r="C53" s="11" t="s">
        <v>114</v>
      </c>
      <c r="D53" s="13">
        <v>3000</v>
      </c>
      <c r="E53" s="13">
        <f t="shared" si="8"/>
        <v>9000</v>
      </c>
      <c r="F53" s="2"/>
      <c r="G53" s="2"/>
      <c r="H53" s="2"/>
      <c r="I53" s="13">
        <f>14000/10</f>
        <v>1400</v>
      </c>
      <c r="J53" s="13">
        <f t="shared" si="9"/>
        <v>4200</v>
      </c>
      <c r="K53" s="13">
        <f t="shared" si="10"/>
        <v>4800</v>
      </c>
      <c r="L53" s="14">
        <f t="shared" si="11"/>
        <v>0.53333333333333333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1</v>
      </c>
      <c r="B54" s="10" t="s">
        <v>21</v>
      </c>
      <c r="C54" s="11" t="s">
        <v>51</v>
      </c>
      <c r="D54" s="13">
        <v>1500</v>
      </c>
      <c r="E54" s="13">
        <f t="shared" si="8"/>
        <v>1500</v>
      </c>
      <c r="F54" s="2"/>
      <c r="G54" s="2"/>
      <c r="H54" s="2"/>
      <c r="I54" s="13">
        <f>10000/12</f>
        <v>833.33333333333337</v>
      </c>
      <c r="J54" s="13">
        <f t="shared" si="9"/>
        <v>833.33333333333337</v>
      </c>
      <c r="K54" s="13">
        <f t="shared" si="10"/>
        <v>666.66666666666663</v>
      </c>
      <c r="L54" s="14">
        <f t="shared" si="11"/>
        <v>0.44444444444444442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3</v>
      </c>
      <c r="B55" s="10" t="s">
        <v>17</v>
      </c>
      <c r="C55" s="11" t="s">
        <v>31</v>
      </c>
      <c r="D55" s="13">
        <v>2800</v>
      </c>
      <c r="E55" s="13">
        <f t="shared" si="8"/>
        <v>8400</v>
      </c>
      <c r="F55" s="2"/>
      <c r="G55" s="2"/>
      <c r="H55" s="2"/>
      <c r="I55" s="17">
        <f>15000/8</f>
        <v>1875</v>
      </c>
      <c r="J55" s="13">
        <f t="shared" si="9"/>
        <v>5625</v>
      </c>
      <c r="K55" s="13">
        <f t="shared" si="10"/>
        <v>2775</v>
      </c>
      <c r="L55" s="14">
        <f t="shared" si="11"/>
        <v>0.33035714285714285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2</v>
      </c>
      <c r="B56" s="10" t="s">
        <v>17</v>
      </c>
      <c r="C56" s="11" t="s">
        <v>18</v>
      </c>
      <c r="D56" s="13">
        <v>1600</v>
      </c>
      <c r="E56" s="13">
        <f t="shared" si="8"/>
        <v>3200</v>
      </c>
      <c r="F56" s="2"/>
      <c r="G56" s="2"/>
      <c r="H56" s="2"/>
      <c r="I56" s="13">
        <f>12000/15</f>
        <v>800</v>
      </c>
      <c r="J56" s="13">
        <f t="shared" si="9"/>
        <v>1600</v>
      </c>
      <c r="K56" s="13">
        <f t="shared" si="10"/>
        <v>1600</v>
      </c>
      <c r="L56" s="14">
        <f t="shared" si="11"/>
        <v>0.5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3</v>
      </c>
      <c r="B57" s="10" t="s">
        <v>17</v>
      </c>
      <c r="C57" s="11" t="s">
        <v>113</v>
      </c>
      <c r="D57" s="13">
        <v>4000</v>
      </c>
      <c r="E57" s="13">
        <f t="shared" si="8"/>
        <v>12000</v>
      </c>
      <c r="F57" s="2"/>
      <c r="G57" s="2"/>
      <c r="H57" s="2"/>
      <c r="I57" s="13">
        <v>2000</v>
      </c>
      <c r="J57" s="13">
        <f t="shared" si="9"/>
        <v>6000</v>
      </c>
      <c r="K57" s="13">
        <f t="shared" si="10"/>
        <v>6000</v>
      </c>
      <c r="L57" s="14">
        <f t="shared" si="11"/>
        <v>0.5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"/>
      <c r="B58" s="2"/>
      <c r="C58" s="4"/>
      <c r="D58" s="2"/>
      <c r="E58" s="2"/>
      <c r="F58" s="2"/>
      <c r="G58" s="4"/>
      <c r="H58" s="2"/>
      <c r="I58" s="2"/>
      <c r="J58" s="2"/>
      <c r="K58" s="2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"/>
      <c r="B59" s="2"/>
      <c r="C59" s="4"/>
      <c r="D59" s="2"/>
      <c r="E59" s="13">
        <f>SUM(E43:E57)</f>
        <v>239100</v>
      </c>
      <c r="F59" s="2"/>
      <c r="G59" s="2"/>
      <c r="H59" s="2"/>
      <c r="I59" s="2"/>
      <c r="J59" s="2"/>
      <c r="K59" s="13">
        <f>SUM(K43:K57)</f>
        <v>87450.216450216452</v>
      </c>
      <c r="L59" s="14">
        <f>K59/E59</f>
        <v>0.3657474548315201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6" t="s">
        <v>149</v>
      </c>
      <c r="B62" s="1"/>
      <c r="C62" s="1"/>
      <c r="D62" s="22" t="s">
        <v>185</v>
      </c>
      <c r="E62" s="8">
        <v>46125</v>
      </c>
      <c r="F62" s="24" t="s">
        <v>37</v>
      </c>
      <c r="G62" s="2"/>
      <c r="H62" s="2"/>
      <c r="I62" s="2"/>
      <c r="J62" s="2"/>
      <c r="K62" s="2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2"/>
      <c r="C63" s="4"/>
      <c r="D63" s="2"/>
      <c r="E63" s="2"/>
      <c r="F63" s="2"/>
      <c r="G63" s="2"/>
      <c r="H63" s="2"/>
      <c r="I63" s="2"/>
      <c r="J63" s="2"/>
      <c r="K63" s="2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6" t="s">
        <v>3</v>
      </c>
      <c r="B64" s="10" t="s">
        <v>4</v>
      </c>
      <c r="C64" s="11" t="s">
        <v>5</v>
      </c>
      <c r="D64" s="10" t="s">
        <v>6</v>
      </c>
      <c r="E64" s="10" t="s">
        <v>7</v>
      </c>
      <c r="F64" s="2"/>
      <c r="G64" s="2"/>
      <c r="H64" s="2"/>
      <c r="I64" s="10" t="s">
        <v>6</v>
      </c>
      <c r="J64" s="10" t="s">
        <v>7</v>
      </c>
      <c r="K64" s="10" t="s">
        <v>10</v>
      </c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4</v>
      </c>
      <c r="B65" s="10" t="s">
        <v>15</v>
      </c>
      <c r="C65" s="11" t="s">
        <v>27</v>
      </c>
      <c r="D65" s="13">
        <v>25000</v>
      </c>
      <c r="E65" s="13">
        <f t="shared" ref="E65:E79" si="12">A65*D65</f>
        <v>100000</v>
      </c>
      <c r="F65" s="2"/>
      <c r="G65" s="2"/>
      <c r="H65" s="2"/>
      <c r="I65" s="13">
        <v>18000</v>
      </c>
      <c r="J65" s="13">
        <f t="shared" ref="J65:J79" si="13">I65*A65</f>
        <v>72000</v>
      </c>
      <c r="K65" s="13">
        <f t="shared" ref="K65:K79" si="14">E65-J65</f>
        <v>28000</v>
      </c>
      <c r="L65" s="14">
        <f t="shared" ref="L65:L79" si="15">K65/E65</f>
        <v>0.28000000000000003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4</v>
      </c>
      <c r="B66" s="10" t="s">
        <v>17</v>
      </c>
      <c r="C66" s="11" t="s">
        <v>31</v>
      </c>
      <c r="D66" s="13">
        <v>2800</v>
      </c>
      <c r="E66" s="13">
        <f t="shared" si="12"/>
        <v>11200</v>
      </c>
      <c r="F66" s="2"/>
      <c r="G66" s="2"/>
      <c r="H66" s="2"/>
      <c r="I66" s="13">
        <f>15000/8</f>
        <v>1875</v>
      </c>
      <c r="J66" s="13">
        <f t="shared" si="13"/>
        <v>7500</v>
      </c>
      <c r="K66" s="13">
        <f t="shared" si="14"/>
        <v>3700</v>
      </c>
      <c r="L66" s="14">
        <f t="shared" si="15"/>
        <v>0.33035714285714285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1</v>
      </c>
      <c r="B67" s="10" t="s">
        <v>23</v>
      </c>
      <c r="C67" s="11" t="s">
        <v>46</v>
      </c>
      <c r="D67" s="13">
        <v>12000</v>
      </c>
      <c r="E67" s="13">
        <f t="shared" si="12"/>
        <v>12000</v>
      </c>
      <c r="F67" s="2"/>
      <c r="G67" s="2"/>
      <c r="H67" s="2"/>
      <c r="I67" s="13">
        <v>8000</v>
      </c>
      <c r="J67" s="13">
        <f t="shared" si="13"/>
        <v>8000</v>
      </c>
      <c r="K67" s="13">
        <f t="shared" si="14"/>
        <v>4000</v>
      </c>
      <c r="L67" s="14">
        <f t="shared" si="15"/>
        <v>0.33333333333333331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0.5</v>
      </c>
      <c r="B68" s="10" t="s">
        <v>23</v>
      </c>
      <c r="C68" s="11" t="s">
        <v>118</v>
      </c>
      <c r="D68" s="13">
        <v>12000</v>
      </c>
      <c r="E68" s="13">
        <f t="shared" si="12"/>
        <v>6000</v>
      </c>
      <c r="F68" s="2"/>
      <c r="G68" s="2"/>
      <c r="H68" s="2"/>
      <c r="I68" s="13">
        <v>8000</v>
      </c>
      <c r="J68" s="13">
        <f t="shared" si="13"/>
        <v>4000</v>
      </c>
      <c r="K68" s="13">
        <f t="shared" si="14"/>
        <v>2000</v>
      </c>
      <c r="L68" s="14">
        <f t="shared" si="15"/>
        <v>0.33333333333333331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1.5</v>
      </c>
      <c r="B69" s="10" t="s">
        <v>17</v>
      </c>
      <c r="C69" s="11" t="s">
        <v>110</v>
      </c>
      <c r="D69" s="13">
        <v>4000</v>
      </c>
      <c r="E69" s="13">
        <f t="shared" si="12"/>
        <v>6000</v>
      </c>
      <c r="F69" s="2"/>
      <c r="G69" s="2"/>
      <c r="H69" s="2"/>
      <c r="I69" s="13">
        <v>2000</v>
      </c>
      <c r="J69" s="13">
        <f t="shared" si="13"/>
        <v>3000</v>
      </c>
      <c r="K69" s="13">
        <f t="shared" si="14"/>
        <v>3000</v>
      </c>
      <c r="L69" s="14">
        <f t="shared" si="15"/>
        <v>0.5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6</v>
      </c>
      <c r="B70" s="10" t="s">
        <v>17</v>
      </c>
      <c r="C70" s="11" t="s">
        <v>39</v>
      </c>
      <c r="D70" s="13">
        <v>2200</v>
      </c>
      <c r="E70" s="13">
        <f t="shared" si="12"/>
        <v>13200</v>
      </c>
      <c r="F70" s="2"/>
      <c r="G70" s="2"/>
      <c r="H70" s="2"/>
      <c r="I70" s="13">
        <f>11000/15</f>
        <v>733.33333333333337</v>
      </c>
      <c r="J70" s="13">
        <f t="shared" si="13"/>
        <v>4400</v>
      </c>
      <c r="K70" s="13">
        <f t="shared" si="14"/>
        <v>8800</v>
      </c>
      <c r="L70" s="14">
        <f t="shared" si="15"/>
        <v>0.66666666666666663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1</v>
      </c>
      <c r="B71" s="10" t="s">
        <v>21</v>
      </c>
      <c r="C71" s="11" t="s">
        <v>51</v>
      </c>
      <c r="D71" s="13">
        <v>1500</v>
      </c>
      <c r="E71" s="13">
        <f t="shared" si="12"/>
        <v>1500</v>
      </c>
      <c r="F71" s="2"/>
      <c r="G71" s="2"/>
      <c r="H71" s="2"/>
      <c r="I71" s="13">
        <f>10000/12</f>
        <v>833.33333333333337</v>
      </c>
      <c r="J71" s="13">
        <f t="shared" si="13"/>
        <v>833.33333333333337</v>
      </c>
      <c r="K71" s="13">
        <f t="shared" si="14"/>
        <v>666.66666666666663</v>
      </c>
      <c r="L71" s="14">
        <f t="shared" si="15"/>
        <v>0.44444444444444442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2.5</v>
      </c>
      <c r="B72" s="10" t="s">
        <v>1080</v>
      </c>
      <c r="C72" s="11" t="s">
        <v>16</v>
      </c>
      <c r="D72" s="13">
        <v>1200</v>
      </c>
      <c r="E72" s="13">
        <f t="shared" si="12"/>
        <v>3000</v>
      </c>
      <c r="F72" s="2"/>
      <c r="G72" s="2"/>
      <c r="H72" s="2"/>
      <c r="I72" s="13">
        <f>8000/15</f>
        <v>533.33333333333337</v>
      </c>
      <c r="J72" s="13">
        <f t="shared" si="13"/>
        <v>1333.3333333333335</v>
      </c>
      <c r="K72" s="13">
        <f t="shared" si="14"/>
        <v>1666.6666666666665</v>
      </c>
      <c r="L72" s="14">
        <f t="shared" si="15"/>
        <v>0.55555555555555547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1</v>
      </c>
      <c r="B73" s="10" t="s">
        <v>21</v>
      </c>
      <c r="C73" s="11" t="s">
        <v>64</v>
      </c>
      <c r="D73" s="13">
        <v>2500</v>
      </c>
      <c r="E73" s="13">
        <f t="shared" si="12"/>
        <v>2500</v>
      </c>
      <c r="F73" s="2"/>
      <c r="G73" s="2"/>
      <c r="H73" s="2"/>
      <c r="I73" s="13">
        <f t="shared" ref="I73:I74" si="16">9000/8</f>
        <v>1125</v>
      </c>
      <c r="J73" s="13">
        <f t="shared" si="13"/>
        <v>1125</v>
      </c>
      <c r="K73" s="13">
        <f t="shared" si="14"/>
        <v>1375</v>
      </c>
      <c r="L73" s="14">
        <f t="shared" si="15"/>
        <v>0.55000000000000004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0.5</v>
      </c>
      <c r="B74" s="10" t="s">
        <v>17</v>
      </c>
      <c r="C74" s="11" t="s">
        <v>35</v>
      </c>
      <c r="D74" s="13">
        <v>2000</v>
      </c>
      <c r="E74" s="13">
        <f t="shared" si="12"/>
        <v>1000</v>
      </c>
      <c r="F74" s="2"/>
      <c r="G74" s="2"/>
      <c r="H74" s="2"/>
      <c r="I74" s="13">
        <f t="shared" si="16"/>
        <v>1125</v>
      </c>
      <c r="J74" s="13">
        <f t="shared" si="13"/>
        <v>562.5</v>
      </c>
      <c r="K74" s="13">
        <f t="shared" si="14"/>
        <v>437.5</v>
      </c>
      <c r="L74" s="14">
        <f t="shared" si="15"/>
        <v>0.4375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3</v>
      </c>
      <c r="B75" s="10" t="s">
        <v>23</v>
      </c>
      <c r="C75" s="11" t="s">
        <v>22</v>
      </c>
      <c r="D75" s="13">
        <v>17000</v>
      </c>
      <c r="E75" s="13">
        <f t="shared" si="12"/>
        <v>51000</v>
      </c>
      <c r="F75" s="2"/>
      <c r="G75" s="2"/>
      <c r="H75" s="2"/>
      <c r="I75" s="13">
        <v>13000</v>
      </c>
      <c r="J75" s="13">
        <f t="shared" si="13"/>
        <v>39000</v>
      </c>
      <c r="K75" s="13">
        <f t="shared" si="14"/>
        <v>12000</v>
      </c>
      <c r="L75" s="14">
        <f t="shared" si="15"/>
        <v>0.23529411764705882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</v>
      </c>
      <c r="B76" s="10" t="s">
        <v>17</v>
      </c>
      <c r="C76" s="11" t="s">
        <v>113</v>
      </c>
      <c r="D76" s="13">
        <v>4000</v>
      </c>
      <c r="E76" s="13">
        <f t="shared" si="12"/>
        <v>4000</v>
      </c>
      <c r="F76" s="2"/>
      <c r="G76" s="2"/>
      <c r="H76" s="2"/>
      <c r="I76" s="13">
        <v>2000</v>
      </c>
      <c r="J76" s="13">
        <f t="shared" si="13"/>
        <v>2000</v>
      </c>
      <c r="K76" s="13">
        <f t="shared" si="14"/>
        <v>2000</v>
      </c>
      <c r="L76" s="14">
        <f t="shared" si="15"/>
        <v>0.5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2</v>
      </c>
      <c r="B77" s="10" t="s">
        <v>21</v>
      </c>
      <c r="C77" s="11" t="s">
        <v>112</v>
      </c>
      <c r="D77" s="13">
        <v>3000</v>
      </c>
      <c r="E77" s="13">
        <f t="shared" si="12"/>
        <v>6000</v>
      </c>
      <c r="F77" s="2"/>
      <c r="G77" s="2"/>
      <c r="H77" s="2"/>
      <c r="I77" s="13">
        <v>2000</v>
      </c>
      <c r="J77" s="13">
        <f t="shared" si="13"/>
        <v>4000</v>
      </c>
      <c r="K77" s="13">
        <f t="shared" si="14"/>
        <v>2000</v>
      </c>
      <c r="L77" s="14">
        <f t="shared" si="15"/>
        <v>0.33333333333333331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0.5</v>
      </c>
      <c r="B78" s="10" t="s">
        <v>23</v>
      </c>
      <c r="C78" s="11" t="s">
        <v>88</v>
      </c>
      <c r="D78" s="13">
        <v>26000</v>
      </c>
      <c r="E78" s="13">
        <f t="shared" si="12"/>
        <v>13000</v>
      </c>
      <c r="F78" s="2"/>
      <c r="G78" s="2"/>
      <c r="H78" s="2"/>
      <c r="I78" s="13">
        <v>16000</v>
      </c>
      <c r="J78" s="13">
        <f t="shared" si="13"/>
        <v>8000</v>
      </c>
      <c r="K78" s="13">
        <f t="shared" si="14"/>
        <v>5000</v>
      </c>
      <c r="L78" s="14">
        <f t="shared" si="15"/>
        <v>0.38461538461538464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0.5</v>
      </c>
      <c r="B79" s="10" t="s">
        <v>23</v>
      </c>
      <c r="C79" s="11" t="s">
        <v>26</v>
      </c>
      <c r="D79" s="13">
        <v>22000</v>
      </c>
      <c r="E79" s="13">
        <f t="shared" si="12"/>
        <v>11000</v>
      </c>
      <c r="F79" s="2"/>
      <c r="G79" s="2"/>
      <c r="H79" s="2"/>
      <c r="I79" s="13">
        <v>16000</v>
      </c>
      <c r="J79" s="13">
        <f t="shared" si="13"/>
        <v>8000</v>
      </c>
      <c r="K79" s="13">
        <f t="shared" si="14"/>
        <v>3000</v>
      </c>
      <c r="L79" s="14">
        <f t="shared" si="15"/>
        <v>0.27272727272727271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"/>
      <c r="B80" s="2"/>
      <c r="C80" s="4"/>
      <c r="D80" s="2"/>
      <c r="E80" s="2"/>
      <c r="F80" s="2"/>
      <c r="G80" s="4"/>
      <c r="H80" s="2"/>
      <c r="I80" s="2"/>
      <c r="J80" s="2"/>
      <c r="K80" s="2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"/>
      <c r="B81" s="2"/>
      <c r="C81" s="4"/>
      <c r="D81" s="2"/>
      <c r="E81" s="13">
        <f>SUM(E65:E79)</f>
        <v>241400</v>
      </c>
      <c r="F81" s="2"/>
      <c r="G81" s="2"/>
      <c r="H81" s="2"/>
      <c r="I81" s="2"/>
      <c r="J81" s="2"/>
      <c r="K81" s="13">
        <f>SUM(K65:K79)</f>
        <v>77645.833333333328</v>
      </c>
      <c r="L81" s="14">
        <f>K81/E81</f>
        <v>0.32164802540734599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0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0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6" t="s">
        <v>131</v>
      </c>
      <c r="B84" s="1"/>
      <c r="C84" s="1"/>
      <c r="D84" s="12" t="s">
        <v>953</v>
      </c>
      <c r="E84" s="8">
        <v>46125</v>
      </c>
      <c r="F84" s="15" t="s">
        <v>37</v>
      </c>
      <c r="G84" s="2"/>
      <c r="H84" s="2"/>
      <c r="I84" s="2"/>
      <c r="J84" s="2"/>
      <c r="K84" s="2"/>
      <c r="L84" s="3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"/>
      <c r="B85" s="2"/>
      <c r="C85" s="1"/>
      <c r="D85" s="2"/>
      <c r="E85" s="2"/>
      <c r="F85" s="2"/>
      <c r="G85" s="2"/>
      <c r="H85" s="2"/>
      <c r="I85" s="2"/>
      <c r="J85" s="2"/>
      <c r="K85" s="2"/>
      <c r="L85" s="3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6" t="s">
        <v>3</v>
      </c>
      <c r="B86" s="10" t="s">
        <v>4</v>
      </c>
      <c r="C86" s="6" t="s">
        <v>5</v>
      </c>
      <c r="D86" s="10" t="s">
        <v>6</v>
      </c>
      <c r="E86" s="10" t="s">
        <v>7</v>
      </c>
      <c r="F86" s="2"/>
      <c r="G86" s="2"/>
      <c r="H86" s="2"/>
      <c r="I86" s="10" t="s">
        <v>6</v>
      </c>
      <c r="J86" s="10" t="s">
        <v>7</v>
      </c>
      <c r="K86" s="10" t="s">
        <v>10</v>
      </c>
      <c r="L86" s="3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2</v>
      </c>
      <c r="B87" s="10" t="s">
        <v>21</v>
      </c>
      <c r="C87" s="6" t="s">
        <v>42</v>
      </c>
      <c r="D87" s="13">
        <v>4000</v>
      </c>
      <c r="E87" s="13">
        <f t="shared" ref="E87:E101" si="17">A87*D87</f>
        <v>8000</v>
      </c>
      <c r="F87" s="2"/>
      <c r="G87" s="2"/>
      <c r="H87" s="7" t="s">
        <v>107</v>
      </c>
      <c r="I87" s="13"/>
      <c r="J87" s="13">
        <f t="shared" ref="J87:J101" si="18">I87*A87</f>
        <v>0</v>
      </c>
      <c r="K87" s="13">
        <f t="shared" ref="K87:K101" si="19">E87-J87</f>
        <v>8000</v>
      </c>
      <c r="L87" s="14">
        <f t="shared" ref="L87:L101" si="20">K87/E87</f>
        <v>1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3</v>
      </c>
      <c r="B88" s="10" t="s">
        <v>21</v>
      </c>
      <c r="C88" s="6" t="s">
        <v>28</v>
      </c>
      <c r="D88" s="13">
        <v>3500</v>
      </c>
      <c r="E88" s="13">
        <f t="shared" si="17"/>
        <v>10500</v>
      </c>
      <c r="F88" s="2"/>
      <c r="G88" s="2"/>
      <c r="H88" s="7"/>
      <c r="I88" s="13">
        <v>2500</v>
      </c>
      <c r="J88" s="13">
        <f t="shared" si="18"/>
        <v>7500</v>
      </c>
      <c r="K88" s="13">
        <f t="shared" si="19"/>
        <v>3000</v>
      </c>
      <c r="L88" s="14">
        <f t="shared" si="20"/>
        <v>0.2857142857142857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2</v>
      </c>
      <c r="B89" s="10" t="s">
        <v>21</v>
      </c>
      <c r="C89" s="6" t="s">
        <v>133</v>
      </c>
      <c r="D89" s="13">
        <v>2500</v>
      </c>
      <c r="E89" s="13">
        <f t="shared" si="17"/>
        <v>5000</v>
      </c>
      <c r="F89" s="2"/>
      <c r="G89" s="2"/>
      <c r="H89" s="2"/>
      <c r="I89" s="13">
        <f>2500/6</f>
        <v>416.66666666666669</v>
      </c>
      <c r="J89" s="13">
        <f t="shared" si="18"/>
        <v>833.33333333333337</v>
      </c>
      <c r="K89" s="13">
        <f t="shared" si="19"/>
        <v>4166.666666666667</v>
      </c>
      <c r="L89" s="14">
        <f t="shared" si="20"/>
        <v>0.83333333333333337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4</v>
      </c>
      <c r="C90" s="6" t="s">
        <v>64</v>
      </c>
      <c r="D90" s="13">
        <v>2500</v>
      </c>
      <c r="E90" s="13">
        <f t="shared" si="17"/>
        <v>2500</v>
      </c>
      <c r="F90" s="2"/>
      <c r="G90" s="2"/>
      <c r="H90" s="2"/>
      <c r="I90" s="13">
        <f>9000/8</f>
        <v>1125</v>
      </c>
      <c r="J90" s="13">
        <f t="shared" si="18"/>
        <v>1125</v>
      </c>
      <c r="K90" s="13">
        <f t="shared" si="19"/>
        <v>1375</v>
      </c>
      <c r="L90" s="14">
        <f t="shared" si="20"/>
        <v>0.55000000000000004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2</v>
      </c>
      <c r="B91" s="10" t="s">
        <v>17</v>
      </c>
      <c r="C91" s="6" t="s">
        <v>30</v>
      </c>
      <c r="D91" s="13">
        <v>1200</v>
      </c>
      <c r="E91" s="13">
        <f t="shared" si="17"/>
        <v>2400</v>
      </c>
      <c r="F91" s="2"/>
      <c r="G91" s="2"/>
      <c r="H91" s="7" t="s">
        <v>107</v>
      </c>
      <c r="I91" s="13"/>
      <c r="J91" s="13">
        <f t="shared" si="18"/>
        <v>0</v>
      </c>
      <c r="K91" s="13">
        <f t="shared" si="19"/>
        <v>2400</v>
      </c>
      <c r="L91" s="14">
        <f t="shared" si="20"/>
        <v>1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1</v>
      </c>
      <c r="B92" s="10" t="s">
        <v>100</v>
      </c>
      <c r="C92" s="6" t="s">
        <v>134</v>
      </c>
      <c r="D92" s="13">
        <v>6000</v>
      </c>
      <c r="E92" s="13">
        <f t="shared" si="17"/>
        <v>6000</v>
      </c>
      <c r="F92" s="2"/>
      <c r="G92" s="2"/>
      <c r="H92" s="7"/>
      <c r="I92" s="13">
        <v>4500</v>
      </c>
      <c r="J92" s="13">
        <f t="shared" si="18"/>
        <v>4500</v>
      </c>
      <c r="K92" s="13">
        <f t="shared" si="19"/>
        <v>1500</v>
      </c>
      <c r="L92" s="14">
        <f t="shared" si="20"/>
        <v>0.25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0.5</v>
      </c>
      <c r="B93" s="10" t="s">
        <v>17</v>
      </c>
      <c r="C93" s="6" t="s">
        <v>138</v>
      </c>
      <c r="D93" s="13">
        <v>12000</v>
      </c>
      <c r="E93" s="13">
        <f t="shared" si="17"/>
        <v>6000</v>
      </c>
      <c r="F93" s="2"/>
      <c r="G93" s="2"/>
      <c r="H93" s="2"/>
      <c r="I93" s="13">
        <v>8000</v>
      </c>
      <c r="J93" s="13">
        <f t="shared" si="18"/>
        <v>4000</v>
      </c>
      <c r="K93" s="13">
        <f t="shared" si="19"/>
        <v>2000</v>
      </c>
      <c r="L93" s="14">
        <f t="shared" si="20"/>
        <v>0.33333333333333331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3</v>
      </c>
      <c r="B94" s="10" t="s">
        <v>17</v>
      </c>
      <c r="C94" s="6" t="s">
        <v>31</v>
      </c>
      <c r="D94" s="13">
        <v>2800</v>
      </c>
      <c r="E94" s="13">
        <f t="shared" si="17"/>
        <v>8400</v>
      </c>
      <c r="F94" s="2"/>
      <c r="G94" s="2"/>
      <c r="H94" s="7"/>
      <c r="I94" s="13">
        <f>15000/8</f>
        <v>1875</v>
      </c>
      <c r="J94" s="13">
        <f t="shared" si="18"/>
        <v>5625</v>
      </c>
      <c r="K94" s="13">
        <f t="shared" si="19"/>
        <v>2775</v>
      </c>
      <c r="L94" s="14">
        <f t="shared" si="20"/>
        <v>0.33035714285714285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2</v>
      </c>
      <c r="B95" s="10" t="s">
        <v>17</v>
      </c>
      <c r="C95" s="6" t="s">
        <v>32</v>
      </c>
      <c r="D95" s="13">
        <v>2800</v>
      </c>
      <c r="E95" s="13">
        <f t="shared" si="17"/>
        <v>5600</v>
      </c>
      <c r="F95" s="2"/>
      <c r="G95" s="2"/>
      <c r="H95" s="7"/>
      <c r="I95" s="13">
        <f>13000/7</f>
        <v>1857.1428571428571</v>
      </c>
      <c r="J95" s="13">
        <f t="shared" si="18"/>
        <v>3714.2857142857142</v>
      </c>
      <c r="K95" s="13">
        <f t="shared" si="19"/>
        <v>1885.7142857142858</v>
      </c>
      <c r="L95" s="14">
        <f t="shared" si="20"/>
        <v>0.33673469387755101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2</v>
      </c>
      <c r="B96" s="10" t="s">
        <v>17</v>
      </c>
      <c r="C96" s="6" t="s">
        <v>33</v>
      </c>
      <c r="D96" s="13">
        <v>3000</v>
      </c>
      <c r="E96" s="13">
        <f t="shared" si="17"/>
        <v>6000</v>
      </c>
      <c r="F96" s="2"/>
      <c r="G96" s="2"/>
      <c r="H96" s="7"/>
      <c r="I96" s="13">
        <f>14000/7</f>
        <v>2000</v>
      </c>
      <c r="J96" s="13">
        <f t="shared" si="18"/>
        <v>4000</v>
      </c>
      <c r="K96" s="13">
        <f t="shared" si="19"/>
        <v>2000</v>
      </c>
      <c r="L96" s="14">
        <f t="shared" si="20"/>
        <v>0.33333333333333331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3</v>
      </c>
      <c r="B97" s="10" t="s">
        <v>17</v>
      </c>
      <c r="C97" s="6" t="s">
        <v>61</v>
      </c>
      <c r="D97" s="13">
        <v>2800</v>
      </c>
      <c r="E97" s="13">
        <f t="shared" si="17"/>
        <v>8400</v>
      </c>
      <c r="F97" s="2"/>
      <c r="G97" s="2"/>
      <c r="H97" s="7"/>
      <c r="I97" s="13">
        <f>28000/14</f>
        <v>2000</v>
      </c>
      <c r="J97" s="13">
        <f t="shared" si="18"/>
        <v>6000</v>
      </c>
      <c r="K97" s="13">
        <f t="shared" si="19"/>
        <v>2400</v>
      </c>
      <c r="L97" s="14">
        <f t="shared" si="20"/>
        <v>0.2857142857142857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0.5</v>
      </c>
      <c r="B98" s="10" t="s">
        <v>17</v>
      </c>
      <c r="C98" s="6" t="s">
        <v>139</v>
      </c>
      <c r="D98" s="13">
        <v>22000</v>
      </c>
      <c r="E98" s="13">
        <f t="shared" si="17"/>
        <v>11000</v>
      </c>
      <c r="F98" s="2"/>
      <c r="G98" s="2"/>
      <c r="H98" s="7"/>
      <c r="I98" s="13">
        <v>15000</v>
      </c>
      <c r="J98" s="13">
        <f t="shared" si="18"/>
        <v>7500</v>
      </c>
      <c r="K98" s="13">
        <f t="shared" si="19"/>
        <v>3500</v>
      </c>
      <c r="L98" s="14">
        <f t="shared" si="20"/>
        <v>0.31818181818181818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3</v>
      </c>
      <c r="B99" s="10" t="s">
        <v>17</v>
      </c>
      <c r="C99" s="6" t="s">
        <v>18</v>
      </c>
      <c r="D99" s="13">
        <v>1600</v>
      </c>
      <c r="E99" s="13">
        <f t="shared" si="17"/>
        <v>4800</v>
      </c>
      <c r="F99" s="2"/>
      <c r="G99" s="2"/>
      <c r="H99" s="7"/>
      <c r="I99" s="13">
        <f>12000/15</f>
        <v>800</v>
      </c>
      <c r="J99" s="13">
        <f t="shared" si="18"/>
        <v>2400</v>
      </c>
      <c r="K99" s="13">
        <f t="shared" si="19"/>
        <v>2400</v>
      </c>
      <c r="L99" s="14">
        <f t="shared" si="20"/>
        <v>0.5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0.5</v>
      </c>
      <c r="B100" s="10" t="s">
        <v>17</v>
      </c>
      <c r="C100" s="6" t="s">
        <v>73</v>
      </c>
      <c r="D100" s="13">
        <v>1200</v>
      </c>
      <c r="E100" s="13">
        <f t="shared" si="17"/>
        <v>600</v>
      </c>
      <c r="F100" s="2"/>
      <c r="G100" s="2"/>
      <c r="H100" s="7" t="s">
        <v>107</v>
      </c>
      <c r="I100" s="13"/>
      <c r="J100" s="13">
        <f t="shared" si="18"/>
        <v>0</v>
      </c>
      <c r="K100" s="13">
        <f t="shared" si="19"/>
        <v>600</v>
      </c>
      <c r="L100" s="14">
        <f t="shared" si="20"/>
        <v>1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86</v>
      </c>
      <c r="C101" s="6" t="s">
        <v>88</v>
      </c>
      <c r="D101" s="13">
        <v>26000</v>
      </c>
      <c r="E101" s="13">
        <f t="shared" si="17"/>
        <v>26000</v>
      </c>
      <c r="F101" s="2"/>
      <c r="G101" s="2"/>
      <c r="H101" s="7"/>
      <c r="I101" s="13">
        <f>16000</f>
        <v>16000</v>
      </c>
      <c r="J101" s="13">
        <f t="shared" si="18"/>
        <v>16000</v>
      </c>
      <c r="K101" s="13">
        <f t="shared" si="19"/>
        <v>10000</v>
      </c>
      <c r="L101" s="14">
        <f t="shared" si="20"/>
        <v>0.38461538461538464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"/>
      <c r="B102" s="2"/>
      <c r="C102" s="1"/>
      <c r="D102" s="2"/>
      <c r="E102" s="2"/>
      <c r="F102" s="2"/>
      <c r="G102" s="1"/>
      <c r="H102" s="2"/>
      <c r="I102" s="2"/>
      <c r="J102" s="2"/>
      <c r="K102" s="2"/>
      <c r="L102" s="3"/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"/>
      <c r="B103" s="2"/>
      <c r="C103" s="1"/>
      <c r="D103" s="2"/>
      <c r="E103" s="13">
        <f>SUM(E87:E102)</f>
        <v>111200</v>
      </c>
      <c r="F103" s="2"/>
      <c r="G103" s="2"/>
      <c r="H103" s="2"/>
      <c r="I103" s="2"/>
      <c r="J103" s="2"/>
      <c r="K103" s="13">
        <f>SUM(K87:K101)</f>
        <v>48002.380952380954</v>
      </c>
      <c r="L103" s="14">
        <f>K103/E103</f>
        <v>0.43167608770126759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0"/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0"/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6" t="s">
        <v>157</v>
      </c>
      <c r="B106" s="6"/>
      <c r="C106" s="6"/>
      <c r="D106" s="22" t="s">
        <v>982</v>
      </c>
      <c r="E106" s="8">
        <v>46125</v>
      </c>
      <c r="F106" s="24"/>
      <c r="G106" s="2"/>
      <c r="H106" s="2"/>
      <c r="I106" s="2"/>
      <c r="J106" s="13"/>
      <c r="K106" s="13"/>
      <c r="L106" s="14"/>
      <c r="M106" s="4"/>
      <c r="N106" s="2"/>
      <c r="O106" s="4"/>
      <c r="P106" s="2"/>
      <c r="Q106" s="2"/>
      <c r="R106" s="4"/>
      <c r="S106" s="2"/>
      <c r="T106" s="2"/>
      <c r="U106" s="1"/>
      <c r="V106" s="2"/>
      <c r="W106" s="2"/>
      <c r="X106" s="2"/>
      <c r="Y106" s="2"/>
      <c r="Z106" s="2"/>
    </row>
    <row r="107" spans="1:26" ht="15.75" customHeight="1" x14ac:dyDescent="0.2">
      <c r="B107" s="2"/>
      <c r="C107" s="4"/>
      <c r="D107" s="2"/>
      <c r="E107" s="2"/>
      <c r="F107" s="2"/>
      <c r="G107" s="2"/>
      <c r="H107" s="2"/>
      <c r="I107" s="2"/>
      <c r="J107" s="13"/>
      <c r="K107" s="13"/>
      <c r="L107" s="14"/>
      <c r="M107" s="4"/>
      <c r="N107" s="2"/>
      <c r="O107" s="4"/>
      <c r="P107" s="2"/>
      <c r="Q107" s="2"/>
      <c r="R107" s="4"/>
      <c r="S107" s="2"/>
      <c r="T107" s="2"/>
      <c r="U107" s="1"/>
      <c r="V107" s="2"/>
      <c r="W107" s="2"/>
      <c r="X107" s="2"/>
      <c r="Y107" s="2"/>
      <c r="Z107" s="2"/>
    </row>
    <row r="108" spans="1:26" ht="15.75" customHeight="1" x14ac:dyDescent="0.2">
      <c r="A108" s="6" t="s">
        <v>3</v>
      </c>
      <c r="B108" s="10" t="s">
        <v>4</v>
      </c>
      <c r="C108" s="11" t="s">
        <v>5</v>
      </c>
      <c r="D108" s="10" t="s">
        <v>6</v>
      </c>
      <c r="E108" s="10" t="s">
        <v>7</v>
      </c>
      <c r="F108" s="10"/>
      <c r="G108" s="2"/>
      <c r="H108" s="2"/>
      <c r="I108" s="10" t="s">
        <v>6</v>
      </c>
      <c r="J108" s="10" t="s">
        <v>7</v>
      </c>
      <c r="K108" s="10" t="s">
        <v>10</v>
      </c>
      <c r="L108" s="14"/>
      <c r="M108" s="4"/>
      <c r="N108" s="2"/>
      <c r="O108" s="4"/>
      <c r="P108" s="2"/>
      <c r="Q108" s="2"/>
      <c r="R108" s="4"/>
      <c r="S108" s="2"/>
      <c r="T108" s="2"/>
      <c r="U108" s="1"/>
      <c r="V108" s="2"/>
      <c r="W108" s="2"/>
      <c r="X108" s="2"/>
      <c r="Y108" s="2"/>
      <c r="Z108" s="2"/>
    </row>
    <row r="109" spans="1:26" ht="15.75" customHeight="1" x14ac:dyDescent="0.2">
      <c r="A109" s="12">
        <v>1</v>
      </c>
      <c r="B109" s="10" t="s">
        <v>15</v>
      </c>
      <c r="C109" s="11" t="s">
        <v>135</v>
      </c>
      <c r="D109" s="13">
        <v>16000</v>
      </c>
      <c r="E109" s="13">
        <f t="shared" ref="E109:E128" si="21">A109*D109</f>
        <v>16000</v>
      </c>
      <c r="F109" s="13"/>
      <c r="G109" s="2"/>
      <c r="H109" s="7"/>
      <c r="I109" s="13">
        <v>13000</v>
      </c>
      <c r="J109" s="13">
        <f t="shared" ref="J109:J128" si="22">I109*A109</f>
        <v>13000</v>
      </c>
      <c r="K109" s="13">
        <f t="shared" ref="K109:K128" si="23">E109-J109</f>
        <v>3000</v>
      </c>
      <c r="L109" s="14">
        <f t="shared" ref="L109:L128" si="24">K109/E109</f>
        <v>0.1875</v>
      </c>
      <c r="M109" s="4"/>
      <c r="N109" s="2"/>
      <c r="O109" s="4"/>
      <c r="P109" s="2"/>
      <c r="Q109" s="2"/>
      <c r="R109" s="4"/>
      <c r="S109" s="2"/>
      <c r="T109" s="2"/>
      <c r="U109" s="1"/>
      <c r="V109" s="2"/>
      <c r="W109" s="2"/>
      <c r="X109" s="2"/>
      <c r="Y109" s="2"/>
      <c r="Z109" s="2"/>
    </row>
    <row r="110" spans="1:26" ht="15.75" customHeight="1" x14ac:dyDescent="0.2">
      <c r="A110" s="12">
        <v>1</v>
      </c>
      <c r="B110" s="10" t="s">
        <v>15</v>
      </c>
      <c r="C110" s="11" t="s">
        <v>56</v>
      </c>
      <c r="D110" s="13">
        <v>15000</v>
      </c>
      <c r="E110" s="13">
        <f t="shared" si="21"/>
        <v>15000</v>
      </c>
      <c r="F110" s="13"/>
      <c r="G110" s="2"/>
      <c r="H110" s="7"/>
      <c r="I110" s="13">
        <v>13000</v>
      </c>
      <c r="J110" s="13">
        <f t="shared" si="22"/>
        <v>13000</v>
      </c>
      <c r="K110" s="13">
        <f t="shared" si="23"/>
        <v>2000</v>
      </c>
      <c r="L110" s="14">
        <f t="shared" si="24"/>
        <v>0.13333333333333333</v>
      </c>
      <c r="M110" s="4"/>
      <c r="N110" s="2"/>
      <c r="O110" s="4"/>
      <c r="P110" s="2"/>
      <c r="Q110" s="2"/>
      <c r="R110" s="4"/>
      <c r="S110" s="2"/>
      <c r="T110" s="2"/>
      <c r="U110" s="1"/>
      <c r="V110" s="2"/>
      <c r="W110" s="2"/>
      <c r="X110" s="2"/>
      <c r="Y110" s="2"/>
      <c r="Z110" s="2"/>
    </row>
    <row r="111" spans="1:26" ht="15.75" customHeight="1" x14ac:dyDescent="0.2">
      <c r="A111" s="12">
        <v>1</v>
      </c>
      <c r="B111" s="10" t="s">
        <v>15</v>
      </c>
      <c r="C111" s="11" t="s">
        <v>16</v>
      </c>
      <c r="D111" s="13">
        <v>12000</v>
      </c>
      <c r="E111" s="13">
        <f t="shared" si="21"/>
        <v>12000</v>
      </c>
      <c r="F111" s="13"/>
      <c r="G111" s="2"/>
      <c r="H111" s="7"/>
      <c r="I111" s="13">
        <v>8000</v>
      </c>
      <c r="J111" s="13">
        <f t="shared" si="22"/>
        <v>8000</v>
      </c>
      <c r="K111" s="13">
        <f t="shared" si="23"/>
        <v>4000</v>
      </c>
      <c r="L111" s="14">
        <f t="shared" si="24"/>
        <v>0.33333333333333331</v>
      </c>
      <c r="M111" s="4"/>
      <c r="N111" s="2"/>
      <c r="O111" s="4"/>
      <c r="P111" s="2"/>
      <c r="Q111" s="2"/>
      <c r="R111" s="4"/>
      <c r="S111" s="2"/>
      <c r="T111" s="2"/>
      <c r="U111" s="1"/>
      <c r="V111" s="2"/>
      <c r="W111" s="2"/>
      <c r="X111" s="2"/>
      <c r="Y111" s="2"/>
      <c r="Z111" s="2"/>
    </row>
    <row r="112" spans="1:26" ht="15.75" customHeight="1" x14ac:dyDescent="0.2">
      <c r="A112" s="12">
        <v>1</v>
      </c>
      <c r="B112" s="10" t="s">
        <v>23</v>
      </c>
      <c r="C112" s="11" t="s">
        <v>99</v>
      </c>
      <c r="D112" s="13">
        <v>12000</v>
      </c>
      <c r="E112" s="13">
        <f t="shared" si="21"/>
        <v>12000</v>
      </c>
      <c r="F112" s="13"/>
      <c r="G112" s="2"/>
      <c r="H112" s="7"/>
      <c r="I112" s="13">
        <v>7000</v>
      </c>
      <c r="J112" s="13">
        <f t="shared" si="22"/>
        <v>7000</v>
      </c>
      <c r="K112" s="13">
        <f t="shared" si="23"/>
        <v>5000</v>
      </c>
      <c r="L112" s="14">
        <f t="shared" si="24"/>
        <v>0.41666666666666669</v>
      </c>
      <c r="M112" s="4"/>
      <c r="N112" s="2"/>
      <c r="O112" s="4"/>
      <c r="P112" s="2"/>
      <c r="Q112" s="2"/>
      <c r="R112" s="4"/>
      <c r="S112" s="2"/>
      <c r="T112" s="2"/>
      <c r="U112" s="1"/>
      <c r="V112" s="2"/>
      <c r="W112" s="2"/>
      <c r="X112" s="2"/>
      <c r="Y112" s="2"/>
      <c r="Z112" s="2"/>
    </row>
    <row r="113" spans="1:26" ht="15.75" customHeight="1" x14ac:dyDescent="0.2">
      <c r="A113" s="12">
        <v>0.5</v>
      </c>
      <c r="B113" s="10" t="s">
        <v>23</v>
      </c>
      <c r="C113" s="11" t="s">
        <v>61</v>
      </c>
      <c r="D113" s="13">
        <v>32000</v>
      </c>
      <c r="E113" s="13">
        <f t="shared" si="21"/>
        <v>16000</v>
      </c>
      <c r="F113" s="13"/>
      <c r="G113" s="2"/>
      <c r="H113" s="7"/>
      <c r="I113" s="13">
        <v>28000</v>
      </c>
      <c r="J113" s="13">
        <f t="shared" si="22"/>
        <v>14000</v>
      </c>
      <c r="K113" s="13">
        <f t="shared" si="23"/>
        <v>2000</v>
      </c>
      <c r="L113" s="14">
        <f t="shared" si="24"/>
        <v>0.125</v>
      </c>
      <c r="M113" s="4"/>
      <c r="N113" s="2"/>
      <c r="O113" s="4"/>
      <c r="P113" s="2"/>
      <c r="Q113" s="2"/>
      <c r="R113" s="4"/>
      <c r="S113" s="2"/>
      <c r="T113" s="2"/>
      <c r="U113" s="1"/>
      <c r="V113" s="2"/>
      <c r="W113" s="2"/>
      <c r="X113" s="2"/>
      <c r="Y113" s="2"/>
      <c r="Z113" s="2"/>
    </row>
    <row r="114" spans="1:26" ht="15.75" customHeight="1" x14ac:dyDescent="0.2">
      <c r="A114" s="12">
        <v>1</v>
      </c>
      <c r="B114" s="10" t="s">
        <v>23</v>
      </c>
      <c r="C114" s="11" t="s">
        <v>39</v>
      </c>
      <c r="D114" s="13">
        <v>16000</v>
      </c>
      <c r="E114" s="13">
        <f t="shared" si="21"/>
        <v>16000</v>
      </c>
      <c r="F114" s="13"/>
      <c r="G114" s="2"/>
      <c r="H114" s="7"/>
      <c r="I114" s="13">
        <v>11000</v>
      </c>
      <c r="J114" s="13">
        <f t="shared" si="22"/>
        <v>11000</v>
      </c>
      <c r="K114" s="13">
        <f t="shared" si="23"/>
        <v>5000</v>
      </c>
      <c r="L114" s="14">
        <f t="shared" si="24"/>
        <v>0.3125</v>
      </c>
      <c r="M114" s="4"/>
      <c r="N114" s="2"/>
      <c r="O114" s="4"/>
      <c r="P114" s="2"/>
      <c r="Q114" s="2"/>
      <c r="R114" s="4"/>
      <c r="S114" s="2"/>
      <c r="T114" s="2"/>
      <c r="U114" s="1"/>
      <c r="V114" s="2"/>
      <c r="W114" s="2"/>
      <c r="X114" s="2"/>
      <c r="Y114" s="2"/>
      <c r="Z114" s="2"/>
    </row>
    <row r="115" spans="1:26" ht="15.75" customHeight="1" x14ac:dyDescent="0.2">
      <c r="A115" s="12">
        <v>1</v>
      </c>
      <c r="B115" s="10" t="s">
        <v>23</v>
      </c>
      <c r="C115" s="11" t="s">
        <v>14</v>
      </c>
      <c r="D115" s="13">
        <v>22000</v>
      </c>
      <c r="E115" s="13">
        <f t="shared" si="21"/>
        <v>22000</v>
      </c>
      <c r="F115" s="13"/>
      <c r="G115" s="2"/>
      <c r="H115" s="7"/>
      <c r="I115" s="13">
        <v>18000</v>
      </c>
      <c r="J115" s="13">
        <f t="shared" si="22"/>
        <v>18000</v>
      </c>
      <c r="K115" s="13">
        <f t="shared" si="23"/>
        <v>4000</v>
      </c>
      <c r="L115" s="14">
        <f t="shared" si="24"/>
        <v>0.18181818181818182</v>
      </c>
      <c r="M115" s="4"/>
      <c r="N115" s="2"/>
      <c r="O115" s="4"/>
      <c r="P115" s="2"/>
      <c r="Q115" s="2"/>
      <c r="R115" s="4"/>
      <c r="S115" s="2"/>
      <c r="T115" s="2"/>
      <c r="U115" s="1"/>
      <c r="V115" s="2"/>
      <c r="W115" s="2"/>
      <c r="X115" s="2"/>
      <c r="Y115" s="2"/>
      <c r="Z115" s="2"/>
    </row>
    <row r="116" spans="1:26" ht="15.75" customHeight="1" x14ac:dyDescent="0.2">
      <c r="A116" s="12">
        <v>1</v>
      </c>
      <c r="B116" s="10" t="s">
        <v>23</v>
      </c>
      <c r="C116" s="11" t="s">
        <v>22</v>
      </c>
      <c r="D116" s="13">
        <v>16000</v>
      </c>
      <c r="E116" s="13">
        <f t="shared" si="21"/>
        <v>16000</v>
      </c>
      <c r="F116" s="13"/>
      <c r="G116" s="2"/>
      <c r="H116" s="7"/>
      <c r="I116" s="13">
        <v>13000</v>
      </c>
      <c r="J116" s="13">
        <f t="shared" si="22"/>
        <v>13000</v>
      </c>
      <c r="K116" s="13">
        <f t="shared" si="23"/>
        <v>3000</v>
      </c>
      <c r="L116" s="14">
        <f t="shared" si="24"/>
        <v>0.1875</v>
      </c>
      <c r="M116" s="4"/>
      <c r="N116" s="2"/>
      <c r="O116" s="4"/>
      <c r="P116" s="2"/>
      <c r="Q116" s="2"/>
      <c r="R116" s="4"/>
      <c r="S116" s="2"/>
      <c r="T116" s="2"/>
      <c r="U116" s="1"/>
      <c r="V116" s="2"/>
      <c r="W116" s="2"/>
      <c r="X116" s="2"/>
      <c r="Y116" s="2"/>
      <c r="Z116" s="2"/>
    </row>
    <row r="117" spans="1:26" ht="15.75" customHeight="1" x14ac:dyDescent="0.2">
      <c r="A117" s="12">
        <v>1</v>
      </c>
      <c r="B117" s="10" t="s">
        <v>15</v>
      </c>
      <c r="C117" s="11" t="s">
        <v>40</v>
      </c>
      <c r="D117" s="13">
        <v>12000</v>
      </c>
      <c r="E117" s="13">
        <f t="shared" si="21"/>
        <v>12000</v>
      </c>
      <c r="F117" s="13"/>
      <c r="G117" s="2"/>
      <c r="H117" s="7"/>
      <c r="I117" s="13">
        <v>6000</v>
      </c>
      <c r="J117" s="13">
        <f t="shared" si="22"/>
        <v>6000</v>
      </c>
      <c r="K117" s="13">
        <f t="shared" si="23"/>
        <v>6000</v>
      </c>
      <c r="L117" s="14">
        <f t="shared" si="24"/>
        <v>0.5</v>
      </c>
      <c r="M117" s="4"/>
      <c r="N117" s="2"/>
      <c r="O117" s="4"/>
      <c r="P117" s="2"/>
      <c r="Q117" s="2"/>
      <c r="R117" s="4"/>
      <c r="S117" s="2"/>
      <c r="T117" s="2"/>
      <c r="U117" s="1"/>
      <c r="V117" s="2"/>
      <c r="W117" s="2"/>
      <c r="X117" s="2"/>
      <c r="Y117" s="2"/>
      <c r="Z117" s="2"/>
    </row>
    <row r="118" spans="1:26" ht="15.75" customHeight="1" x14ac:dyDescent="0.2">
      <c r="A118" s="12">
        <v>4</v>
      </c>
      <c r="B118" s="10" t="s">
        <v>21</v>
      </c>
      <c r="C118" s="11" t="s">
        <v>46</v>
      </c>
      <c r="D118" s="13">
        <v>500</v>
      </c>
      <c r="E118" s="13">
        <f t="shared" si="21"/>
        <v>2000</v>
      </c>
      <c r="F118" s="13"/>
      <c r="G118" s="2"/>
      <c r="H118" s="7"/>
      <c r="I118" s="13">
        <f>2000/6</f>
        <v>333.33333333333331</v>
      </c>
      <c r="J118" s="13">
        <f t="shared" si="22"/>
        <v>1333.3333333333333</v>
      </c>
      <c r="K118" s="13">
        <f t="shared" si="23"/>
        <v>666.66666666666674</v>
      </c>
      <c r="L118" s="14">
        <f t="shared" si="24"/>
        <v>0.33333333333333337</v>
      </c>
      <c r="M118" s="4"/>
      <c r="N118" s="2"/>
      <c r="O118" s="4"/>
      <c r="P118" s="2"/>
      <c r="Q118" s="2"/>
      <c r="R118" s="4"/>
      <c r="S118" s="2"/>
      <c r="T118" s="2"/>
      <c r="U118" s="1"/>
      <c r="V118" s="2"/>
      <c r="W118" s="2"/>
      <c r="X118" s="2"/>
      <c r="Y118" s="2"/>
      <c r="Z118" s="2"/>
    </row>
    <row r="119" spans="1:26" ht="15.75" customHeight="1" x14ac:dyDescent="0.2">
      <c r="A119" s="12">
        <v>5</v>
      </c>
      <c r="B119" s="10" t="s">
        <v>17</v>
      </c>
      <c r="C119" s="11" t="s">
        <v>74</v>
      </c>
      <c r="D119" s="13">
        <v>4000</v>
      </c>
      <c r="E119" s="13">
        <f t="shared" si="21"/>
        <v>20000</v>
      </c>
      <c r="F119" s="13" t="s">
        <v>37</v>
      </c>
      <c r="G119" s="2"/>
      <c r="H119" s="7"/>
      <c r="I119" s="13">
        <f>50000/17</f>
        <v>2941.1764705882351</v>
      </c>
      <c r="J119" s="13">
        <f t="shared" si="22"/>
        <v>14705.882352941175</v>
      </c>
      <c r="K119" s="13">
        <f t="shared" si="23"/>
        <v>5294.1176470588252</v>
      </c>
      <c r="L119" s="14">
        <f t="shared" si="24"/>
        <v>0.26470588235294124</v>
      </c>
      <c r="M119" s="4"/>
      <c r="N119" s="2"/>
      <c r="O119" s="4"/>
      <c r="P119" s="2"/>
      <c r="Q119" s="2"/>
      <c r="R119" s="4"/>
      <c r="S119" s="2"/>
      <c r="T119" s="2"/>
      <c r="U119" s="1"/>
      <c r="V119" s="2"/>
      <c r="W119" s="2"/>
      <c r="X119" s="2"/>
      <c r="Y119" s="2"/>
      <c r="Z119" s="2"/>
    </row>
    <row r="120" spans="1:26" ht="15.75" customHeight="1" x14ac:dyDescent="0.2">
      <c r="A120" s="12">
        <v>5</v>
      </c>
      <c r="B120" s="10" t="s">
        <v>4</v>
      </c>
      <c r="C120" s="11" t="s">
        <v>159</v>
      </c>
      <c r="D120" s="13">
        <v>1600</v>
      </c>
      <c r="E120" s="13">
        <f t="shared" si="21"/>
        <v>8000</v>
      </c>
      <c r="F120" s="13"/>
      <c r="G120" s="2"/>
      <c r="H120" s="7"/>
      <c r="I120" s="13">
        <v>1250</v>
      </c>
      <c r="J120" s="13">
        <f t="shared" si="22"/>
        <v>6250</v>
      </c>
      <c r="K120" s="13">
        <f t="shared" si="23"/>
        <v>1750</v>
      </c>
      <c r="L120" s="14">
        <f t="shared" si="24"/>
        <v>0.21875</v>
      </c>
      <c r="M120" s="4"/>
      <c r="N120" s="2"/>
      <c r="O120" s="4"/>
      <c r="P120" s="2"/>
      <c r="Q120" s="2"/>
      <c r="R120" s="4"/>
      <c r="S120" s="2"/>
      <c r="T120" s="2"/>
      <c r="U120" s="1"/>
      <c r="V120" s="2"/>
      <c r="W120" s="2"/>
      <c r="X120" s="2"/>
      <c r="Y120" s="2"/>
      <c r="Z120" s="2"/>
    </row>
    <row r="121" spans="1:26" ht="16.5" customHeight="1" x14ac:dyDescent="0.2">
      <c r="A121" s="12">
        <v>3</v>
      </c>
      <c r="B121" s="10" t="s">
        <v>17</v>
      </c>
      <c r="C121" s="11" t="s">
        <v>110</v>
      </c>
      <c r="D121" s="13">
        <v>4000</v>
      </c>
      <c r="E121" s="13">
        <f t="shared" si="21"/>
        <v>12000</v>
      </c>
      <c r="F121" s="13"/>
      <c r="G121" s="2"/>
      <c r="H121" s="7" t="s">
        <v>107</v>
      </c>
      <c r="I121" s="13"/>
      <c r="J121" s="13">
        <f t="shared" si="22"/>
        <v>0</v>
      </c>
      <c r="K121" s="13">
        <f t="shared" si="23"/>
        <v>12000</v>
      </c>
      <c r="L121" s="14">
        <f t="shared" si="24"/>
        <v>1</v>
      </c>
      <c r="M121" s="4"/>
      <c r="N121" s="2"/>
      <c r="O121" s="4"/>
      <c r="P121" s="2"/>
      <c r="Q121" s="2"/>
      <c r="R121" s="4"/>
      <c r="S121" s="2"/>
      <c r="T121" s="2"/>
      <c r="U121" s="1"/>
      <c r="V121" s="2"/>
      <c r="W121" s="2"/>
      <c r="X121" s="2"/>
      <c r="Y121" s="2"/>
      <c r="Z121" s="2"/>
    </row>
    <row r="122" spans="1:26" ht="15.75" customHeight="1" x14ac:dyDescent="0.2">
      <c r="A122" s="12">
        <v>1</v>
      </c>
      <c r="B122" s="10" t="s">
        <v>21</v>
      </c>
      <c r="C122" s="11" t="s">
        <v>29</v>
      </c>
      <c r="D122" s="13">
        <v>3500</v>
      </c>
      <c r="E122" s="13">
        <f t="shared" si="21"/>
        <v>3500</v>
      </c>
      <c r="F122" s="13"/>
      <c r="G122" s="2"/>
      <c r="H122" s="7"/>
      <c r="I122" s="13">
        <f>6000/5</f>
        <v>1200</v>
      </c>
      <c r="J122" s="13">
        <f t="shared" si="22"/>
        <v>1200</v>
      </c>
      <c r="K122" s="13">
        <f t="shared" si="23"/>
        <v>2300</v>
      </c>
      <c r="L122" s="14">
        <f t="shared" si="24"/>
        <v>0.65714285714285714</v>
      </c>
      <c r="M122" s="4"/>
      <c r="N122" s="2"/>
      <c r="O122" s="4"/>
      <c r="P122" s="2"/>
      <c r="Q122" s="2"/>
      <c r="R122" s="4"/>
      <c r="S122" s="2"/>
      <c r="T122" s="2"/>
      <c r="U122" s="1"/>
      <c r="V122" s="2"/>
      <c r="W122" s="2"/>
      <c r="X122" s="2"/>
      <c r="Y122" s="2"/>
      <c r="Z122" s="2"/>
    </row>
    <row r="123" spans="1:26" ht="15.75" customHeight="1" x14ac:dyDescent="0.2">
      <c r="A123" s="12">
        <v>0.5</v>
      </c>
      <c r="B123" s="10" t="s">
        <v>23</v>
      </c>
      <c r="C123" s="11" t="s">
        <v>31</v>
      </c>
      <c r="D123" s="13">
        <v>20000</v>
      </c>
      <c r="E123" s="13">
        <f t="shared" si="21"/>
        <v>10000</v>
      </c>
      <c r="F123" s="13"/>
      <c r="G123" s="2"/>
      <c r="H123" s="7"/>
      <c r="I123" s="13">
        <v>15000</v>
      </c>
      <c r="J123" s="13">
        <f t="shared" si="22"/>
        <v>7500</v>
      </c>
      <c r="K123" s="13">
        <f t="shared" si="23"/>
        <v>2500</v>
      </c>
      <c r="L123" s="14">
        <f t="shared" si="24"/>
        <v>0.25</v>
      </c>
      <c r="M123" s="4"/>
      <c r="N123" s="2"/>
      <c r="O123" s="4"/>
      <c r="P123" s="2"/>
      <c r="Q123" s="2"/>
      <c r="R123" s="4"/>
      <c r="S123" s="2"/>
      <c r="T123" s="2"/>
      <c r="U123" s="1"/>
      <c r="V123" s="2"/>
      <c r="W123" s="2"/>
      <c r="X123" s="2"/>
      <c r="Y123" s="2"/>
      <c r="Z123" s="2"/>
    </row>
    <row r="124" spans="1:26" ht="15.75" customHeight="1" x14ac:dyDescent="0.2">
      <c r="A124" s="12">
        <v>0.5</v>
      </c>
      <c r="B124" s="10" t="s">
        <v>23</v>
      </c>
      <c r="C124" s="11" t="s">
        <v>82</v>
      </c>
      <c r="D124" s="13">
        <v>28000</v>
      </c>
      <c r="E124" s="13">
        <f t="shared" si="21"/>
        <v>14000</v>
      </c>
      <c r="F124" s="13"/>
      <c r="G124" s="2"/>
      <c r="H124" s="7"/>
      <c r="I124" s="13">
        <v>22000</v>
      </c>
      <c r="J124" s="13">
        <f t="shared" si="22"/>
        <v>11000</v>
      </c>
      <c r="K124" s="13">
        <f t="shared" si="23"/>
        <v>3000</v>
      </c>
      <c r="L124" s="14">
        <f t="shared" si="24"/>
        <v>0.21428571428571427</v>
      </c>
      <c r="M124" s="4"/>
      <c r="N124" s="2"/>
      <c r="O124" s="4"/>
      <c r="P124" s="2"/>
      <c r="Q124" s="2"/>
      <c r="R124" s="4"/>
      <c r="S124" s="2"/>
      <c r="T124" s="2"/>
      <c r="U124" s="1"/>
      <c r="V124" s="2"/>
      <c r="W124" s="2"/>
      <c r="X124" s="2"/>
      <c r="Y124" s="2"/>
      <c r="Z124" s="2"/>
    </row>
    <row r="125" spans="1:26" ht="15.75" customHeight="1" x14ac:dyDescent="0.2">
      <c r="A125" s="12">
        <v>1</v>
      </c>
      <c r="B125" s="10" t="s">
        <v>21</v>
      </c>
      <c r="C125" s="11" t="s">
        <v>1081</v>
      </c>
      <c r="D125" s="13">
        <v>3000</v>
      </c>
      <c r="E125" s="13">
        <f t="shared" si="21"/>
        <v>3000</v>
      </c>
      <c r="F125" s="13"/>
      <c r="G125" s="2"/>
      <c r="H125" s="7"/>
      <c r="I125" s="13">
        <v>2000</v>
      </c>
      <c r="J125" s="13">
        <f t="shared" si="22"/>
        <v>2000</v>
      </c>
      <c r="K125" s="13">
        <f t="shared" si="23"/>
        <v>1000</v>
      </c>
      <c r="L125" s="14">
        <f t="shared" si="24"/>
        <v>0.33333333333333331</v>
      </c>
      <c r="M125" s="4"/>
      <c r="N125" s="2"/>
      <c r="O125" s="4"/>
      <c r="P125" s="2"/>
      <c r="Q125" s="2"/>
      <c r="R125" s="4"/>
      <c r="S125" s="2"/>
      <c r="T125" s="2"/>
      <c r="U125" s="1"/>
      <c r="V125" s="2"/>
      <c r="W125" s="2"/>
      <c r="X125" s="2"/>
      <c r="Y125" s="2"/>
      <c r="Z125" s="2"/>
    </row>
    <row r="126" spans="1:26" ht="15.75" customHeight="1" x14ac:dyDescent="0.2">
      <c r="A126" s="12">
        <v>1</v>
      </c>
      <c r="B126" s="10" t="s">
        <v>21</v>
      </c>
      <c r="C126" s="11" t="s">
        <v>1041</v>
      </c>
      <c r="D126" s="13">
        <v>3000</v>
      </c>
      <c r="E126" s="13">
        <f t="shared" si="21"/>
        <v>3000</v>
      </c>
      <c r="F126" s="13"/>
      <c r="G126" s="2"/>
      <c r="H126" s="7"/>
      <c r="I126" s="13">
        <v>2000</v>
      </c>
      <c r="J126" s="13">
        <f t="shared" si="22"/>
        <v>2000</v>
      </c>
      <c r="K126" s="13">
        <f t="shared" si="23"/>
        <v>1000</v>
      </c>
      <c r="L126" s="14">
        <f t="shared" si="24"/>
        <v>0.33333333333333331</v>
      </c>
      <c r="M126" s="4"/>
      <c r="N126" s="2"/>
      <c r="O126" s="4"/>
      <c r="P126" s="2"/>
      <c r="Q126" s="2"/>
      <c r="R126" s="4"/>
      <c r="S126" s="2"/>
      <c r="T126" s="2"/>
      <c r="U126" s="1"/>
      <c r="V126" s="2"/>
      <c r="W126" s="2"/>
      <c r="X126" s="2"/>
      <c r="Y126" s="2"/>
      <c r="Z126" s="2"/>
    </row>
    <row r="127" spans="1:26" ht="15.75" customHeight="1" x14ac:dyDescent="0.2">
      <c r="A127" s="12">
        <v>1</v>
      </c>
      <c r="B127" s="10" t="s">
        <v>21</v>
      </c>
      <c r="C127" s="11" t="s">
        <v>1082</v>
      </c>
      <c r="D127" s="13">
        <v>3000</v>
      </c>
      <c r="E127" s="13">
        <f t="shared" si="21"/>
        <v>3000</v>
      </c>
      <c r="F127" s="13"/>
      <c r="G127" s="2"/>
      <c r="H127" s="7"/>
      <c r="I127" s="13">
        <v>2000</v>
      </c>
      <c r="J127" s="13">
        <f t="shared" si="22"/>
        <v>2000</v>
      </c>
      <c r="K127" s="13">
        <f t="shared" si="23"/>
        <v>1000</v>
      </c>
      <c r="L127" s="14">
        <f t="shared" si="24"/>
        <v>0.33333333333333331</v>
      </c>
      <c r="M127" s="4"/>
      <c r="N127" s="2"/>
      <c r="O127" s="4"/>
      <c r="P127" s="2"/>
      <c r="Q127" s="2"/>
      <c r="R127" s="4"/>
      <c r="S127" s="2"/>
      <c r="T127" s="2"/>
      <c r="U127" s="1"/>
      <c r="V127" s="2"/>
      <c r="W127" s="2"/>
      <c r="X127" s="2"/>
      <c r="Y127" s="2"/>
      <c r="Z127" s="2"/>
    </row>
    <row r="128" spans="1:26" ht="15.75" customHeight="1" x14ac:dyDescent="0.2">
      <c r="A128" s="12">
        <v>0.5</v>
      </c>
      <c r="B128" s="10" t="s">
        <v>23</v>
      </c>
      <c r="C128" s="11" t="s">
        <v>12</v>
      </c>
      <c r="D128" s="13">
        <v>55000</v>
      </c>
      <c r="E128" s="13">
        <f t="shared" si="21"/>
        <v>27500</v>
      </c>
      <c r="F128" s="13"/>
      <c r="G128" s="2"/>
      <c r="H128" s="7"/>
      <c r="I128" s="13">
        <v>54000</v>
      </c>
      <c r="J128" s="13">
        <f t="shared" si="22"/>
        <v>27000</v>
      </c>
      <c r="K128" s="13">
        <f t="shared" si="23"/>
        <v>500</v>
      </c>
      <c r="L128" s="14">
        <f t="shared" si="24"/>
        <v>1.8181818181818181E-2</v>
      </c>
      <c r="M128" s="4"/>
      <c r="N128" s="2"/>
      <c r="O128" s="4"/>
      <c r="P128" s="2"/>
      <c r="Q128" s="2"/>
      <c r="R128" s="4"/>
      <c r="S128" s="2"/>
      <c r="T128" s="2"/>
      <c r="U128" s="1"/>
      <c r="V128" s="2"/>
      <c r="W128" s="2"/>
      <c r="X128" s="2"/>
      <c r="Y128" s="2"/>
      <c r="Z128" s="2"/>
    </row>
    <row r="129" spans="1:26" ht="15.75" customHeight="1" x14ac:dyDescent="0.2">
      <c r="A129" s="12"/>
      <c r="B129" s="10"/>
      <c r="C129" s="11"/>
      <c r="D129" s="13"/>
      <c r="E129" s="13"/>
      <c r="F129" s="13"/>
      <c r="H129" s="2"/>
      <c r="I129" s="2"/>
      <c r="J129" s="13"/>
      <c r="K129" s="13"/>
      <c r="L129" s="14"/>
      <c r="N129" s="2"/>
      <c r="O129" s="4"/>
      <c r="P129" s="2"/>
      <c r="Q129" s="2"/>
      <c r="R129" s="4"/>
      <c r="S129" s="2"/>
      <c r="T129" s="2"/>
      <c r="U129" s="1"/>
      <c r="V129" s="2"/>
      <c r="W129" s="2"/>
      <c r="X129" s="2"/>
      <c r="Y129" s="2"/>
      <c r="Z129" s="2"/>
    </row>
    <row r="130" spans="1:26" ht="15.75" customHeight="1" x14ac:dyDescent="0.2">
      <c r="A130" s="12"/>
      <c r="B130" s="10"/>
      <c r="C130" s="11"/>
      <c r="D130" s="13"/>
      <c r="E130" s="13">
        <f>SUM(E109:E129)</f>
        <v>243000</v>
      </c>
      <c r="F130" s="13"/>
      <c r="G130" s="2"/>
      <c r="H130" s="2"/>
      <c r="I130" s="2"/>
      <c r="J130" s="13"/>
      <c r="K130" s="13">
        <f>SUM(K109:K128)</f>
        <v>65010.784313725489</v>
      </c>
      <c r="L130" s="14">
        <f>K130/E130</f>
        <v>0.26753409182603083</v>
      </c>
      <c r="M130" s="4"/>
      <c r="N130" s="2"/>
      <c r="O130" s="4"/>
      <c r="P130" s="2"/>
      <c r="Q130" s="2"/>
      <c r="R130" s="4"/>
      <c r="S130" s="2"/>
      <c r="T130" s="2"/>
      <c r="U130" s="1"/>
      <c r="V130" s="2"/>
      <c r="W130" s="2"/>
      <c r="X130" s="2"/>
      <c r="Y130" s="2"/>
      <c r="Z130" s="2"/>
    </row>
    <row r="131" spans="1:26" ht="15.75" customHeight="1" x14ac:dyDescent="0.2">
      <c r="A131" s="12"/>
      <c r="B131" s="10"/>
      <c r="C131" s="11"/>
      <c r="D131" s="13"/>
      <c r="E131" s="13"/>
      <c r="F131" s="13"/>
      <c r="G131" s="2"/>
      <c r="H131" s="2"/>
      <c r="I131" s="2"/>
      <c r="J131" s="13"/>
      <c r="K131" s="13"/>
      <c r="L131" s="14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0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0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88" t="s">
        <v>160</v>
      </c>
      <c r="B134" s="89"/>
      <c r="C134" s="89"/>
      <c r="D134" s="2"/>
      <c r="E134" s="7" t="s">
        <v>1083</v>
      </c>
      <c r="F134" s="8">
        <v>46125</v>
      </c>
      <c r="G134" s="2"/>
      <c r="H134" s="2"/>
      <c r="I134" s="9" t="s">
        <v>2</v>
      </c>
      <c r="J134" s="9"/>
      <c r="K134" s="9"/>
      <c r="L134" s="3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"/>
      <c r="B135" s="2"/>
      <c r="C135" s="5"/>
      <c r="D135" s="2"/>
      <c r="E135" s="2"/>
      <c r="F135" s="8"/>
      <c r="G135" s="2"/>
      <c r="H135" s="2"/>
      <c r="I135" s="2"/>
      <c r="J135" s="2"/>
      <c r="K135" s="2"/>
      <c r="L135" s="3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6" t="s">
        <v>3</v>
      </c>
      <c r="B136" s="10" t="s">
        <v>4</v>
      </c>
      <c r="C136" s="11" t="s">
        <v>5</v>
      </c>
      <c r="D136" s="10" t="s">
        <v>6</v>
      </c>
      <c r="E136" s="10" t="s">
        <v>7</v>
      </c>
      <c r="F136" s="10" t="s">
        <v>8</v>
      </c>
      <c r="G136" s="2"/>
      <c r="H136" s="2"/>
      <c r="I136" s="10" t="s">
        <v>9</v>
      </c>
      <c r="J136" s="10" t="s">
        <v>7</v>
      </c>
      <c r="K136" s="10" t="s">
        <v>10</v>
      </c>
      <c r="L136" s="3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4</v>
      </c>
      <c r="B137" s="10" t="s">
        <v>86</v>
      </c>
      <c r="C137" s="11" t="s">
        <v>62</v>
      </c>
      <c r="D137" s="13">
        <v>38000</v>
      </c>
      <c r="E137" s="13">
        <f t="shared" ref="E137:E151" si="25">A137*D137</f>
        <v>152000</v>
      </c>
      <c r="F137" s="13">
        <f t="shared" ref="F137:F151" si="26">E137*1.105</f>
        <v>167960</v>
      </c>
      <c r="G137" s="7" t="s">
        <v>1084</v>
      </c>
      <c r="H137" s="2"/>
      <c r="I137" s="13">
        <v>28000</v>
      </c>
      <c r="J137" s="13">
        <f t="shared" ref="J137:J151" si="27">I137*A137</f>
        <v>112000</v>
      </c>
      <c r="K137" s="13">
        <f t="shared" ref="K137:K151" si="28">F137-J137</f>
        <v>55960</v>
      </c>
      <c r="L137" s="14">
        <f t="shared" ref="L137:L151" si="29">IFERROR(K137/E137, 0)</f>
        <v>0.36815789473684213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5</v>
      </c>
      <c r="B138" s="10" t="s">
        <v>23</v>
      </c>
      <c r="C138" s="11" t="s">
        <v>67</v>
      </c>
      <c r="D138" s="13">
        <v>17000</v>
      </c>
      <c r="E138" s="13">
        <f t="shared" si="25"/>
        <v>85000</v>
      </c>
      <c r="F138" s="13">
        <f t="shared" si="26"/>
        <v>93925</v>
      </c>
      <c r="G138" s="7" t="s">
        <v>1084</v>
      </c>
      <c r="H138" s="2"/>
      <c r="I138" s="13">
        <v>9000</v>
      </c>
      <c r="J138" s="13">
        <f t="shared" si="27"/>
        <v>45000</v>
      </c>
      <c r="K138" s="13">
        <f t="shared" si="28"/>
        <v>48925</v>
      </c>
      <c r="L138" s="14">
        <f t="shared" si="29"/>
        <v>0.57558823529411762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5</v>
      </c>
      <c r="B139" s="10" t="s">
        <v>23</v>
      </c>
      <c r="C139" s="11" t="s">
        <v>24</v>
      </c>
      <c r="D139" s="13">
        <v>36500</v>
      </c>
      <c r="E139" s="13">
        <f t="shared" si="25"/>
        <v>182500</v>
      </c>
      <c r="F139" s="13">
        <f t="shared" si="26"/>
        <v>201662.5</v>
      </c>
      <c r="G139" s="7" t="s">
        <v>1084</v>
      </c>
      <c r="H139" s="2"/>
      <c r="I139" s="13">
        <v>30000</v>
      </c>
      <c r="J139" s="13">
        <f t="shared" si="27"/>
        <v>150000</v>
      </c>
      <c r="K139" s="13">
        <f t="shared" si="28"/>
        <v>51662.5</v>
      </c>
      <c r="L139" s="14">
        <f t="shared" si="29"/>
        <v>0.28308219178082189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5</v>
      </c>
      <c r="B140" s="10" t="s">
        <v>23</v>
      </c>
      <c r="C140" s="11" t="s">
        <v>1085</v>
      </c>
      <c r="D140" s="13">
        <v>35000</v>
      </c>
      <c r="E140" s="13">
        <f t="shared" si="25"/>
        <v>175000</v>
      </c>
      <c r="F140" s="13">
        <f t="shared" si="26"/>
        <v>193375</v>
      </c>
      <c r="G140" s="7"/>
      <c r="H140" s="2"/>
      <c r="I140" s="13">
        <v>20000</v>
      </c>
      <c r="J140" s="13">
        <f t="shared" si="27"/>
        <v>100000</v>
      </c>
      <c r="K140" s="13">
        <f t="shared" si="28"/>
        <v>93375</v>
      </c>
      <c r="L140" s="14">
        <f t="shared" si="29"/>
        <v>0.53357142857142859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1</v>
      </c>
      <c r="B141" s="10" t="s">
        <v>23</v>
      </c>
      <c r="C141" s="11" t="s">
        <v>190</v>
      </c>
      <c r="D141" s="13">
        <v>52000</v>
      </c>
      <c r="E141" s="13">
        <f t="shared" si="25"/>
        <v>52000</v>
      </c>
      <c r="F141" s="13">
        <f t="shared" si="26"/>
        <v>57460</v>
      </c>
      <c r="G141" s="7"/>
      <c r="H141" s="2"/>
      <c r="I141" s="13">
        <v>20000</v>
      </c>
      <c r="J141" s="13">
        <f t="shared" si="27"/>
        <v>20000</v>
      </c>
      <c r="K141" s="13">
        <f t="shared" si="28"/>
        <v>37460</v>
      </c>
      <c r="L141" s="14">
        <f t="shared" si="29"/>
        <v>0.7203846153846154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2</v>
      </c>
      <c r="B142" s="10" t="s">
        <v>23</v>
      </c>
      <c r="C142" s="11" t="s">
        <v>93</v>
      </c>
      <c r="D142" s="13">
        <v>20000</v>
      </c>
      <c r="E142" s="13">
        <f t="shared" si="25"/>
        <v>40000</v>
      </c>
      <c r="F142" s="13">
        <f t="shared" si="26"/>
        <v>44200</v>
      </c>
      <c r="G142" s="2"/>
      <c r="H142" s="2"/>
      <c r="I142" s="13">
        <v>12000</v>
      </c>
      <c r="J142" s="13">
        <f t="shared" si="27"/>
        <v>24000</v>
      </c>
      <c r="K142" s="13">
        <f t="shared" si="28"/>
        <v>20200</v>
      </c>
      <c r="L142" s="18">
        <f t="shared" si="29"/>
        <v>0.505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2</v>
      </c>
      <c r="B143" s="10" t="s">
        <v>23</v>
      </c>
      <c r="C143" s="11" t="s">
        <v>81</v>
      </c>
      <c r="D143" s="13">
        <v>20000</v>
      </c>
      <c r="E143" s="13">
        <f t="shared" si="25"/>
        <v>40000</v>
      </c>
      <c r="F143" s="13">
        <f t="shared" si="26"/>
        <v>44200</v>
      </c>
      <c r="G143" s="2"/>
      <c r="H143" s="2"/>
      <c r="I143" s="13">
        <v>7000</v>
      </c>
      <c r="J143" s="13">
        <f t="shared" si="27"/>
        <v>14000</v>
      </c>
      <c r="K143" s="13">
        <f t="shared" si="28"/>
        <v>30200</v>
      </c>
      <c r="L143" s="18">
        <f t="shared" si="29"/>
        <v>0.755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1</v>
      </c>
      <c r="B144" s="10" t="s">
        <v>23</v>
      </c>
      <c r="C144" s="11" t="s">
        <v>31</v>
      </c>
      <c r="D144" s="13">
        <v>25000</v>
      </c>
      <c r="E144" s="13">
        <f t="shared" si="25"/>
        <v>25000</v>
      </c>
      <c r="F144" s="13">
        <f t="shared" si="26"/>
        <v>27625</v>
      </c>
      <c r="G144" s="2"/>
      <c r="H144" s="2"/>
      <c r="I144" s="13">
        <v>15000</v>
      </c>
      <c r="J144" s="13">
        <f t="shared" si="27"/>
        <v>15000</v>
      </c>
      <c r="K144" s="13">
        <f t="shared" si="28"/>
        <v>12625</v>
      </c>
      <c r="L144" s="18">
        <f t="shared" si="29"/>
        <v>0.505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7</v>
      </c>
      <c r="B145" s="10" t="s">
        <v>4</v>
      </c>
      <c r="C145" s="11" t="s">
        <v>159</v>
      </c>
      <c r="D145" s="13">
        <v>1800</v>
      </c>
      <c r="E145" s="13">
        <f t="shared" si="25"/>
        <v>12600</v>
      </c>
      <c r="F145" s="13">
        <f t="shared" si="26"/>
        <v>13923</v>
      </c>
      <c r="G145" s="2"/>
      <c r="H145" s="2"/>
      <c r="I145" s="13">
        <v>1250</v>
      </c>
      <c r="J145" s="13">
        <f t="shared" si="27"/>
        <v>8750</v>
      </c>
      <c r="K145" s="13">
        <f t="shared" si="28"/>
        <v>5173</v>
      </c>
      <c r="L145" s="36">
        <f t="shared" si="29"/>
        <v>0.41055555555555556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1</v>
      </c>
      <c r="B146" s="10" t="s">
        <v>23</v>
      </c>
      <c r="C146" s="11" t="s">
        <v>62</v>
      </c>
      <c r="D146" s="13">
        <v>38000</v>
      </c>
      <c r="E146" s="13">
        <f t="shared" si="25"/>
        <v>38000</v>
      </c>
      <c r="F146" s="13">
        <f t="shared" si="26"/>
        <v>41990</v>
      </c>
      <c r="G146" s="7" t="s">
        <v>15</v>
      </c>
      <c r="H146" s="2"/>
      <c r="I146" s="2"/>
      <c r="J146" s="13">
        <f t="shared" si="27"/>
        <v>0</v>
      </c>
      <c r="K146" s="13">
        <f t="shared" si="28"/>
        <v>41990</v>
      </c>
      <c r="L146" s="14">
        <f t="shared" si="29"/>
        <v>1.105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1</v>
      </c>
      <c r="B147" s="10" t="s">
        <v>23</v>
      </c>
      <c r="C147" s="11" t="s">
        <v>67</v>
      </c>
      <c r="D147" s="13">
        <v>17000</v>
      </c>
      <c r="E147" s="13">
        <f t="shared" si="25"/>
        <v>17000</v>
      </c>
      <c r="F147" s="13">
        <f t="shared" si="26"/>
        <v>18785</v>
      </c>
      <c r="G147" s="7" t="s">
        <v>15</v>
      </c>
      <c r="H147" s="2"/>
      <c r="I147" s="2"/>
      <c r="J147" s="13">
        <f t="shared" si="27"/>
        <v>0</v>
      </c>
      <c r="K147" s="13">
        <f t="shared" si="28"/>
        <v>18785</v>
      </c>
      <c r="L147" s="14">
        <f t="shared" si="29"/>
        <v>1.105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1</v>
      </c>
      <c r="B148" s="10" t="s">
        <v>23</v>
      </c>
      <c r="C148" s="11" t="s">
        <v>24</v>
      </c>
      <c r="D148" s="13">
        <v>36500</v>
      </c>
      <c r="E148" s="13">
        <f t="shared" si="25"/>
        <v>36500</v>
      </c>
      <c r="F148" s="13">
        <f t="shared" si="26"/>
        <v>40332.5</v>
      </c>
      <c r="G148" s="7" t="s">
        <v>15</v>
      </c>
      <c r="H148" s="2"/>
      <c r="I148" s="2"/>
      <c r="J148" s="13">
        <f t="shared" si="27"/>
        <v>0</v>
      </c>
      <c r="K148" s="13">
        <f t="shared" si="28"/>
        <v>40332.5</v>
      </c>
      <c r="L148" s="14">
        <f t="shared" si="29"/>
        <v>1.105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1</v>
      </c>
      <c r="B149" s="10" t="s">
        <v>23</v>
      </c>
      <c r="C149" s="11" t="s">
        <v>1085</v>
      </c>
      <c r="D149" s="13">
        <v>35000</v>
      </c>
      <c r="E149" s="13">
        <f t="shared" si="25"/>
        <v>35000</v>
      </c>
      <c r="F149" s="13">
        <f t="shared" si="26"/>
        <v>38675</v>
      </c>
      <c r="G149" s="7" t="s">
        <v>15</v>
      </c>
      <c r="H149" s="2"/>
      <c r="I149" s="2"/>
      <c r="J149" s="13">
        <f t="shared" si="27"/>
        <v>0</v>
      </c>
      <c r="K149" s="13">
        <f t="shared" si="28"/>
        <v>38675</v>
      </c>
      <c r="L149" s="14">
        <f t="shared" si="29"/>
        <v>1.105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23</v>
      </c>
      <c r="C150" s="11" t="s">
        <v>190</v>
      </c>
      <c r="D150" s="13">
        <v>52000</v>
      </c>
      <c r="E150" s="13">
        <f t="shared" si="25"/>
        <v>52000</v>
      </c>
      <c r="F150" s="13">
        <f t="shared" si="26"/>
        <v>57460</v>
      </c>
      <c r="G150" s="7" t="s">
        <v>15</v>
      </c>
      <c r="H150" s="2"/>
      <c r="I150" s="2"/>
      <c r="J150" s="13">
        <f t="shared" si="27"/>
        <v>0</v>
      </c>
      <c r="K150" s="13">
        <f t="shared" si="28"/>
        <v>57460</v>
      </c>
      <c r="L150" s="14">
        <f t="shared" si="29"/>
        <v>1.105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</v>
      </c>
      <c r="B151" s="10" t="s">
        <v>23</v>
      </c>
      <c r="C151" s="11" t="s">
        <v>93</v>
      </c>
      <c r="D151" s="13">
        <v>20000</v>
      </c>
      <c r="E151" s="13">
        <f t="shared" si="25"/>
        <v>20000</v>
      </c>
      <c r="F151" s="13">
        <f t="shared" si="26"/>
        <v>22100</v>
      </c>
      <c r="G151" s="7" t="s">
        <v>164</v>
      </c>
      <c r="H151" s="2"/>
      <c r="I151" s="2"/>
      <c r="J151" s="13">
        <f t="shared" si="27"/>
        <v>0</v>
      </c>
      <c r="K151" s="13">
        <f t="shared" si="28"/>
        <v>22100</v>
      </c>
      <c r="L151" s="14">
        <f t="shared" si="29"/>
        <v>1.105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"/>
      <c r="B152" s="2"/>
      <c r="C152" s="4"/>
      <c r="D152" s="2"/>
      <c r="E152" s="2"/>
      <c r="F152" s="13"/>
      <c r="G152" s="2"/>
      <c r="H152" s="2"/>
      <c r="I152" s="2"/>
      <c r="J152" s="2"/>
      <c r="K152" s="2"/>
      <c r="L152" s="3"/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"/>
      <c r="B153" s="2"/>
      <c r="C153" s="4"/>
      <c r="D153" s="2"/>
      <c r="E153" s="13">
        <f t="shared" ref="E153:F153" si="30">SUM(E137:E151)</f>
        <v>962600</v>
      </c>
      <c r="F153" s="13">
        <f t="shared" si="30"/>
        <v>1063673</v>
      </c>
      <c r="G153" s="2"/>
      <c r="H153" s="2"/>
      <c r="I153" s="2"/>
      <c r="J153" s="2"/>
      <c r="K153" s="13">
        <f>SUM(K137:K151)</f>
        <v>574923</v>
      </c>
      <c r="L153" s="14">
        <f>K153/F153</f>
        <v>0.54050727996292092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0"/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0"/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0"/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6" t="s">
        <v>165</v>
      </c>
      <c r="B157" s="25" t="s">
        <v>166</v>
      </c>
      <c r="C157" s="6"/>
      <c r="D157" s="7"/>
      <c r="E157" s="7" t="s">
        <v>45</v>
      </c>
      <c r="F157" s="8">
        <v>46125</v>
      </c>
      <c r="G157" s="7" t="s">
        <v>106</v>
      </c>
      <c r="H157" s="2"/>
      <c r="I157" s="9" t="s">
        <v>2</v>
      </c>
      <c r="J157" s="9"/>
      <c r="K157" s="9"/>
      <c r="L157" s="31"/>
      <c r="M157" s="4"/>
      <c r="N157" s="2"/>
      <c r="O157" s="4"/>
      <c r="P157" s="2"/>
      <c r="Q157" s="2"/>
      <c r="R157" s="4"/>
      <c r="S157" s="2"/>
      <c r="T157" s="2"/>
      <c r="U157" s="1"/>
      <c r="V157" s="2"/>
      <c r="W157" s="2"/>
      <c r="X157" s="2"/>
      <c r="Y157" s="2"/>
      <c r="Z157" s="2"/>
    </row>
    <row r="158" spans="1:26" x14ac:dyDescent="0.2">
      <c r="A158" s="1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31"/>
      <c r="M158" s="1"/>
      <c r="N158" s="2"/>
      <c r="O158" s="4"/>
      <c r="P158" s="2"/>
      <c r="Q158" s="2"/>
      <c r="R158" s="4"/>
      <c r="S158" s="2"/>
      <c r="T158" s="2"/>
      <c r="U158" s="1"/>
      <c r="V158" s="2"/>
      <c r="W158" s="2"/>
      <c r="X158" s="2"/>
      <c r="Y158" s="2"/>
      <c r="Z158" s="2"/>
    </row>
    <row r="159" spans="1:26" x14ac:dyDescent="0.2">
      <c r="A159" s="6" t="s">
        <v>3</v>
      </c>
      <c r="B159" s="10" t="s">
        <v>4</v>
      </c>
      <c r="C159" s="11" t="s">
        <v>5</v>
      </c>
      <c r="D159" s="10" t="s">
        <v>6</v>
      </c>
      <c r="E159" s="10" t="s">
        <v>7</v>
      </c>
      <c r="F159" s="10" t="s">
        <v>8</v>
      </c>
      <c r="G159" s="7"/>
      <c r="H159" s="7"/>
      <c r="I159" s="10" t="s">
        <v>9</v>
      </c>
      <c r="J159" s="10" t="s">
        <v>7</v>
      </c>
      <c r="K159" s="10" t="s">
        <v>10</v>
      </c>
      <c r="L159" s="38"/>
      <c r="M159" s="1"/>
      <c r="N159" s="2"/>
      <c r="O159" s="4"/>
      <c r="P159" s="2"/>
      <c r="Q159" s="2"/>
      <c r="R159" s="4"/>
      <c r="S159" s="2"/>
      <c r="T159" s="2"/>
      <c r="U159" s="1"/>
      <c r="V159" s="2"/>
      <c r="W159" s="2"/>
      <c r="X159" s="2"/>
      <c r="Y159" s="2"/>
      <c r="Z159" s="2"/>
    </row>
    <row r="160" spans="1:26" x14ac:dyDescent="0.2">
      <c r="A160" s="12">
        <v>2</v>
      </c>
      <c r="B160" s="10" t="s">
        <v>15</v>
      </c>
      <c r="C160" s="11" t="s">
        <v>56</v>
      </c>
      <c r="D160" s="13">
        <v>16000</v>
      </c>
      <c r="E160" s="13">
        <f t="shared" ref="E160:E172" si="31">A160*D160</f>
        <v>32000</v>
      </c>
      <c r="F160" s="13">
        <f t="shared" ref="F160:F172" si="32">E160*1.105</f>
        <v>35360</v>
      </c>
      <c r="G160" s="2"/>
      <c r="H160" s="2"/>
      <c r="I160" s="13">
        <v>13000</v>
      </c>
      <c r="J160" s="13">
        <f t="shared" ref="J160:J172" si="33">I160*A160</f>
        <v>26000</v>
      </c>
      <c r="K160" s="13">
        <f t="shared" ref="K160:K172" si="34">F160-J160</f>
        <v>9360</v>
      </c>
      <c r="L160" s="14">
        <f t="shared" ref="L160:L172" si="35">IFERROR(K160/E160, 0)</f>
        <v>0.29249999999999998</v>
      </c>
      <c r="M160" s="1"/>
      <c r="N160" s="2"/>
      <c r="O160" s="4"/>
      <c r="P160" s="2"/>
      <c r="Q160" s="2"/>
      <c r="R160" s="4"/>
      <c r="S160" s="2"/>
      <c r="T160" s="2"/>
      <c r="U160" s="1"/>
      <c r="V160" s="2"/>
      <c r="W160" s="2"/>
      <c r="X160" s="2"/>
      <c r="Y160" s="2"/>
      <c r="Z160" s="2"/>
    </row>
    <row r="161" spans="1:26" x14ac:dyDescent="0.2">
      <c r="A161" s="12">
        <v>4</v>
      </c>
      <c r="B161" s="10" t="s">
        <v>17</v>
      </c>
      <c r="C161" s="11" t="s">
        <v>31</v>
      </c>
      <c r="D161" s="13">
        <v>3000</v>
      </c>
      <c r="E161" s="13">
        <f t="shared" si="31"/>
        <v>12000</v>
      </c>
      <c r="F161" s="13">
        <f t="shared" si="32"/>
        <v>13260</v>
      </c>
      <c r="G161" s="2"/>
      <c r="H161" s="2"/>
      <c r="I161" s="13">
        <f>15000/8</f>
        <v>1875</v>
      </c>
      <c r="J161" s="13">
        <f t="shared" si="33"/>
        <v>7500</v>
      </c>
      <c r="K161" s="13">
        <f t="shared" si="34"/>
        <v>5760</v>
      </c>
      <c r="L161" s="14">
        <f t="shared" si="35"/>
        <v>0.48</v>
      </c>
      <c r="M161" s="1"/>
      <c r="N161" s="2"/>
      <c r="O161" s="4"/>
      <c r="P161" s="2"/>
      <c r="Q161" s="2"/>
      <c r="R161" s="4"/>
      <c r="S161" s="2"/>
      <c r="T161" s="2"/>
      <c r="U161" s="1"/>
      <c r="V161" s="2"/>
      <c r="W161" s="2"/>
      <c r="X161" s="2"/>
      <c r="Y161" s="2"/>
      <c r="Z161" s="2"/>
    </row>
    <row r="162" spans="1:26" x14ac:dyDescent="0.2">
      <c r="A162" s="12">
        <v>4</v>
      </c>
      <c r="B162" s="10" t="s">
        <v>17</v>
      </c>
      <c r="C162" s="11" t="s">
        <v>32</v>
      </c>
      <c r="D162" s="13">
        <v>3000</v>
      </c>
      <c r="E162" s="13">
        <f t="shared" si="31"/>
        <v>12000</v>
      </c>
      <c r="F162" s="13">
        <f t="shared" si="32"/>
        <v>13260</v>
      </c>
      <c r="G162" s="2"/>
      <c r="H162" s="2"/>
      <c r="I162" s="13">
        <f>14000/7</f>
        <v>2000</v>
      </c>
      <c r="J162" s="13">
        <f t="shared" si="33"/>
        <v>8000</v>
      </c>
      <c r="K162" s="13">
        <f t="shared" si="34"/>
        <v>5260</v>
      </c>
      <c r="L162" s="14">
        <f t="shared" si="35"/>
        <v>0.43833333333333335</v>
      </c>
      <c r="M162" s="1"/>
      <c r="N162" s="2"/>
      <c r="O162" s="4"/>
      <c r="P162" s="2"/>
      <c r="Q162" s="2"/>
      <c r="R162" s="4"/>
      <c r="S162" s="2"/>
      <c r="T162" s="2"/>
      <c r="U162" s="1"/>
      <c r="V162" s="2"/>
      <c r="W162" s="2"/>
      <c r="X162" s="2"/>
      <c r="Y162" s="2"/>
      <c r="Z162" s="2"/>
    </row>
    <row r="163" spans="1:26" x14ac:dyDescent="0.2">
      <c r="A163" s="12">
        <v>10</v>
      </c>
      <c r="B163" s="10" t="s">
        <v>17</v>
      </c>
      <c r="C163" s="11" t="s">
        <v>82</v>
      </c>
      <c r="D163" s="13">
        <v>2000</v>
      </c>
      <c r="E163" s="13">
        <f t="shared" si="31"/>
        <v>20000</v>
      </c>
      <c r="F163" s="13">
        <f t="shared" si="32"/>
        <v>22100</v>
      </c>
      <c r="G163" s="2"/>
      <c r="H163" s="2"/>
      <c r="I163" s="2">
        <f>22000/14</f>
        <v>1571.4285714285713</v>
      </c>
      <c r="J163" s="13">
        <f t="shared" si="33"/>
        <v>15714.285714285714</v>
      </c>
      <c r="K163" s="13">
        <f t="shared" si="34"/>
        <v>6385.7142857142862</v>
      </c>
      <c r="L163" s="14">
        <f t="shared" si="35"/>
        <v>0.31928571428571434</v>
      </c>
      <c r="M163" s="1"/>
      <c r="N163" s="2"/>
      <c r="O163" s="4"/>
      <c r="P163" s="2"/>
      <c r="Q163" s="2"/>
      <c r="R163" s="4"/>
      <c r="S163" s="2"/>
      <c r="T163" s="2"/>
      <c r="U163" s="1"/>
      <c r="V163" s="2"/>
      <c r="W163" s="2"/>
      <c r="X163" s="2"/>
      <c r="Y163" s="2"/>
      <c r="Z163" s="2"/>
    </row>
    <row r="164" spans="1:26" x14ac:dyDescent="0.2">
      <c r="A164" s="12">
        <v>10</v>
      </c>
      <c r="B164" s="10" t="s">
        <v>17</v>
      </c>
      <c r="C164" s="11" t="s">
        <v>99</v>
      </c>
      <c r="D164" s="13">
        <v>1300</v>
      </c>
      <c r="E164" s="13">
        <f t="shared" si="31"/>
        <v>13000</v>
      </c>
      <c r="F164" s="13">
        <f t="shared" si="32"/>
        <v>14365</v>
      </c>
      <c r="G164" s="2"/>
      <c r="H164" s="2"/>
      <c r="I164" s="13">
        <f>7000/7</f>
        <v>1000</v>
      </c>
      <c r="J164" s="13">
        <f t="shared" si="33"/>
        <v>10000</v>
      </c>
      <c r="K164" s="13">
        <f t="shared" si="34"/>
        <v>4365</v>
      </c>
      <c r="L164" s="14">
        <f t="shared" si="35"/>
        <v>0.33576923076923076</v>
      </c>
      <c r="M164" s="1"/>
      <c r="N164" s="2"/>
      <c r="O164" s="4"/>
      <c r="P164" s="2"/>
      <c r="Q164" s="2"/>
      <c r="R164" s="4"/>
      <c r="S164" s="2"/>
      <c r="T164" s="2"/>
      <c r="U164" s="1"/>
      <c r="V164" s="2"/>
      <c r="W164" s="2"/>
      <c r="X164" s="2"/>
      <c r="Y164" s="2"/>
      <c r="Z164" s="2"/>
    </row>
    <row r="165" spans="1:26" x14ac:dyDescent="0.2">
      <c r="A165" s="12">
        <v>1</v>
      </c>
      <c r="B165" s="10" t="s">
        <v>15</v>
      </c>
      <c r="C165" s="11" t="s">
        <v>135</v>
      </c>
      <c r="D165" s="13">
        <v>17000</v>
      </c>
      <c r="E165" s="13">
        <f t="shared" si="31"/>
        <v>17000</v>
      </c>
      <c r="F165" s="13">
        <f t="shared" si="32"/>
        <v>18785</v>
      </c>
      <c r="G165" s="2"/>
      <c r="H165" s="7"/>
      <c r="I165" s="13">
        <v>13000</v>
      </c>
      <c r="J165" s="13">
        <f t="shared" si="33"/>
        <v>13000</v>
      </c>
      <c r="K165" s="13">
        <f t="shared" si="34"/>
        <v>5785</v>
      </c>
      <c r="L165" s="14">
        <f t="shared" si="35"/>
        <v>0.3402941176470588</v>
      </c>
      <c r="M165" s="1"/>
      <c r="N165" s="2"/>
      <c r="O165" s="4"/>
      <c r="P165" s="2"/>
      <c r="Q165" s="2"/>
      <c r="R165" s="4"/>
      <c r="S165" s="2"/>
      <c r="T165" s="2"/>
      <c r="U165" s="1"/>
      <c r="V165" s="2"/>
      <c r="W165" s="2"/>
      <c r="X165" s="2"/>
      <c r="Y165" s="2"/>
      <c r="Z165" s="2"/>
    </row>
    <row r="166" spans="1:26" x14ac:dyDescent="0.2">
      <c r="A166" s="12">
        <v>2</v>
      </c>
      <c r="B166" s="10" t="s">
        <v>15</v>
      </c>
      <c r="C166" s="11" t="s">
        <v>48</v>
      </c>
      <c r="D166" s="13">
        <v>13000</v>
      </c>
      <c r="E166" s="13">
        <f t="shared" si="31"/>
        <v>26000</v>
      </c>
      <c r="F166" s="13">
        <f t="shared" si="32"/>
        <v>28730</v>
      </c>
      <c r="G166" s="2"/>
      <c r="H166" s="2"/>
      <c r="I166" s="13">
        <v>8000</v>
      </c>
      <c r="J166" s="13">
        <f t="shared" si="33"/>
        <v>16000</v>
      </c>
      <c r="K166" s="13">
        <f t="shared" si="34"/>
        <v>12730</v>
      </c>
      <c r="L166" s="14">
        <f t="shared" si="35"/>
        <v>0.48961538461538462</v>
      </c>
      <c r="M166" s="1"/>
      <c r="N166" s="2"/>
      <c r="O166" s="4"/>
      <c r="P166" s="2"/>
      <c r="Q166" s="2"/>
      <c r="R166" s="4"/>
      <c r="S166" s="2"/>
      <c r="T166" s="2"/>
      <c r="U166" s="1"/>
      <c r="V166" s="2"/>
      <c r="W166" s="2"/>
      <c r="X166" s="2"/>
      <c r="Y166" s="2"/>
      <c r="Z166" s="2"/>
    </row>
    <row r="167" spans="1:26" x14ac:dyDescent="0.2">
      <c r="A167" s="12">
        <v>1</v>
      </c>
      <c r="B167" s="10" t="s">
        <v>15</v>
      </c>
      <c r="C167" s="11" t="s">
        <v>167</v>
      </c>
      <c r="D167" s="13">
        <v>16000</v>
      </c>
      <c r="E167" s="13">
        <f t="shared" si="31"/>
        <v>16000</v>
      </c>
      <c r="F167" s="13">
        <f t="shared" si="32"/>
        <v>17680</v>
      </c>
      <c r="G167" s="2"/>
      <c r="H167" s="2"/>
      <c r="I167" s="13">
        <v>10000</v>
      </c>
      <c r="J167" s="13">
        <f t="shared" si="33"/>
        <v>10000</v>
      </c>
      <c r="K167" s="13">
        <f t="shared" si="34"/>
        <v>7680</v>
      </c>
      <c r="L167" s="14">
        <f t="shared" si="35"/>
        <v>0.48</v>
      </c>
      <c r="M167" s="1"/>
      <c r="N167" s="2"/>
      <c r="O167" s="4"/>
      <c r="P167" s="2"/>
      <c r="Q167" s="2"/>
      <c r="R167" s="4"/>
      <c r="S167" s="2"/>
      <c r="T167" s="2"/>
      <c r="U167" s="1"/>
      <c r="V167" s="2"/>
      <c r="W167" s="2"/>
      <c r="X167" s="2"/>
      <c r="Y167" s="2"/>
      <c r="Z167" s="2"/>
    </row>
    <row r="168" spans="1:26" x14ac:dyDescent="0.2">
      <c r="A168" s="12">
        <v>3</v>
      </c>
      <c r="B168" s="10" t="s">
        <v>23</v>
      </c>
      <c r="C168" s="11" t="s">
        <v>130</v>
      </c>
      <c r="D168" s="13">
        <v>10000</v>
      </c>
      <c r="E168" s="13">
        <f t="shared" si="31"/>
        <v>30000</v>
      </c>
      <c r="F168" s="13">
        <f t="shared" si="32"/>
        <v>33150</v>
      </c>
      <c r="G168" s="2"/>
      <c r="H168" s="2"/>
      <c r="I168" s="13">
        <v>7000</v>
      </c>
      <c r="J168" s="13">
        <f t="shared" si="33"/>
        <v>21000</v>
      </c>
      <c r="K168" s="13">
        <f t="shared" si="34"/>
        <v>12150</v>
      </c>
      <c r="L168" s="14">
        <f t="shared" si="35"/>
        <v>0.40500000000000003</v>
      </c>
      <c r="M168" s="1"/>
      <c r="N168" s="2"/>
      <c r="O168" s="4"/>
      <c r="P168" s="2"/>
      <c r="Q168" s="2"/>
      <c r="R168" s="4"/>
      <c r="S168" s="2"/>
      <c r="T168" s="2"/>
      <c r="U168" s="1"/>
      <c r="V168" s="2"/>
      <c r="W168" s="2"/>
      <c r="X168" s="2"/>
      <c r="Y168" s="2"/>
      <c r="Z168" s="2"/>
    </row>
    <row r="169" spans="1:26" x14ac:dyDescent="0.2">
      <c r="A169" s="12">
        <v>1.5</v>
      </c>
      <c r="B169" s="10" t="s">
        <v>17</v>
      </c>
      <c r="C169" s="11" t="s">
        <v>36</v>
      </c>
      <c r="D169" s="13">
        <v>1800</v>
      </c>
      <c r="E169" s="13">
        <f t="shared" si="31"/>
        <v>2700</v>
      </c>
      <c r="F169" s="13">
        <f t="shared" si="32"/>
        <v>2983.5</v>
      </c>
      <c r="G169" s="2"/>
      <c r="H169" s="2"/>
      <c r="I169" s="13">
        <v>800</v>
      </c>
      <c r="J169" s="13">
        <f t="shared" si="33"/>
        <v>1200</v>
      </c>
      <c r="K169" s="13">
        <f t="shared" si="34"/>
        <v>1783.5</v>
      </c>
      <c r="L169" s="14">
        <f t="shared" si="35"/>
        <v>0.66055555555555556</v>
      </c>
      <c r="M169" s="1"/>
      <c r="N169" s="2"/>
      <c r="O169" s="4"/>
      <c r="P169" s="2"/>
      <c r="Q169" s="2"/>
      <c r="R169" s="4"/>
      <c r="S169" s="2"/>
      <c r="T169" s="2"/>
      <c r="U169" s="1"/>
      <c r="V169" s="2"/>
      <c r="W169" s="2"/>
      <c r="X169" s="2"/>
      <c r="Y169" s="2"/>
      <c r="Z169" s="2"/>
    </row>
    <row r="170" spans="1:26" x14ac:dyDescent="0.2">
      <c r="A170" s="12">
        <v>8</v>
      </c>
      <c r="B170" s="10" t="s">
        <v>17</v>
      </c>
      <c r="C170" s="11" t="s">
        <v>81</v>
      </c>
      <c r="D170" s="13">
        <v>1000</v>
      </c>
      <c r="E170" s="13">
        <f t="shared" si="31"/>
        <v>8000</v>
      </c>
      <c r="F170" s="13">
        <f t="shared" si="32"/>
        <v>8840</v>
      </c>
      <c r="G170" s="2"/>
      <c r="H170" s="2"/>
      <c r="I170" s="13">
        <f>7000/15</f>
        <v>466.66666666666669</v>
      </c>
      <c r="J170" s="13">
        <f t="shared" si="33"/>
        <v>3733.3333333333335</v>
      </c>
      <c r="K170" s="13">
        <f t="shared" si="34"/>
        <v>5106.6666666666661</v>
      </c>
      <c r="L170" s="14">
        <f t="shared" si="35"/>
        <v>0.63833333333333331</v>
      </c>
      <c r="M170" s="1"/>
      <c r="N170" s="2"/>
      <c r="O170" s="4"/>
      <c r="P170" s="2"/>
      <c r="Q170" s="2"/>
      <c r="R170" s="4"/>
      <c r="S170" s="2"/>
      <c r="T170" s="2"/>
      <c r="U170" s="1"/>
      <c r="V170" s="2"/>
      <c r="W170" s="2"/>
      <c r="X170" s="2"/>
      <c r="Y170" s="2"/>
      <c r="Z170" s="2"/>
    </row>
    <row r="171" spans="1:26" x14ac:dyDescent="0.2">
      <c r="A171" s="12">
        <v>2</v>
      </c>
      <c r="B171" s="10" t="s">
        <v>17</v>
      </c>
      <c r="C171" s="11" t="s">
        <v>1086</v>
      </c>
      <c r="D171" s="13">
        <v>4000</v>
      </c>
      <c r="E171" s="13">
        <f t="shared" si="31"/>
        <v>8000</v>
      </c>
      <c r="F171" s="13">
        <f t="shared" si="32"/>
        <v>8840</v>
      </c>
      <c r="G171" s="2"/>
      <c r="H171" s="7"/>
      <c r="I171" s="13">
        <v>2286</v>
      </c>
      <c r="J171" s="13">
        <f t="shared" si="33"/>
        <v>4572</v>
      </c>
      <c r="K171" s="13">
        <f t="shared" si="34"/>
        <v>4268</v>
      </c>
      <c r="L171" s="14">
        <f t="shared" si="35"/>
        <v>0.53349999999999997</v>
      </c>
      <c r="M171" s="1"/>
      <c r="N171" s="2"/>
      <c r="O171" s="4"/>
      <c r="P171" s="2"/>
      <c r="Q171" s="2"/>
      <c r="R171" s="4"/>
      <c r="S171" s="2"/>
      <c r="T171" s="2"/>
      <c r="U171" s="1"/>
      <c r="V171" s="2"/>
      <c r="W171" s="2"/>
      <c r="X171" s="2"/>
      <c r="Y171" s="2"/>
      <c r="Z171" s="2"/>
    </row>
    <row r="172" spans="1:26" x14ac:dyDescent="0.2">
      <c r="A172" s="12">
        <v>4</v>
      </c>
      <c r="B172" s="10" t="s">
        <v>17</v>
      </c>
      <c r="C172" s="11" t="s">
        <v>43</v>
      </c>
      <c r="D172" s="13">
        <v>3000</v>
      </c>
      <c r="E172" s="13">
        <f t="shared" si="31"/>
        <v>12000</v>
      </c>
      <c r="F172" s="13">
        <f t="shared" si="32"/>
        <v>13260</v>
      </c>
      <c r="G172" s="2"/>
      <c r="H172" s="2"/>
      <c r="I172" s="13">
        <f>15000/7</f>
        <v>2142.8571428571427</v>
      </c>
      <c r="J172" s="13">
        <f t="shared" si="33"/>
        <v>8571.4285714285706</v>
      </c>
      <c r="K172" s="13">
        <f t="shared" si="34"/>
        <v>4688.5714285714294</v>
      </c>
      <c r="L172" s="14">
        <f t="shared" si="35"/>
        <v>0.39071428571428579</v>
      </c>
      <c r="M172" s="1"/>
      <c r="N172" s="2"/>
      <c r="O172" s="4"/>
      <c r="P172" s="2"/>
      <c r="Q172" s="2"/>
      <c r="R172" s="4"/>
      <c r="S172" s="2"/>
      <c r="T172" s="2"/>
      <c r="U172" s="1"/>
      <c r="V172" s="2"/>
      <c r="W172" s="2"/>
      <c r="X172" s="2"/>
      <c r="Y172" s="2"/>
      <c r="Z172" s="2"/>
    </row>
    <row r="173" spans="1:26" x14ac:dyDescent="0.2">
      <c r="A173" s="15"/>
      <c r="B173" s="7"/>
      <c r="C173" s="24"/>
      <c r="D173" s="7"/>
      <c r="E173" s="7"/>
      <c r="F173" s="7"/>
      <c r="G173" s="7"/>
      <c r="H173" s="7"/>
      <c r="I173" s="2"/>
      <c r="J173" s="7"/>
      <c r="K173" s="7"/>
      <c r="L173" s="14"/>
      <c r="M173" s="1"/>
      <c r="N173" s="2"/>
      <c r="O173" s="4"/>
      <c r="P173" s="2"/>
      <c r="Q173" s="2"/>
      <c r="R173" s="4"/>
      <c r="S173" s="2"/>
      <c r="T173" s="2"/>
      <c r="U173" s="1"/>
      <c r="V173" s="2"/>
      <c r="W173" s="2"/>
      <c r="X173" s="2"/>
      <c r="Y173" s="2"/>
      <c r="Z173" s="2"/>
    </row>
    <row r="174" spans="1:26" x14ac:dyDescent="0.2">
      <c r="A174" s="15"/>
      <c r="B174" s="7"/>
      <c r="C174" s="24"/>
      <c r="D174" s="7"/>
      <c r="E174" s="13">
        <f t="shared" ref="E174:F174" si="36">SUM(E160:E172)</f>
        <v>208700</v>
      </c>
      <c r="F174" s="13">
        <f t="shared" si="36"/>
        <v>230613.5</v>
      </c>
      <c r="G174" s="7"/>
      <c r="H174" s="7"/>
      <c r="I174" s="2"/>
      <c r="J174" s="7"/>
      <c r="K174" s="13">
        <f>SUM(K160:K172)</f>
        <v>85322.452380952396</v>
      </c>
      <c r="L174" s="14">
        <f>IFERROR(K174/E174, 0)</f>
        <v>0.40882823373719401</v>
      </c>
      <c r="M174" s="1"/>
      <c r="N174" s="2"/>
      <c r="O174" s="4"/>
      <c r="P174" s="2"/>
      <c r="Q174" s="2"/>
      <c r="R174" s="4"/>
      <c r="S174" s="2"/>
      <c r="T174" s="2"/>
      <c r="U174" s="1"/>
      <c r="V174" s="2"/>
      <c r="W174" s="2"/>
      <c r="X174" s="2"/>
      <c r="Y174" s="2"/>
      <c r="Z174" s="2"/>
    </row>
    <row r="175" spans="1:26" x14ac:dyDescent="0.2">
      <c r="A175" s="12"/>
      <c r="B175" s="10"/>
      <c r="C175" s="11"/>
      <c r="D175" s="13"/>
      <c r="E175" s="13"/>
      <c r="F175" s="13"/>
      <c r="G175" s="2"/>
      <c r="H175" s="2"/>
      <c r="I175" s="2"/>
      <c r="J175" s="13"/>
      <c r="K175" s="13"/>
      <c r="L175" s="14"/>
      <c r="M175" s="4"/>
      <c r="N175" s="2"/>
      <c r="O175" s="4"/>
      <c r="P175" s="2"/>
      <c r="Q175" s="2"/>
      <c r="R175" s="4"/>
      <c r="S175" s="2"/>
      <c r="T175" s="2"/>
      <c r="U175" s="1"/>
      <c r="V175" s="2"/>
      <c r="W175" s="2"/>
      <c r="X175" s="2"/>
      <c r="Y175" s="2"/>
      <c r="Z175" s="2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8"/>
      <c r="M176" s="4"/>
      <c r="N176" s="2"/>
      <c r="O176" s="4"/>
      <c r="P176" s="2"/>
      <c r="Q176" s="2"/>
      <c r="R176" s="4"/>
      <c r="S176" s="2"/>
      <c r="T176" s="2"/>
      <c r="U176" s="1"/>
      <c r="V176" s="2"/>
      <c r="W176" s="2"/>
      <c r="X176" s="2"/>
      <c r="Y176" s="2"/>
      <c r="Z176" s="2"/>
    </row>
    <row r="177" spans="1:26" ht="15.75" customHeight="1" x14ac:dyDescent="0.2">
      <c r="A177" s="6"/>
      <c r="B177" s="25"/>
      <c r="C177" s="6"/>
      <c r="D177" s="7"/>
      <c r="E177" s="7"/>
      <c r="F177" s="8"/>
      <c r="G177" s="7"/>
      <c r="H177" s="2"/>
      <c r="I177" s="2"/>
      <c r="J177" s="9"/>
      <c r="K177" s="9"/>
      <c r="L177" s="3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6" t="s">
        <v>165</v>
      </c>
      <c r="B178" s="25" t="s">
        <v>168</v>
      </c>
      <c r="C178" s="6"/>
      <c r="D178" s="7"/>
      <c r="E178" s="7" t="s">
        <v>69</v>
      </c>
      <c r="F178" s="8">
        <v>46125</v>
      </c>
      <c r="G178" s="7" t="s">
        <v>106</v>
      </c>
      <c r="H178" s="2"/>
      <c r="I178" s="9" t="s">
        <v>2</v>
      </c>
      <c r="J178" s="9"/>
      <c r="K178" s="9"/>
      <c r="L178" s="3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31"/>
      <c r="M179" s="1"/>
      <c r="N179" s="2"/>
      <c r="O179" s="4"/>
      <c r="P179" s="2"/>
      <c r="Q179" s="2"/>
      <c r="R179" s="4"/>
      <c r="S179" s="2"/>
      <c r="T179" s="2"/>
      <c r="U179" s="1"/>
      <c r="V179" s="2"/>
      <c r="W179" s="2"/>
      <c r="X179" s="2"/>
      <c r="Y179" s="2"/>
      <c r="Z179" s="2"/>
    </row>
    <row r="180" spans="1:26" x14ac:dyDescent="0.2">
      <c r="A180" s="6" t="s">
        <v>3</v>
      </c>
      <c r="B180" s="10" t="s">
        <v>4</v>
      </c>
      <c r="C180" s="11" t="s">
        <v>5</v>
      </c>
      <c r="D180" s="10" t="s">
        <v>6</v>
      </c>
      <c r="E180" s="10" t="s">
        <v>7</v>
      </c>
      <c r="F180" s="10" t="s">
        <v>8</v>
      </c>
      <c r="G180" s="7"/>
      <c r="H180" s="7"/>
      <c r="I180" s="10" t="s">
        <v>9</v>
      </c>
      <c r="J180" s="10" t="s">
        <v>7</v>
      </c>
      <c r="K180" s="10" t="s">
        <v>10</v>
      </c>
      <c r="L180" s="38"/>
      <c r="M180" s="1"/>
      <c r="N180" s="2"/>
      <c r="O180" s="4"/>
      <c r="P180" s="2"/>
      <c r="Q180" s="2"/>
      <c r="R180" s="4"/>
      <c r="S180" s="2"/>
      <c r="T180" s="2"/>
      <c r="U180" s="1"/>
      <c r="V180" s="2"/>
      <c r="W180" s="2"/>
      <c r="X180" s="2"/>
      <c r="Y180" s="2"/>
      <c r="Z180" s="2"/>
    </row>
    <row r="181" spans="1:26" x14ac:dyDescent="0.2">
      <c r="A181" s="12">
        <v>1</v>
      </c>
      <c r="B181" s="10" t="s">
        <v>15</v>
      </c>
      <c r="C181" s="11" t="s">
        <v>56</v>
      </c>
      <c r="D181" s="13">
        <v>16000</v>
      </c>
      <c r="E181" s="13">
        <f t="shared" ref="E181:E196" si="37">A181*D181</f>
        <v>16000</v>
      </c>
      <c r="F181" s="13">
        <f t="shared" ref="F181:F188" si="38">E181*1.105</f>
        <v>17680</v>
      </c>
      <c r="G181" s="2"/>
      <c r="H181" s="2"/>
      <c r="I181" s="13">
        <v>13000</v>
      </c>
      <c r="J181" s="13">
        <f t="shared" ref="J181:J196" si="39">I181*A181</f>
        <v>13000</v>
      </c>
      <c r="K181" s="13">
        <f t="shared" ref="K181:K196" si="40">F181-J181</f>
        <v>4680</v>
      </c>
      <c r="L181" s="14">
        <f t="shared" ref="L181:L196" si="41">IFERROR(K181/E181, 0)</f>
        <v>0.29249999999999998</v>
      </c>
      <c r="M181" s="1"/>
      <c r="N181" s="2"/>
      <c r="O181" s="4"/>
      <c r="P181" s="2"/>
      <c r="Q181" s="2"/>
      <c r="R181" s="4"/>
      <c r="S181" s="2"/>
      <c r="T181" s="2"/>
      <c r="U181" s="1"/>
      <c r="V181" s="2"/>
      <c r="W181" s="2"/>
      <c r="X181" s="2"/>
      <c r="Y181" s="2"/>
      <c r="Z181" s="2"/>
    </row>
    <row r="182" spans="1:26" x14ac:dyDescent="0.2">
      <c r="A182" s="12">
        <v>1</v>
      </c>
      <c r="B182" s="10" t="s">
        <v>15</v>
      </c>
      <c r="C182" s="11" t="s">
        <v>167</v>
      </c>
      <c r="D182" s="13">
        <v>16000</v>
      </c>
      <c r="E182" s="13">
        <f t="shared" si="37"/>
        <v>16000</v>
      </c>
      <c r="F182" s="13">
        <f t="shared" si="38"/>
        <v>17680</v>
      </c>
      <c r="G182" s="2"/>
      <c r="H182" s="2"/>
      <c r="I182" s="13">
        <v>10000</v>
      </c>
      <c r="J182" s="13">
        <f t="shared" si="39"/>
        <v>10000</v>
      </c>
      <c r="K182" s="13">
        <f t="shared" si="40"/>
        <v>7680</v>
      </c>
      <c r="L182" s="14">
        <f t="shared" si="41"/>
        <v>0.48</v>
      </c>
      <c r="M182" s="1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x14ac:dyDescent="0.2">
      <c r="A183" s="12">
        <v>3</v>
      </c>
      <c r="B183" s="10" t="s">
        <v>17</v>
      </c>
      <c r="C183" s="11" t="s">
        <v>31</v>
      </c>
      <c r="D183" s="13">
        <v>3000</v>
      </c>
      <c r="E183" s="13">
        <f t="shared" si="37"/>
        <v>9000</v>
      </c>
      <c r="F183" s="13">
        <f t="shared" si="38"/>
        <v>9945</v>
      </c>
      <c r="G183" s="2"/>
      <c r="H183" s="2"/>
      <c r="I183" s="13">
        <f>15000/8</f>
        <v>1875</v>
      </c>
      <c r="J183" s="13">
        <f t="shared" si="39"/>
        <v>5625</v>
      </c>
      <c r="K183" s="13">
        <f t="shared" si="40"/>
        <v>4320</v>
      </c>
      <c r="L183" s="14">
        <f t="shared" si="41"/>
        <v>0.48</v>
      </c>
      <c r="M183" s="1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x14ac:dyDescent="0.2">
      <c r="A184" s="12">
        <v>3</v>
      </c>
      <c r="B184" s="10" t="s">
        <v>17</v>
      </c>
      <c r="C184" s="11" t="s">
        <v>32</v>
      </c>
      <c r="D184" s="13">
        <v>3000</v>
      </c>
      <c r="E184" s="13">
        <f t="shared" si="37"/>
        <v>9000</v>
      </c>
      <c r="F184" s="13">
        <f t="shared" si="38"/>
        <v>9945</v>
      </c>
      <c r="G184" s="2"/>
      <c r="H184" s="2"/>
      <c r="I184" s="13">
        <f>14000/7</f>
        <v>2000</v>
      </c>
      <c r="J184" s="13">
        <f t="shared" si="39"/>
        <v>6000</v>
      </c>
      <c r="K184" s="13">
        <f t="shared" si="40"/>
        <v>3945</v>
      </c>
      <c r="L184" s="14">
        <f t="shared" si="41"/>
        <v>0.43833333333333335</v>
      </c>
      <c r="M184" s="1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x14ac:dyDescent="0.2">
      <c r="A185" s="12">
        <v>2</v>
      </c>
      <c r="B185" s="10" t="s">
        <v>17</v>
      </c>
      <c r="C185" s="11" t="s">
        <v>43</v>
      </c>
      <c r="D185" s="13">
        <v>3000</v>
      </c>
      <c r="E185" s="13">
        <f t="shared" si="37"/>
        <v>6000</v>
      </c>
      <c r="F185" s="13">
        <f t="shared" si="38"/>
        <v>6630</v>
      </c>
      <c r="G185" s="2"/>
      <c r="H185" s="2"/>
      <c r="I185" s="13">
        <f>15000/7</f>
        <v>2142.8571428571427</v>
      </c>
      <c r="J185" s="13">
        <f t="shared" si="39"/>
        <v>4285.7142857142853</v>
      </c>
      <c r="K185" s="13">
        <f t="shared" si="40"/>
        <v>2344.2857142857147</v>
      </c>
      <c r="L185" s="14">
        <f t="shared" si="41"/>
        <v>0.39071428571428579</v>
      </c>
      <c r="M185" s="1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x14ac:dyDescent="0.2">
      <c r="A186" s="12">
        <v>3</v>
      </c>
      <c r="B186" s="10" t="s">
        <v>17</v>
      </c>
      <c r="C186" s="11" t="s">
        <v>61</v>
      </c>
      <c r="D186" s="13">
        <v>2600</v>
      </c>
      <c r="E186" s="13">
        <f t="shared" si="37"/>
        <v>7800</v>
      </c>
      <c r="F186" s="13">
        <f t="shared" si="38"/>
        <v>8619</v>
      </c>
      <c r="G186" s="2"/>
      <c r="H186" s="7"/>
      <c r="I186" s="13">
        <f>28000/14</f>
        <v>2000</v>
      </c>
      <c r="J186" s="13">
        <f t="shared" si="39"/>
        <v>6000</v>
      </c>
      <c r="K186" s="13">
        <f t="shared" si="40"/>
        <v>2619</v>
      </c>
      <c r="L186" s="14">
        <f t="shared" si="41"/>
        <v>0.33576923076923076</v>
      </c>
      <c r="M186" s="1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x14ac:dyDescent="0.2">
      <c r="A187" s="12">
        <v>1.5</v>
      </c>
      <c r="B187" s="10" t="s">
        <v>17</v>
      </c>
      <c r="C187" s="11" t="s">
        <v>36</v>
      </c>
      <c r="D187" s="13">
        <v>1800</v>
      </c>
      <c r="E187" s="13">
        <f t="shared" si="37"/>
        <v>2700</v>
      </c>
      <c r="F187" s="13">
        <f t="shared" si="38"/>
        <v>2983.5</v>
      </c>
      <c r="G187" s="2"/>
      <c r="H187" s="2"/>
      <c r="I187" s="13">
        <v>800</v>
      </c>
      <c r="J187" s="13">
        <f t="shared" si="39"/>
        <v>1200</v>
      </c>
      <c r="K187" s="13">
        <f t="shared" si="40"/>
        <v>1783.5</v>
      </c>
      <c r="L187" s="14">
        <f t="shared" si="41"/>
        <v>0.66055555555555556</v>
      </c>
      <c r="M187" s="1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x14ac:dyDescent="0.2">
      <c r="A188" s="12">
        <v>3</v>
      </c>
      <c r="B188" s="10" t="s">
        <v>17</v>
      </c>
      <c r="C188" s="11" t="s">
        <v>99</v>
      </c>
      <c r="D188" s="13">
        <v>1300</v>
      </c>
      <c r="E188" s="13">
        <f t="shared" si="37"/>
        <v>3900</v>
      </c>
      <c r="F188" s="13">
        <f t="shared" si="38"/>
        <v>4309.5</v>
      </c>
      <c r="G188" s="2"/>
      <c r="H188" s="2"/>
      <c r="I188" s="13">
        <v>1000</v>
      </c>
      <c r="J188" s="13">
        <f t="shared" si="39"/>
        <v>3000</v>
      </c>
      <c r="K188" s="13">
        <f t="shared" si="40"/>
        <v>1309.5</v>
      </c>
      <c r="L188" s="14">
        <f t="shared" si="41"/>
        <v>0.33576923076923076</v>
      </c>
      <c r="M188" s="1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x14ac:dyDescent="0.2">
      <c r="A189" s="12">
        <v>1</v>
      </c>
      <c r="B189" s="10" t="s">
        <v>23</v>
      </c>
      <c r="C189" s="11" t="s">
        <v>85</v>
      </c>
      <c r="D189" s="13">
        <v>54000</v>
      </c>
      <c r="E189" s="13">
        <f t="shared" si="37"/>
        <v>54000</v>
      </c>
      <c r="F189" s="13">
        <f>E189*1.21</f>
        <v>65340</v>
      </c>
      <c r="G189" s="2"/>
      <c r="H189" s="2"/>
      <c r="I189" s="13">
        <v>50000</v>
      </c>
      <c r="J189" s="13">
        <f t="shared" si="39"/>
        <v>50000</v>
      </c>
      <c r="K189" s="13">
        <f t="shared" si="40"/>
        <v>15340</v>
      </c>
      <c r="L189" s="18">
        <f t="shared" si="41"/>
        <v>0.28407407407407409</v>
      </c>
      <c r="M189" s="1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x14ac:dyDescent="0.2">
      <c r="A190" s="12">
        <v>2</v>
      </c>
      <c r="B190" s="10" t="s">
        <v>21</v>
      </c>
      <c r="C190" s="11" t="s">
        <v>51</v>
      </c>
      <c r="D190" s="13">
        <v>1500</v>
      </c>
      <c r="E190" s="13">
        <f t="shared" si="37"/>
        <v>3000</v>
      </c>
      <c r="F190" s="13">
        <f t="shared" ref="F190:F196" si="42">E190*1.105</f>
        <v>3315</v>
      </c>
      <c r="G190" s="2"/>
      <c r="H190" s="2"/>
      <c r="I190" s="13">
        <f>10000/12</f>
        <v>833.33333333333337</v>
      </c>
      <c r="J190" s="13">
        <f t="shared" si="39"/>
        <v>1666.6666666666667</v>
      </c>
      <c r="K190" s="13">
        <f t="shared" si="40"/>
        <v>1648.3333333333333</v>
      </c>
      <c r="L190" s="18">
        <f t="shared" si="41"/>
        <v>0.5494444444444444</v>
      </c>
      <c r="M190" s="1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x14ac:dyDescent="0.2">
      <c r="A191" s="12">
        <v>0.5</v>
      </c>
      <c r="B191" s="10" t="s">
        <v>23</v>
      </c>
      <c r="C191" s="11" t="s">
        <v>81</v>
      </c>
      <c r="D191" s="13">
        <v>14000</v>
      </c>
      <c r="E191" s="13">
        <f t="shared" si="37"/>
        <v>7000</v>
      </c>
      <c r="F191" s="13">
        <f t="shared" si="42"/>
        <v>7735</v>
      </c>
      <c r="G191" s="2"/>
      <c r="H191" s="2"/>
      <c r="I191" s="13">
        <v>7000</v>
      </c>
      <c r="J191" s="13">
        <f t="shared" si="39"/>
        <v>3500</v>
      </c>
      <c r="K191" s="13">
        <f t="shared" si="40"/>
        <v>4235</v>
      </c>
      <c r="L191" s="18">
        <f t="shared" si="41"/>
        <v>0.60499999999999998</v>
      </c>
      <c r="M191" s="1"/>
      <c r="N191" s="2"/>
      <c r="O191" s="4"/>
      <c r="P191" s="2"/>
      <c r="Q191" s="2"/>
      <c r="R191" s="4"/>
      <c r="S191" s="2"/>
      <c r="T191" s="2"/>
      <c r="U191" s="1"/>
      <c r="V191" s="2"/>
      <c r="W191" s="2"/>
      <c r="X191" s="2"/>
      <c r="Y191" s="2"/>
      <c r="Z191" s="2"/>
    </row>
    <row r="192" spans="1:26" x14ac:dyDescent="0.2">
      <c r="A192" s="12">
        <v>1</v>
      </c>
      <c r="B192" s="10" t="s">
        <v>15</v>
      </c>
      <c r="C192" s="11" t="s">
        <v>135</v>
      </c>
      <c r="D192" s="13">
        <v>17000</v>
      </c>
      <c r="E192" s="13">
        <f t="shared" si="37"/>
        <v>17000</v>
      </c>
      <c r="F192" s="13">
        <f t="shared" si="42"/>
        <v>18785</v>
      </c>
      <c r="G192" s="2"/>
      <c r="H192" s="2"/>
      <c r="I192" s="13">
        <v>13000</v>
      </c>
      <c r="J192" s="13">
        <f t="shared" si="39"/>
        <v>13000</v>
      </c>
      <c r="K192" s="13">
        <f t="shared" si="40"/>
        <v>5785</v>
      </c>
      <c r="L192" s="18">
        <f t="shared" si="41"/>
        <v>0.3402941176470588</v>
      </c>
      <c r="M192" s="1"/>
      <c r="N192" s="2"/>
      <c r="O192" s="4"/>
      <c r="P192" s="2"/>
      <c r="Q192" s="2"/>
      <c r="R192" s="4"/>
      <c r="S192" s="2"/>
      <c r="T192" s="2"/>
      <c r="U192" s="1"/>
      <c r="V192" s="2"/>
      <c r="W192" s="2"/>
      <c r="X192" s="2"/>
      <c r="Y192" s="2"/>
      <c r="Z192" s="2"/>
    </row>
    <row r="193" spans="1:26" x14ac:dyDescent="0.2">
      <c r="A193" s="12">
        <v>0.5</v>
      </c>
      <c r="B193" s="10" t="s">
        <v>23</v>
      </c>
      <c r="C193" s="11" t="s">
        <v>24</v>
      </c>
      <c r="D193" s="13">
        <v>57000</v>
      </c>
      <c r="E193" s="13">
        <f t="shared" si="37"/>
        <v>28500</v>
      </c>
      <c r="F193" s="13">
        <f t="shared" si="42"/>
        <v>31492.5</v>
      </c>
      <c r="G193" s="2"/>
      <c r="H193" s="2"/>
      <c r="I193" s="13">
        <v>45000</v>
      </c>
      <c r="J193" s="13">
        <f t="shared" si="39"/>
        <v>22500</v>
      </c>
      <c r="K193" s="13">
        <f t="shared" si="40"/>
        <v>8992.5</v>
      </c>
      <c r="L193" s="36">
        <f t="shared" si="41"/>
        <v>0.31552631578947371</v>
      </c>
      <c r="M193" s="1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x14ac:dyDescent="0.2">
      <c r="A194" s="12">
        <v>0.5</v>
      </c>
      <c r="B194" s="10" t="s">
        <v>23</v>
      </c>
      <c r="C194" s="11" t="s">
        <v>87</v>
      </c>
      <c r="D194" s="13">
        <v>38000</v>
      </c>
      <c r="E194" s="13">
        <f t="shared" si="37"/>
        <v>19000</v>
      </c>
      <c r="F194" s="13">
        <f t="shared" si="42"/>
        <v>20995</v>
      </c>
      <c r="G194" s="2"/>
      <c r="H194" s="2"/>
      <c r="I194" s="7">
        <v>28000</v>
      </c>
      <c r="J194" s="13">
        <f t="shared" si="39"/>
        <v>14000</v>
      </c>
      <c r="K194" s="13">
        <f t="shared" si="40"/>
        <v>6995</v>
      </c>
      <c r="L194" s="18">
        <f t="shared" si="41"/>
        <v>0.36815789473684213</v>
      </c>
      <c r="M194" s="1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x14ac:dyDescent="0.2">
      <c r="A195" s="12">
        <v>2</v>
      </c>
      <c r="B195" s="10" t="s">
        <v>17</v>
      </c>
      <c r="C195" s="11" t="s">
        <v>90</v>
      </c>
      <c r="D195" s="13">
        <v>7500</v>
      </c>
      <c r="E195" s="13">
        <f t="shared" si="37"/>
        <v>15000</v>
      </c>
      <c r="F195" s="13">
        <f t="shared" si="42"/>
        <v>16575</v>
      </c>
      <c r="G195" s="2"/>
      <c r="H195" s="2"/>
      <c r="I195" s="13">
        <v>6100</v>
      </c>
      <c r="J195" s="13">
        <f t="shared" si="39"/>
        <v>12200</v>
      </c>
      <c r="K195" s="13">
        <f t="shared" si="40"/>
        <v>4375</v>
      </c>
      <c r="L195" s="14">
        <f t="shared" si="41"/>
        <v>0.29166666666666669</v>
      </c>
      <c r="M195" s="1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x14ac:dyDescent="0.2">
      <c r="A196" s="12">
        <v>2</v>
      </c>
      <c r="B196" s="10" t="s">
        <v>17</v>
      </c>
      <c r="C196" s="11" t="s">
        <v>162</v>
      </c>
      <c r="D196" s="13">
        <v>4000</v>
      </c>
      <c r="E196" s="13">
        <f t="shared" si="37"/>
        <v>8000</v>
      </c>
      <c r="F196" s="13">
        <f t="shared" si="42"/>
        <v>8840</v>
      </c>
      <c r="G196" s="2"/>
      <c r="H196" s="2"/>
      <c r="I196" s="13">
        <f>12120/3</f>
        <v>4040</v>
      </c>
      <c r="J196" s="13">
        <f t="shared" si="39"/>
        <v>8080</v>
      </c>
      <c r="K196" s="13">
        <f t="shared" si="40"/>
        <v>760</v>
      </c>
      <c r="L196" s="14">
        <f t="shared" si="41"/>
        <v>9.5000000000000001E-2</v>
      </c>
      <c r="M196" s="1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x14ac:dyDescent="0.2">
      <c r="A197" s="15"/>
      <c r="B197" s="7"/>
      <c r="C197" s="24"/>
      <c r="D197" s="7"/>
      <c r="E197" s="7"/>
      <c r="F197" s="7"/>
      <c r="G197" s="7"/>
      <c r="H197" s="7"/>
      <c r="I197" s="2"/>
      <c r="J197" s="7"/>
      <c r="K197" s="7"/>
      <c r="L197" s="14"/>
      <c r="M197" s="1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x14ac:dyDescent="0.2">
      <c r="A198" s="15"/>
      <c r="B198" s="7"/>
      <c r="C198" s="24"/>
      <c r="D198" s="7"/>
      <c r="E198" s="13">
        <f t="shared" ref="E198:F198" si="43">SUM(E181:E196)</f>
        <v>221900</v>
      </c>
      <c r="F198" s="13">
        <f t="shared" si="43"/>
        <v>250869.5</v>
      </c>
      <c r="G198" s="7"/>
      <c r="H198" s="7"/>
      <c r="I198" s="2"/>
      <c r="J198" s="7"/>
      <c r="K198" s="13">
        <f>SUM(K181:K196)</f>
        <v>76812.119047619053</v>
      </c>
      <c r="L198" s="14">
        <f>IFERROR(K198/E198, 0)</f>
        <v>0.34615646258503402</v>
      </c>
      <c r="M198" s="1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2"/>
      <c r="J199" s="4"/>
      <c r="K199" s="4"/>
      <c r="L199" s="28"/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x14ac:dyDescent="0.2">
      <c r="A200" s="6"/>
      <c r="B200" s="6"/>
      <c r="C200" s="6"/>
      <c r="D200" s="22"/>
      <c r="E200" s="8"/>
      <c r="F200" s="24"/>
      <c r="G200" s="2"/>
      <c r="H200" s="2"/>
      <c r="I200" s="2"/>
      <c r="J200" s="13"/>
      <c r="K200" s="13"/>
      <c r="L200" s="31"/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0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0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6" t="s">
        <v>169</v>
      </c>
      <c r="B203" s="6"/>
      <c r="C203" s="6"/>
      <c r="D203" s="22" t="s">
        <v>45</v>
      </c>
      <c r="E203" s="8">
        <v>46125</v>
      </c>
      <c r="F203" s="24"/>
      <c r="G203" s="2"/>
      <c r="H203" s="2"/>
      <c r="I203" s="2"/>
      <c r="J203" s="13"/>
      <c r="K203" s="13"/>
      <c r="L203" s="14"/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B204" s="2"/>
      <c r="C204" s="4"/>
      <c r="D204" s="2"/>
      <c r="E204" s="2"/>
      <c r="F204" s="2"/>
      <c r="G204" s="2"/>
      <c r="H204" s="2"/>
      <c r="I204" s="2"/>
      <c r="J204" s="13"/>
      <c r="K204" s="13"/>
      <c r="L204" s="14"/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6" t="s">
        <v>3</v>
      </c>
      <c r="B205" s="10" t="s">
        <v>4</v>
      </c>
      <c r="C205" s="11" t="s">
        <v>5</v>
      </c>
      <c r="D205" s="10" t="s">
        <v>6</v>
      </c>
      <c r="E205" s="10" t="s">
        <v>7</v>
      </c>
      <c r="F205" s="10"/>
      <c r="G205" s="2"/>
      <c r="H205" s="2"/>
      <c r="I205" s="10" t="s">
        <v>6</v>
      </c>
      <c r="J205" s="10" t="s">
        <v>7</v>
      </c>
      <c r="K205" s="10" t="s">
        <v>10</v>
      </c>
      <c r="L205" s="14"/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>
        <v>2</v>
      </c>
      <c r="B206" s="10" t="s">
        <v>23</v>
      </c>
      <c r="C206" s="11" t="s">
        <v>87</v>
      </c>
      <c r="D206" s="13">
        <v>42000</v>
      </c>
      <c r="E206" s="13">
        <f t="shared" ref="E206:E220" si="44">A206*D206</f>
        <v>84000</v>
      </c>
      <c r="F206" s="13"/>
      <c r="G206" s="2"/>
      <c r="H206" s="7"/>
      <c r="I206" s="13">
        <v>28000</v>
      </c>
      <c r="J206" s="13">
        <f t="shared" ref="J206:J220" si="45">I206*A206</f>
        <v>56000</v>
      </c>
      <c r="K206" s="13">
        <f t="shared" ref="K206:K220" si="46">E206-J206</f>
        <v>28000</v>
      </c>
      <c r="L206" s="14">
        <f t="shared" ref="L206:L220" si="47">K206/E206</f>
        <v>0.33333333333333331</v>
      </c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>
        <v>1</v>
      </c>
      <c r="B207" s="10" t="s">
        <v>23</v>
      </c>
      <c r="C207" s="11" t="s">
        <v>24</v>
      </c>
      <c r="D207" s="13">
        <v>60000</v>
      </c>
      <c r="E207" s="13">
        <f t="shared" si="44"/>
        <v>60000</v>
      </c>
      <c r="F207" s="13"/>
      <c r="G207" s="2"/>
      <c r="H207" s="7"/>
      <c r="I207" s="13">
        <v>30000</v>
      </c>
      <c r="J207" s="13">
        <f t="shared" si="45"/>
        <v>30000</v>
      </c>
      <c r="K207" s="13">
        <f t="shared" si="46"/>
        <v>30000</v>
      </c>
      <c r="L207" s="14">
        <f t="shared" si="47"/>
        <v>0.5</v>
      </c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2">
        <v>1</v>
      </c>
      <c r="B208" s="10" t="s">
        <v>15</v>
      </c>
      <c r="C208" s="11" t="s">
        <v>40</v>
      </c>
      <c r="D208" s="13">
        <v>13000</v>
      </c>
      <c r="E208" s="13">
        <f t="shared" si="44"/>
        <v>13000</v>
      </c>
      <c r="F208" s="13"/>
      <c r="G208" s="2"/>
      <c r="H208" s="7"/>
      <c r="I208" s="13">
        <v>6000</v>
      </c>
      <c r="J208" s="13">
        <f t="shared" si="45"/>
        <v>6000</v>
      </c>
      <c r="K208" s="13">
        <f t="shared" si="46"/>
        <v>7000</v>
      </c>
      <c r="L208" s="14">
        <f t="shared" si="47"/>
        <v>0.53846153846153844</v>
      </c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2">
        <v>2</v>
      </c>
      <c r="B209" s="10" t="s">
        <v>15</v>
      </c>
      <c r="C209" s="11" t="s">
        <v>16</v>
      </c>
      <c r="D209" s="13">
        <v>13000</v>
      </c>
      <c r="E209" s="13">
        <f t="shared" si="44"/>
        <v>26000</v>
      </c>
      <c r="F209" s="13"/>
      <c r="G209" s="2"/>
      <c r="H209" s="7"/>
      <c r="I209" s="13">
        <v>8000</v>
      </c>
      <c r="J209" s="13">
        <f t="shared" si="45"/>
        <v>16000</v>
      </c>
      <c r="K209" s="13">
        <f t="shared" si="46"/>
        <v>10000</v>
      </c>
      <c r="L209" s="14">
        <f t="shared" si="47"/>
        <v>0.38461538461538464</v>
      </c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2">
        <v>1</v>
      </c>
      <c r="B210" s="10" t="s">
        <v>15</v>
      </c>
      <c r="C210" s="11" t="s">
        <v>56</v>
      </c>
      <c r="D210" s="13">
        <v>16000</v>
      </c>
      <c r="E210" s="13">
        <f t="shared" si="44"/>
        <v>16000</v>
      </c>
      <c r="F210" s="13"/>
      <c r="G210" s="2"/>
      <c r="H210" s="7"/>
      <c r="I210" s="13">
        <v>13000</v>
      </c>
      <c r="J210" s="13">
        <f t="shared" si="45"/>
        <v>13000</v>
      </c>
      <c r="K210" s="13">
        <f t="shared" si="46"/>
        <v>3000</v>
      </c>
      <c r="L210" s="14">
        <f t="shared" si="47"/>
        <v>0.1875</v>
      </c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2">
        <v>2.5</v>
      </c>
      <c r="B211" s="10" t="s">
        <v>23</v>
      </c>
      <c r="C211" s="11" t="s">
        <v>82</v>
      </c>
      <c r="D211" s="13">
        <v>28000</v>
      </c>
      <c r="E211" s="13">
        <f t="shared" si="44"/>
        <v>70000</v>
      </c>
      <c r="F211" s="13"/>
      <c r="G211" s="2"/>
      <c r="H211" s="7"/>
      <c r="I211" s="13">
        <v>22000</v>
      </c>
      <c r="J211" s="13">
        <f t="shared" si="45"/>
        <v>55000</v>
      </c>
      <c r="K211" s="13">
        <f t="shared" si="46"/>
        <v>15000</v>
      </c>
      <c r="L211" s="14">
        <f t="shared" si="47"/>
        <v>0.21428571428571427</v>
      </c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15.75" customHeight="1" x14ac:dyDescent="0.2">
      <c r="A212" s="12">
        <v>1</v>
      </c>
      <c r="B212" s="10" t="s">
        <v>23</v>
      </c>
      <c r="C212" s="11" t="s">
        <v>130</v>
      </c>
      <c r="D212" s="13">
        <v>10000</v>
      </c>
      <c r="E212" s="13">
        <f t="shared" si="44"/>
        <v>10000</v>
      </c>
      <c r="F212" s="13"/>
      <c r="G212" s="2"/>
      <c r="H212" s="7"/>
      <c r="I212" s="13">
        <v>7000</v>
      </c>
      <c r="J212" s="13">
        <f t="shared" si="45"/>
        <v>7000</v>
      </c>
      <c r="K212" s="13">
        <f t="shared" si="46"/>
        <v>3000</v>
      </c>
      <c r="L212" s="14">
        <f t="shared" si="47"/>
        <v>0.3</v>
      </c>
      <c r="M212" s="4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ht="15.75" customHeight="1" x14ac:dyDescent="0.2">
      <c r="A213" s="12">
        <v>2.35</v>
      </c>
      <c r="B213" s="10" t="s">
        <v>17</v>
      </c>
      <c r="C213" s="11" t="s">
        <v>31</v>
      </c>
      <c r="D213" s="13">
        <v>2800</v>
      </c>
      <c r="E213" s="13">
        <f t="shared" si="44"/>
        <v>6580</v>
      </c>
      <c r="F213" s="13"/>
      <c r="G213" s="2"/>
      <c r="H213" s="7"/>
      <c r="I213" s="13">
        <f>15000/8</f>
        <v>1875</v>
      </c>
      <c r="J213" s="13">
        <f t="shared" si="45"/>
        <v>4406.25</v>
      </c>
      <c r="K213" s="13">
        <f t="shared" si="46"/>
        <v>2173.75</v>
      </c>
      <c r="L213" s="14">
        <f t="shared" si="47"/>
        <v>0.33035714285714285</v>
      </c>
      <c r="M213" s="4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ht="16.5" customHeight="1" x14ac:dyDescent="0.2">
      <c r="A214" s="12">
        <v>4</v>
      </c>
      <c r="B214" s="10" t="s">
        <v>4</v>
      </c>
      <c r="C214" s="11" t="s">
        <v>13</v>
      </c>
      <c r="D214" s="13">
        <v>900</v>
      </c>
      <c r="E214" s="13">
        <f t="shared" si="44"/>
        <v>3600</v>
      </c>
      <c r="F214" s="13"/>
      <c r="G214" s="2"/>
      <c r="H214" s="7"/>
      <c r="I214" s="13">
        <v>460</v>
      </c>
      <c r="J214" s="13">
        <f t="shared" si="45"/>
        <v>1840</v>
      </c>
      <c r="K214" s="13">
        <f t="shared" si="46"/>
        <v>1760</v>
      </c>
      <c r="L214" s="14">
        <f t="shared" si="47"/>
        <v>0.48888888888888887</v>
      </c>
      <c r="M214" s="4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ht="16.5" customHeight="1" x14ac:dyDescent="0.2">
      <c r="A215" s="12">
        <v>5</v>
      </c>
      <c r="B215" s="10" t="s">
        <v>17</v>
      </c>
      <c r="C215" s="11" t="s">
        <v>81</v>
      </c>
      <c r="D215" s="13">
        <v>1200</v>
      </c>
      <c r="E215" s="13">
        <f t="shared" si="44"/>
        <v>6000</v>
      </c>
      <c r="F215" s="13"/>
      <c r="G215" s="2"/>
      <c r="H215" s="7"/>
      <c r="I215" s="13">
        <f>7000/15</f>
        <v>466.66666666666669</v>
      </c>
      <c r="J215" s="13">
        <f t="shared" si="45"/>
        <v>2333.3333333333335</v>
      </c>
      <c r="K215" s="13">
        <f t="shared" si="46"/>
        <v>3666.6666666666665</v>
      </c>
      <c r="L215" s="14">
        <f t="shared" si="47"/>
        <v>0.61111111111111105</v>
      </c>
      <c r="M215" s="4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ht="15.75" customHeight="1" x14ac:dyDescent="0.2">
      <c r="A216" s="12">
        <v>1</v>
      </c>
      <c r="B216" s="10" t="s">
        <v>23</v>
      </c>
      <c r="C216" s="11" t="s">
        <v>127</v>
      </c>
      <c r="D216" s="13">
        <v>22000</v>
      </c>
      <c r="E216" s="13">
        <f t="shared" si="44"/>
        <v>22000</v>
      </c>
      <c r="F216" s="13"/>
      <c r="G216" s="2"/>
      <c r="H216" s="7"/>
      <c r="I216" s="13">
        <v>16000</v>
      </c>
      <c r="J216" s="13">
        <f t="shared" si="45"/>
        <v>16000</v>
      </c>
      <c r="K216" s="13">
        <f t="shared" si="46"/>
        <v>6000</v>
      </c>
      <c r="L216" s="14">
        <f t="shared" si="47"/>
        <v>0.27272727272727271</v>
      </c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ht="15.75" customHeight="1" x14ac:dyDescent="0.2">
      <c r="A217" s="12">
        <v>3</v>
      </c>
      <c r="B217" s="10" t="s">
        <v>17</v>
      </c>
      <c r="C217" s="11" t="s">
        <v>99</v>
      </c>
      <c r="D217" s="13">
        <v>1600</v>
      </c>
      <c r="E217" s="13">
        <f t="shared" si="44"/>
        <v>4800</v>
      </c>
      <c r="F217" s="13"/>
      <c r="G217" s="2"/>
      <c r="H217" s="7"/>
      <c r="I217" s="13">
        <v>1000</v>
      </c>
      <c r="J217" s="13">
        <f t="shared" si="45"/>
        <v>3000</v>
      </c>
      <c r="K217" s="13">
        <f t="shared" si="46"/>
        <v>1800</v>
      </c>
      <c r="L217" s="14">
        <f t="shared" si="47"/>
        <v>0.375</v>
      </c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2">
        <v>1</v>
      </c>
      <c r="B218" s="10" t="s">
        <v>21</v>
      </c>
      <c r="C218" s="11" t="s">
        <v>42</v>
      </c>
      <c r="D218" s="13">
        <v>4000</v>
      </c>
      <c r="E218" s="13">
        <f t="shared" si="44"/>
        <v>4000</v>
      </c>
      <c r="F218" s="13"/>
      <c r="G218" s="2"/>
      <c r="H218" s="7" t="s">
        <v>107</v>
      </c>
      <c r="I218" s="13"/>
      <c r="J218" s="13">
        <f t="shared" si="45"/>
        <v>0</v>
      </c>
      <c r="K218" s="13">
        <f t="shared" si="46"/>
        <v>4000</v>
      </c>
      <c r="L218" s="14">
        <f t="shared" si="47"/>
        <v>1</v>
      </c>
      <c r="M218" s="4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ht="15.75" customHeight="1" x14ac:dyDescent="0.2">
      <c r="A219" s="12">
        <v>1</v>
      </c>
      <c r="B219" s="10" t="s">
        <v>23</v>
      </c>
      <c r="C219" s="11" t="s">
        <v>67</v>
      </c>
      <c r="D219" s="13">
        <v>15000</v>
      </c>
      <c r="E219" s="13">
        <f t="shared" si="44"/>
        <v>15000</v>
      </c>
      <c r="F219" s="13"/>
      <c r="G219" s="2"/>
      <c r="H219" s="7"/>
      <c r="I219" s="13">
        <f>9000</f>
        <v>9000</v>
      </c>
      <c r="J219" s="13">
        <f t="shared" si="45"/>
        <v>9000</v>
      </c>
      <c r="K219" s="13">
        <f t="shared" si="46"/>
        <v>6000</v>
      </c>
      <c r="L219" s="14">
        <f t="shared" si="47"/>
        <v>0.4</v>
      </c>
      <c r="M219" s="4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ht="15.75" customHeight="1" x14ac:dyDescent="0.2">
      <c r="A220" s="12">
        <v>1</v>
      </c>
      <c r="B220" s="10" t="s">
        <v>23</v>
      </c>
      <c r="C220" s="11" t="s">
        <v>85</v>
      </c>
      <c r="D220" s="13">
        <v>60000</v>
      </c>
      <c r="E220" s="13">
        <f t="shared" si="44"/>
        <v>60000</v>
      </c>
      <c r="F220" s="13"/>
      <c r="G220" s="2"/>
      <c r="H220" s="7"/>
      <c r="I220" s="13">
        <v>50000</v>
      </c>
      <c r="J220" s="13">
        <f t="shared" si="45"/>
        <v>50000</v>
      </c>
      <c r="K220" s="13">
        <f t="shared" si="46"/>
        <v>10000</v>
      </c>
      <c r="L220" s="14">
        <f t="shared" si="47"/>
        <v>0.16666666666666666</v>
      </c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2"/>
      <c r="B221" s="10"/>
      <c r="C221" s="11"/>
      <c r="D221" s="13"/>
      <c r="E221" s="13"/>
      <c r="F221" s="13"/>
      <c r="H221" s="2"/>
      <c r="I221" s="2"/>
      <c r="J221" s="13"/>
      <c r="K221" s="13"/>
      <c r="L221" s="1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2"/>
      <c r="B222" s="10"/>
      <c r="C222" s="11"/>
      <c r="D222" s="13"/>
      <c r="E222" s="13">
        <f>SUM(E206:E220)</f>
        <v>400980</v>
      </c>
      <c r="F222" s="13"/>
      <c r="G222" s="2"/>
      <c r="H222" s="2"/>
      <c r="I222" s="2"/>
      <c r="J222" s="13"/>
      <c r="K222" s="13">
        <f>SUM(K206:K220)</f>
        <v>131400.41666666669</v>
      </c>
      <c r="L222" s="14">
        <f>K222/E222</f>
        <v>0.3276981811229156</v>
      </c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0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0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0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88" t="s">
        <v>68</v>
      </c>
      <c r="B226" s="89"/>
      <c r="C226" s="89"/>
      <c r="D226" s="2"/>
      <c r="E226" s="7" t="s">
        <v>58</v>
      </c>
      <c r="F226" s="8">
        <v>46125</v>
      </c>
      <c r="G226" s="7"/>
      <c r="H226" s="2"/>
      <c r="I226" s="9" t="s">
        <v>2</v>
      </c>
      <c r="J226" s="9"/>
      <c r="K226" s="9"/>
      <c r="L226" s="3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3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6" t="s">
        <v>3</v>
      </c>
      <c r="B228" s="10" t="s">
        <v>4</v>
      </c>
      <c r="C228" s="11" t="s">
        <v>5</v>
      </c>
      <c r="D228" s="10" t="s">
        <v>6</v>
      </c>
      <c r="E228" s="10" t="s">
        <v>7</v>
      </c>
      <c r="F228" s="10" t="s">
        <v>8</v>
      </c>
      <c r="G228" s="2"/>
      <c r="H228" s="2"/>
      <c r="I228" s="10" t="s">
        <v>9</v>
      </c>
      <c r="J228" s="10" t="s">
        <v>7</v>
      </c>
      <c r="K228" s="10" t="s">
        <v>10</v>
      </c>
      <c r="L228" s="3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4</v>
      </c>
      <c r="B229" s="10" t="s">
        <v>15</v>
      </c>
      <c r="C229" s="11" t="s">
        <v>27</v>
      </c>
      <c r="D229" s="13">
        <v>25000</v>
      </c>
      <c r="E229" s="13">
        <f t="shared" ref="E229:E237" si="48">A229*D229</f>
        <v>100000</v>
      </c>
      <c r="F229" s="13">
        <f t="shared" ref="F229:F237" si="49">E229*1.105</f>
        <v>110500</v>
      </c>
      <c r="G229" s="2"/>
      <c r="H229" s="2"/>
      <c r="I229" s="13">
        <v>18000</v>
      </c>
      <c r="J229" s="13">
        <f t="shared" ref="J229:J237" si="50">I229*A229</f>
        <v>72000</v>
      </c>
      <c r="K229" s="13">
        <f t="shared" ref="K229:K237" si="51">F229-J229</f>
        <v>38500</v>
      </c>
      <c r="L229" s="14">
        <f t="shared" ref="L229:L237" si="52">IFERROR(K229/E229, 0)</f>
        <v>0.38500000000000001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1</v>
      </c>
      <c r="B230" s="10" t="s">
        <v>15</v>
      </c>
      <c r="C230" s="11" t="s">
        <v>40</v>
      </c>
      <c r="D230" s="13">
        <v>12000</v>
      </c>
      <c r="E230" s="13">
        <f t="shared" si="48"/>
        <v>12000</v>
      </c>
      <c r="F230" s="13">
        <f t="shared" si="49"/>
        <v>13260</v>
      </c>
      <c r="G230" s="2"/>
      <c r="H230" s="2"/>
      <c r="I230" s="13">
        <v>6000</v>
      </c>
      <c r="J230" s="13">
        <f t="shared" si="50"/>
        <v>6000</v>
      </c>
      <c r="K230" s="13">
        <f t="shared" si="51"/>
        <v>7260</v>
      </c>
      <c r="L230" s="14">
        <f t="shared" si="52"/>
        <v>0.60499999999999998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1</v>
      </c>
      <c r="B231" s="10" t="s">
        <v>15</v>
      </c>
      <c r="C231" s="11" t="s">
        <v>129</v>
      </c>
      <c r="D231" s="13">
        <v>16000</v>
      </c>
      <c r="E231" s="13">
        <f t="shared" si="48"/>
        <v>16000</v>
      </c>
      <c r="F231" s="13">
        <f t="shared" si="49"/>
        <v>17680</v>
      </c>
      <c r="G231" s="2"/>
      <c r="H231" s="2"/>
      <c r="I231" s="13">
        <v>11000</v>
      </c>
      <c r="J231" s="13">
        <f t="shared" si="50"/>
        <v>11000</v>
      </c>
      <c r="K231" s="13">
        <f t="shared" si="51"/>
        <v>6680</v>
      </c>
      <c r="L231" s="14">
        <f t="shared" si="52"/>
        <v>0.41749999999999998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1</v>
      </c>
      <c r="B232" s="10" t="s">
        <v>17</v>
      </c>
      <c r="C232" s="11" t="s">
        <v>43</v>
      </c>
      <c r="D232" s="13">
        <v>6000</v>
      </c>
      <c r="E232" s="13">
        <f t="shared" si="48"/>
        <v>6000</v>
      </c>
      <c r="F232" s="13">
        <f t="shared" si="49"/>
        <v>6630</v>
      </c>
      <c r="G232" s="2"/>
      <c r="H232" s="2"/>
      <c r="I232" s="13">
        <f>15000/7</f>
        <v>2142.8571428571427</v>
      </c>
      <c r="J232" s="13">
        <f t="shared" si="50"/>
        <v>2142.8571428571427</v>
      </c>
      <c r="K232" s="13">
        <f t="shared" si="51"/>
        <v>4487.1428571428569</v>
      </c>
      <c r="L232" s="14">
        <f t="shared" si="52"/>
        <v>0.74785714285714278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1</v>
      </c>
      <c r="B233" s="10" t="s">
        <v>21</v>
      </c>
      <c r="C233" s="11" t="s">
        <v>133</v>
      </c>
      <c r="D233" s="13">
        <v>3000</v>
      </c>
      <c r="E233" s="13">
        <f t="shared" si="48"/>
        <v>3000</v>
      </c>
      <c r="F233" s="13">
        <f t="shared" si="49"/>
        <v>3315</v>
      </c>
      <c r="G233" s="2"/>
      <c r="H233" s="2"/>
      <c r="I233" s="13">
        <f>2500/6</f>
        <v>416.66666666666669</v>
      </c>
      <c r="J233" s="13">
        <f t="shared" si="50"/>
        <v>416.66666666666669</v>
      </c>
      <c r="K233" s="13">
        <f t="shared" si="51"/>
        <v>2898.3333333333335</v>
      </c>
      <c r="L233" s="14">
        <f t="shared" si="52"/>
        <v>0.96611111111111114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2</v>
      </c>
      <c r="B234" s="10" t="s">
        <v>21</v>
      </c>
      <c r="C234" s="11" t="s">
        <v>52</v>
      </c>
      <c r="D234" s="13">
        <v>2000</v>
      </c>
      <c r="E234" s="13">
        <f t="shared" si="48"/>
        <v>4000</v>
      </c>
      <c r="F234" s="13">
        <f t="shared" si="49"/>
        <v>4420</v>
      </c>
      <c r="G234" s="2"/>
      <c r="H234" s="2"/>
      <c r="I234" s="13">
        <v>1000</v>
      </c>
      <c r="J234" s="13">
        <f t="shared" si="50"/>
        <v>2000</v>
      </c>
      <c r="K234" s="13">
        <f t="shared" si="51"/>
        <v>2420</v>
      </c>
      <c r="L234" s="14">
        <f t="shared" si="52"/>
        <v>0.60499999999999998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0.5</v>
      </c>
      <c r="B235" s="10" t="s">
        <v>23</v>
      </c>
      <c r="C235" s="11" t="s">
        <v>26</v>
      </c>
      <c r="D235" s="13">
        <v>28000</v>
      </c>
      <c r="E235" s="13">
        <f t="shared" si="48"/>
        <v>14000</v>
      </c>
      <c r="F235" s="13">
        <f t="shared" si="49"/>
        <v>15470</v>
      </c>
      <c r="G235" s="2"/>
      <c r="H235" s="2"/>
      <c r="I235" s="13">
        <v>16000</v>
      </c>
      <c r="J235" s="13">
        <f t="shared" si="50"/>
        <v>8000</v>
      </c>
      <c r="K235" s="13">
        <f t="shared" si="51"/>
        <v>7470</v>
      </c>
      <c r="L235" s="14">
        <f t="shared" si="52"/>
        <v>0.53357142857142859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1</v>
      </c>
      <c r="B236" s="10" t="s">
        <v>17</v>
      </c>
      <c r="C236" s="11" t="s">
        <v>89</v>
      </c>
      <c r="D236" s="13">
        <v>11000</v>
      </c>
      <c r="E236" s="13">
        <f t="shared" si="48"/>
        <v>11000</v>
      </c>
      <c r="F236" s="13">
        <f t="shared" si="49"/>
        <v>12155</v>
      </c>
      <c r="G236" s="2"/>
      <c r="H236" s="2"/>
      <c r="I236" s="13">
        <v>13000</v>
      </c>
      <c r="J236" s="13">
        <f t="shared" si="50"/>
        <v>13000</v>
      </c>
      <c r="K236" s="13">
        <f t="shared" si="51"/>
        <v>-845</v>
      </c>
      <c r="L236" s="14">
        <f t="shared" si="52"/>
        <v>-7.6818181818181813E-2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4</v>
      </c>
      <c r="B237" s="10" t="s">
        <v>17</v>
      </c>
      <c r="C237" s="11" t="s">
        <v>62</v>
      </c>
      <c r="D237" s="13">
        <v>3000</v>
      </c>
      <c r="E237" s="13">
        <f t="shared" si="48"/>
        <v>12000</v>
      </c>
      <c r="F237" s="13">
        <f t="shared" si="49"/>
        <v>13260</v>
      </c>
      <c r="G237" s="2"/>
      <c r="H237" s="2"/>
      <c r="I237" s="13">
        <f>28000/17</f>
        <v>1647.0588235294117</v>
      </c>
      <c r="J237" s="13">
        <f t="shared" si="50"/>
        <v>6588.2352941176468</v>
      </c>
      <c r="K237" s="13">
        <f t="shared" si="51"/>
        <v>6671.7647058823532</v>
      </c>
      <c r="L237" s="14">
        <f t="shared" si="52"/>
        <v>0.55598039215686279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"/>
      <c r="B238" s="2"/>
      <c r="C238" s="4"/>
      <c r="D238" s="2"/>
      <c r="E238" s="2"/>
      <c r="F238" s="13"/>
      <c r="G238" s="2"/>
      <c r="H238" s="2"/>
      <c r="I238" s="2"/>
      <c r="J238" s="2"/>
      <c r="K238" s="2"/>
      <c r="L238" s="3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2"/>
      <c r="C239" s="4"/>
      <c r="D239" s="2"/>
      <c r="E239" s="13">
        <f t="shared" ref="E239:F239" si="53">SUM(E229:E237)</f>
        <v>178000</v>
      </c>
      <c r="F239" s="13">
        <f t="shared" si="53"/>
        <v>196690</v>
      </c>
      <c r="G239" s="2"/>
      <c r="H239" s="2"/>
      <c r="I239" s="2"/>
      <c r="J239" s="2"/>
      <c r="K239" s="13">
        <f>SUM(K229:K237)</f>
        <v>75542.240896358533</v>
      </c>
      <c r="L239" s="14">
        <f>K239/F239</f>
        <v>0.38406752197040284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5" t="s">
        <v>37</v>
      </c>
      <c r="I240" s="15" t="s">
        <v>37</v>
      </c>
      <c r="J240" s="1"/>
      <c r="K240" s="1"/>
      <c r="L240" s="20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0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0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6" t="s">
        <v>91</v>
      </c>
      <c r="B243" s="25"/>
      <c r="C243" s="1"/>
      <c r="D243" s="12" t="s">
        <v>1087</v>
      </c>
      <c r="E243" s="8">
        <v>46125</v>
      </c>
      <c r="F243" s="15" t="s">
        <v>37</v>
      </c>
      <c r="G243" s="2"/>
      <c r="H243" s="2"/>
      <c r="I243" s="2"/>
      <c r="J243" s="2"/>
      <c r="K243" s="2"/>
      <c r="L243" s="3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3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6" t="s">
        <v>3</v>
      </c>
      <c r="B245" s="10" t="s">
        <v>4</v>
      </c>
      <c r="C245" s="6" t="s">
        <v>5</v>
      </c>
      <c r="D245" s="10" t="s">
        <v>6</v>
      </c>
      <c r="E245" s="10" t="s">
        <v>7</v>
      </c>
      <c r="F245" s="2"/>
      <c r="G245" s="2"/>
      <c r="H245" s="2"/>
      <c r="I245" s="10" t="s">
        <v>6</v>
      </c>
      <c r="J245" s="10" t="s">
        <v>7</v>
      </c>
      <c r="K245" s="10" t="s">
        <v>10</v>
      </c>
      <c r="L245" s="3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1</v>
      </c>
      <c r="B246" s="10" t="s">
        <v>23</v>
      </c>
      <c r="C246" s="6" t="s">
        <v>46</v>
      </c>
      <c r="D246" s="13">
        <v>13000</v>
      </c>
      <c r="E246" s="13">
        <f t="shared" ref="E246:E256" si="54">A246*D246</f>
        <v>13000</v>
      </c>
      <c r="F246" s="2"/>
      <c r="G246" s="2"/>
      <c r="H246" s="2"/>
      <c r="I246" s="13">
        <v>8000</v>
      </c>
      <c r="J246" s="13">
        <f t="shared" ref="J246:J256" si="55">I246*A246</f>
        <v>8000</v>
      </c>
      <c r="K246" s="13">
        <f t="shared" ref="K246:K256" si="56">E246-J246</f>
        <v>5000</v>
      </c>
      <c r="L246" s="14">
        <f t="shared" ref="L246:L256" si="57">K246/E246</f>
        <v>0.38461538461538464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1.35</v>
      </c>
      <c r="B247" s="10" t="s">
        <v>17</v>
      </c>
      <c r="C247" s="6" t="s">
        <v>38</v>
      </c>
      <c r="D247" s="13">
        <v>2000</v>
      </c>
      <c r="E247" s="13">
        <f t="shared" si="54"/>
        <v>2700</v>
      </c>
      <c r="F247" s="2"/>
      <c r="G247" s="2"/>
      <c r="H247" s="2"/>
      <c r="I247" s="13">
        <v>800</v>
      </c>
      <c r="J247" s="13">
        <f t="shared" si="55"/>
        <v>1080</v>
      </c>
      <c r="K247" s="13">
        <f t="shared" si="56"/>
        <v>1620</v>
      </c>
      <c r="L247" s="14">
        <f t="shared" si="57"/>
        <v>0.6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2</v>
      </c>
      <c r="B248" s="10" t="s">
        <v>21</v>
      </c>
      <c r="C248" s="6" t="s">
        <v>22</v>
      </c>
      <c r="D248" s="13">
        <v>1700</v>
      </c>
      <c r="E248" s="13">
        <f t="shared" si="54"/>
        <v>3400</v>
      </c>
      <c r="F248" s="2"/>
      <c r="G248" s="2"/>
      <c r="H248" s="7" t="s">
        <v>107</v>
      </c>
      <c r="I248" s="13"/>
      <c r="J248" s="13">
        <f t="shared" si="55"/>
        <v>0</v>
      </c>
      <c r="K248" s="13">
        <f t="shared" si="56"/>
        <v>3400</v>
      </c>
      <c r="L248" s="14">
        <f t="shared" si="57"/>
        <v>1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3</v>
      </c>
      <c r="B249" s="10" t="s">
        <v>17</v>
      </c>
      <c r="C249" s="6" t="s">
        <v>81</v>
      </c>
      <c r="D249" s="13">
        <v>2200</v>
      </c>
      <c r="E249" s="13">
        <f t="shared" si="54"/>
        <v>6600</v>
      </c>
      <c r="F249" s="2"/>
      <c r="G249" s="2"/>
      <c r="H249" s="2"/>
      <c r="I249" s="13">
        <f>7000/15</f>
        <v>466.66666666666669</v>
      </c>
      <c r="J249" s="13">
        <f t="shared" si="55"/>
        <v>1400</v>
      </c>
      <c r="K249" s="13">
        <f t="shared" si="56"/>
        <v>5200</v>
      </c>
      <c r="L249" s="14">
        <f t="shared" si="57"/>
        <v>0.78787878787878785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2</v>
      </c>
      <c r="B250" s="10" t="s">
        <v>4</v>
      </c>
      <c r="C250" s="6" t="s">
        <v>13</v>
      </c>
      <c r="D250" s="13">
        <v>1000</v>
      </c>
      <c r="E250" s="13">
        <f t="shared" si="54"/>
        <v>2000</v>
      </c>
      <c r="F250" s="2"/>
      <c r="G250" s="2"/>
      <c r="H250" s="2"/>
      <c r="I250" s="13">
        <v>460</v>
      </c>
      <c r="J250" s="13">
        <f t="shared" si="55"/>
        <v>920</v>
      </c>
      <c r="K250" s="13">
        <f t="shared" si="56"/>
        <v>1080</v>
      </c>
      <c r="L250" s="14">
        <f t="shared" si="57"/>
        <v>0.54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1</v>
      </c>
      <c r="B251" s="10" t="s">
        <v>23</v>
      </c>
      <c r="C251" s="6" t="s">
        <v>99</v>
      </c>
      <c r="D251" s="13">
        <v>13000</v>
      </c>
      <c r="E251" s="13">
        <f t="shared" si="54"/>
        <v>13000</v>
      </c>
      <c r="F251" s="2"/>
      <c r="G251" s="2"/>
      <c r="H251" s="2"/>
      <c r="I251" s="13">
        <v>7000</v>
      </c>
      <c r="J251" s="13">
        <f t="shared" si="55"/>
        <v>7000</v>
      </c>
      <c r="K251" s="13">
        <f t="shared" si="56"/>
        <v>6000</v>
      </c>
      <c r="L251" s="14">
        <f t="shared" si="57"/>
        <v>0.46153846153846156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</v>
      </c>
      <c r="B252" s="10" t="s">
        <v>17</v>
      </c>
      <c r="C252" s="6" t="s">
        <v>79</v>
      </c>
      <c r="D252" s="13">
        <v>4000</v>
      </c>
      <c r="E252" s="13">
        <f t="shared" si="54"/>
        <v>4000</v>
      </c>
      <c r="F252" s="2"/>
      <c r="G252" s="2"/>
      <c r="H252" s="7" t="s">
        <v>107</v>
      </c>
      <c r="I252" s="13"/>
      <c r="J252" s="13">
        <f t="shared" si="55"/>
        <v>0</v>
      </c>
      <c r="K252" s="13">
        <f t="shared" si="56"/>
        <v>4000</v>
      </c>
      <c r="L252" s="14">
        <f t="shared" si="57"/>
        <v>1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3</v>
      </c>
      <c r="B253" s="10" t="s">
        <v>21</v>
      </c>
      <c r="C253" s="6" t="s">
        <v>51</v>
      </c>
      <c r="D253" s="13">
        <v>1500</v>
      </c>
      <c r="E253" s="13">
        <f t="shared" si="54"/>
        <v>4500</v>
      </c>
      <c r="F253" s="2"/>
      <c r="G253" s="2"/>
      <c r="H253" s="2"/>
      <c r="I253" s="13">
        <v>750</v>
      </c>
      <c r="J253" s="13">
        <f t="shared" si="55"/>
        <v>2250</v>
      </c>
      <c r="K253" s="13">
        <f t="shared" si="56"/>
        <v>2250</v>
      </c>
      <c r="L253" s="14">
        <f t="shared" si="57"/>
        <v>0.5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1</v>
      </c>
      <c r="B254" s="10" t="s">
        <v>21</v>
      </c>
      <c r="C254" s="6" t="s">
        <v>64</v>
      </c>
      <c r="D254" s="13">
        <v>2500</v>
      </c>
      <c r="E254" s="13">
        <f t="shared" si="54"/>
        <v>2500</v>
      </c>
      <c r="F254" s="2"/>
      <c r="G254" s="2"/>
      <c r="H254" s="2"/>
      <c r="I254" s="13">
        <f>9000/8</f>
        <v>1125</v>
      </c>
      <c r="J254" s="13">
        <f t="shared" si="55"/>
        <v>1125</v>
      </c>
      <c r="K254" s="13">
        <f t="shared" si="56"/>
        <v>1375</v>
      </c>
      <c r="L254" s="14">
        <f t="shared" si="57"/>
        <v>0.55000000000000004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1</v>
      </c>
      <c r="B255" s="10" t="s">
        <v>17</v>
      </c>
      <c r="C255" s="6" t="s">
        <v>40</v>
      </c>
      <c r="D255" s="13">
        <v>1500</v>
      </c>
      <c r="E255" s="13">
        <f t="shared" si="54"/>
        <v>1500</v>
      </c>
      <c r="F255" s="2"/>
      <c r="G255" s="2"/>
      <c r="H255" s="2"/>
      <c r="I255" s="13">
        <f>6000/7</f>
        <v>857.14285714285711</v>
      </c>
      <c r="J255" s="13">
        <f t="shared" si="55"/>
        <v>857.14285714285711</v>
      </c>
      <c r="K255" s="13">
        <f t="shared" si="56"/>
        <v>642.85714285714289</v>
      </c>
      <c r="L255" s="14">
        <f t="shared" si="57"/>
        <v>0.4285714285714286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3</v>
      </c>
      <c r="B256" s="10" t="s">
        <v>17</v>
      </c>
      <c r="C256" s="6" t="s">
        <v>31</v>
      </c>
      <c r="D256" s="13">
        <v>3000</v>
      </c>
      <c r="E256" s="13">
        <f t="shared" si="54"/>
        <v>9000</v>
      </c>
      <c r="F256" s="2"/>
      <c r="G256" s="2"/>
      <c r="H256" s="2"/>
      <c r="I256" s="13">
        <f>15000/8</f>
        <v>1875</v>
      </c>
      <c r="J256" s="13">
        <f t="shared" si="55"/>
        <v>5625</v>
      </c>
      <c r="K256" s="13">
        <f t="shared" si="56"/>
        <v>3375</v>
      </c>
      <c r="L256" s="14">
        <f t="shared" si="57"/>
        <v>0.375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"/>
      <c r="B257" s="2"/>
      <c r="C257" s="1"/>
      <c r="D257" s="2"/>
      <c r="E257" s="2"/>
      <c r="F257" s="2"/>
      <c r="G257" s="1"/>
      <c r="H257" s="2"/>
      <c r="I257" s="2"/>
      <c r="J257" s="2"/>
      <c r="K257" s="2"/>
      <c r="L257" s="3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"/>
      <c r="B258" s="2"/>
      <c r="C258" s="1"/>
      <c r="D258" s="2"/>
      <c r="E258" s="13">
        <f>SUM(E246:E256)</f>
        <v>62200</v>
      </c>
      <c r="F258" s="2"/>
      <c r="G258" s="2"/>
      <c r="H258" s="2"/>
      <c r="I258" s="2"/>
      <c r="J258" s="2"/>
      <c r="K258" s="13">
        <f>SUM(K246:K256)</f>
        <v>33942.857142857145</v>
      </c>
      <c r="L258" s="14">
        <f>K258/E258</f>
        <v>0.54570509875976114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0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0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0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6" t="s">
        <v>174</v>
      </c>
      <c r="B262" s="25"/>
      <c r="C262" s="1"/>
      <c r="D262" s="12" t="s">
        <v>1088</v>
      </c>
      <c r="E262" s="8">
        <v>46125</v>
      </c>
      <c r="F262" s="15" t="s">
        <v>37</v>
      </c>
      <c r="G262" s="2"/>
      <c r="H262" s="2"/>
      <c r="I262" s="2"/>
      <c r="J262" s="2"/>
      <c r="K262" s="2"/>
      <c r="L262" s="3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3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6" t="s">
        <v>3</v>
      </c>
      <c r="B264" s="10" t="s">
        <v>4</v>
      </c>
      <c r="C264" s="6" t="s">
        <v>5</v>
      </c>
      <c r="D264" s="10" t="s">
        <v>6</v>
      </c>
      <c r="E264" s="10" t="s">
        <v>7</v>
      </c>
      <c r="F264" s="2"/>
      <c r="G264" s="2"/>
      <c r="H264" s="2"/>
      <c r="I264" s="10" t="s">
        <v>6</v>
      </c>
      <c r="J264" s="10" t="s">
        <v>7</v>
      </c>
      <c r="K264" s="10" t="s">
        <v>10</v>
      </c>
      <c r="L264" s="3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1</v>
      </c>
      <c r="B265" s="10" t="s">
        <v>23</v>
      </c>
      <c r="C265" s="6" t="s">
        <v>24</v>
      </c>
      <c r="D265" s="13">
        <v>75000</v>
      </c>
      <c r="E265" s="13">
        <f t="shared" ref="E265:E279" si="58">A265*D265</f>
        <v>75000</v>
      </c>
      <c r="F265" s="2"/>
      <c r="G265" s="2"/>
      <c r="H265" s="2"/>
      <c r="I265" s="13">
        <v>65000</v>
      </c>
      <c r="J265" s="13">
        <f t="shared" ref="J265:J279" si="59">I265*A265</f>
        <v>65000</v>
      </c>
      <c r="K265" s="13">
        <f t="shared" ref="K265:K279" si="60">E265-J265</f>
        <v>10000</v>
      </c>
      <c r="L265" s="14">
        <f t="shared" ref="L265:L279" si="61">K265/E265</f>
        <v>0.13333333333333333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1</v>
      </c>
      <c r="B266" s="10" t="s">
        <v>23</v>
      </c>
      <c r="C266" s="6" t="s">
        <v>87</v>
      </c>
      <c r="D266" s="13">
        <v>38000</v>
      </c>
      <c r="E266" s="13">
        <f t="shared" si="58"/>
        <v>38000</v>
      </c>
      <c r="F266" s="2"/>
      <c r="G266" s="2"/>
      <c r="H266" s="2"/>
      <c r="I266" s="13">
        <v>28000</v>
      </c>
      <c r="J266" s="13">
        <f t="shared" si="59"/>
        <v>28000</v>
      </c>
      <c r="K266" s="13">
        <f t="shared" si="60"/>
        <v>10000</v>
      </c>
      <c r="L266" s="14">
        <f t="shared" si="61"/>
        <v>0.26315789473684209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2</v>
      </c>
      <c r="B267" s="10" t="s">
        <v>23</v>
      </c>
      <c r="C267" s="6" t="s">
        <v>1085</v>
      </c>
      <c r="D267" s="13">
        <v>34000</v>
      </c>
      <c r="E267" s="13">
        <f t="shared" si="58"/>
        <v>68000</v>
      </c>
      <c r="F267" s="2"/>
      <c r="G267" s="2"/>
      <c r="H267" s="2"/>
      <c r="I267" s="13">
        <v>24000</v>
      </c>
      <c r="J267" s="13">
        <f t="shared" si="59"/>
        <v>48000</v>
      </c>
      <c r="K267" s="13">
        <f t="shared" si="60"/>
        <v>20000</v>
      </c>
      <c r="L267" s="14">
        <f t="shared" si="61"/>
        <v>0.29411764705882354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1</v>
      </c>
      <c r="B268" s="10" t="s">
        <v>23</v>
      </c>
      <c r="C268" s="6" t="s">
        <v>1089</v>
      </c>
      <c r="D268" s="13">
        <v>35000</v>
      </c>
      <c r="E268" s="13">
        <f t="shared" si="58"/>
        <v>35000</v>
      </c>
      <c r="F268" s="2"/>
      <c r="G268" s="2"/>
      <c r="H268" s="2"/>
      <c r="I268" s="13">
        <v>25000</v>
      </c>
      <c r="J268" s="13">
        <f t="shared" si="59"/>
        <v>25000</v>
      </c>
      <c r="K268" s="13">
        <f t="shared" si="60"/>
        <v>10000</v>
      </c>
      <c r="L268" s="14">
        <f t="shared" si="61"/>
        <v>0.2857142857142857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1</v>
      </c>
      <c r="B269" s="10" t="s">
        <v>23</v>
      </c>
      <c r="C269" s="6" t="s">
        <v>30</v>
      </c>
      <c r="D269" s="13">
        <v>15000</v>
      </c>
      <c r="E269" s="13">
        <f t="shared" si="58"/>
        <v>15000</v>
      </c>
      <c r="F269" s="2"/>
      <c r="G269" s="2"/>
      <c r="H269" s="2"/>
      <c r="I269" s="13">
        <v>9000</v>
      </c>
      <c r="J269" s="13">
        <f t="shared" si="59"/>
        <v>9000</v>
      </c>
      <c r="K269" s="13">
        <f t="shared" si="60"/>
        <v>6000</v>
      </c>
      <c r="L269" s="14">
        <f t="shared" si="61"/>
        <v>0.4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3</v>
      </c>
      <c r="B270" s="10" t="s">
        <v>17</v>
      </c>
      <c r="C270" s="6" t="s">
        <v>127</v>
      </c>
      <c r="D270" s="13">
        <v>1600</v>
      </c>
      <c r="E270" s="13">
        <f t="shared" si="58"/>
        <v>4800</v>
      </c>
      <c r="F270" s="2"/>
      <c r="G270" s="2"/>
      <c r="H270" s="2"/>
      <c r="I270" s="13">
        <f>16000/15</f>
        <v>1066.6666666666667</v>
      </c>
      <c r="J270" s="13">
        <f t="shared" si="59"/>
        <v>3200</v>
      </c>
      <c r="K270" s="13">
        <f t="shared" si="60"/>
        <v>1600</v>
      </c>
      <c r="L270" s="14">
        <f t="shared" si="61"/>
        <v>0.33333333333333331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3</v>
      </c>
      <c r="B271" s="10" t="s">
        <v>17</v>
      </c>
      <c r="C271" s="6" t="s">
        <v>67</v>
      </c>
      <c r="D271" s="13">
        <v>1200</v>
      </c>
      <c r="E271" s="13">
        <f t="shared" si="58"/>
        <v>3600</v>
      </c>
      <c r="F271" s="2"/>
      <c r="G271" s="2"/>
      <c r="H271" s="2"/>
      <c r="I271" s="13">
        <f>9000/14</f>
        <v>642.85714285714289</v>
      </c>
      <c r="J271" s="13">
        <f t="shared" si="59"/>
        <v>1928.5714285714287</v>
      </c>
      <c r="K271" s="13">
        <f t="shared" si="60"/>
        <v>1671.4285714285713</v>
      </c>
      <c r="L271" s="14">
        <f t="shared" si="61"/>
        <v>0.46428571428571425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2</v>
      </c>
      <c r="B272" s="10" t="s">
        <v>17</v>
      </c>
      <c r="C272" s="6" t="s">
        <v>123</v>
      </c>
      <c r="D272" s="13">
        <v>3200</v>
      </c>
      <c r="E272" s="13">
        <f t="shared" si="58"/>
        <v>6400</v>
      </c>
      <c r="F272" s="2"/>
      <c r="G272" s="2"/>
      <c r="H272" s="2"/>
      <c r="I272" s="13">
        <f>32000/15</f>
        <v>2133.3333333333335</v>
      </c>
      <c r="J272" s="13">
        <f t="shared" si="59"/>
        <v>4266.666666666667</v>
      </c>
      <c r="K272" s="13">
        <f t="shared" si="60"/>
        <v>2133.333333333333</v>
      </c>
      <c r="L272" s="14">
        <f t="shared" si="61"/>
        <v>0.33333333333333326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4</v>
      </c>
      <c r="B273" s="10" t="s">
        <v>15</v>
      </c>
      <c r="C273" s="6" t="s">
        <v>129</v>
      </c>
      <c r="D273" s="13">
        <v>15000</v>
      </c>
      <c r="E273" s="13">
        <f t="shared" si="58"/>
        <v>60000</v>
      </c>
      <c r="F273" s="2"/>
      <c r="G273" s="2"/>
      <c r="H273" s="2"/>
      <c r="I273" s="13">
        <v>11000</v>
      </c>
      <c r="J273" s="13">
        <f t="shared" si="59"/>
        <v>44000</v>
      </c>
      <c r="K273" s="13">
        <f t="shared" si="60"/>
        <v>16000</v>
      </c>
      <c r="L273" s="14">
        <f t="shared" si="61"/>
        <v>0.26666666666666666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1</v>
      </c>
      <c r="B274" s="10" t="s">
        <v>86</v>
      </c>
      <c r="C274" s="6" t="s">
        <v>55</v>
      </c>
      <c r="D274" s="13">
        <v>95000</v>
      </c>
      <c r="E274" s="13">
        <f t="shared" si="58"/>
        <v>95000</v>
      </c>
      <c r="F274" s="2"/>
      <c r="G274" s="2"/>
      <c r="H274" s="2"/>
      <c r="I274" s="13">
        <v>85000</v>
      </c>
      <c r="J274" s="13">
        <f t="shared" si="59"/>
        <v>85000</v>
      </c>
      <c r="K274" s="13">
        <f t="shared" si="60"/>
        <v>10000</v>
      </c>
      <c r="L274" s="14">
        <f t="shared" si="61"/>
        <v>0.10526315789473684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2.5</v>
      </c>
      <c r="B275" s="10" t="s">
        <v>17</v>
      </c>
      <c r="C275" s="6" t="s">
        <v>38</v>
      </c>
      <c r="D275" s="13">
        <v>1800</v>
      </c>
      <c r="E275" s="13">
        <f t="shared" si="58"/>
        <v>4500</v>
      </c>
      <c r="F275" s="2"/>
      <c r="G275" s="2"/>
      <c r="H275" s="2"/>
      <c r="I275" s="13">
        <v>800</v>
      </c>
      <c r="J275" s="13">
        <f t="shared" si="59"/>
        <v>2000</v>
      </c>
      <c r="K275" s="13">
        <f t="shared" si="60"/>
        <v>2500</v>
      </c>
      <c r="L275" s="14">
        <f t="shared" si="61"/>
        <v>0.55555555555555558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1</v>
      </c>
      <c r="B276" s="10" t="s">
        <v>23</v>
      </c>
      <c r="C276" s="6" t="s">
        <v>14</v>
      </c>
      <c r="D276" s="13">
        <v>23000</v>
      </c>
      <c r="E276" s="13">
        <f t="shared" si="58"/>
        <v>23000</v>
      </c>
      <c r="F276" s="2"/>
      <c r="G276" s="2"/>
      <c r="H276" s="2"/>
      <c r="I276" s="13">
        <v>18000</v>
      </c>
      <c r="J276" s="13">
        <f t="shared" si="59"/>
        <v>18000</v>
      </c>
      <c r="K276" s="13">
        <f t="shared" si="60"/>
        <v>5000</v>
      </c>
      <c r="L276" s="14">
        <f t="shared" si="61"/>
        <v>0.21739130434782608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1</v>
      </c>
      <c r="B277" s="10" t="s">
        <v>15</v>
      </c>
      <c r="C277" s="6" t="s">
        <v>141</v>
      </c>
      <c r="D277" s="13">
        <v>15000</v>
      </c>
      <c r="E277" s="13">
        <f t="shared" si="58"/>
        <v>15000</v>
      </c>
      <c r="F277" s="2"/>
      <c r="G277" s="2"/>
      <c r="H277" s="2"/>
      <c r="I277" s="13">
        <v>13000</v>
      </c>
      <c r="J277" s="13">
        <f t="shared" si="59"/>
        <v>13000</v>
      </c>
      <c r="K277" s="13">
        <f t="shared" si="60"/>
        <v>2000</v>
      </c>
      <c r="L277" s="14">
        <f t="shared" si="61"/>
        <v>0.13333333333333333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>
        <v>1</v>
      </c>
      <c r="B278" s="10" t="s">
        <v>4</v>
      </c>
      <c r="C278" s="6" t="s">
        <v>163</v>
      </c>
      <c r="D278" s="13">
        <v>35000</v>
      </c>
      <c r="E278" s="13">
        <f t="shared" si="58"/>
        <v>35000</v>
      </c>
      <c r="F278" s="2"/>
      <c r="G278" s="2"/>
      <c r="H278" s="2"/>
      <c r="I278" s="13">
        <v>25000</v>
      </c>
      <c r="J278" s="13">
        <f t="shared" si="59"/>
        <v>25000</v>
      </c>
      <c r="K278" s="13">
        <f t="shared" si="60"/>
        <v>10000</v>
      </c>
      <c r="L278" s="14">
        <f t="shared" si="61"/>
        <v>0.2857142857142857</v>
      </c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2">
        <v>1</v>
      </c>
      <c r="B279" s="10" t="s">
        <v>21</v>
      </c>
      <c r="C279" s="6" t="s">
        <v>29</v>
      </c>
      <c r="D279" s="13">
        <v>3000</v>
      </c>
      <c r="E279" s="13">
        <f t="shared" si="58"/>
        <v>3000</v>
      </c>
      <c r="F279" s="2"/>
      <c r="G279" s="2"/>
      <c r="H279" s="2"/>
      <c r="I279" s="13">
        <v>1200</v>
      </c>
      <c r="J279" s="13">
        <f t="shared" si="59"/>
        <v>1200</v>
      </c>
      <c r="K279" s="13">
        <f t="shared" si="60"/>
        <v>1800</v>
      </c>
      <c r="L279" s="14">
        <f t="shared" si="61"/>
        <v>0.6</v>
      </c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"/>
      <c r="B280" s="2"/>
      <c r="C280" s="1"/>
      <c r="D280" s="2"/>
      <c r="E280" s="2"/>
      <c r="F280" s="2"/>
      <c r="G280" s="1"/>
      <c r="H280" s="2"/>
      <c r="I280" s="2"/>
      <c r="J280" s="2"/>
      <c r="K280" s="2"/>
      <c r="L280" s="3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"/>
      <c r="B281" s="2"/>
      <c r="C281" s="1"/>
      <c r="D281" s="2"/>
      <c r="E281" s="13">
        <f>SUM(E265:E279)</f>
        <v>481300</v>
      </c>
      <c r="F281" s="2"/>
      <c r="G281" s="2"/>
      <c r="H281" s="2"/>
      <c r="I281" s="2"/>
      <c r="J281" s="2"/>
      <c r="K281" s="13">
        <f>SUM(K265:K279)</f>
        <v>108704.76190476191</v>
      </c>
      <c r="L281" s="14">
        <f>K281/E281</f>
        <v>0.2258565591206356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0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6"/>
      <c r="B283" s="1"/>
      <c r="C283" s="1"/>
      <c r="D283" s="22"/>
      <c r="E283" s="8"/>
      <c r="F283" s="24"/>
      <c r="G283" s="2"/>
      <c r="H283" s="2"/>
      <c r="I283" s="2"/>
      <c r="J283" s="2"/>
      <c r="K283" s="2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6" t="s">
        <v>1000</v>
      </c>
      <c r="B284" s="1"/>
      <c r="C284" s="1"/>
      <c r="D284" s="22" t="s">
        <v>1090</v>
      </c>
      <c r="E284" s="8">
        <v>46125</v>
      </c>
      <c r="F284" s="24" t="s">
        <v>106</v>
      </c>
      <c r="G284" s="2"/>
      <c r="H284" s="2"/>
      <c r="I284" s="2"/>
      <c r="J284" s="2"/>
      <c r="K284" s="2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2"/>
      <c r="C285" s="4"/>
      <c r="D285" s="2"/>
      <c r="E285" s="2"/>
      <c r="F285" s="2"/>
      <c r="G285" s="2"/>
      <c r="H285" s="2"/>
      <c r="I285" s="2"/>
      <c r="J285" s="2"/>
      <c r="K285" s="2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6" t="s">
        <v>3</v>
      </c>
      <c r="B286" s="10" t="s">
        <v>4</v>
      </c>
      <c r="C286" s="11" t="s">
        <v>5</v>
      </c>
      <c r="D286" s="10" t="s">
        <v>6</v>
      </c>
      <c r="E286" s="10" t="s">
        <v>7</v>
      </c>
      <c r="F286" s="2"/>
      <c r="G286" s="2"/>
      <c r="H286" s="2"/>
      <c r="I286" s="10" t="s">
        <v>6</v>
      </c>
      <c r="J286" s="10" t="s">
        <v>7</v>
      </c>
      <c r="K286" s="10" t="s">
        <v>10</v>
      </c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0.5</v>
      </c>
      <c r="B287" s="10" t="s">
        <v>23</v>
      </c>
      <c r="C287" s="11" t="s">
        <v>85</v>
      </c>
      <c r="D287" s="13">
        <v>52000</v>
      </c>
      <c r="E287" s="13">
        <f t="shared" ref="E287:E289" si="62">A287*D287</f>
        <v>26000</v>
      </c>
      <c r="F287" s="2"/>
      <c r="G287" s="2"/>
      <c r="H287" s="2"/>
      <c r="I287" s="13">
        <v>50000</v>
      </c>
      <c r="J287" s="13">
        <f t="shared" ref="J287:J289" si="63">I287*A287</f>
        <v>25000</v>
      </c>
      <c r="K287" s="13">
        <f t="shared" ref="K287:K289" si="64">E287-J287</f>
        <v>1000</v>
      </c>
      <c r="L287" s="14">
        <f t="shared" ref="L287:L289" si="65">K287/E287</f>
        <v>3.8461538461538464E-2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1</v>
      </c>
      <c r="B288" s="10" t="s">
        <v>21</v>
      </c>
      <c r="C288" s="11" t="s">
        <v>51</v>
      </c>
      <c r="D288" s="13">
        <v>1500</v>
      </c>
      <c r="E288" s="13">
        <f t="shared" si="62"/>
        <v>1500</v>
      </c>
      <c r="F288" s="2"/>
      <c r="G288" s="2"/>
      <c r="H288" s="2"/>
      <c r="I288" s="13">
        <f>10000/12</f>
        <v>833.33333333333337</v>
      </c>
      <c r="J288" s="13">
        <f t="shared" si="63"/>
        <v>833.33333333333337</v>
      </c>
      <c r="K288" s="13">
        <f t="shared" si="64"/>
        <v>666.66666666666663</v>
      </c>
      <c r="L288" s="14">
        <f t="shared" si="65"/>
        <v>0.44444444444444442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1</v>
      </c>
      <c r="B289" s="10" t="s">
        <v>15</v>
      </c>
      <c r="C289" s="11" t="s">
        <v>40</v>
      </c>
      <c r="D289" s="13">
        <v>12000</v>
      </c>
      <c r="E289" s="13">
        <f t="shared" si="62"/>
        <v>12000</v>
      </c>
      <c r="F289" s="2"/>
      <c r="G289" s="2"/>
      <c r="H289" s="2"/>
      <c r="I289" s="13">
        <v>6000</v>
      </c>
      <c r="J289" s="13">
        <f t="shared" si="63"/>
        <v>6000</v>
      </c>
      <c r="K289" s="13">
        <f t="shared" si="64"/>
        <v>6000</v>
      </c>
      <c r="L289" s="14">
        <f t="shared" si="65"/>
        <v>0.5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"/>
      <c r="B290" s="2"/>
      <c r="C290" s="4"/>
      <c r="D290" s="2"/>
      <c r="E290" s="2"/>
      <c r="F290" s="2"/>
      <c r="G290" s="4"/>
      <c r="H290" s="2"/>
      <c r="I290" s="2"/>
      <c r="J290" s="2"/>
      <c r="K290" s="2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"/>
      <c r="B291" s="2"/>
      <c r="C291" s="4"/>
      <c r="D291" s="2"/>
      <c r="E291" s="13">
        <f>SUM(E287:E289)</f>
        <v>39500</v>
      </c>
      <c r="F291" s="2"/>
      <c r="G291" s="2"/>
      <c r="H291" s="2"/>
      <c r="I291" s="2"/>
      <c r="J291" s="2"/>
      <c r="K291" s="13">
        <f>SUM(K287:K289)</f>
        <v>7666.6666666666661</v>
      </c>
      <c r="L291" s="14">
        <f>K291/E291</f>
        <v>0.1940928270042194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0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0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0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6" t="s">
        <v>177</v>
      </c>
      <c r="B295" s="1"/>
      <c r="C295" s="1"/>
      <c r="D295" s="22" t="s">
        <v>109</v>
      </c>
      <c r="E295" s="8">
        <v>46125</v>
      </c>
      <c r="F295" s="24" t="s">
        <v>37</v>
      </c>
      <c r="G295" s="2"/>
      <c r="H295" s="2"/>
      <c r="I295" s="2"/>
      <c r="J295" s="2"/>
      <c r="K295" s="2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2"/>
      <c r="C296" s="4"/>
      <c r="D296" s="2"/>
      <c r="E296" s="2"/>
      <c r="F296" s="2"/>
      <c r="G296" s="2"/>
      <c r="H296" s="2"/>
      <c r="I296" s="2"/>
      <c r="J296" s="2"/>
      <c r="K296" s="2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6" t="s">
        <v>3</v>
      </c>
      <c r="B297" s="10" t="s">
        <v>4</v>
      </c>
      <c r="C297" s="11" t="s">
        <v>5</v>
      </c>
      <c r="D297" s="10" t="s">
        <v>6</v>
      </c>
      <c r="E297" s="10" t="s">
        <v>7</v>
      </c>
      <c r="F297" s="2"/>
      <c r="G297" s="2"/>
      <c r="H297" s="2"/>
      <c r="I297" s="10" t="s">
        <v>6</v>
      </c>
      <c r="J297" s="10" t="s">
        <v>7</v>
      </c>
      <c r="K297" s="10" t="s">
        <v>10</v>
      </c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2</v>
      </c>
      <c r="B298" s="10" t="s">
        <v>15</v>
      </c>
      <c r="C298" s="11" t="s">
        <v>135</v>
      </c>
      <c r="D298" s="13">
        <v>18000</v>
      </c>
      <c r="E298" s="13">
        <f t="shared" ref="E298:E314" si="66">A298*D298</f>
        <v>36000</v>
      </c>
      <c r="F298" s="2"/>
      <c r="G298" s="2"/>
      <c r="H298" s="2"/>
      <c r="I298" s="13">
        <v>13000</v>
      </c>
      <c r="J298" s="13">
        <f t="shared" ref="J298:J314" si="67">I298*A298</f>
        <v>26000</v>
      </c>
      <c r="K298" s="13">
        <f t="shared" ref="K298:K314" si="68">E298-J298</f>
        <v>10000</v>
      </c>
      <c r="L298" s="14">
        <f t="shared" ref="L298:L314" si="69">K298/E298</f>
        <v>0.27777777777777779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1</v>
      </c>
      <c r="B299" s="10" t="s">
        <v>15</v>
      </c>
      <c r="C299" s="11" t="s">
        <v>16</v>
      </c>
      <c r="D299" s="13">
        <v>13000</v>
      </c>
      <c r="E299" s="13">
        <f t="shared" si="66"/>
        <v>13000</v>
      </c>
      <c r="F299" s="2"/>
      <c r="G299" s="2"/>
      <c r="H299" s="2"/>
      <c r="I299" s="13">
        <v>8000</v>
      </c>
      <c r="J299" s="13">
        <f t="shared" si="67"/>
        <v>8000</v>
      </c>
      <c r="K299" s="13">
        <f t="shared" si="68"/>
        <v>5000</v>
      </c>
      <c r="L299" s="14">
        <f t="shared" si="69"/>
        <v>0.38461538461538464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</v>
      </c>
      <c r="B300" s="10" t="s">
        <v>15</v>
      </c>
      <c r="C300" s="11" t="s">
        <v>56</v>
      </c>
      <c r="D300" s="13">
        <v>16000</v>
      </c>
      <c r="E300" s="13">
        <f t="shared" si="66"/>
        <v>16000</v>
      </c>
      <c r="F300" s="2"/>
      <c r="G300" s="2"/>
      <c r="H300" s="2"/>
      <c r="I300" s="13">
        <v>13000</v>
      </c>
      <c r="J300" s="13">
        <f t="shared" si="67"/>
        <v>13000</v>
      </c>
      <c r="K300" s="13">
        <f t="shared" si="68"/>
        <v>3000</v>
      </c>
      <c r="L300" s="14">
        <f t="shared" si="69"/>
        <v>0.1875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1</v>
      </c>
      <c r="B301" s="10" t="s">
        <v>15</v>
      </c>
      <c r="C301" s="11" t="s">
        <v>129</v>
      </c>
      <c r="D301" s="13">
        <v>16000</v>
      </c>
      <c r="E301" s="13">
        <f t="shared" si="66"/>
        <v>16000</v>
      </c>
      <c r="F301" s="2"/>
      <c r="G301" s="2"/>
      <c r="H301" s="2"/>
      <c r="I301" s="13">
        <v>11000</v>
      </c>
      <c r="J301" s="13">
        <f t="shared" si="67"/>
        <v>11000</v>
      </c>
      <c r="K301" s="13">
        <f t="shared" si="68"/>
        <v>5000</v>
      </c>
      <c r="L301" s="14">
        <f t="shared" si="69"/>
        <v>0.3125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1</v>
      </c>
      <c r="B302" s="10" t="s">
        <v>15</v>
      </c>
      <c r="C302" s="11" t="s">
        <v>40</v>
      </c>
      <c r="D302" s="13">
        <v>12000</v>
      </c>
      <c r="E302" s="13">
        <f t="shared" si="66"/>
        <v>12000</v>
      </c>
      <c r="F302" s="2"/>
      <c r="G302" s="2"/>
      <c r="H302" s="2"/>
      <c r="I302" s="13">
        <v>6000</v>
      </c>
      <c r="J302" s="13">
        <f t="shared" si="67"/>
        <v>6000</v>
      </c>
      <c r="K302" s="13">
        <f t="shared" si="68"/>
        <v>6000</v>
      </c>
      <c r="L302" s="14">
        <f t="shared" si="69"/>
        <v>0.5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77">
        <v>3</v>
      </c>
      <c r="B303" s="78" t="s">
        <v>17</v>
      </c>
      <c r="C303" s="79" t="s">
        <v>1091</v>
      </c>
      <c r="D303" s="13">
        <v>0</v>
      </c>
      <c r="E303" s="13">
        <f t="shared" si="66"/>
        <v>0</v>
      </c>
      <c r="F303" s="2"/>
      <c r="G303" s="2"/>
      <c r="H303" s="2"/>
      <c r="I303" s="13">
        <v>1000</v>
      </c>
      <c r="J303" s="13">
        <f t="shared" si="67"/>
        <v>3000</v>
      </c>
      <c r="K303" s="13">
        <f t="shared" si="68"/>
        <v>-3000</v>
      </c>
      <c r="L303" s="14" t="e">
        <f t="shared" si="69"/>
        <v>#DIV/0!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0.5</v>
      </c>
      <c r="B304" s="10" t="s">
        <v>17</v>
      </c>
      <c r="C304" s="11" t="s">
        <v>1092</v>
      </c>
      <c r="D304" s="13">
        <v>4000</v>
      </c>
      <c r="E304" s="13">
        <f t="shared" si="66"/>
        <v>2000</v>
      </c>
      <c r="F304" s="2"/>
      <c r="G304" s="2"/>
      <c r="H304" s="2"/>
      <c r="I304" s="13">
        <v>3200</v>
      </c>
      <c r="J304" s="13">
        <f t="shared" si="67"/>
        <v>1600</v>
      </c>
      <c r="K304" s="13">
        <f t="shared" si="68"/>
        <v>400</v>
      </c>
      <c r="L304" s="14">
        <f t="shared" si="69"/>
        <v>0.2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4</v>
      </c>
      <c r="B305" s="10" t="s">
        <v>17</v>
      </c>
      <c r="C305" s="11" t="s">
        <v>88</v>
      </c>
      <c r="D305" s="13">
        <v>2400</v>
      </c>
      <c r="E305" s="13">
        <f t="shared" si="66"/>
        <v>9600</v>
      </c>
      <c r="F305" s="2"/>
      <c r="G305" s="2"/>
      <c r="H305" s="2"/>
      <c r="I305" s="13">
        <f>16000/15</f>
        <v>1066.6666666666667</v>
      </c>
      <c r="J305" s="13">
        <f t="shared" si="67"/>
        <v>4266.666666666667</v>
      </c>
      <c r="K305" s="13">
        <f t="shared" si="68"/>
        <v>5333.333333333333</v>
      </c>
      <c r="L305" s="14">
        <f t="shared" si="69"/>
        <v>0.55555555555555547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2">
        <v>2</v>
      </c>
      <c r="B306" s="10" t="s">
        <v>21</v>
      </c>
      <c r="C306" s="11" t="s">
        <v>46</v>
      </c>
      <c r="D306" s="13">
        <v>500</v>
      </c>
      <c r="E306" s="13">
        <f t="shared" si="66"/>
        <v>1000</v>
      </c>
      <c r="F306" s="2"/>
      <c r="G306" s="2"/>
      <c r="H306" s="2"/>
      <c r="I306" s="13">
        <f>2000/6</f>
        <v>333.33333333333331</v>
      </c>
      <c r="J306" s="13">
        <f t="shared" si="67"/>
        <v>666.66666666666663</v>
      </c>
      <c r="K306" s="13">
        <f t="shared" si="68"/>
        <v>333.33333333333337</v>
      </c>
      <c r="L306" s="14">
        <f t="shared" si="69"/>
        <v>0.33333333333333337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2">
        <v>5</v>
      </c>
      <c r="B307" s="10" t="s">
        <v>17</v>
      </c>
      <c r="C307" s="11" t="s">
        <v>81</v>
      </c>
      <c r="D307" s="13">
        <v>1200</v>
      </c>
      <c r="E307" s="13">
        <f t="shared" si="66"/>
        <v>6000</v>
      </c>
      <c r="F307" s="2"/>
      <c r="G307" s="2"/>
      <c r="H307" s="2"/>
      <c r="I307" s="13">
        <f>7000/15</f>
        <v>466.66666666666669</v>
      </c>
      <c r="J307" s="13">
        <f t="shared" si="67"/>
        <v>2333.3333333333335</v>
      </c>
      <c r="K307" s="13">
        <f t="shared" si="68"/>
        <v>3666.6666666666665</v>
      </c>
      <c r="L307" s="14">
        <f t="shared" si="69"/>
        <v>0.61111111111111105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2">
        <v>10</v>
      </c>
      <c r="B308" s="10" t="s">
        <v>17</v>
      </c>
      <c r="C308" s="11" t="s">
        <v>82</v>
      </c>
      <c r="D308" s="13">
        <v>2200</v>
      </c>
      <c r="E308" s="13">
        <f t="shared" si="66"/>
        <v>22000</v>
      </c>
      <c r="F308" s="2"/>
      <c r="G308" s="2"/>
      <c r="H308" s="2"/>
      <c r="I308" s="13">
        <f>22000/14</f>
        <v>1571.4285714285713</v>
      </c>
      <c r="J308" s="13">
        <f t="shared" si="67"/>
        <v>15714.285714285714</v>
      </c>
      <c r="K308" s="13">
        <f t="shared" si="68"/>
        <v>6285.7142857142862</v>
      </c>
      <c r="L308" s="14">
        <f t="shared" si="69"/>
        <v>0.28571428571428575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2">
        <v>3</v>
      </c>
      <c r="B309" s="10" t="s">
        <v>17</v>
      </c>
      <c r="C309" s="11" t="s">
        <v>61</v>
      </c>
      <c r="D309" s="13">
        <v>2600</v>
      </c>
      <c r="E309" s="13">
        <f t="shared" si="66"/>
        <v>7800</v>
      </c>
      <c r="F309" s="2"/>
      <c r="G309" s="2"/>
      <c r="H309" s="2"/>
      <c r="I309" s="13">
        <f>28000/14</f>
        <v>2000</v>
      </c>
      <c r="J309" s="13">
        <f t="shared" si="67"/>
        <v>6000</v>
      </c>
      <c r="K309" s="13">
        <f t="shared" si="68"/>
        <v>1800</v>
      </c>
      <c r="L309" s="14">
        <f t="shared" si="69"/>
        <v>0.23076923076923078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2">
        <v>3</v>
      </c>
      <c r="B310" s="10" t="s">
        <v>17</v>
      </c>
      <c r="C310" s="11" t="s">
        <v>31</v>
      </c>
      <c r="D310" s="13">
        <v>3000</v>
      </c>
      <c r="E310" s="13">
        <f t="shared" si="66"/>
        <v>9000</v>
      </c>
      <c r="F310" s="2"/>
      <c r="G310" s="2"/>
      <c r="H310" s="2"/>
      <c r="I310" s="13">
        <f>15000/8</f>
        <v>1875</v>
      </c>
      <c r="J310" s="13">
        <f t="shared" si="67"/>
        <v>5625</v>
      </c>
      <c r="K310" s="13">
        <f t="shared" si="68"/>
        <v>3375</v>
      </c>
      <c r="L310" s="14">
        <f t="shared" si="69"/>
        <v>0.375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2">
        <v>2</v>
      </c>
      <c r="B311" s="10" t="s">
        <v>17</v>
      </c>
      <c r="C311" s="11" t="s">
        <v>87</v>
      </c>
      <c r="D311" s="13">
        <v>3000</v>
      </c>
      <c r="E311" s="13">
        <f t="shared" si="66"/>
        <v>6000</v>
      </c>
      <c r="F311" s="2"/>
      <c r="G311" s="2"/>
      <c r="H311" s="2"/>
      <c r="I311" s="13">
        <f>28000/17</f>
        <v>1647.0588235294117</v>
      </c>
      <c r="J311" s="13">
        <f t="shared" si="67"/>
        <v>3294.1176470588234</v>
      </c>
      <c r="K311" s="13">
        <f t="shared" si="68"/>
        <v>2705.8823529411766</v>
      </c>
      <c r="L311" s="14">
        <f t="shared" si="69"/>
        <v>0.45098039215686275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2">
        <v>2</v>
      </c>
      <c r="B312" s="10" t="s">
        <v>17</v>
      </c>
      <c r="C312" s="11" t="s">
        <v>24</v>
      </c>
      <c r="D312" s="13">
        <v>3800</v>
      </c>
      <c r="E312" s="13">
        <f t="shared" si="66"/>
        <v>7600</v>
      </c>
      <c r="F312" s="2"/>
      <c r="G312" s="2"/>
      <c r="H312" s="2"/>
      <c r="I312" s="13">
        <f>50000/17</f>
        <v>2941.1764705882351</v>
      </c>
      <c r="J312" s="13">
        <f t="shared" si="67"/>
        <v>5882.3529411764703</v>
      </c>
      <c r="K312" s="13">
        <f t="shared" si="68"/>
        <v>1717.6470588235297</v>
      </c>
      <c r="L312" s="14">
        <f t="shared" si="69"/>
        <v>0.22600619195046445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2">
        <v>0.7</v>
      </c>
      <c r="B313" s="10" t="s">
        <v>17</v>
      </c>
      <c r="C313" s="11" t="s">
        <v>64</v>
      </c>
      <c r="D313" s="13">
        <v>2000</v>
      </c>
      <c r="E313" s="13">
        <f t="shared" si="66"/>
        <v>1400</v>
      </c>
      <c r="F313" s="2"/>
      <c r="G313" s="2"/>
      <c r="H313" s="2"/>
      <c r="I313" s="13">
        <f>9000/8</f>
        <v>1125</v>
      </c>
      <c r="J313" s="13">
        <f t="shared" si="67"/>
        <v>787.5</v>
      </c>
      <c r="K313" s="13">
        <f t="shared" si="68"/>
        <v>612.5</v>
      </c>
      <c r="L313" s="14">
        <f t="shared" si="69"/>
        <v>0.4375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2">
        <v>1.5</v>
      </c>
      <c r="B314" s="10" t="s">
        <v>17</v>
      </c>
      <c r="C314" s="11" t="s">
        <v>34</v>
      </c>
      <c r="D314" s="13">
        <v>4000</v>
      </c>
      <c r="E314" s="13">
        <f t="shared" si="66"/>
        <v>6000</v>
      </c>
      <c r="F314" s="2"/>
      <c r="G314" s="2"/>
      <c r="H314" s="2"/>
      <c r="I314" s="13">
        <v>2000</v>
      </c>
      <c r="J314" s="13">
        <f t="shared" si="67"/>
        <v>3000</v>
      </c>
      <c r="K314" s="13">
        <f t="shared" si="68"/>
        <v>3000</v>
      </c>
      <c r="L314" s="14">
        <f t="shared" si="69"/>
        <v>0.5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2"/>
      <c r="C315" s="4"/>
      <c r="D315" s="2"/>
      <c r="E315" s="2"/>
      <c r="F315" s="2"/>
      <c r="G315" s="4"/>
      <c r="H315" s="2"/>
      <c r="I315" s="2"/>
      <c r="J315" s="2"/>
      <c r="K315" s="2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2"/>
      <c r="C316" s="4"/>
      <c r="D316" s="2"/>
      <c r="E316" s="13">
        <f>SUM(E298:E314)</f>
        <v>171400</v>
      </c>
      <c r="F316" s="2"/>
      <c r="G316" s="2"/>
      <c r="H316" s="2"/>
      <c r="I316" s="2"/>
      <c r="J316" s="2"/>
      <c r="K316" s="13">
        <f>SUM(K298:K314)</f>
        <v>55230.077030812325</v>
      </c>
      <c r="L316" s="14">
        <f>K316/E316</f>
        <v>0.32222915420543946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0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0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5.5" customHeight="1" x14ac:dyDescent="0.25">
      <c r="A319" s="26" t="s">
        <v>101</v>
      </c>
      <c r="B319" s="27">
        <f>E316+E291+E281+E258+F239+E222+F198+F174+F153+E130+E103+E81+E59+E36+E23</f>
        <v>4091026</v>
      </c>
      <c r="C319" s="4"/>
      <c r="D319" s="4"/>
      <c r="E319" s="4"/>
      <c r="F319" s="4"/>
      <c r="G319" s="4"/>
      <c r="H319" s="4"/>
      <c r="I319" s="4"/>
      <c r="J319" s="4"/>
      <c r="K319" s="4"/>
      <c r="L319" s="28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8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7" customHeight="1" x14ac:dyDescent="0.25">
      <c r="A321" s="26" t="s">
        <v>102</v>
      </c>
      <c r="B321" s="27">
        <f>K316+K291+K281+K258+K239+K222+K198+K174+K153+K130+K103+K81+K59+K36+K23</f>
        <v>1519033.4146294883</v>
      </c>
      <c r="C321" s="4"/>
      <c r="D321" s="4"/>
      <c r="E321" s="4"/>
      <c r="F321" s="4"/>
      <c r="G321" s="4"/>
      <c r="H321" s="4"/>
      <c r="I321" s="4"/>
      <c r="J321" s="4"/>
      <c r="K321" s="4"/>
      <c r="L321" s="28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8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8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6.25" customHeight="1" x14ac:dyDescent="0.25">
      <c r="A324" s="26" t="s">
        <v>103</v>
      </c>
      <c r="B324" s="29">
        <f>B321/B319</f>
        <v>0.37130866795505291</v>
      </c>
      <c r="C324" s="4"/>
      <c r="D324" s="4"/>
      <c r="E324" s="4"/>
      <c r="F324" s="4"/>
      <c r="G324" s="4"/>
      <c r="H324" s="4"/>
      <c r="I324" s="4"/>
      <c r="J324" s="4"/>
      <c r="K324" s="4"/>
      <c r="L324" s="28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8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90" t="s">
        <v>104</v>
      </c>
      <c r="B326" s="89"/>
      <c r="C326" s="4"/>
      <c r="D326" s="4"/>
      <c r="E326" s="4"/>
      <c r="F326" s="4"/>
      <c r="G326" s="4"/>
      <c r="H326" s="4"/>
      <c r="I326" s="4"/>
      <c r="J326" s="4"/>
      <c r="K326" s="4"/>
      <c r="L326" s="28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0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0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0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0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0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0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0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</sheetData>
  <mergeCells count="3">
    <mergeCell ref="A134:C134"/>
    <mergeCell ref="A226:C226"/>
    <mergeCell ref="A326:B326"/>
  </mergeCells>
  <conditionalFormatting sqref="L1:L333">
    <cfRule type="cellIs" dxfId="67" priority="1" operator="greaterThanOrEqual">
      <formula>"30%"</formula>
    </cfRule>
    <cfRule type="cellIs" dxfId="66" priority="2" operator="between">
      <formula>"25%"</formula>
      <formula>"30%"</formula>
    </cfRule>
    <cfRule type="cellIs" dxfId="65" priority="3" operator="less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50F6-7CBC-6742-910C-DDBDE0720863}">
  <sheetPr>
    <outlinePr summaryBelow="0" summaryRight="0"/>
  </sheetPr>
  <dimension ref="A1:Z1305"/>
  <sheetViews>
    <sheetView topLeftCell="A296"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5" t="s">
        <v>37</v>
      </c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44</v>
      </c>
      <c r="B3" s="89"/>
      <c r="C3" s="89"/>
      <c r="D3" s="2"/>
      <c r="E3" s="7" t="s">
        <v>143</v>
      </c>
      <c r="F3" s="8">
        <v>46126</v>
      </c>
      <c r="G3" s="2"/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3</v>
      </c>
      <c r="B6" s="10" t="s">
        <v>15</v>
      </c>
      <c r="C6" s="11" t="s">
        <v>27</v>
      </c>
      <c r="D6" s="13">
        <v>25000</v>
      </c>
      <c r="E6" s="13">
        <f t="shared" ref="E6:E40" si="0">A6*D6</f>
        <v>75000</v>
      </c>
      <c r="F6" s="13">
        <f t="shared" ref="F6:F33" si="1">E6*1.105</f>
        <v>82875</v>
      </c>
      <c r="G6" s="2"/>
      <c r="H6" s="2"/>
      <c r="I6" s="13">
        <v>18000</v>
      </c>
      <c r="J6" s="13">
        <f t="shared" ref="J6:J40" si="2">I6*A6</f>
        <v>54000</v>
      </c>
      <c r="K6" s="13">
        <f t="shared" ref="K6:K40" si="3">F6-J6</f>
        <v>28875</v>
      </c>
      <c r="L6" s="14">
        <f t="shared" ref="L6:L40" si="4">IFERROR(K6/E6, 0)</f>
        <v>0.38500000000000001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15</v>
      </c>
      <c r="C7" s="11" t="s">
        <v>48</v>
      </c>
      <c r="D7" s="13">
        <v>13000</v>
      </c>
      <c r="E7" s="13">
        <f t="shared" si="0"/>
        <v>13000</v>
      </c>
      <c r="F7" s="13">
        <f t="shared" si="1"/>
        <v>14365</v>
      </c>
      <c r="G7" s="2"/>
      <c r="H7" s="2"/>
      <c r="I7" s="13">
        <v>8000</v>
      </c>
      <c r="J7" s="13">
        <f t="shared" si="2"/>
        <v>8000</v>
      </c>
      <c r="K7" s="13">
        <f t="shared" si="3"/>
        <v>6365</v>
      </c>
      <c r="L7" s="14">
        <f t="shared" si="4"/>
        <v>0.48961538461538462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1</v>
      </c>
      <c r="B8" s="10" t="s">
        <v>15</v>
      </c>
      <c r="C8" s="11" t="s">
        <v>40</v>
      </c>
      <c r="D8" s="13">
        <v>12000</v>
      </c>
      <c r="E8" s="13">
        <f t="shared" si="0"/>
        <v>12000</v>
      </c>
      <c r="F8" s="13">
        <f t="shared" si="1"/>
        <v>13260</v>
      </c>
      <c r="G8" s="2"/>
      <c r="H8" s="2"/>
      <c r="I8" s="13">
        <v>7000</v>
      </c>
      <c r="J8" s="13">
        <f t="shared" si="2"/>
        <v>7000</v>
      </c>
      <c r="K8" s="13">
        <f t="shared" si="3"/>
        <v>6260</v>
      </c>
      <c r="L8" s="14">
        <f t="shared" si="4"/>
        <v>0.52166666666666661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4</v>
      </c>
      <c r="B9" s="10" t="s">
        <v>17</v>
      </c>
      <c r="C9" s="11" t="s">
        <v>129</v>
      </c>
      <c r="D9" s="13">
        <v>1600</v>
      </c>
      <c r="E9" s="13">
        <f t="shared" si="0"/>
        <v>6400</v>
      </c>
      <c r="F9" s="13">
        <f t="shared" si="1"/>
        <v>7072</v>
      </c>
      <c r="G9" s="2"/>
      <c r="H9" s="2"/>
      <c r="I9" s="13">
        <f>12000/11</f>
        <v>1090.909090909091</v>
      </c>
      <c r="J9" s="13">
        <f t="shared" si="2"/>
        <v>4363.636363636364</v>
      </c>
      <c r="K9" s="13">
        <f t="shared" si="3"/>
        <v>2708.363636363636</v>
      </c>
      <c r="L9" s="14">
        <f t="shared" si="4"/>
        <v>0.4231818181818181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5</v>
      </c>
      <c r="B10" s="10" t="s">
        <v>17</v>
      </c>
      <c r="C10" s="11" t="s">
        <v>18</v>
      </c>
      <c r="D10" s="13">
        <v>1600</v>
      </c>
      <c r="E10" s="13">
        <f t="shared" si="0"/>
        <v>8000</v>
      </c>
      <c r="F10" s="13">
        <f t="shared" si="1"/>
        <v>8840</v>
      </c>
      <c r="G10" s="2"/>
      <c r="H10" s="2"/>
      <c r="I10" s="13">
        <v>1000</v>
      </c>
      <c r="J10" s="13">
        <f t="shared" si="2"/>
        <v>5000</v>
      </c>
      <c r="K10" s="13">
        <f t="shared" si="3"/>
        <v>3840</v>
      </c>
      <c r="L10" s="14">
        <f t="shared" si="4"/>
        <v>0.48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3</v>
      </c>
      <c r="B11" s="10" t="s">
        <v>17</v>
      </c>
      <c r="C11" s="11" t="s">
        <v>56</v>
      </c>
      <c r="D11" s="13">
        <v>1200</v>
      </c>
      <c r="E11" s="13">
        <f t="shared" si="0"/>
        <v>3600</v>
      </c>
      <c r="F11" s="13">
        <f t="shared" si="1"/>
        <v>3978</v>
      </c>
      <c r="G11" s="2"/>
      <c r="H11" s="2"/>
      <c r="I11" s="13">
        <f>13000/16</f>
        <v>812.5</v>
      </c>
      <c r="J11" s="13">
        <f t="shared" si="2"/>
        <v>2437.5</v>
      </c>
      <c r="K11" s="13">
        <f t="shared" si="3"/>
        <v>1540.5</v>
      </c>
      <c r="L11" s="14">
        <f t="shared" si="4"/>
        <v>0.42791666666666667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1</v>
      </c>
      <c r="B12" s="10" t="s">
        <v>4</v>
      </c>
      <c r="C12" s="11" t="s">
        <v>13</v>
      </c>
      <c r="D12" s="13">
        <v>900</v>
      </c>
      <c r="E12" s="13">
        <f t="shared" si="0"/>
        <v>900</v>
      </c>
      <c r="F12" s="13">
        <f t="shared" si="1"/>
        <v>994.5</v>
      </c>
      <c r="G12" s="2"/>
      <c r="H12" s="2"/>
      <c r="I12" s="13">
        <v>460</v>
      </c>
      <c r="J12" s="13">
        <f t="shared" si="2"/>
        <v>460</v>
      </c>
      <c r="K12" s="13">
        <f t="shared" si="3"/>
        <v>534.5</v>
      </c>
      <c r="L12" s="14">
        <f t="shared" si="4"/>
        <v>0.59388888888888891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5</v>
      </c>
      <c r="B13" s="10" t="s">
        <v>17</v>
      </c>
      <c r="C13" s="11" t="s">
        <v>82</v>
      </c>
      <c r="D13" s="13">
        <v>2600</v>
      </c>
      <c r="E13" s="13">
        <f t="shared" si="0"/>
        <v>13000</v>
      </c>
      <c r="F13" s="13">
        <f t="shared" si="1"/>
        <v>14365</v>
      </c>
      <c r="G13" s="2"/>
      <c r="H13" s="2"/>
      <c r="I13" s="13">
        <f>25000/14</f>
        <v>1785.7142857142858</v>
      </c>
      <c r="J13" s="13">
        <f t="shared" si="2"/>
        <v>8928.5714285714294</v>
      </c>
      <c r="K13" s="13">
        <f t="shared" si="3"/>
        <v>5436.4285714285706</v>
      </c>
      <c r="L13" s="14">
        <f t="shared" si="4"/>
        <v>0.41818681318681311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5</v>
      </c>
      <c r="B14" s="10" t="s">
        <v>17</v>
      </c>
      <c r="C14" s="11" t="s">
        <v>123</v>
      </c>
      <c r="D14" s="13">
        <v>3000</v>
      </c>
      <c r="E14" s="13">
        <f t="shared" si="0"/>
        <v>15000</v>
      </c>
      <c r="F14" s="13">
        <f t="shared" si="1"/>
        <v>16575</v>
      </c>
      <c r="G14" s="2"/>
      <c r="H14" s="2"/>
      <c r="I14" s="13">
        <f>32000/15</f>
        <v>2133.3333333333335</v>
      </c>
      <c r="J14" s="13">
        <f t="shared" si="2"/>
        <v>10666.666666666668</v>
      </c>
      <c r="K14" s="13">
        <f t="shared" si="3"/>
        <v>5908.3333333333321</v>
      </c>
      <c r="L14" s="14">
        <f t="shared" si="4"/>
        <v>0.39388888888888879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16</v>
      </c>
      <c r="B15" s="10" t="s">
        <v>17</v>
      </c>
      <c r="C15" s="11" t="s">
        <v>39</v>
      </c>
      <c r="D15" s="13">
        <v>1600</v>
      </c>
      <c r="E15" s="13">
        <f t="shared" si="0"/>
        <v>25600</v>
      </c>
      <c r="F15" s="13">
        <f t="shared" si="1"/>
        <v>28288</v>
      </c>
      <c r="G15" s="2"/>
      <c r="H15" s="2"/>
      <c r="I15" s="13">
        <f>12000/15</f>
        <v>800</v>
      </c>
      <c r="J15" s="13">
        <f t="shared" si="2"/>
        <v>12800</v>
      </c>
      <c r="K15" s="13">
        <f t="shared" si="3"/>
        <v>15488</v>
      </c>
      <c r="L15" s="14">
        <f t="shared" si="4"/>
        <v>0.60499999999999998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3</v>
      </c>
      <c r="B16" s="10" t="s">
        <v>4</v>
      </c>
      <c r="C16" s="11" t="s">
        <v>65</v>
      </c>
      <c r="D16" s="13">
        <v>1000</v>
      </c>
      <c r="E16" s="13">
        <f t="shared" si="0"/>
        <v>3000</v>
      </c>
      <c r="F16" s="13">
        <f t="shared" si="1"/>
        <v>3315</v>
      </c>
      <c r="G16" s="2"/>
      <c r="H16" s="2"/>
      <c r="I16" s="13">
        <f>20000/50</f>
        <v>400</v>
      </c>
      <c r="J16" s="13">
        <f t="shared" si="2"/>
        <v>1200</v>
      </c>
      <c r="K16" s="13">
        <f t="shared" si="3"/>
        <v>2115</v>
      </c>
      <c r="L16" s="14">
        <f t="shared" si="4"/>
        <v>0.70499999999999996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3</v>
      </c>
      <c r="B17" s="10" t="s">
        <v>21</v>
      </c>
      <c r="C17" s="11" t="s">
        <v>52</v>
      </c>
      <c r="D17" s="13">
        <v>2000</v>
      </c>
      <c r="E17" s="13">
        <f t="shared" si="0"/>
        <v>6000</v>
      </c>
      <c r="F17" s="13">
        <f t="shared" si="1"/>
        <v>6630</v>
      </c>
      <c r="G17" s="2"/>
      <c r="H17" s="2"/>
      <c r="I17" s="13">
        <v>1000</v>
      </c>
      <c r="J17" s="13">
        <f t="shared" si="2"/>
        <v>3000</v>
      </c>
      <c r="K17" s="13">
        <f t="shared" si="3"/>
        <v>3630</v>
      </c>
      <c r="L17" s="18">
        <f t="shared" si="4"/>
        <v>0.60499999999999998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0.5</v>
      </c>
      <c r="B18" s="10" t="s">
        <v>21</v>
      </c>
      <c r="C18" s="11" t="s">
        <v>34</v>
      </c>
      <c r="D18" s="13">
        <v>5000</v>
      </c>
      <c r="E18" s="13">
        <f t="shared" si="0"/>
        <v>2500</v>
      </c>
      <c r="F18" s="13">
        <f t="shared" si="1"/>
        <v>2762.5</v>
      </c>
      <c r="G18" s="2"/>
      <c r="H18" s="2"/>
      <c r="I18" s="13">
        <v>2500</v>
      </c>
      <c r="J18" s="13">
        <f t="shared" si="2"/>
        <v>1250</v>
      </c>
      <c r="K18" s="13">
        <f t="shared" si="3"/>
        <v>1512.5</v>
      </c>
      <c r="L18" s="18">
        <f t="shared" si="4"/>
        <v>0.60499999999999998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1</v>
      </c>
      <c r="B19" s="10" t="s">
        <v>21</v>
      </c>
      <c r="C19" s="11" t="s">
        <v>51</v>
      </c>
      <c r="D19" s="13">
        <v>1500</v>
      </c>
      <c r="E19" s="13">
        <f t="shared" si="0"/>
        <v>1500</v>
      </c>
      <c r="F19" s="13">
        <f t="shared" si="1"/>
        <v>1657.5</v>
      </c>
      <c r="G19" s="2"/>
      <c r="H19" s="2"/>
      <c r="I19" s="13">
        <v>1000</v>
      </c>
      <c r="J19" s="13">
        <f t="shared" si="2"/>
        <v>1000</v>
      </c>
      <c r="K19" s="13">
        <f t="shared" si="3"/>
        <v>657.5</v>
      </c>
      <c r="L19" s="18">
        <f t="shared" si="4"/>
        <v>0.43833333333333335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1</v>
      </c>
      <c r="B20" s="10" t="s">
        <v>21</v>
      </c>
      <c r="C20" s="11" t="s">
        <v>133</v>
      </c>
      <c r="D20" s="13">
        <v>3000</v>
      </c>
      <c r="E20" s="13">
        <f t="shared" si="0"/>
        <v>3000</v>
      </c>
      <c r="F20" s="13">
        <f t="shared" si="1"/>
        <v>3315</v>
      </c>
      <c r="G20" s="2"/>
      <c r="H20" s="2"/>
      <c r="I20" s="13">
        <f>2500/6</f>
        <v>416.66666666666669</v>
      </c>
      <c r="J20" s="13">
        <f t="shared" si="2"/>
        <v>416.66666666666669</v>
      </c>
      <c r="K20" s="13">
        <f t="shared" si="3"/>
        <v>2898.3333333333335</v>
      </c>
      <c r="L20" s="18">
        <f t="shared" si="4"/>
        <v>0.96611111111111114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0.5</v>
      </c>
      <c r="B21" s="10" t="s">
        <v>17</v>
      </c>
      <c r="C21" s="11" t="s">
        <v>35</v>
      </c>
      <c r="D21" s="13">
        <v>2500</v>
      </c>
      <c r="E21" s="13">
        <f t="shared" si="0"/>
        <v>1250</v>
      </c>
      <c r="F21" s="13">
        <f t="shared" si="1"/>
        <v>1381.25</v>
      </c>
      <c r="G21" s="2"/>
      <c r="H21" s="2"/>
      <c r="I21" s="13">
        <v>1500</v>
      </c>
      <c r="J21" s="13">
        <f t="shared" si="2"/>
        <v>750</v>
      </c>
      <c r="K21" s="13">
        <f t="shared" si="3"/>
        <v>631.25</v>
      </c>
      <c r="L21" s="18">
        <f t="shared" si="4"/>
        <v>0.505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1</v>
      </c>
      <c r="B22" s="10" t="s">
        <v>21</v>
      </c>
      <c r="C22" s="11" t="s">
        <v>28</v>
      </c>
      <c r="D22" s="13">
        <v>3000</v>
      </c>
      <c r="E22" s="13">
        <f t="shared" si="0"/>
        <v>3000</v>
      </c>
      <c r="F22" s="13">
        <f t="shared" si="1"/>
        <v>3315</v>
      </c>
      <c r="G22" s="2"/>
      <c r="H22" s="2"/>
      <c r="I22" s="13">
        <v>2000</v>
      </c>
      <c r="J22" s="13">
        <f t="shared" si="2"/>
        <v>2000</v>
      </c>
      <c r="K22" s="13">
        <f t="shared" si="3"/>
        <v>1315</v>
      </c>
      <c r="L22" s="33">
        <f t="shared" si="4"/>
        <v>0.43833333333333335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0.3</v>
      </c>
      <c r="B23" s="10" t="s">
        <v>17</v>
      </c>
      <c r="C23" s="11" t="s">
        <v>64</v>
      </c>
      <c r="D23" s="13">
        <v>2500</v>
      </c>
      <c r="E23" s="13">
        <f t="shared" si="0"/>
        <v>750</v>
      </c>
      <c r="F23" s="13">
        <f t="shared" si="1"/>
        <v>828.75</v>
      </c>
      <c r="G23" s="2"/>
      <c r="H23" s="2"/>
      <c r="I23" s="13">
        <v>1500</v>
      </c>
      <c r="J23" s="13">
        <f t="shared" si="2"/>
        <v>450</v>
      </c>
      <c r="K23" s="13">
        <f t="shared" si="3"/>
        <v>378.75</v>
      </c>
      <c r="L23" s="33">
        <f t="shared" si="4"/>
        <v>0.505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1</v>
      </c>
      <c r="B24" s="10" t="s">
        <v>17</v>
      </c>
      <c r="C24" s="11" t="s">
        <v>93</v>
      </c>
      <c r="D24" s="13">
        <v>3000</v>
      </c>
      <c r="E24" s="13">
        <f t="shared" si="0"/>
        <v>3000</v>
      </c>
      <c r="F24" s="13">
        <f t="shared" si="1"/>
        <v>3315</v>
      </c>
      <c r="G24" s="2"/>
      <c r="H24" s="2"/>
      <c r="I24" s="13">
        <f>12000/8</f>
        <v>1500</v>
      </c>
      <c r="J24" s="13">
        <f t="shared" si="2"/>
        <v>1500</v>
      </c>
      <c r="K24" s="13">
        <f t="shared" si="3"/>
        <v>1815</v>
      </c>
      <c r="L24" s="18">
        <f t="shared" si="4"/>
        <v>0.60499999999999998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1</v>
      </c>
      <c r="B25" s="10" t="s">
        <v>17</v>
      </c>
      <c r="C25" s="11" t="s">
        <v>61</v>
      </c>
      <c r="D25" s="13">
        <v>2800</v>
      </c>
      <c r="E25" s="13">
        <f t="shared" si="0"/>
        <v>2800</v>
      </c>
      <c r="F25" s="13">
        <f t="shared" si="1"/>
        <v>3094</v>
      </c>
      <c r="G25" s="2"/>
      <c r="H25" s="2"/>
      <c r="I25" s="13">
        <f>30000/14</f>
        <v>2142.8571428571427</v>
      </c>
      <c r="J25" s="13">
        <f t="shared" si="2"/>
        <v>2142.8571428571427</v>
      </c>
      <c r="K25" s="13">
        <f t="shared" si="3"/>
        <v>951.14285714285734</v>
      </c>
      <c r="L25" s="18">
        <f t="shared" si="4"/>
        <v>0.33969387755102048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0.5</v>
      </c>
      <c r="B26" s="10" t="s">
        <v>17</v>
      </c>
      <c r="C26" s="11" t="s">
        <v>99</v>
      </c>
      <c r="D26" s="13">
        <v>1500</v>
      </c>
      <c r="E26" s="13">
        <f t="shared" si="0"/>
        <v>750</v>
      </c>
      <c r="F26" s="13">
        <f t="shared" si="1"/>
        <v>828.75</v>
      </c>
      <c r="G26" s="2"/>
      <c r="H26" s="2"/>
      <c r="I26" s="13">
        <v>1000</v>
      </c>
      <c r="J26" s="13">
        <f t="shared" si="2"/>
        <v>500</v>
      </c>
      <c r="K26" s="13">
        <f t="shared" si="3"/>
        <v>328.75</v>
      </c>
      <c r="L26" s="14">
        <f t="shared" si="4"/>
        <v>0.43833333333333335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2</v>
      </c>
      <c r="B27" s="10" t="s">
        <v>4</v>
      </c>
      <c r="C27" s="11" t="s">
        <v>14</v>
      </c>
      <c r="D27" s="13">
        <v>3200</v>
      </c>
      <c r="E27" s="13">
        <f t="shared" si="0"/>
        <v>6400</v>
      </c>
      <c r="F27" s="13">
        <f t="shared" si="1"/>
        <v>7072</v>
      </c>
      <c r="G27" s="2"/>
      <c r="H27" s="2"/>
      <c r="I27" s="13">
        <f>22000/8</f>
        <v>2750</v>
      </c>
      <c r="J27" s="13">
        <f t="shared" si="2"/>
        <v>5500</v>
      </c>
      <c r="K27" s="13">
        <f t="shared" si="3"/>
        <v>1572</v>
      </c>
      <c r="L27" s="14">
        <f t="shared" si="4"/>
        <v>0.24562500000000001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2.2999999999999998</v>
      </c>
      <c r="B28" s="10" t="s">
        <v>17</v>
      </c>
      <c r="C28" s="11" t="s">
        <v>38</v>
      </c>
      <c r="D28" s="13">
        <v>1800</v>
      </c>
      <c r="E28" s="13">
        <f t="shared" si="0"/>
        <v>4140</v>
      </c>
      <c r="F28" s="13">
        <f t="shared" si="1"/>
        <v>4574.7</v>
      </c>
      <c r="G28" s="2"/>
      <c r="H28" s="2"/>
      <c r="I28" s="13">
        <v>800</v>
      </c>
      <c r="J28" s="13">
        <f t="shared" si="2"/>
        <v>1839.9999999999998</v>
      </c>
      <c r="K28" s="13">
        <f t="shared" si="3"/>
        <v>2734.7</v>
      </c>
      <c r="L28" s="14">
        <f t="shared" si="4"/>
        <v>0.66055555555555556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3.1</v>
      </c>
      <c r="B29" s="10" t="s">
        <v>17</v>
      </c>
      <c r="C29" s="11" t="s">
        <v>36</v>
      </c>
      <c r="D29" s="13">
        <v>1800</v>
      </c>
      <c r="E29" s="13">
        <f t="shared" si="0"/>
        <v>5580</v>
      </c>
      <c r="F29" s="13">
        <f t="shared" si="1"/>
        <v>6165.9</v>
      </c>
      <c r="G29" s="2"/>
      <c r="H29" s="2"/>
      <c r="I29" s="13">
        <v>800</v>
      </c>
      <c r="J29" s="13">
        <f t="shared" si="2"/>
        <v>2480</v>
      </c>
      <c r="K29" s="13">
        <f t="shared" si="3"/>
        <v>3685.8999999999996</v>
      </c>
      <c r="L29" s="14">
        <f t="shared" si="4"/>
        <v>0.66055555555555545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1</v>
      </c>
      <c r="B30" s="10" t="s">
        <v>17</v>
      </c>
      <c r="C30" s="11" t="s">
        <v>42</v>
      </c>
      <c r="D30" s="13">
        <v>4500</v>
      </c>
      <c r="E30" s="13">
        <f t="shared" si="0"/>
        <v>4500</v>
      </c>
      <c r="F30" s="13">
        <f t="shared" si="1"/>
        <v>4972.5</v>
      </c>
      <c r="G30" s="2"/>
      <c r="H30" s="2"/>
      <c r="I30" s="13">
        <v>2000</v>
      </c>
      <c r="J30" s="13">
        <f t="shared" si="2"/>
        <v>2000</v>
      </c>
      <c r="K30" s="13">
        <f t="shared" si="3"/>
        <v>2972.5</v>
      </c>
      <c r="L30" s="14">
        <f t="shared" si="4"/>
        <v>0.66055555555555556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2</v>
      </c>
      <c r="B31" s="10" t="s">
        <v>17</v>
      </c>
      <c r="C31" s="11" t="s">
        <v>33</v>
      </c>
      <c r="D31" s="13">
        <v>2800</v>
      </c>
      <c r="E31" s="13">
        <f t="shared" si="0"/>
        <v>5600</v>
      </c>
      <c r="F31" s="13">
        <f t="shared" si="1"/>
        <v>6188</v>
      </c>
      <c r="G31" s="2"/>
      <c r="H31" s="2"/>
      <c r="I31" s="13">
        <f>15000/7</f>
        <v>2142.8571428571427</v>
      </c>
      <c r="J31" s="13">
        <f t="shared" si="2"/>
        <v>4285.7142857142853</v>
      </c>
      <c r="K31" s="13">
        <f t="shared" si="3"/>
        <v>1902.2857142857147</v>
      </c>
      <c r="L31" s="14">
        <f t="shared" si="4"/>
        <v>0.33969387755102048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2</v>
      </c>
      <c r="B32" s="10" t="s">
        <v>17</v>
      </c>
      <c r="C32" s="11" t="s">
        <v>32</v>
      </c>
      <c r="D32" s="13">
        <v>2400</v>
      </c>
      <c r="E32" s="13">
        <f t="shared" si="0"/>
        <v>4800</v>
      </c>
      <c r="F32" s="13">
        <f t="shared" si="1"/>
        <v>5304</v>
      </c>
      <c r="G32" s="2"/>
      <c r="H32" s="2"/>
      <c r="I32" s="13">
        <f>12000/7</f>
        <v>1714.2857142857142</v>
      </c>
      <c r="J32" s="13">
        <f t="shared" si="2"/>
        <v>3428.5714285714284</v>
      </c>
      <c r="K32" s="13">
        <f t="shared" si="3"/>
        <v>1875.4285714285716</v>
      </c>
      <c r="L32" s="14">
        <f t="shared" si="4"/>
        <v>0.39071428571428574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4</v>
      </c>
      <c r="B33" s="10" t="s">
        <v>17</v>
      </c>
      <c r="C33" s="11" t="s">
        <v>31</v>
      </c>
      <c r="D33" s="13">
        <v>3200</v>
      </c>
      <c r="E33" s="13">
        <f t="shared" si="0"/>
        <v>12800</v>
      </c>
      <c r="F33" s="13">
        <f t="shared" si="1"/>
        <v>14144</v>
      </c>
      <c r="G33" s="2"/>
      <c r="H33" s="2"/>
      <c r="I33" s="13">
        <f>15000/7</f>
        <v>2142.8571428571427</v>
      </c>
      <c r="J33" s="13">
        <f t="shared" si="2"/>
        <v>8571.4285714285706</v>
      </c>
      <c r="K33" s="13">
        <f t="shared" si="3"/>
        <v>5572.5714285714294</v>
      </c>
      <c r="L33" s="18">
        <f t="shared" si="4"/>
        <v>0.43535714285714294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7</v>
      </c>
      <c r="B34" s="10" t="s">
        <v>11</v>
      </c>
      <c r="C34" s="11" t="s">
        <v>12</v>
      </c>
      <c r="D34" s="13">
        <v>4500</v>
      </c>
      <c r="E34" s="13">
        <f t="shared" si="0"/>
        <v>31500</v>
      </c>
      <c r="F34" s="13">
        <f>E34*1.21</f>
        <v>38115</v>
      </c>
      <c r="G34" s="2"/>
      <c r="H34" s="2"/>
      <c r="I34" s="13">
        <f>54000/12</f>
        <v>4500</v>
      </c>
      <c r="J34" s="13">
        <f t="shared" si="2"/>
        <v>31500</v>
      </c>
      <c r="K34" s="13">
        <f t="shared" si="3"/>
        <v>6615</v>
      </c>
      <c r="L34" s="18">
        <f t="shared" si="4"/>
        <v>0.21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5</v>
      </c>
      <c r="B35" s="10" t="s">
        <v>17</v>
      </c>
      <c r="C35" s="11" t="s">
        <v>25</v>
      </c>
      <c r="D35" s="13">
        <v>4500</v>
      </c>
      <c r="E35" s="13">
        <f t="shared" si="0"/>
        <v>22500</v>
      </c>
      <c r="F35" s="13">
        <f t="shared" ref="F35:F40" si="5">E35*1.105</f>
        <v>24862.5</v>
      </c>
      <c r="G35" s="2"/>
      <c r="H35" s="2"/>
      <c r="I35" s="13">
        <f>60000/17</f>
        <v>3529.4117647058824</v>
      </c>
      <c r="J35" s="13">
        <f t="shared" si="2"/>
        <v>17647.058823529413</v>
      </c>
      <c r="K35" s="13">
        <f t="shared" si="3"/>
        <v>7215.4411764705874</v>
      </c>
      <c r="L35" s="18">
        <f t="shared" si="4"/>
        <v>0.32068627450980386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4</v>
      </c>
      <c r="B36" s="10" t="s">
        <v>17</v>
      </c>
      <c r="C36" s="11" t="s">
        <v>24</v>
      </c>
      <c r="D36" s="13">
        <v>3600</v>
      </c>
      <c r="E36" s="13">
        <f t="shared" si="0"/>
        <v>14400</v>
      </c>
      <c r="F36" s="13">
        <f t="shared" si="5"/>
        <v>15912</v>
      </c>
      <c r="G36" s="2"/>
      <c r="H36" s="2"/>
      <c r="I36" s="13">
        <f>50000/17</f>
        <v>2941.1764705882351</v>
      </c>
      <c r="J36" s="13">
        <f t="shared" si="2"/>
        <v>11764.705882352941</v>
      </c>
      <c r="K36" s="13">
        <f t="shared" si="3"/>
        <v>4147.2941176470595</v>
      </c>
      <c r="L36" s="18">
        <f t="shared" si="4"/>
        <v>0.28800653594771247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2</v>
      </c>
      <c r="B37" s="10" t="s">
        <v>23</v>
      </c>
      <c r="C37" s="11" t="s">
        <v>26</v>
      </c>
      <c r="D37" s="13">
        <v>22000</v>
      </c>
      <c r="E37" s="13">
        <f t="shared" si="0"/>
        <v>44000</v>
      </c>
      <c r="F37" s="13">
        <f t="shared" si="5"/>
        <v>48620</v>
      </c>
      <c r="G37" s="2"/>
      <c r="H37" s="2"/>
      <c r="I37" s="13">
        <v>15000</v>
      </c>
      <c r="J37" s="13">
        <f t="shared" si="2"/>
        <v>30000</v>
      </c>
      <c r="K37" s="13">
        <f t="shared" si="3"/>
        <v>18620</v>
      </c>
      <c r="L37" s="33">
        <f t="shared" si="4"/>
        <v>0.42318181818181816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3</v>
      </c>
      <c r="B38" s="10" t="s">
        <v>17</v>
      </c>
      <c r="C38" s="11" t="s">
        <v>43</v>
      </c>
      <c r="D38" s="13">
        <v>6000</v>
      </c>
      <c r="E38" s="13">
        <f t="shared" si="0"/>
        <v>18000</v>
      </c>
      <c r="F38" s="13">
        <f t="shared" si="5"/>
        <v>19890</v>
      </c>
      <c r="G38" s="2"/>
      <c r="H38" s="2"/>
      <c r="I38" s="13">
        <f>20000/4</f>
        <v>5000</v>
      </c>
      <c r="J38" s="13">
        <f t="shared" si="2"/>
        <v>15000</v>
      </c>
      <c r="K38" s="13">
        <f t="shared" si="3"/>
        <v>4890</v>
      </c>
      <c r="L38" s="33">
        <f t="shared" si="4"/>
        <v>0.27166666666666667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25</v>
      </c>
      <c r="B39" s="10" t="s">
        <v>21</v>
      </c>
      <c r="C39" s="11" t="s">
        <v>46</v>
      </c>
      <c r="D39" s="13">
        <v>600</v>
      </c>
      <c r="E39" s="13">
        <f t="shared" si="0"/>
        <v>15000</v>
      </c>
      <c r="F39" s="13">
        <f t="shared" si="5"/>
        <v>16575</v>
      </c>
      <c r="G39" s="2"/>
      <c r="H39" s="2"/>
      <c r="I39" s="13">
        <f>9000/24</f>
        <v>375</v>
      </c>
      <c r="J39" s="13">
        <f t="shared" si="2"/>
        <v>9375</v>
      </c>
      <c r="K39" s="13">
        <f t="shared" si="3"/>
        <v>7200</v>
      </c>
      <c r="L39" s="18">
        <f t="shared" si="4"/>
        <v>0.48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2">
        <v>0.5</v>
      </c>
      <c r="B40" s="10" t="s">
        <v>17</v>
      </c>
      <c r="C40" s="11" t="s">
        <v>30</v>
      </c>
      <c r="D40" s="13">
        <v>1500</v>
      </c>
      <c r="E40" s="13">
        <f t="shared" si="0"/>
        <v>750</v>
      </c>
      <c r="F40" s="13">
        <f t="shared" si="5"/>
        <v>828.75</v>
      </c>
      <c r="G40" s="2"/>
      <c r="H40" s="2"/>
      <c r="I40" s="13">
        <f>12000/14</f>
        <v>857.14285714285711</v>
      </c>
      <c r="J40" s="13">
        <f t="shared" si="2"/>
        <v>428.57142857142856</v>
      </c>
      <c r="K40" s="13">
        <f t="shared" si="3"/>
        <v>400.17857142857144</v>
      </c>
      <c r="L40" s="18">
        <f t="shared" si="4"/>
        <v>0.53357142857142859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5"/>
      <c r="B41" s="7"/>
      <c r="C41" s="4"/>
      <c r="D41" s="2"/>
      <c r="E41" s="2"/>
      <c r="F41" s="2"/>
      <c r="G41" s="2"/>
      <c r="H41" s="2"/>
      <c r="I41" s="2"/>
      <c r="J41" s="2"/>
      <c r="K41" s="2"/>
      <c r="L41" s="3"/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"/>
      <c r="B42" s="2"/>
      <c r="C42" s="4"/>
      <c r="D42" s="2"/>
      <c r="E42" s="13">
        <f t="shared" ref="E42:F42" si="6">SUM(E6:E40)</f>
        <v>390020</v>
      </c>
      <c r="F42" s="13">
        <f t="shared" si="6"/>
        <v>434279.6</v>
      </c>
      <c r="G42" s="2"/>
      <c r="H42" s="2"/>
      <c r="I42" s="2"/>
      <c r="J42" s="2"/>
      <c r="K42" s="13">
        <f>SUM(K6:K40)</f>
        <v>162592.65131143364</v>
      </c>
      <c r="L42" s="14">
        <f>K42/F42</f>
        <v>0.37439624451950693</v>
      </c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88" t="s">
        <v>0</v>
      </c>
      <c r="B45" s="89"/>
      <c r="C45" s="89"/>
      <c r="D45" s="2"/>
      <c r="E45" s="7" t="s">
        <v>953</v>
      </c>
      <c r="F45" s="8">
        <v>46126</v>
      </c>
      <c r="G45" s="2"/>
      <c r="H45" s="2"/>
      <c r="I45" s="91" t="s">
        <v>2</v>
      </c>
      <c r="J45" s="89"/>
      <c r="K45" s="89"/>
      <c r="L45" s="3"/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"/>
      <c r="B46" s="2"/>
      <c r="C46" s="5"/>
      <c r="D46" s="2"/>
      <c r="E46" s="2"/>
      <c r="F46" s="2"/>
      <c r="G46" s="2"/>
      <c r="H46" s="2"/>
      <c r="I46" s="2"/>
      <c r="J46" s="2"/>
      <c r="K46" s="2"/>
      <c r="L46" s="3"/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6" t="s">
        <v>3</v>
      </c>
      <c r="B47" s="10" t="s">
        <v>4</v>
      </c>
      <c r="C47" s="11" t="s">
        <v>5</v>
      </c>
      <c r="D47" s="10" t="s">
        <v>6</v>
      </c>
      <c r="E47" s="10" t="s">
        <v>7</v>
      </c>
      <c r="F47" s="10" t="s">
        <v>8</v>
      </c>
      <c r="G47" s="2"/>
      <c r="H47" s="2"/>
      <c r="I47" s="10" t="s">
        <v>9</v>
      </c>
      <c r="J47" s="10" t="s">
        <v>7</v>
      </c>
      <c r="K47" s="10" t="s">
        <v>10</v>
      </c>
      <c r="L47" s="3"/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2</v>
      </c>
      <c r="B48" s="10" t="s">
        <v>17</v>
      </c>
      <c r="C48" s="11" t="s">
        <v>42</v>
      </c>
      <c r="D48" s="13">
        <v>4500</v>
      </c>
      <c r="E48" s="13">
        <f t="shared" ref="E48:E84" si="7">A48*D48</f>
        <v>9000</v>
      </c>
      <c r="F48" s="13">
        <f t="shared" ref="F48:F83" si="8">E48*1.105</f>
        <v>9945</v>
      </c>
      <c r="G48" s="2"/>
      <c r="H48" s="2"/>
      <c r="I48" s="13">
        <v>2500</v>
      </c>
      <c r="J48" s="13">
        <f t="shared" ref="J48:J84" si="9">I48*A48</f>
        <v>5000</v>
      </c>
      <c r="K48" s="13">
        <f t="shared" ref="K48:K84" si="10">F48-J48</f>
        <v>4945</v>
      </c>
      <c r="L48" s="14">
        <f t="shared" ref="L48:L84" si="11">IFERROR(K48/E48, 0)</f>
        <v>0.5494444444444444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2</v>
      </c>
      <c r="B49" s="10" t="s">
        <v>4</v>
      </c>
      <c r="C49" s="11" t="s">
        <v>13</v>
      </c>
      <c r="D49" s="13">
        <v>900</v>
      </c>
      <c r="E49" s="13">
        <f t="shared" si="7"/>
        <v>1800</v>
      </c>
      <c r="F49" s="13">
        <f t="shared" si="8"/>
        <v>1989</v>
      </c>
      <c r="G49" s="2"/>
      <c r="H49" s="2"/>
      <c r="I49" s="13">
        <v>460</v>
      </c>
      <c r="J49" s="13">
        <f t="shared" si="9"/>
        <v>920</v>
      </c>
      <c r="K49" s="13">
        <f t="shared" si="10"/>
        <v>1069</v>
      </c>
      <c r="L49" s="14">
        <f t="shared" si="11"/>
        <v>0.59388888888888891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1</v>
      </c>
      <c r="B50" s="10" t="s">
        <v>21</v>
      </c>
      <c r="C50" s="11" t="s">
        <v>51</v>
      </c>
      <c r="D50" s="13">
        <v>1500</v>
      </c>
      <c r="E50" s="13">
        <f t="shared" si="7"/>
        <v>1500</v>
      </c>
      <c r="F50" s="13">
        <f t="shared" si="8"/>
        <v>1657.5</v>
      </c>
      <c r="G50" s="2"/>
      <c r="H50" s="2"/>
      <c r="I50" s="13">
        <v>1000</v>
      </c>
      <c r="J50" s="13">
        <f t="shared" si="9"/>
        <v>1000</v>
      </c>
      <c r="K50" s="13">
        <f t="shared" si="10"/>
        <v>657.5</v>
      </c>
      <c r="L50" s="14">
        <f t="shared" si="11"/>
        <v>0.43833333333333335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1</v>
      </c>
      <c r="B51" s="10" t="s">
        <v>4</v>
      </c>
      <c r="C51" s="11" t="s">
        <v>64</v>
      </c>
      <c r="D51" s="13">
        <v>2500</v>
      </c>
      <c r="E51" s="13">
        <f t="shared" si="7"/>
        <v>2500</v>
      </c>
      <c r="F51" s="13">
        <f t="shared" si="8"/>
        <v>2762.5</v>
      </c>
      <c r="G51" s="2"/>
      <c r="H51" s="2"/>
      <c r="I51" s="13">
        <v>1500</v>
      </c>
      <c r="J51" s="13">
        <f t="shared" si="9"/>
        <v>1500</v>
      </c>
      <c r="K51" s="13">
        <f t="shared" si="10"/>
        <v>1262.5</v>
      </c>
      <c r="L51" s="14">
        <f t="shared" si="11"/>
        <v>0.505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5</v>
      </c>
      <c r="B52" s="10" t="s">
        <v>17</v>
      </c>
      <c r="C52" s="11" t="s">
        <v>62</v>
      </c>
      <c r="D52" s="13">
        <v>3000</v>
      </c>
      <c r="E52" s="13">
        <f t="shared" si="7"/>
        <v>15000</v>
      </c>
      <c r="F52" s="13">
        <f t="shared" si="8"/>
        <v>16575</v>
      </c>
      <c r="G52" s="2"/>
      <c r="H52" s="2"/>
      <c r="I52" s="13">
        <f>28000/17</f>
        <v>1647.0588235294117</v>
      </c>
      <c r="J52" s="13">
        <f t="shared" si="9"/>
        <v>8235.2941176470595</v>
      </c>
      <c r="K52" s="13">
        <f t="shared" si="10"/>
        <v>8339.7058823529405</v>
      </c>
      <c r="L52" s="14">
        <f t="shared" si="11"/>
        <v>0.55598039215686268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1</v>
      </c>
      <c r="B53" s="10" t="s">
        <v>15</v>
      </c>
      <c r="C53" s="11" t="s">
        <v>129</v>
      </c>
      <c r="D53" s="13">
        <v>16000</v>
      </c>
      <c r="E53" s="13">
        <f t="shared" si="7"/>
        <v>16000</v>
      </c>
      <c r="F53" s="13">
        <f t="shared" si="8"/>
        <v>17680</v>
      </c>
      <c r="G53" s="2"/>
      <c r="H53" s="2"/>
      <c r="I53" s="13">
        <v>12000</v>
      </c>
      <c r="J53" s="13">
        <f t="shared" si="9"/>
        <v>12000</v>
      </c>
      <c r="K53" s="13">
        <f t="shared" si="10"/>
        <v>5680</v>
      </c>
      <c r="L53" s="14">
        <f t="shared" si="11"/>
        <v>0.35499999999999998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3</v>
      </c>
      <c r="B54" s="10" t="s">
        <v>4</v>
      </c>
      <c r="C54" s="11" t="s">
        <v>14</v>
      </c>
      <c r="D54" s="13">
        <v>3200</v>
      </c>
      <c r="E54" s="13">
        <f t="shared" si="7"/>
        <v>9600</v>
      </c>
      <c r="F54" s="13">
        <f t="shared" si="8"/>
        <v>10608</v>
      </c>
      <c r="G54" s="2"/>
      <c r="H54" s="2"/>
      <c r="I54" s="13">
        <f>22000/8</f>
        <v>2750</v>
      </c>
      <c r="J54" s="13">
        <f t="shared" si="9"/>
        <v>8250</v>
      </c>
      <c r="K54" s="13">
        <f t="shared" si="10"/>
        <v>2358</v>
      </c>
      <c r="L54" s="14">
        <f t="shared" si="11"/>
        <v>0.24562500000000001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</v>
      </c>
      <c r="B55" s="10" t="s">
        <v>15</v>
      </c>
      <c r="C55" s="11" t="s">
        <v>48</v>
      </c>
      <c r="D55" s="13">
        <v>13000</v>
      </c>
      <c r="E55" s="13">
        <f t="shared" si="7"/>
        <v>13000</v>
      </c>
      <c r="F55" s="13">
        <f t="shared" si="8"/>
        <v>14365</v>
      </c>
      <c r="G55" s="2"/>
      <c r="H55" s="2"/>
      <c r="I55" s="13">
        <v>8000</v>
      </c>
      <c r="J55" s="13">
        <f t="shared" si="9"/>
        <v>8000</v>
      </c>
      <c r="K55" s="13">
        <f t="shared" si="10"/>
        <v>6365</v>
      </c>
      <c r="L55" s="14">
        <f t="shared" si="11"/>
        <v>0.48961538461538462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6</v>
      </c>
      <c r="B56" s="10" t="s">
        <v>17</v>
      </c>
      <c r="C56" s="11" t="s">
        <v>18</v>
      </c>
      <c r="D56" s="13">
        <v>1600</v>
      </c>
      <c r="E56" s="13">
        <f t="shared" si="7"/>
        <v>9600</v>
      </c>
      <c r="F56" s="13">
        <f t="shared" si="8"/>
        <v>10608</v>
      </c>
      <c r="G56" s="2"/>
      <c r="H56" s="2"/>
      <c r="I56" s="13">
        <v>1000</v>
      </c>
      <c r="J56" s="13">
        <f t="shared" si="9"/>
        <v>6000</v>
      </c>
      <c r="K56" s="13">
        <f t="shared" si="10"/>
        <v>4608</v>
      </c>
      <c r="L56" s="14">
        <f t="shared" si="11"/>
        <v>0.48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4</v>
      </c>
      <c r="B57" s="10" t="s">
        <v>17</v>
      </c>
      <c r="C57" s="11" t="s">
        <v>56</v>
      </c>
      <c r="D57" s="13">
        <v>1200</v>
      </c>
      <c r="E57" s="13">
        <f t="shared" si="7"/>
        <v>4800</v>
      </c>
      <c r="F57" s="13">
        <f t="shared" si="8"/>
        <v>5304</v>
      </c>
      <c r="G57" s="2"/>
      <c r="H57" s="2"/>
      <c r="I57" s="13">
        <v>812</v>
      </c>
      <c r="J57" s="13">
        <f t="shared" si="9"/>
        <v>3248</v>
      </c>
      <c r="K57" s="13">
        <f t="shared" si="10"/>
        <v>2056</v>
      </c>
      <c r="L57" s="14">
        <f t="shared" si="11"/>
        <v>0.42833333333333334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6</v>
      </c>
      <c r="B58" s="10" t="s">
        <v>17</v>
      </c>
      <c r="C58" s="34" t="s">
        <v>67</v>
      </c>
      <c r="D58" s="13">
        <v>1200</v>
      </c>
      <c r="E58" s="13">
        <f t="shared" si="7"/>
        <v>7200</v>
      </c>
      <c r="F58" s="13">
        <f t="shared" si="8"/>
        <v>7956</v>
      </c>
      <c r="G58" s="2"/>
      <c r="H58" s="2"/>
      <c r="I58" s="13">
        <f>10000/14</f>
        <v>714.28571428571433</v>
      </c>
      <c r="J58" s="13">
        <f t="shared" si="9"/>
        <v>4285.7142857142862</v>
      </c>
      <c r="K58" s="13">
        <f t="shared" si="10"/>
        <v>3670.2857142857138</v>
      </c>
      <c r="L58" s="14">
        <f t="shared" si="11"/>
        <v>0.50976190476190464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4</v>
      </c>
      <c r="B59" s="10" t="s">
        <v>17</v>
      </c>
      <c r="C59" s="11" t="s">
        <v>24</v>
      </c>
      <c r="D59" s="13">
        <v>3600</v>
      </c>
      <c r="E59" s="13">
        <f t="shared" si="7"/>
        <v>14400</v>
      </c>
      <c r="F59" s="13">
        <f t="shared" si="8"/>
        <v>15912</v>
      </c>
      <c r="G59" s="2"/>
      <c r="H59" s="2"/>
      <c r="I59" s="13">
        <f>50000/17</f>
        <v>2941.1764705882351</v>
      </c>
      <c r="J59" s="13">
        <f t="shared" si="9"/>
        <v>11764.705882352941</v>
      </c>
      <c r="K59" s="13">
        <f t="shared" si="10"/>
        <v>4147.2941176470595</v>
      </c>
      <c r="L59" s="14">
        <f t="shared" si="11"/>
        <v>0.28800653594771247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4</v>
      </c>
      <c r="B60" s="10" t="s">
        <v>17</v>
      </c>
      <c r="C60" s="11" t="s">
        <v>25</v>
      </c>
      <c r="D60" s="13">
        <v>4500</v>
      </c>
      <c r="E60" s="13">
        <f t="shared" si="7"/>
        <v>18000</v>
      </c>
      <c r="F60" s="13">
        <f t="shared" si="8"/>
        <v>19890</v>
      </c>
      <c r="G60" s="2"/>
      <c r="H60" s="13"/>
      <c r="I60" s="13">
        <f>60000/17</f>
        <v>3529.4117647058824</v>
      </c>
      <c r="J60" s="13">
        <f t="shared" si="9"/>
        <v>14117.64705882353</v>
      </c>
      <c r="K60" s="13">
        <f t="shared" si="10"/>
        <v>5772.3529411764703</v>
      </c>
      <c r="L60" s="14">
        <f t="shared" si="11"/>
        <v>0.32068627450980391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22</v>
      </c>
      <c r="B61" s="10" t="s">
        <v>17</v>
      </c>
      <c r="C61" s="11" t="s">
        <v>26</v>
      </c>
      <c r="D61" s="13">
        <v>1700</v>
      </c>
      <c r="E61" s="13">
        <f t="shared" si="7"/>
        <v>37400</v>
      </c>
      <c r="F61" s="13">
        <f t="shared" si="8"/>
        <v>41327</v>
      </c>
      <c r="G61" s="2"/>
      <c r="H61" s="13"/>
      <c r="I61" s="13">
        <v>1000</v>
      </c>
      <c r="J61" s="13">
        <f t="shared" si="9"/>
        <v>22000</v>
      </c>
      <c r="K61" s="13">
        <f t="shared" si="10"/>
        <v>19327</v>
      </c>
      <c r="L61" s="14">
        <f t="shared" si="11"/>
        <v>0.5167647058823529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3</v>
      </c>
      <c r="B62" s="10" t="s">
        <v>15</v>
      </c>
      <c r="C62" s="11" t="s">
        <v>27</v>
      </c>
      <c r="D62" s="13">
        <v>25000</v>
      </c>
      <c r="E62" s="13">
        <f t="shared" si="7"/>
        <v>75000</v>
      </c>
      <c r="F62" s="13">
        <f t="shared" si="8"/>
        <v>82875</v>
      </c>
      <c r="G62" s="2"/>
      <c r="H62" s="2"/>
      <c r="I62" s="13">
        <v>18000</v>
      </c>
      <c r="J62" s="13">
        <f t="shared" si="9"/>
        <v>54000</v>
      </c>
      <c r="K62" s="13">
        <f t="shared" si="10"/>
        <v>28875</v>
      </c>
      <c r="L62" s="14">
        <f t="shared" si="11"/>
        <v>0.38500000000000001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2</v>
      </c>
      <c r="B63" s="10" t="s">
        <v>21</v>
      </c>
      <c r="C63" s="11" t="s">
        <v>133</v>
      </c>
      <c r="D63" s="13">
        <v>3000</v>
      </c>
      <c r="E63" s="13">
        <f t="shared" si="7"/>
        <v>6000</v>
      </c>
      <c r="F63" s="13">
        <f t="shared" si="8"/>
        <v>6630</v>
      </c>
      <c r="G63" s="2"/>
      <c r="H63" s="2"/>
      <c r="I63" s="13">
        <f>2500/6</f>
        <v>416.66666666666669</v>
      </c>
      <c r="J63" s="13">
        <f t="shared" si="9"/>
        <v>833.33333333333337</v>
      </c>
      <c r="K63" s="13">
        <f t="shared" si="10"/>
        <v>5796.666666666667</v>
      </c>
      <c r="L63" s="14">
        <f t="shared" si="11"/>
        <v>0.96611111111111114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0.5</v>
      </c>
      <c r="B64" s="10" t="s">
        <v>21</v>
      </c>
      <c r="C64" s="11" t="s">
        <v>29</v>
      </c>
      <c r="D64" s="13">
        <v>3500</v>
      </c>
      <c r="E64" s="13">
        <f t="shared" si="7"/>
        <v>1750</v>
      </c>
      <c r="F64" s="13">
        <f t="shared" si="8"/>
        <v>1933.75</v>
      </c>
      <c r="G64" s="2"/>
      <c r="H64" s="2"/>
      <c r="I64" s="13">
        <v>1500</v>
      </c>
      <c r="J64" s="13">
        <f t="shared" si="9"/>
        <v>750</v>
      </c>
      <c r="K64" s="13">
        <f t="shared" si="10"/>
        <v>1183.75</v>
      </c>
      <c r="L64" s="14">
        <f t="shared" si="11"/>
        <v>0.67642857142857138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0.5</v>
      </c>
      <c r="B65" s="10" t="s">
        <v>17</v>
      </c>
      <c r="C65" s="11" t="s">
        <v>30</v>
      </c>
      <c r="D65" s="13">
        <v>1500</v>
      </c>
      <c r="E65" s="13">
        <f t="shared" si="7"/>
        <v>750</v>
      </c>
      <c r="F65" s="13">
        <f t="shared" si="8"/>
        <v>828.75</v>
      </c>
      <c r="G65" s="2"/>
      <c r="H65" s="2"/>
      <c r="I65" s="13">
        <f>12000/14</f>
        <v>857.14285714285711</v>
      </c>
      <c r="J65" s="13">
        <f t="shared" si="9"/>
        <v>428.57142857142856</v>
      </c>
      <c r="K65" s="13">
        <f t="shared" si="10"/>
        <v>400.17857142857144</v>
      </c>
      <c r="L65" s="14">
        <f t="shared" si="11"/>
        <v>0.53357142857142859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7</v>
      </c>
      <c r="B66" s="10" t="s">
        <v>17</v>
      </c>
      <c r="C66" s="11" t="s">
        <v>31</v>
      </c>
      <c r="D66" s="13">
        <v>3200</v>
      </c>
      <c r="E66" s="13">
        <f t="shared" si="7"/>
        <v>22400</v>
      </c>
      <c r="F66" s="13">
        <f t="shared" si="8"/>
        <v>24752</v>
      </c>
      <c r="G66" s="2"/>
      <c r="H66" s="2"/>
      <c r="I66" s="13">
        <f>15000/7</f>
        <v>2142.8571428571427</v>
      </c>
      <c r="J66" s="13">
        <f t="shared" si="9"/>
        <v>14999.999999999998</v>
      </c>
      <c r="K66" s="13">
        <f t="shared" si="10"/>
        <v>9752.0000000000018</v>
      </c>
      <c r="L66" s="14">
        <f t="shared" si="11"/>
        <v>0.43535714285714294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4</v>
      </c>
      <c r="B67" s="10" t="s">
        <v>17</v>
      </c>
      <c r="C67" s="11" t="s">
        <v>32</v>
      </c>
      <c r="D67" s="13">
        <v>2400</v>
      </c>
      <c r="E67" s="13">
        <f t="shared" si="7"/>
        <v>9600</v>
      </c>
      <c r="F67" s="13">
        <f t="shared" si="8"/>
        <v>10608</v>
      </c>
      <c r="G67" s="2"/>
      <c r="H67" s="2"/>
      <c r="I67" s="17">
        <f>12000/7</f>
        <v>1714.2857142857142</v>
      </c>
      <c r="J67" s="13">
        <f t="shared" si="9"/>
        <v>6857.1428571428569</v>
      </c>
      <c r="K67" s="13">
        <f t="shared" si="10"/>
        <v>3750.8571428571431</v>
      </c>
      <c r="L67" s="14">
        <f t="shared" si="11"/>
        <v>0.39071428571428574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3</v>
      </c>
      <c r="B68" s="10" t="s">
        <v>17</v>
      </c>
      <c r="C68" s="11" t="s">
        <v>33</v>
      </c>
      <c r="D68" s="13">
        <v>2800</v>
      </c>
      <c r="E68" s="13">
        <f t="shared" si="7"/>
        <v>8400</v>
      </c>
      <c r="F68" s="13">
        <f t="shared" si="8"/>
        <v>9282</v>
      </c>
      <c r="G68" s="2"/>
      <c r="H68" s="2"/>
      <c r="I68" s="13">
        <f>15000/7</f>
        <v>2142.8571428571427</v>
      </c>
      <c r="J68" s="13">
        <f t="shared" si="9"/>
        <v>6428.5714285714275</v>
      </c>
      <c r="K68" s="13">
        <f t="shared" si="10"/>
        <v>2853.4285714285725</v>
      </c>
      <c r="L68" s="14">
        <f t="shared" si="11"/>
        <v>0.33969387755102054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0.25</v>
      </c>
      <c r="B69" s="10" t="s">
        <v>21</v>
      </c>
      <c r="C69" s="11" t="s">
        <v>34</v>
      </c>
      <c r="D69" s="13">
        <v>5000</v>
      </c>
      <c r="E69" s="13">
        <f t="shared" si="7"/>
        <v>1250</v>
      </c>
      <c r="F69" s="13">
        <f t="shared" si="8"/>
        <v>1381.25</v>
      </c>
      <c r="G69" s="2"/>
      <c r="H69" s="2"/>
      <c r="I69" s="13">
        <v>2000</v>
      </c>
      <c r="J69" s="13">
        <f t="shared" si="9"/>
        <v>500</v>
      </c>
      <c r="K69" s="13">
        <f t="shared" si="10"/>
        <v>881.25</v>
      </c>
      <c r="L69" s="14">
        <f t="shared" si="11"/>
        <v>0.70499999999999996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5</v>
      </c>
      <c r="B70" s="10" t="s">
        <v>17</v>
      </c>
      <c r="C70" s="11" t="s">
        <v>123</v>
      </c>
      <c r="D70" s="13">
        <v>3000</v>
      </c>
      <c r="E70" s="13">
        <f t="shared" si="7"/>
        <v>15000</v>
      </c>
      <c r="F70" s="13">
        <f t="shared" si="8"/>
        <v>16575</v>
      </c>
      <c r="G70" s="2"/>
      <c r="H70" s="2"/>
      <c r="I70" s="13">
        <f>32000/15</f>
        <v>2133.3333333333335</v>
      </c>
      <c r="J70" s="13">
        <f t="shared" si="9"/>
        <v>10666.666666666668</v>
      </c>
      <c r="K70" s="13">
        <f t="shared" si="10"/>
        <v>5908.3333333333321</v>
      </c>
      <c r="L70" s="14">
        <f t="shared" si="11"/>
        <v>0.39388888888888879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1</v>
      </c>
      <c r="B71" s="10" t="s">
        <v>17</v>
      </c>
      <c r="C71" s="11" t="s">
        <v>35</v>
      </c>
      <c r="D71" s="13">
        <v>2500</v>
      </c>
      <c r="E71" s="13">
        <f t="shared" si="7"/>
        <v>2500</v>
      </c>
      <c r="F71" s="13">
        <f t="shared" si="8"/>
        <v>2762.5</v>
      </c>
      <c r="G71" s="2"/>
      <c r="H71" s="2"/>
      <c r="I71" s="13">
        <v>1500</v>
      </c>
      <c r="J71" s="13">
        <f t="shared" si="9"/>
        <v>1500</v>
      </c>
      <c r="K71" s="13">
        <f t="shared" si="10"/>
        <v>1262.5</v>
      </c>
      <c r="L71" s="14">
        <f t="shared" si="11"/>
        <v>0.505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1</v>
      </c>
      <c r="B72" s="10" t="s">
        <v>17</v>
      </c>
      <c r="C72" s="11" t="s">
        <v>36</v>
      </c>
      <c r="D72" s="13">
        <v>1800</v>
      </c>
      <c r="E72" s="13">
        <f t="shared" si="7"/>
        <v>1800</v>
      </c>
      <c r="F72" s="13">
        <f t="shared" si="8"/>
        <v>1989</v>
      </c>
      <c r="G72" s="2"/>
      <c r="H72" s="2"/>
      <c r="I72" s="13">
        <v>800</v>
      </c>
      <c r="J72" s="13">
        <f t="shared" si="9"/>
        <v>800</v>
      </c>
      <c r="K72" s="13">
        <f t="shared" si="10"/>
        <v>1189</v>
      </c>
      <c r="L72" s="14">
        <f t="shared" si="11"/>
        <v>0.66055555555555556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1.5</v>
      </c>
      <c r="B73" s="10" t="s">
        <v>17</v>
      </c>
      <c r="C73" s="11" t="s">
        <v>38</v>
      </c>
      <c r="D73" s="13">
        <v>1800</v>
      </c>
      <c r="E73" s="13">
        <f t="shared" si="7"/>
        <v>2700</v>
      </c>
      <c r="F73" s="13">
        <f t="shared" si="8"/>
        <v>2983.5</v>
      </c>
      <c r="G73" s="2"/>
      <c r="H73" s="2"/>
      <c r="I73" s="13">
        <v>800</v>
      </c>
      <c r="J73" s="13">
        <f t="shared" si="9"/>
        <v>1200</v>
      </c>
      <c r="K73" s="13">
        <f t="shared" si="10"/>
        <v>1783.5</v>
      </c>
      <c r="L73" s="14">
        <f t="shared" si="11"/>
        <v>0.66055555555555556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12</v>
      </c>
      <c r="B74" s="10" t="s">
        <v>17</v>
      </c>
      <c r="C74" s="11" t="s">
        <v>39</v>
      </c>
      <c r="D74" s="13">
        <v>1600</v>
      </c>
      <c r="E74" s="13">
        <f t="shared" si="7"/>
        <v>19200</v>
      </c>
      <c r="F74" s="13">
        <f t="shared" si="8"/>
        <v>21216</v>
      </c>
      <c r="G74" s="2"/>
      <c r="H74" s="2"/>
      <c r="I74" s="13">
        <f>11000/15</f>
        <v>733.33333333333337</v>
      </c>
      <c r="J74" s="13">
        <f t="shared" si="9"/>
        <v>8800</v>
      </c>
      <c r="K74" s="13">
        <f t="shared" si="10"/>
        <v>12416</v>
      </c>
      <c r="L74" s="14">
        <f t="shared" si="11"/>
        <v>0.64666666666666661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0.9</v>
      </c>
      <c r="B75" s="10" t="s">
        <v>17</v>
      </c>
      <c r="C75" s="11" t="s">
        <v>93</v>
      </c>
      <c r="D75" s="13">
        <v>3000</v>
      </c>
      <c r="E75" s="13">
        <f t="shared" si="7"/>
        <v>2700</v>
      </c>
      <c r="F75" s="13">
        <f t="shared" si="8"/>
        <v>2983.5</v>
      </c>
      <c r="G75" s="2"/>
      <c r="H75" s="2"/>
      <c r="I75" s="13">
        <f>12000/8</f>
        <v>1500</v>
      </c>
      <c r="J75" s="13">
        <f t="shared" si="9"/>
        <v>1350</v>
      </c>
      <c r="K75" s="13">
        <f t="shared" si="10"/>
        <v>1633.5</v>
      </c>
      <c r="L75" s="14">
        <f t="shared" si="11"/>
        <v>0.60499999999999998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2</v>
      </c>
      <c r="B76" s="10" t="s">
        <v>15</v>
      </c>
      <c r="C76" s="11" t="s">
        <v>40</v>
      </c>
      <c r="D76" s="13">
        <v>12000</v>
      </c>
      <c r="E76" s="13">
        <f t="shared" si="7"/>
        <v>24000</v>
      </c>
      <c r="F76" s="13">
        <f t="shared" si="8"/>
        <v>26520</v>
      </c>
      <c r="G76" s="2"/>
      <c r="H76" s="2"/>
      <c r="I76" s="13">
        <v>7000</v>
      </c>
      <c r="J76" s="13">
        <f t="shared" si="9"/>
        <v>14000</v>
      </c>
      <c r="K76" s="13">
        <f t="shared" si="10"/>
        <v>12520</v>
      </c>
      <c r="L76" s="14">
        <f t="shared" si="11"/>
        <v>0.52166666666666661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3.5</v>
      </c>
      <c r="B77" s="10" t="s">
        <v>17</v>
      </c>
      <c r="C77" s="11" t="s">
        <v>82</v>
      </c>
      <c r="D77" s="13">
        <v>2600</v>
      </c>
      <c r="E77" s="13">
        <f t="shared" si="7"/>
        <v>9100</v>
      </c>
      <c r="F77" s="13">
        <f t="shared" si="8"/>
        <v>10055.5</v>
      </c>
      <c r="G77" s="2"/>
      <c r="H77" s="2"/>
      <c r="I77" s="13">
        <f>25000/14</f>
        <v>1785.7142857142858</v>
      </c>
      <c r="J77" s="13">
        <f t="shared" si="9"/>
        <v>6250</v>
      </c>
      <c r="K77" s="13">
        <f t="shared" si="10"/>
        <v>3805.5</v>
      </c>
      <c r="L77" s="14">
        <f t="shared" si="11"/>
        <v>0.41818681318681317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5</v>
      </c>
      <c r="B78" s="10" t="s">
        <v>4</v>
      </c>
      <c r="C78" s="11" t="s">
        <v>65</v>
      </c>
      <c r="D78" s="13">
        <v>1000</v>
      </c>
      <c r="E78" s="13">
        <f t="shared" si="7"/>
        <v>5000</v>
      </c>
      <c r="F78" s="13">
        <f t="shared" si="8"/>
        <v>5525</v>
      </c>
      <c r="G78" s="2"/>
      <c r="H78" s="2"/>
      <c r="I78" s="13">
        <v>500</v>
      </c>
      <c r="J78" s="13">
        <f t="shared" si="9"/>
        <v>2500</v>
      </c>
      <c r="K78" s="13">
        <f t="shared" si="10"/>
        <v>3025</v>
      </c>
      <c r="L78" s="14">
        <f t="shared" si="11"/>
        <v>0.60499999999999998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1</v>
      </c>
      <c r="B79" s="10" t="s">
        <v>4</v>
      </c>
      <c r="C79" s="11" t="s">
        <v>52</v>
      </c>
      <c r="D79" s="13">
        <v>2000</v>
      </c>
      <c r="E79" s="13">
        <f t="shared" si="7"/>
        <v>2000</v>
      </c>
      <c r="F79" s="13">
        <f t="shared" si="8"/>
        <v>2210</v>
      </c>
      <c r="G79" s="2"/>
      <c r="H79" s="2"/>
      <c r="I79" s="13">
        <v>1000</v>
      </c>
      <c r="J79" s="13">
        <f t="shared" si="9"/>
        <v>1000</v>
      </c>
      <c r="K79" s="13">
        <f t="shared" si="10"/>
        <v>1210</v>
      </c>
      <c r="L79" s="14">
        <f t="shared" si="11"/>
        <v>0.60499999999999998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0.5</v>
      </c>
      <c r="B80" s="10" t="s">
        <v>17</v>
      </c>
      <c r="C80" s="11" t="s">
        <v>61</v>
      </c>
      <c r="D80" s="13">
        <v>2800</v>
      </c>
      <c r="E80" s="13">
        <f t="shared" si="7"/>
        <v>1400</v>
      </c>
      <c r="F80" s="13">
        <f t="shared" si="8"/>
        <v>1547</v>
      </c>
      <c r="G80" s="2"/>
      <c r="H80" s="7" t="s">
        <v>37</v>
      </c>
      <c r="I80" s="13">
        <f>30000/14</f>
        <v>2142.8571428571427</v>
      </c>
      <c r="J80" s="13">
        <f t="shared" si="9"/>
        <v>1071.4285714285713</v>
      </c>
      <c r="K80" s="13">
        <f t="shared" si="10"/>
        <v>475.57142857142867</v>
      </c>
      <c r="L80" s="14">
        <f t="shared" si="11"/>
        <v>0.33969387755102048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2</v>
      </c>
      <c r="B81" s="10" t="s">
        <v>17</v>
      </c>
      <c r="C81" s="11" t="s">
        <v>43</v>
      </c>
      <c r="D81" s="13">
        <v>6000</v>
      </c>
      <c r="E81" s="13">
        <f t="shared" si="7"/>
        <v>12000</v>
      </c>
      <c r="F81" s="13">
        <f t="shared" si="8"/>
        <v>13260</v>
      </c>
      <c r="G81" s="2"/>
      <c r="H81" s="2"/>
      <c r="I81" s="13">
        <f>20000/5</f>
        <v>4000</v>
      </c>
      <c r="J81" s="13">
        <f t="shared" si="9"/>
        <v>8000</v>
      </c>
      <c r="K81" s="13">
        <f t="shared" si="10"/>
        <v>5260</v>
      </c>
      <c r="L81" s="14">
        <f t="shared" si="11"/>
        <v>0.43833333333333335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15</v>
      </c>
      <c r="B82" s="10" t="s">
        <v>21</v>
      </c>
      <c r="C82" s="11" t="s">
        <v>46</v>
      </c>
      <c r="D82" s="13">
        <v>600</v>
      </c>
      <c r="E82" s="13">
        <f t="shared" si="7"/>
        <v>9000</v>
      </c>
      <c r="F82" s="13">
        <f t="shared" si="8"/>
        <v>9945</v>
      </c>
      <c r="G82" s="2"/>
      <c r="H82" s="2"/>
      <c r="I82" s="13">
        <f>9000/24</f>
        <v>375</v>
      </c>
      <c r="J82" s="13">
        <f t="shared" si="9"/>
        <v>5625</v>
      </c>
      <c r="K82" s="13">
        <f t="shared" si="10"/>
        <v>4320</v>
      </c>
      <c r="L82" s="14">
        <f t="shared" si="11"/>
        <v>0.48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0.5</v>
      </c>
      <c r="B83" s="10" t="s">
        <v>17</v>
      </c>
      <c r="C83" s="11" t="s">
        <v>99</v>
      </c>
      <c r="D83" s="13">
        <v>1500</v>
      </c>
      <c r="E83" s="13">
        <f t="shared" si="7"/>
        <v>750</v>
      </c>
      <c r="F83" s="13">
        <f t="shared" si="8"/>
        <v>828.75</v>
      </c>
      <c r="G83" s="2"/>
      <c r="H83" s="2"/>
      <c r="I83" s="13">
        <v>1000</v>
      </c>
      <c r="J83" s="13">
        <f t="shared" si="9"/>
        <v>500</v>
      </c>
      <c r="K83" s="13">
        <f t="shared" si="10"/>
        <v>328.75</v>
      </c>
      <c r="L83" s="14">
        <f t="shared" si="11"/>
        <v>0.43833333333333335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0.5</v>
      </c>
      <c r="B84" s="10" t="s">
        <v>23</v>
      </c>
      <c r="C84" s="11" t="s">
        <v>12</v>
      </c>
      <c r="D84" s="13">
        <v>54000</v>
      </c>
      <c r="E84" s="13">
        <f t="shared" si="7"/>
        <v>27000</v>
      </c>
      <c r="F84" s="13">
        <f>E84*1.21</f>
        <v>32670</v>
      </c>
      <c r="G84" s="2"/>
      <c r="H84" s="13"/>
      <c r="I84" s="13">
        <v>54000</v>
      </c>
      <c r="J84" s="13">
        <f t="shared" si="9"/>
        <v>27000</v>
      </c>
      <c r="K84" s="13">
        <f t="shared" si="10"/>
        <v>5670</v>
      </c>
      <c r="L84" s="14">
        <f t="shared" si="11"/>
        <v>0.21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5"/>
      <c r="B85" s="2"/>
      <c r="C85" s="4"/>
      <c r="D85" s="2"/>
      <c r="E85" s="2"/>
      <c r="F85" s="2"/>
      <c r="G85" s="2"/>
      <c r="H85" s="2"/>
      <c r="I85" s="2"/>
      <c r="J85" s="2"/>
      <c r="K85" s="2"/>
      <c r="L85" s="3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"/>
      <c r="B86" s="2"/>
      <c r="C86" s="4"/>
      <c r="D86" s="2"/>
      <c r="E86" s="13">
        <f t="shared" ref="E86:F86" si="12">SUM(E48:E84)</f>
        <v>419100</v>
      </c>
      <c r="F86" s="13">
        <f t="shared" si="12"/>
        <v>465940.5</v>
      </c>
      <c r="G86" s="2"/>
      <c r="H86" s="2"/>
      <c r="I86" s="2"/>
      <c r="J86" s="2"/>
      <c r="K86" s="13">
        <f>SUM(K48:K84)</f>
        <v>184558.42436974787</v>
      </c>
      <c r="L86" s="14">
        <f>K86/F86</f>
        <v>0.39609869579860063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"/>
      <c r="B87" s="2"/>
      <c r="C87" s="4"/>
      <c r="D87" s="2"/>
      <c r="E87" s="2"/>
      <c r="F87" s="2"/>
      <c r="G87" s="2"/>
      <c r="H87" s="2"/>
      <c r="I87" s="2"/>
      <c r="J87" s="2"/>
      <c r="K87" s="2"/>
      <c r="L87" s="3"/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"/>
      <c r="B88" s="2"/>
      <c r="C88" s="4"/>
      <c r="D88" s="2"/>
      <c r="E88" s="2"/>
      <c r="F88" s="2"/>
      <c r="G88" s="2"/>
      <c r="H88" s="2"/>
      <c r="I88" s="2"/>
      <c r="J88" s="2"/>
      <c r="K88" s="2"/>
      <c r="L88" s="3"/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"/>
      <c r="B89" s="2"/>
      <c r="C89" s="4"/>
      <c r="D89" s="2"/>
      <c r="E89" s="2"/>
      <c r="F89" s="2"/>
      <c r="G89" s="2"/>
      <c r="H89" s="2"/>
      <c r="I89" s="2"/>
      <c r="J89" s="2"/>
      <c r="K89" s="2"/>
      <c r="L89" s="3"/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"/>
      <c r="B90" s="1"/>
      <c r="C90" s="1"/>
      <c r="D90" s="2"/>
      <c r="E90" s="2"/>
      <c r="F90" s="5"/>
      <c r="G90" s="2"/>
      <c r="H90" s="2"/>
      <c r="I90" s="2"/>
      <c r="J90" s="2"/>
      <c r="K90" s="2"/>
      <c r="L90" s="3"/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88" t="s">
        <v>57</v>
      </c>
      <c r="B91" s="89"/>
      <c r="C91" s="89"/>
      <c r="D91" s="2"/>
      <c r="E91" s="7" t="s">
        <v>953</v>
      </c>
      <c r="F91" s="8">
        <v>46126</v>
      </c>
      <c r="G91" s="2"/>
      <c r="H91" s="2"/>
      <c r="I91" s="91" t="s">
        <v>2</v>
      </c>
      <c r="J91" s="89"/>
      <c r="K91" s="89"/>
      <c r="L91" s="3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"/>
      <c r="B92" s="2"/>
      <c r="C92" s="5"/>
      <c r="D92" s="2"/>
      <c r="E92" s="2"/>
      <c r="F92" s="2"/>
      <c r="G92" s="2"/>
      <c r="H92" s="2"/>
      <c r="I92" s="2"/>
      <c r="J92" s="2"/>
      <c r="K92" s="2"/>
      <c r="L92" s="3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6" t="s">
        <v>3</v>
      </c>
      <c r="B93" s="10" t="s">
        <v>4</v>
      </c>
      <c r="C93" s="11" t="s">
        <v>5</v>
      </c>
      <c r="D93" s="10" t="s">
        <v>6</v>
      </c>
      <c r="E93" s="10" t="s">
        <v>7</v>
      </c>
      <c r="F93" s="10" t="s">
        <v>8</v>
      </c>
      <c r="G93" s="2"/>
      <c r="H93" s="2"/>
      <c r="I93" s="10" t="s">
        <v>9</v>
      </c>
      <c r="J93" s="10" t="s">
        <v>7</v>
      </c>
      <c r="K93" s="10" t="s">
        <v>10</v>
      </c>
      <c r="L93" s="3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3</v>
      </c>
      <c r="B94" s="10" t="s">
        <v>4</v>
      </c>
      <c r="C94" s="11" t="s">
        <v>14</v>
      </c>
      <c r="D94" s="13">
        <v>3200</v>
      </c>
      <c r="E94" s="13">
        <f t="shared" ref="E94:E123" si="13">A94*D94</f>
        <v>9600</v>
      </c>
      <c r="F94" s="13">
        <f t="shared" ref="F94:F123" si="14">E94*1.105</f>
        <v>10608</v>
      </c>
      <c r="G94" s="2"/>
      <c r="H94" s="2"/>
      <c r="I94" s="13">
        <f>22000/8</f>
        <v>2750</v>
      </c>
      <c r="J94" s="13">
        <f t="shared" ref="J94:J123" si="15">I94*A94</f>
        <v>8250</v>
      </c>
      <c r="K94" s="13">
        <f t="shared" ref="K94:K123" si="16">F94-J94</f>
        <v>2358</v>
      </c>
      <c r="L94" s="14">
        <f t="shared" ref="L94:L123" si="17">IFERROR(K94/E94, 0)</f>
        <v>0.24562500000000001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5</v>
      </c>
      <c r="B95" s="10" t="s">
        <v>17</v>
      </c>
      <c r="C95" s="11" t="s">
        <v>31</v>
      </c>
      <c r="D95" s="13">
        <v>3200</v>
      </c>
      <c r="E95" s="13">
        <f t="shared" si="13"/>
        <v>16000</v>
      </c>
      <c r="F95" s="13">
        <f t="shared" si="14"/>
        <v>17680</v>
      </c>
      <c r="G95" s="2"/>
      <c r="H95" s="2"/>
      <c r="I95" s="13">
        <f>15000/7</f>
        <v>2142.8571428571427</v>
      </c>
      <c r="J95" s="13">
        <f t="shared" si="15"/>
        <v>10714.285714285714</v>
      </c>
      <c r="K95" s="13">
        <f t="shared" si="16"/>
        <v>6965.7142857142862</v>
      </c>
      <c r="L95" s="14">
        <f t="shared" si="17"/>
        <v>0.43535714285714289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4</v>
      </c>
      <c r="B96" s="10" t="s">
        <v>17</v>
      </c>
      <c r="C96" s="11" t="s">
        <v>32</v>
      </c>
      <c r="D96" s="13">
        <v>2400</v>
      </c>
      <c r="E96" s="13">
        <f t="shared" si="13"/>
        <v>9600</v>
      </c>
      <c r="F96" s="13">
        <f t="shared" si="14"/>
        <v>10608</v>
      </c>
      <c r="G96" s="2"/>
      <c r="H96" s="2"/>
      <c r="I96" s="13">
        <f>12000/7</f>
        <v>1714.2857142857142</v>
      </c>
      <c r="J96" s="13">
        <f t="shared" si="15"/>
        <v>6857.1428571428569</v>
      </c>
      <c r="K96" s="13">
        <f t="shared" si="16"/>
        <v>3750.8571428571431</v>
      </c>
      <c r="L96" s="14">
        <f t="shared" si="17"/>
        <v>0.39071428571428574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4</v>
      </c>
      <c r="B97" s="10" t="s">
        <v>17</v>
      </c>
      <c r="C97" s="11" t="s">
        <v>33</v>
      </c>
      <c r="D97" s="13">
        <v>2800</v>
      </c>
      <c r="E97" s="13">
        <f t="shared" si="13"/>
        <v>11200</v>
      </c>
      <c r="F97" s="13">
        <f t="shared" si="14"/>
        <v>12376</v>
      </c>
      <c r="G97" s="2"/>
      <c r="H97" s="2"/>
      <c r="I97" s="13">
        <v>2142.86</v>
      </c>
      <c r="J97" s="13">
        <f t="shared" si="15"/>
        <v>8571.44</v>
      </c>
      <c r="K97" s="13">
        <f t="shared" si="16"/>
        <v>3804.5599999999995</v>
      </c>
      <c r="L97" s="14">
        <f t="shared" si="17"/>
        <v>0.33969285714285707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4</v>
      </c>
      <c r="B98" s="10" t="s">
        <v>17</v>
      </c>
      <c r="C98" s="11" t="s">
        <v>18</v>
      </c>
      <c r="D98" s="13">
        <v>1600</v>
      </c>
      <c r="E98" s="13">
        <f t="shared" si="13"/>
        <v>6400</v>
      </c>
      <c r="F98" s="13">
        <f t="shared" si="14"/>
        <v>7072</v>
      </c>
      <c r="G98" s="2"/>
      <c r="H98" s="2"/>
      <c r="I98" s="13">
        <v>1000</v>
      </c>
      <c r="J98" s="13">
        <f t="shared" si="15"/>
        <v>4000</v>
      </c>
      <c r="K98" s="13">
        <f t="shared" si="16"/>
        <v>3072</v>
      </c>
      <c r="L98" s="14">
        <f t="shared" si="17"/>
        <v>0.48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2</v>
      </c>
      <c r="B99" s="10" t="s">
        <v>17</v>
      </c>
      <c r="C99" s="11" t="s">
        <v>56</v>
      </c>
      <c r="D99" s="13">
        <v>1200</v>
      </c>
      <c r="E99" s="13">
        <f t="shared" si="13"/>
        <v>2400</v>
      </c>
      <c r="F99" s="13">
        <f t="shared" si="14"/>
        <v>2652</v>
      </c>
      <c r="G99" s="2"/>
      <c r="H99" s="2"/>
      <c r="I99" s="13">
        <v>812</v>
      </c>
      <c r="J99" s="13">
        <f t="shared" si="15"/>
        <v>1624</v>
      </c>
      <c r="K99" s="13">
        <f t="shared" si="16"/>
        <v>1028</v>
      </c>
      <c r="L99" s="14">
        <f t="shared" si="17"/>
        <v>0.42833333333333334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1</v>
      </c>
      <c r="B100" s="10" t="s">
        <v>17</v>
      </c>
      <c r="C100" s="11" t="s">
        <v>35</v>
      </c>
      <c r="D100" s="13">
        <v>2500</v>
      </c>
      <c r="E100" s="13">
        <f t="shared" si="13"/>
        <v>2500</v>
      </c>
      <c r="F100" s="13">
        <f t="shared" si="14"/>
        <v>2762.5</v>
      </c>
      <c r="G100" s="2"/>
      <c r="H100" s="2"/>
      <c r="I100" s="13">
        <v>1500</v>
      </c>
      <c r="J100" s="13">
        <f t="shared" si="15"/>
        <v>1500</v>
      </c>
      <c r="K100" s="13">
        <f t="shared" si="16"/>
        <v>1262.5</v>
      </c>
      <c r="L100" s="14">
        <f t="shared" si="17"/>
        <v>0.505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17</v>
      </c>
      <c r="C101" s="11" t="s">
        <v>42</v>
      </c>
      <c r="D101" s="13">
        <v>4500</v>
      </c>
      <c r="E101" s="13">
        <f t="shared" si="13"/>
        <v>4500</v>
      </c>
      <c r="F101" s="13">
        <f t="shared" si="14"/>
        <v>4972.5</v>
      </c>
      <c r="G101" s="2"/>
      <c r="H101" s="2"/>
      <c r="I101" s="13">
        <v>2000</v>
      </c>
      <c r="J101" s="13">
        <f t="shared" si="15"/>
        <v>2000</v>
      </c>
      <c r="K101" s="13">
        <f t="shared" si="16"/>
        <v>2972.5</v>
      </c>
      <c r="L101" s="14">
        <f t="shared" si="17"/>
        <v>0.66055555555555556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3</v>
      </c>
      <c r="B102" s="10" t="s">
        <v>4</v>
      </c>
      <c r="C102" s="11" t="s">
        <v>65</v>
      </c>
      <c r="D102" s="13">
        <v>1000</v>
      </c>
      <c r="E102" s="13">
        <f t="shared" si="13"/>
        <v>3000</v>
      </c>
      <c r="F102" s="13">
        <f t="shared" si="14"/>
        <v>3315</v>
      </c>
      <c r="G102" s="2"/>
      <c r="H102" s="2"/>
      <c r="I102" s="13">
        <v>500</v>
      </c>
      <c r="J102" s="13">
        <f t="shared" si="15"/>
        <v>1500</v>
      </c>
      <c r="K102" s="13">
        <f t="shared" si="16"/>
        <v>1815</v>
      </c>
      <c r="L102" s="14">
        <f t="shared" si="17"/>
        <v>0.60499999999999998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2</v>
      </c>
      <c r="B103" s="10" t="s">
        <v>21</v>
      </c>
      <c r="C103" s="11" t="s">
        <v>52</v>
      </c>
      <c r="D103" s="13">
        <v>2000</v>
      </c>
      <c r="E103" s="13">
        <f t="shared" si="13"/>
        <v>4000</v>
      </c>
      <c r="F103" s="13">
        <f t="shared" si="14"/>
        <v>4420</v>
      </c>
      <c r="G103" s="2"/>
      <c r="H103" s="2"/>
      <c r="I103" s="13">
        <v>1000</v>
      </c>
      <c r="J103" s="13">
        <f t="shared" si="15"/>
        <v>2000</v>
      </c>
      <c r="K103" s="13">
        <f t="shared" si="16"/>
        <v>2420</v>
      </c>
      <c r="L103" s="14">
        <f t="shared" si="17"/>
        <v>0.60499999999999998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1</v>
      </c>
      <c r="B104" s="10" t="s">
        <v>17</v>
      </c>
      <c r="C104" s="11" t="s">
        <v>61</v>
      </c>
      <c r="D104" s="13">
        <v>2800</v>
      </c>
      <c r="E104" s="13">
        <f t="shared" si="13"/>
        <v>2800</v>
      </c>
      <c r="F104" s="13">
        <f t="shared" si="14"/>
        <v>3094</v>
      </c>
      <c r="G104" s="2"/>
      <c r="H104" s="2"/>
      <c r="I104" s="13">
        <f>30000/14</f>
        <v>2142.8571428571427</v>
      </c>
      <c r="J104" s="13">
        <f t="shared" si="15"/>
        <v>2142.8571428571427</v>
      </c>
      <c r="K104" s="13">
        <f t="shared" si="16"/>
        <v>951.14285714285734</v>
      </c>
      <c r="L104" s="14">
        <f t="shared" si="17"/>
        <v>0.33969387755102048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17</v>
      </c>
      <c r="C105" s="11" t="s">
        <v>99</v>
      </c>
      <c r="D105" s="13">
        <v>1500</v>
      </c>
      <c r="E105" s="13">
        <f t="shared" si="13"/>
        <v>3000</v>
      </c>
      <c r="F105" s="13">
        <f t="shared" si="14"/>
        <v>3315</v>
      </c>
      <c r="G105" s="2"/>
      <c r="H105" s="2"/>
      <c r="I105" s="13">
        <v>1000</v>
      </c>
      <c r="J105" s="13">
        <f t="shared" si="15"/>
        <v>2000</v>
      </c>
      <c r="K105" s="13">
        <f t="shared" si="16"/>
        <v>1315</v>
      </c>
      <c r="L105" s="14">
        <f t="shared" si="17"/>
        <v>0.43833333333333335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2</v>
      </c>
      <c r="B106" s="10" t="s">
        <v>17</v>
      </c>
      <c r="C106" s="11" t="s">
        <v>36</v>
      </c>
      <c r="D106" s="13">
        <v>1800</v>
      </c>
      <c r="E106" s="13">
        <f t="shared" si="13"/>
        <v>3600</v>
      </c>
      <c r="F106" s="13">
        <f t="shared" si="14"/>
        <v>3978</v>
      </c>
      <c r="G106" s="2"/>
      <c r="H106" s="2"/>
      <c r="I106" s="13">
        <v>800</v>
      </c>
      <c r="J106" s="13">
        <f t="shared" si="15"/>
        <v>1600</v>
      </c>
      <c r="K106" s="13">
        <f t="shared" si="16"/>
        <v>2378</v>
      </c>
      <c r="L106" s="14">
        <f t="shared" si="17"/>
        <v>0.66055555555555556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2</v>
      </c>
      <c r="B107" s="10" t="s">
        <v>17</v>
      </c>
      <c r="C107" s="11" t="s">
        <v>38</v>
      </c>
      <c r="D107" s="13">
        <v>1800</v>
      </c>
      <c r="E107" s="13">
        <f t="shared" si="13"/>
        <v>3600</v>
      </c>
      <c r="F107" s="13">
        <f t="shared" si="14"/>
        <v>3978</v>
      </c>
      <c r="G107" s="2"/>
      <c r="H107" s="2"/>
      <c r="I107" s="13">
        <v>800</v>
      </c>
      <c r="J107" s="13">
        <f t="shared" si="15"/>
        <v>1600</v>
      </c>
      <c r="K107" s="13">
        <f t="shared" si="16"/>
        <v>2378</v>
      </c>
      <c r="L107" s="14">
        <f t="shared" si="17"/>
        <v>0.66055555555555556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1</v>
      </c>
      <c r="B108" s="10" t="s">
        <v>21</v>
      </c>
      <c r="C108" s="11" t="s">
        <v>29</v>
      </c>
      <c r="D108" s="13">
        <v>3500</v>
      </c>
      <c r="E108" s="13">
        <f t="shared" si="13"/>
        <v>3500</v>
      </c>
      <c r="F108" s="13">
        <f t="shared" si="14"/>
        <v>3867.5</v>
      </c>
      <c r="G108" s="2"/>
      <c r="H108" s="2"/>
      <c r="I108" s="13">
        <v>1500</v>
      </c>
      <c r="J108" s="13">
        <f t="shared" si="15"/>
        <v>1500</v>
      </c>
      <c r="K108" s="13">
        <f t="shared" si="16"/>
        <v>2367.5</v>
      </c>
      <c r="L108" s="14">
        <f t="shared" si="17"/>
        <v>0.67642857142857138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</v>
      </c>
      <c r="B109" s="10" t="s">
        <v>21</v>
      </c>
      <c r="C109" s="11" t="s">
        <v>133</v>
      </c>
      <c r="D109" s="13">
        <v>3000</v>
      </c>
      <c r="E109" s="13">
        <f t="shared" si="13"/>
        <v>3000</v>
      </c>
      <c r="F109" s="13">
        <f t="shared" si="14"/>
        <v>3315</v>
      </c>
      <c r="G109" s="2"/>
      <c r="H109" s="2"/>
      <c r="I109" s="13">
        <f>2500/6</f>
        <v>416.66666666666669</v>
      </c>
      <c r="J109" s="13">
        <f t="shared" si="15"/>
        <v>416.66666666666669</v>
      </c>
      <c r="K109" s="13">
        <f t="shared" si="16"/>
        <v>2898.3333333333335</v>
      </c>
      <c r="L109" s="14">
        <f t="shared" si="17"/>
        <v>0.96611111111111114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1</v>
      </c>
      <c r="B110" s="10" t="s">
        <v>21</v>
      </c>
      <c r="C110" s="11" t="s">
        <v>28</v>
      </c>
      <c r="D110" s="13">
        <v>3000</v>
      </c>
      <c r="E110" s="13">
        <f t="shared" si="13"/>
        <v>3000</v>
      </c>
      <c r="F110" s="13">
        <f t="shared" si="14"/>
        <v>3315</v>
      </c>
      <c r="G110" s="2"/>
      <c r="H110" s="2"/>
      <c r="I110" s="13">
        <v>2000</v>
      </c>
      <c r="J110" s="13">
        <f t="shared" si="15"/>
        <v>2000</v>
      </c>
      <c r="K110" s="13">
        <f t="shared" si="16"/>
        <v>1315</v>
      </c>
      <c r="L110" s="14">
        <f t="shared" si="17"/>
        <v>0.43833333333333335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4</v>
      </c>
      <c r="B111" s="10" t="s">
        <v>17</v>
      </c>
      <c r="C111" s="11" t="s">
        <v>82</v>
      </c>
      <c r="D111" s="13">
        <v>2600</v>
      </c>
      <c r="E111" s="13">
        <f t="shared" si="13"/>
        <v>10400</v>
      </c>
      <c r="F111" s="13">
        <f t="shared" si="14"/>
        <v>11492</v>
      </c>
      <c r="G111" s="2"/>
      <c r="H111" s="2"/>
      <c r="I111" s="13">
        <f>25000/14</f>
        <v>1785.7142857142858</v>
      </c>
      <c r="J111" s="13">
        <f t="shared" si="15"/>
        <v>7142.8571428571431</v>
      </c>
      <c r="K111" s="13">
        <f t="shared" si="16"/>
        <v>4349.1428571428569</v>
      </c>
      <c r="L111" s="14">
        <f t="shared" si="17"/>
        <v>0.41818681318681317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2</v>
      </c>
      <c r="B112" s="10" t="s">
        <v>15</v>
      </c>
      <c r="C112" s="11" t="s">
        <v>16</v>
      </c>
      <c r="D112" s="13">
        <v>13000</v>
      </c>
      <c r="E112" s="13">
        <f t="shared" si="13"/>
        <v>26000</v>
      </c>
      <c r="F112" s="13">
        <f t="shared" si="14"/>
        <v>28730</v>
      </c>
      <c r="G112" s="2"/>
      <c r="H112" s="2"/>
      <c r="I112" s="13">
        <v>8000</v>
      </c>
      <c r="J112" s="13">
        <f t="shared" si="15"/>
        <v>16000</v>
      </c>
      <c r="K112" s="13">
        <f t="shared" si="16"/>
        <v>12730</v>
      </c>
      <c r="L112" s="14">
        <f t="shared" si="17"/>
        <v>0.48961538461538462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2</v>
      </c>
      <c r="B113" s="10" t="s">
        <v>15</v>
      </c>
      <c r="C113" s="11" t="s">
        <v>40</v>
      </c>
      <c r="D113" s="13">
        <v>12000</v>
      </c>
      <c r="E113" s="13">
        <f t="shared" si="13"/>
        <v>24000</v>
      </c>
      <c r="F113" s="13">
        <f t="shared" si="14"/>
        <v>26520</v>
      </c>
      <c r="G113" s="2"/>
      <c r="H113" s="2"/>
      <c r="I113" s="13">
        <v>7000</v>
      </c>
      <c r="J113" s="13">
        <f t="shared" si="15"/>
        <v>14000</v>
      </c>
      <c r="K113" s="13">
        <f t="shared" si="16"/>
        <v>12520</v>
      </c>
      <c r="L113" s="14">
        <f t="shared" si="17"/>
        <v>0.52166666666666661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1</v>
      </c>
      <c r="B114" s="10" t="s">
        <v>21</v>
      </c>
      <c r="C114" s="11" t="s">
        <v>51</v>
      </c>
      <c r="D114" s="13">
        <v>1500</v>
      </c>
      <c r="E114" s="13">
        <f t="shared" si="13"/>
        <v>1500</v>
      </c>
      <c r="F114" s="13">
        <f t="shared" si="14"/>
        <v>1657.5</v>
      </c>
      <c r="G114" s="2"/>
      <c r="H114" s="2"/>
      <c r="I114" s="13">
        <v>1000</v>
      </c>
      <c r="J114" s="13">
        <f t="shared" si="15"/>
        <v>1000</v>
      </c>
      <c r="K114" s="13">
        <f t="shared" si="16"/>
        <v>657.5</v>
      </c>
      <c r="L114" s="14">
        <f t="shared" si="17"/>
        <v>0.43833333333333335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20</v>
      </c>
      <c r="B115" s="10" t="s">
        <v>21</v>
      </c>
      <c r="C115" s="11" t="s">
        <v>46</v>
      </c>
      <c r="D115" s="13">
        <v>600</v>
      </c>
      <c r="E115" s="13">
        <f t="shared" si="13"/>
        <v>12000</v>
      </c>
      <c r="F115" s="13">
        <f t="shared" si="14"/>
        <v>13260</v>
      </c>
      <c r="G115" s="2"/>
      <c r="H115" s="2"/>
      <c r="I115" s="13">
        <f>9000/24</f>
        <v>375</v>
      </c>
      <c r="J115" s="13">
        <f t="shared" si="15"/>
        <v>7500</v>
      </c>
      <c r="K115" s="13">
        <f t="shared" si="16"/>
        <v>5760</v>
      </c>
      <c r="L115" s="14">
        <f t="shared" si="17"/>
        <v>0.48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17</v>
      </c>
      <c r="C116" s="11" t="s">
        <v>43</v>
      </c>
      <c r="D116" s="13">
        <v>6000</v>
      </c>
      <c r="E116" s="13">
        <f t="shared" si="13"/>
        <v>6000</v>
      </c>
      <c r="F116" s="13">
        <f t="shared" si="14"/>
        <v>6630</v>
      </c>
      <c r="G116" s="2"/>
      <c r="H116" s="2"/>
      <c r="I116" s="13">
        <f>20000/5</f>
        <v>4000</v>
      </c>
      <c r="J116" s="13">
        <f t="shared" si="15"/>
        <v>4000</v>
      </c>
      <c r="K116" s="13">
        <f t="shared" si="16"/>
        <v>2630</v>
      </c>
      <c r="L116" s="14">
        <f t="shared" si="17"/>
        <v>0.43833333333333335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10</v>
      </c>
      <c r="B117" s="10" t="s">
        <v>17</v>
      </c>
      <c r="C117" s="11" t="s">
        <v>39</v>
      </c>
      <c r="D117" s="13">
        <v>1600</v>
      </c>
      <c r="E117" s="13">
        <f t="shared" si="13"/>
        <v>16000</v>
      </c>
      <c r="F117" s="13">
        <f t="shared" si="14"/>
        <v>17680</v>
      </c>
      <c r="G117" s="2"/>
      <c r="H117" s="2"/>
      <c r="I117" s="13">
        <f>12000/15</f>
        <v>800</v>
      </c>
      <c r="J117" s="13">
        <f t="shared" si="15"/>
        <v>8000</v>
      </c>
      <c r="K117" s="13">
        <f t="shared" si="16"/>
        <v>9680</v>
      </c>
      <c r="L117" s="14">
        <f t="shared" si="17"/>
        <v>0.60499999999999998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4</v>
      </c>
      <c r="B118" s="10" t="s">
        <v>15</v>
      </c>
      <c r="C118" s="11" t="s">
        <v>27</v>
      </c>
      <c r="D118" s="13">
        <v>25000</v>
      </c>
      <c r="E118" s="13">
        <f t="shared" si="13"/>
        <v>100000</v>
      </c>
      <c r="F118" s="13">
        <f t="shared" si="14"/>
        <v>110500</v>
      </c>
      <c r="G118" s="2"/>
      <c r="H118" s="2"/>
      <c r="I118" s="13">
        <v>18000</v>
      </c>
      <c r="J118" s="13">
        <f t="shared" si="15"/>
        <v>72000</v>
      </c>
      <c r="K118" s="13">
        <f t="shared" si="16"/>
        <v>38500</v>
      </c>
      <c r="L118" s="14">
        <f t="shared" si="17"/>
        <v>0.38500000000000001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0.4</v>
      </c>
      <c r="B119" s="10" t="s">
        <v>17</v>
      </c>
      <c r="C119" s="11" t="s">
        <v>93</v>
      </c>
      <c r="D119" s="13">
        <v>3000</v>
      </c>
      <c r="E119" s="13">
        <f t="shared" si="13"/>
        <v>1200</v>
      </c>
      <c r="F119" s="13">
        <f t="shared" si="14"/>
        <v>1326</v>
      </c>
      <c r="G119" s="2"/>
      <c r="H119" s="2"/>
      <c r="I119" s="13">
        <f>12000/8</f>
        <v>1500</v>
      </c>
      <c r="J119" s="13">
        <f t="shared" si="15"/>
        <v>600</v>
      </c>
      <c r="K119" s="13">
        <f t="shared" si="16"/>
        <v>726</v>
      </c>
      <c r="L119" s="14">
        <f t="shared" si="17"/>
        <v>0.60499999999999998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0.25</v>
      </c>
      <c r="B120" s="10" t="s">
        <v>17</v>
      </c>
      <c r="C120" s="11" t="s">
        <v>88</v>
      </c>
      <c r="D120" s="13">
        <v>2400</v>
      </c>
      <c r="E120" s="13">
        <f t="shared" si="13"/>
        <v>600</v>
      </c>
      <c r="F120" s="13">
        <f t="shared" si="14"/>
        <v>663</v>
      </c>
      <c r="G120" s="2"/>
      <c r="H120" s="2"/>
      <c r="I120" s="13">
        <f>15000/14</f>
        <v>1071.4285714285713</v>
      </c>
      <c r="J120" s="13">
        <f t="shared" si="15"/>
        <v>267.85714285714283</v>
      </c>
      <c r="K120" s="13">
        <f t="shared" si="16"/>
        <v>395.14285714285717</v>
      </c>
      <c r="L120" s="14">
        <f t="shared" si="17"/>
        <v>0.65857142857142859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9.6999999999999993</v>
      </c>
      <c r="B121" s="10" t="s">
        <v>17</v>
      </c>
      <c r="C121" s="11" t="s">
        <v>123</v>
      </c>
      <c r="D121" s="13">
        <v>3000</v>
      </c>
      <c r="E121" s="13">
        <f t="shared" si="13"/>
        <v>29099.999999999996</v>
      </c>
      <c r="F121" s="13">
        <f t="shared" si="14"/>
        <v>32155.499999999996</v>
      </c>
      <c r="G121" s="2"/>
      <c r="H121" s="2"/>
      <c r="I121" s="13">
        <f>32000/15</f>
        <v>2133.3333333333335</v>
      </c>
      <c r="J121" s="13">
        <f t="shared" si="15"/>
        <v>20693.333333333332</v>
      </c>
      <c r="K121" s="13">
        <f t="shared" si="16"/>
        <v>11462.166666666664</v>
      </c>
      <c r="L121" s="14">
        <f t="shared" si="17"/>
        <v>0.39388888888888884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4</v>
      </c>
      <c r="B122" s="10" t="s">
        <v>17</v>
      </c>
      <c r="C122" s="11" t="s">
        <v>62</v>
      </c>
      <c r="D122" s="13">
        <v>3000</v>
      </c>
      <c r="E122" s="13">
        <f t="shared" si="13"/>
        <v>12000</v>
      </c>
      <c r="F122" s="13">
        <f t="shared" si="14"/>
        <v>13260</v>
      </c>
      <c r="G122" s="2"/>
      <c r="H122" s="2"/>
      <c r="I122" s="13">
        <f>28000/17</f>
        <v>1647.0588235294117</v>
      </c>
      <c r="J122" s="13">
        <f t="shared" si="15"/>
        <v>6588.2352941176468</v>
      </c>
      <c r="K122" s="13">
        <f t="shared" si="16"/>
        <v>6671.7647058823532</v>
      </c>
      <c r="L122" s="14">
        <f t="shared" si="17"/>
        <v>0.55598039215686279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2</v>
      </c>
      <c r="B123" s="10" t="s">
        <v>23</v>
      </c>
      <c r="C123" s="11" t="s">
        <v>26</v>
      </c>
      <c r="D123" s="13">
        <v>22000</v>
      </c>
      <c r="E123" s="13">
        <f t="shared" si="13"/>
        <v>44000</v>
      </c>
      <c r="F123" s="13">
        <f t="shared" si="14"/>
        <v>48620</v>
      </c>
      <c r="G123" s="2"/>
      <c r="H123" s="2"/>
      <c r="I123" s="13">
        <v>15000</v>
      </c>
      <c r="J123" s="13">
        <f t="shared" si="15"/>
        <v>30000</v>
      </c>
      <c r="K123" s="13">
        <f t="shared" si="16"/>
        <v>18620</v>
      </c>
      <c r="L123" s="14">
        <f t="shared" si="17"/>
        <v>0.42318181818181816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5"/>
      <c r="B124" s="2"/>
      <c r="C124" s="4"/>
      <c r="D124" s="2"/>
      <c r="E124" s="2"/>
      <c r="F124" s="2"/>
      <c r="G124" s="2"/>
      <c r="H124" s="2"/>
      <c r="I124" s="2"/>
      <c r="J124" s="2"/>
      <c r="K124" s="2"/>
      <c r="L124" s="3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"/>
      <c r="B125" s="2"/>
      <c r="C125" s="4"/>
      <c r="D125" s="2"/>
      <c r="E125" s="13">
        <f t="shared" ref="E125:F125" si="18">SUM(E94:E123)</f>
        <v>374500</v>
      </c>
      <c r="F125" s="13">
        <f t="shared" si="18"/>
        <v>413822.5</v>
      </c>
      <c r="G125" s="2"/>
      <c r="H125" s="2"/>
      <c r="I125" s="2"/>
      <c r="J125" s="2"/>
      <c r="K125" s="13">
        <f>SUM(K94:K123)</f>
        <v>167753.82470588235</v>
      </c>
      <c r="L125" s="14">
        <f>K125/F125</f>
        <v>0.40537627776614937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88" t="s">
        <v>63</v>
      </c>
      <c r="B130" s="89"/>
      <c r="C130" s="89"/>
      <c r="D130" s="2"/>
      <c r="E130" s="7" t="s">
        <v>953</v>
      </c>
      <c r="F130" s="8">
        <v>46126</v>
      </c>
      <c r="G130" s="7"/>
      <c r="H130" s="2"/>
      <c r="I130" s="91" t="s">
        <v>2</v>
      </c>
      <c r="J130" s="89"/>
      <c r="K130" s="89"/>
      <c r="L130" s="3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3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6" t="s">
        <v>3</v>
      </c>
      <c r="B132" s="10" t="s">
        <v>4</v>
      </c>
      <c r="C132" s="11" t="s">
        <v>5</v>
      </c>
      <c r="D132" s="10" t="s">
        <v>6</v>
      </c>
      <c r="E132" s="10" t="s">
        <v>7</v>
      </c>
      <c r="F132" s="10" t="s">
        <v>8</v>
      </c>
      <c r="G132" s="2"/>
      <c r="H132" s="2"/>
      <c r="I132" s="10" t="s">
        <v>9</v>
      </c>
      <c r="J132" s="10" t="s">
        <v>7</v>
      </c>
      <c r="K132" s="10" t="s">
        <v>10</v>
      </c>
      <c r="L132" s="3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2</v>
      </c>
      <c r="B133" s="10" t="s">
        <v>4</v>
      </c>
      <c r="C133" s="11" t="s">
        <v>13</v>
      </c>
      <c r="D133" s="13">
        <v>900</v>
      </c>
      <c r="E133" s="13">
        <f t="shared" ref="E133:E167" si="19">A133*D133</f>
        <v>1800</v>
      </c>
      <c r="F133" s="13">
        <f t="shared" ref="F133:F167" si="20">E133*1.105</f>
        <v>1989</v>
      </c>
      <c r="G133" s="2"/>
      <c r="H133" s="2"/>
      <c r="I133" s="13">
        <v>460</v>
      </c>
      <c r="J133" s="13">
        <f t="shared" ref="J133:J167" si="21">I133*A133</f>
        <v>920</v>
      </c>
      <c r="K133" s="13">
        <f t="shared" ref="K133:K167" si="22">F133-J133</f>
        <v>1069</v>
      </c>
      <c r="L133" s="14">
        <f t="shared" ref="L133:L167" si="23">IFERROR(K133/E133, 0)</f>
        <v>0.59388888888888891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1</v>
      </c>
      <c r="B134" s="10" t="s">
        <v>21</v>
      </c>
      <c r="C134" s="11" t="s">
        <v>51</v>
      </c>
      <c r="D134" s="13">
        <v>1500</v>
      </c>
      <c r="E134" s="13">
        <f t="shared" si="19"/>
        <v>1500</v>
      </c>
      <c r="F134" s="13">
        <f t="shared" si="20"/>
        <v>1657.5</v>
      </c>
      <c r="G134" s="2"/>
      <c r="H134" s="2"/>
      <c r="I134" s="13">
        <v>1000</v>
      </c>
      <c r="J134" s="13">
        <f t="shared" si="21"/>
        <v>1000</v>
      </c>
      <c r="K134" s="13">
        <f t="shared" si="22"/>
        <v>657.5</v>
      </c>
      <c r="L134" s="14">
        <f t="shared" si="23"/>
        <v>0.43833333333333335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1</v>
      </c>
      <c r="B135" s="10" t="s">
        <v>4</v>
      </c>
      <c r="C135" s="11" t="s">
        <v>64</v>
      </c>
      <c r="D135" s="13">
        <v>2500</v>
      </c>
      <c r="E135" s="13">
        <f t="shared" si="19"/>
        <v>2500</v>
      </c>
      <c r="F135" s="13">
        <f t="shared" si="20"/>
        <v>2762.5</v>
      </c>
      <c r="G135" s="2"/>
      <c r="H135" s="2"/>
      <c r="I135" s="13">
        <v>1500</v>
      </c>
      <c r="J135" s="13">
        <f t="shared" si="21"/>
        <v>1500</v>
      </c>
      <c r="K135" s="13">
        <f t="shared" si="22"/>
        <v>1262.5</v>
      </c>
      <c r="L135" s="14">
        <f t="shared" si="23"/>
        <v>0.505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4.0999999999999996</v>
      </c>
      <c r="B136" s="10" t="s">
        <v>17</v>
      </c>
      <c r="C136" s="11" t="s">
        <v>62</v>
      </c>
      <c r="D136" s="13">
        <v>3000</v>
      </c>
      <c r="E136" s="13">
        <f t="shared" si="19"/>
        <v>12299.999999999998</v>
      </c>
      <c r="F136" s="13">
        <f t="shared" si="20"/>
        <v>13591.499999999998</v>
      </c>
      <c r="G136" s="2"/>
      <c r="H136" s="2"/>
      <c r="I136" s="13">
        <f>28000/17</f>
        <v>1647.0588235294117</v>
      </c>
      <c r="J136" s="13">
        <f t="shared" si="21"/>
        <v>6752.9411764705874</v>
      </c>
      <c r="K136" s="13">
        <f t="shared" si="22"/>
        <v>6838.5588235294108</v>
      </c>
      <c r="L136" s="14">
        <f t="shared" si="23"/>
        <v>0.55598039215686279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1</v>
      </c>
      <c r="B137" s="10" t="s">
        <v>15</v>
      </c>
      <c r="C137" s="11" t="s">
        <v>129</v>
      </c>
      <c r="D137" s="13">
        <v>16000</v>
      </c>
      <c r="E137" s="13">
        <f t="shared" si="19"/>
        <v>16000</v>
      </c>
      <c r="F137" s="13">
        <f t="shared" si="20"/>
        <v>17680</v>
      </c>
      <c r="G137" s="2"/>
      <c r="H137" s="2"/>
      <c r="I137" s="13">
        <v>12000</v>
      </c>
      <c r="J137" s="13">
        <f t="shared" si="21"/>
        <v>12000</v>
      </c>
      <c r="K137" s="13">
        <f t="shared" si="22"/>
        <v>5680</v>
      </c>
      <c r="L137" s="14">
        <f t="shared" si="23"/>
        <v>0.35499999999999998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</v>
      </c>
      <c r="B138" s="10" t="s">
        <v>15</v>
      </c>
      <c r="C138" s="11" t="s">
        <v>16</v>
      </c>
      <c r="D138" s="13">
        <v>13000</v>
      </c>
      <c r="E138" s="13">
        <f t="shared" si="19"/>
        <v>13000</v>
      </c>
      <c r="F138" s="13">
        <f t="shared" si="20"/>
        <v>14365</v>
      </c>
      <c r="G138" s="2"/>
      <c r="H138" s="2"/>
      <c r="I138" s="13">
        <v>8000</v>
      </c>
      <c r="J138" s="13">
        <f t="shared" si="21"/>
        <v>8000</v>
      </c>
      <c r="K138" s="13">
        <f t="shared" si="22"/>
        <v>6365</v>
      </c>
      <c r="L138" s="14">
        <f t="shared" si="23"/>
        <v>0.48961538461538462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3</v>
      </c>
      <c r="B139" s="10" t="s">
        <v>4</v>
      </c>
      <c r="C139" s="11" t="s">
        <v>14</v>
      </c>
      <c r="D139" s="13">
        <v>3200</v>
      </c>
      <c r="E139" s="13">
        <f t="shared" si="19"/>
        <v>9600</v>
      </c>
      <c r="F139" s="13">
        <f t="shared" si="20"/>
        <v>10608</v>
      </c>
      <c r="G139" s="2"/>
      <c r="H139" s="2"/>
      <c r="I139" s="13">
        <f>22000/8</f>
        <v>2750</v>
      </c>
      <c r="J139" s="13">
        <f t="shared" si="21"/>
        <v>8250</v>
      </c>
      <c r="K139" s="13">
        <f t="shared" si="22"/>
        <v>2358</v>
      </c>
      <c r="L139" s="14">
        <f t="shared" si="23"/>
        <v>0.24562500000000001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2.5</v>
      </c>
      <c r="B140" s="10" t="s">
        <v>17</v>
      </c>
      <c r="C140" s="11" t="s">
        <v>42</v>
      </c>
      <c r="D140" s="13">
        <v>4500</v>
      </c>
      <c r="E140" s="13">
        <f t="shared" si="19"/>
        <v>11250</v>
      </c>
      <c r="F140" s="13">
        <f t="shared" si="20"/>
        <v>12431.25</v>
      </c>
      <c r="G140" s="2"/>
      <c r="H140" s="2"/>
      <c r="I140" s="13">
        <v>2000</v>
      </c>
      <c r="J140" s="13">
        <f t="shared" si="21"/>
        <v>5000</v>
      </c>
      <c r="K140" s="13">
        <f t="shared" si="22"/>
        <v>7431.25</v>
      </c>
      <c r="L140" s="14">
        <f t="shared" si="23"/>
        <v>0.66055555555555556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4</v>
      </c>
      <c r="B141" s="10" t="s">
        <v>17</v>
      </c>
      <c r="C141" s="11" t="s">
        <v>18</v>
      </c>
      <c r="D141" s="13">
        <v>1600</v>
      </c>
      <c r="E141" s="13">
        <f t="shared" si="19"/>
        <v>6400</v>
      </c>
      <c r="F141" s="13">
        <f t="shared" si="20"/>
        <v>7072</v>
      </c>
      <c r="G141" s="2"/>
      <c r="H141" s="2"/>
      <c r="I141" s="13">
        <v>1000</v>
      </c>
      <c r="J141" s="13">
        <f t="shared" si="21"/>
        <v>4000</v>
      </c>
      <c r="K141" s="13">
        <f t="shared" si="22"/>
        <v>3072</v>
      </c>
      <c r="L141" s="14">
        <f t="shared" si="23"/>
        <v>0.48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1.3</v>
      </c>
      <c r="B142" s="10" t="s">
        <v>17</v>
      </c>
      <c r="C142" s="11" t="s">
        <v>19</v>
      </c>
      <c r="D142" s="13">
        <v>4000</v>
      </c>
      <c r="E142" s="13">
        <f t="shared" si="19"/>
        <v>5200</v>
      </c>
      <c r="F142" s="13">
        <f t="shared" si="20"/>
        <v>5746</v>
      </c>
      <c r="G142" s="2"/>
      <c r="H142" s="2"/>
      <c r="I142" s="13">
        <f>3000</f>
        <v>3000</v>
      </c>
      <c r="J142" s="13">
        <f t="shared" si="21"/>
        <v>3900</v>
      </c>
      <c r="K142" s="13">
        <f t="shared" si="22"/>
        <v>1846</v>
      </c>
      <c r="L142" s="14">
        <f t="shared" si="23"/>
        <v>0.35499999999999998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2</v>
      </c>
      <c r="B143" s="10" t="s">
        <v>21</v>
      </c>
      <c r="C143" s="11" t="s">
        <v>133</v>
      </c>
      <c r="D143" s="13">
        <v>3000</v>
      </c>
      <c r="E143" s="13">
        <f t="shared" si="19"/>
        <v>6000</v>
      </c>
      <c r="F143" s="13">
        <f t="shared" si="20"/>
        <v>6630</v>
      </c>
      <c r="G143" s="2"/>
      <c r="H143" s="2"/>
      <c r="I143" s="13">
        <f>2500/6</f>
        <v>416.66666666666669</v>
      </c>
      <c r="J143" s="13">
        <f t="shared" si="21"/>
        <v>833.33333333333337</v>
      </c>
      <c r="K143" s="13">
        <f t="shared" si="22"/>
        <v>5796.666666666667</v>
      </c>
      <c r="L143" s="14">
        <f t="shared" si="23"/>
        <v>0.96611111111111114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1</v>
      </c>
      <c r="B144" s="10" t="s">
        <v>21</v>
      </c>
      <c r="C144" s="11" t="s">
        <v>28</v>
      </c>
      <c r="D144" s="13">
        <v>3000</v>
      </c>
      <c r="E144" s="13">
        <f t="shared" si="19"/>
        <v>3000</v>
      </c>
      <c r="F144" s="13">
        <f t="shared" si="20"/>
        <v>3315</v>
      </c>
      <c r="G144" s="2"/>
      <c r="H144" s="2"/>
      <c r="I144" s="13">
        <v>2000</v>
      </c>
      <c r="J144" s="13">
        <f t="shared" si="21"/>
        <v>2000</v>
      </c>
      <c r="K144" s="13">
        <f t="shared" si="22"/>
        <v>1315</v>
      </c>
      <c r="L144" s="14">
        <f t="shared" si="23"/>
        <v>0.43833333333333335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1</v>
      </c>
      <c r="B145" s="10" t="s">
        <v>21</v>
      </c>
      <c r="C145" s="11" t="s">
        <v>22</v>
      </c>
      <c r="D145" s="13">
        <v>1700</v>
      </c>
      <c r="E145" s="13">
        <f t="shared" si="19"/>
        <v>1700</v>
      </c>
      <c r="F145" s="13">
        <f t="shared" si="20"/>
        <v>1878.5</v>
      </c>
      <c r="G145" s="2"/>
      <c r="H145" s="2"/>
      <c r="I145" s="13">
        <v>1500</v>
      </c>
      <c r="J145" s="13">
        <f t="shared" si="21"/>
        <v>1500</v>
      </c>
      <c r="K145" s="13">
        <f t="shared" si="22"/>
        <v>378.5</v>
      </c>
      <c r="L145" s="14">
        <f t="shared" si="23"/>
        <v>0.22264705882352942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2</v>
      </c>
      <c r="B146" s="10" t="s">
        <v>21</v>
      </c>
      <c r="C146" s="11" t="s">
        <v>52</v>
      </c>
      <c r="D146" s="13">
        <v>2000</v>
      </c>
      <c r="E146" s="13">
        <f t="shared" si="19"/>
        <v>4000</v>
      </c>
      <c r="F146" s="13">
        <f t="shared" si="20"/>
        <v>4420</v>
      </c>
      <c r="G146" s="2"/>
      <c r="H146" s="2"/>
      <c r="I146" s="13">
        <v>1000</v>
      </c>
      <c r="J146" s="13">
        <f t="shared" si="21"/>
        <v>2000</v>
      </c>
      <c r="K146" s="13">
        <f t="shared" si="22"/>
        <v>2420</v>
      </c>
      <c r="L146" s="14">
        <f t="shared" si="23"/>
        <v>0.60499999999999998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3</v>
      </c>
      <c r="B147" s="10" t="s">
        <v>4</v>
      </c>
      <c r="C147" s="11" t="s">
        <v>65</v>
      </c>
      <c r="D147" s="13">
        <v>1000</v>
      </c>
      <c r="E147" s="13">
        <f t="shared" si="19"/>
        <v>3000</v>
      </c>
      <c r="F147" s="13">
        <f t="shared" si="20"/>
        <v>3315</v>
      </c>
      <c r="G147" s="2"/>
      <c r="H147" s="2"/>
      <c r="I147" s="13">
        <v>500</v>
      </c>
      <c r="J147" s="13">
        <f t="shared" si="21"/>
        <v>1500</v>
      </c>
      <c r="K147" s="13">
        <f t="shared" si="22"/>
        <v>1815</v>
      </c>
      <c r="L147" s="14">
        <f t="shared" si="23"/>
        <v>0.60499999999999998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4</v>
      </c>
      <c r="B148" s="10" t="s">
        <v>17</v>
      </c>
      <c r="C148" s="11" t="s">
        <v>43</v>
      </c>
      <c r="D148" s="13">
        <v>6000</v>
      </c>
      <c r="E148" s="13">
        <f t="shared" si="19"/>
        <v>24000</v>
      </c>
      <c r="F148" s="13">
        <f t="shared" si="20"/>
        <v>26520</v>
      </c>
      <c r="G148" s="2"/>
      <c r="H148" s="2"/>
      <c r="I148" s="13">
        <v>5000</v>
      </c>
      <c r="J148" s="13">
        <f t="shared" si="21"/>
        <v>20000</v>
      </c>
      <c r="K148" s="13">
        <f t="shared" si="22"/>
        <v>6520</v>
      </c>
      <c r="L148" s="14">
        <f t="shared" si="23"/>
        <v>0.27166666666666667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8</v>
      </c>
      <c r="B149" s="10" t="s">
        <v>15</v>
      </c>
      <c r="C149" s="11" t="s">
        <v>27</v>
      </c>
      <c r="D149" s="13">
        <v>25000</v>
      </c>
      <c r="E149" s="13">
        <f t="shared" si="19"/>
        <v>200000</v>
      </c>
      <c r="F149" s="13">
        <f t="shared" si="20"/>
        <v>221000</v>
      </c>
      <c r="G149" s="2"/>
      <c r="H149" s="2"/>
      <c r="I149" s="13">
        <v>18000</v>
      </c>
      <c r="J149" s="13">
        <f t="shared" si="21"/>
        <v>144000</v>
      </c>
      <c r="K149" s="13">
        <f t="shared" si="22"/>
        <v>77000</v>
      </c>
      <c r="L149" s="14">
        <f t="shared" si="23"/>
        <v>0.38500000000000001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21</v>
      </c>
      <c r="C150" s="11" t="s">
        <v>29</v>
      </c>
      <c r="D150" s="13">
        <v>3500</v>
      </c>
      <c r="E150" s="13">
        <f t="shared" si="19"/>
        <v>3500</v>
      </c>
      <c r="F150" s="13">
        <f t="shared" si="20"/>
        <v>3867.5</v>
      </c>
      <c r="G150" s="2"/>
      <c r="H150" s="2"/>
      <c r="I150" s="13">
        <v>1500</v>
      </c>
      <c r="J150" s="13">
        <f t="shared" si="21"/>
        <v>1500</v>
      </c>
      <c r="K150" s="13">
        <f t="shared" si="22"/>
        <v>2367.5</v>
      </c>
      <c r="L150" s="14">
        <f t="shared" si="23"/>
        <v>0.67642857142857138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20</v>
      </c>
      <c r="B151" s="10" t="s">
        <v>17</v>
      </c>
      <c r="C151" s="11" t="s">
        <v>39</v>
      </c>
      <c r="D151" s="13">
        <v>1600</v>
      </c>
      <c r="E151" s="13">
        <f t="shared" si="19"/>
        <v>32000</v>
      </c>
      <c r="F151" s="13">
        <f t="shared" si="20"/>
        <v>35360</v>
      </c>
      <c r="G151" s="2"/>
      <c r="H151" s="2"/>
      <c r="I151" s="13">
        <f>12000/15</f>
        <v>800</v>
      </c>
      <c r="J151" s="13">
        <f t="shared" si="21"/>
        <v>16000</v>
      </c>
      <c r="K151" s="13">
        <f t="shared" si="22"/>
        <v>19360</v>
      </c>
      <c r="L151" s="14">
        <f t="shared" si="23"/>
        <v>0.60499999999999998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1</v>
      </c>
      <c r="B152" s="10" t="s">
        <v>15</v>
      </c>
      <c r="C152" s="11" t="s">
        <v>40</v>
      </c>
      <c r="D152" s="13">
        <v>12000</v>
      </c>
      <c r="E152" s="13">
        <f t="shared" si="19"/>
        <v>12000</v>
      </c>
      <c r="F152" s="13">
        <f t="shared" si="20"/>
        <v>13260</v>
      </c>
      <c r="G152" s="2"/>
      <c r="H152" s="2"/>
      <c r="I152" s="13">
        <v>7000</v>
      </c>
      <c r="J152" s="13">
        <f t="shared" si="21"/>
        <v>7000</v>
      </c>
      <c r="K152" s="13">
        <f t="shared" si="22"/>
        <v>6260</v>
      </c>
      <c r="L152" s="14">
        <f t="shared" si="23"/>
        <v>0.52166666666666661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3</v>
      </c>
      <c r="B153" s="10" t="s">
        <v>23</v>
      </c>
      <c r="C153" s="11" t="s">
        <v>26</v>
      </c>
      <c r="D153" s="13">
        <v>22000</v>
      </c>
      <c r="E153" s="13">
        <f t="shared" si="19"/>
        <v>66000</v>
      </c>
      <c r="F153" s="13">
        <f t="shared" si="20"/>
        <v>72930</v>
      </c>
      <c r="G153" s="2"/>
      <c r="H153" s="2"/>
      <c r="I153" s="13">
        <v>15000</v>
      </c>
      <c r="J153" s="13">
        <f t="shared" si="21"/>
        <v>45000</v>
      </c>
      <c r="K153" s="13">
        <f t="shared" si="22"/>
        <v>27930</v>
      </c>
      <c r="L153" s="14">
        <f t="shared" si="23"/>
        <v>0.42318181818181816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1</v>
      </c>
      <c r="B154" s="10" t="s">
        <v>23</v>
      </c>
      <c r="C154" s="11" t="s">
        <v>25</v>
      </c>
      <c r="D154" s="13">
        <v>72000</v>
      </c>
      <c r="E154" s="13">
        <f t="shared" si="19"/>
        <v>72000</v>
      </c>
      <c r="F154" s="13">
        <f t="shared" si="20"/>
        <v>79560</v>
      </c>
      <c r="G154" s="2"/>
      <c r="H154" s="2"/>
      <c r="I154" s="13">
        <v>60000</v>
      </c>
      <c r="J154" s="13">
        <f t="shared" si="21"/>
        <v>60000</v>
      </c>
      <c r="K154" s="13">
        <f t="shared" si="22"/>
        <v>19560</v>
      </c>
      <c r="L154" s="14">
        <f t="shared" si="23"/>
        <v>0.27166666666666667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</v>
      </c>
      <c r="B155" s="10" t="s">
        <v>23</v>
      </c>
      <c r="C155" s="11" t="s">
        <v>24</v>
      </c>
      <c r="D155" s="13">
        <v>60000</v>
      </c>
      <c r="E155" s="13">
        <f t="shared" si="19"/>
        <v>60000</v>
      </c>
      <c r="F155" s="13">
        <f t="shared" si="20"/>
        <v>66300</v>
      </c>
      <c r="G155" s="2"/>
      <c r="H155" s="2"/>
      <c r="I155" s="13">
        <v>50000</v>
      </c>
      <c r="J155" s="13">
        <f t="shared" si="21"/>
        <v>50000</v>
      </c>
      <c r="K155" s="13">
        <f t="shared" si="22"/>
        <v>16300</v>
      </c>
      <c r="L155" s="14">
        <f t="shared" si="23"/>
        <v>0.27166666666666667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50</v>
      </c>
      <c r="B156" s="10" t="s">
        <v>21</v>
      </c>
      <c r="C156" s="11" t="s">
        <v>46</v>
      </c>
      <c r="D156" s="13">
        <v>600</v>
      </c>
      <c r="E156" s="13">
        <f t="shared" si="19"/>
        <v>30000</v>
      </c>
      <c r="F156" s="13">
        <f t="shared" si="20"/>
        <v>33150</v>
      </c>
      <c r="G156" s="2"/>
      <c r="H156" s="2"/>
      <c r="I156" s="13">
        <f>9000/24</f>
        <v>375</v>
      </c>
      <c r="J156" s="13">
        <f t="shared" si="21"/>
        <v>18750</v>
      </c>
      <c r="K156" s="13">
        <f t="shared" si="22"/>
        <v>14400</v>
      </c>
      <c r="L156" s="14">
        <f t="shared" si="23"/>
        <v>0.48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7</v>
      </c>
      <c r="B157" s="10" t="s">
        <v>17</v>
      </c>
      <c r="C157" s="11" t="s">
        <v>82</v>
      </c>
      <c r="D157" s="13">
        <v>2400</v>
      </c>
      <c r="E157" s="13">
        <f t="shared" si="19"/>
        <v>16800</v>
      </c>
      <c r="F157" s="13">
        <f t="shared" si="20"/>
        <v>18564</v>
      </c>
      <c r="G157" s="2"/>
      <c r="H157" s="2"/>
      <c r="I157" s="13">
        <f>25000/14</f>
        <v>1785.7142857142858</v>
      </c>
      <c r="J157" s="13">
        <f t="shared" si="21"/>
        <v>12500</v>
      </c>
      <c r="K157" s="13">
        <f t="shared" si="22"/>
        <v>6064</v>
      </c>
      <c r="L157" s="14">
        <f t="shared" si="23"/>
        <v>0.36095238095238097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0.85</v>
      </c>
      <c r="B158" s="10" t="s">
        <v>17</v>
      </c>
      <c r="C158" s="11" t="s">
        <v>61</v>
      </c>
      <c r="D158" s="13">
        <v>2800</v>
      </c>
      <c r="E158" s="13">
        <f t="shared" si="19"/>
        <v>2380</v>
      </c>
      <c r="F158" s="13">
        <f t="shared" si="20"/>
        <v>2629.9</v>
      </c>
      <c r="G158" s="2"/>
      <c r="H158" s="2"/>
      <c r="I158" s="13">
        <f>30000/14</f>
        <v>2142.8571428571427</v>
      </c>
      <c r="J158" s="13">
        <f t="shared" si="21"/>
        <v>1821.4285714285711</v>
      </c>
      <c r="K158" s="13">
        <f t="shared" si="22"/>
        <v>808.47142857142899</v>
      </c>
      <c r="L158" s="14">
        <f t="shared" si="23"/>
        <v>0.3396938775510206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4.5</v>
      </c>
      <c r="B159" s="10" t="s">
        <v>17</v>
      </c>
      <c r="C159" s="11" t="s">
        <v>38</v>
      </c>
      <c r="D159" s="13">
        <v>1800</v>
      </c>
      <c r="E159" s="13">
        <f t="shared" si="19"/>
        <v>8100</v>
      </c>
      <c r="F159" s="13">
        <f t="shared" si="20"/>
        <v>8950.5</v>
      </c>
      <c r="G159" s="2"/>
      <c r="H159" s="2"/>
      <c r="I159" s="13">
        <v>800</v>
      </c>
      <c r="J159" s="13">
        <f t="shared" si="21"/>
        <v>3600</v>
      </c>
      <c r="K159" s="13">
        <f t="shared" si="22"/>
        <v>5350.5</v>
      </c>
      <c r="L159" s="14">
        <f t="shared" si="23"/>
        <v>0.66055555555555556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4</v>
      </c>
      <c r="B160" s="10" t="s">
        <v>17</v>
      </c>
      <c r="C160" s="11" t="s">
        <v>36</v>
      </c>
      <c r="D160" s="13">
        <v>1800</v>
      </c>
      <c r="E160" s="13">
        <f t="shared" si="19"/>
        <v>7200</v>
      </c>
      <c r="F160" s="13">
        <f t="shared" si="20"/>
        <v>7956</v>
      </c>
      <c r="G160" s="2"/>
      <c r="H160" s="2"/>
      <c r="I160" s="13">
        <v>800</v>
      </c>
      <c r="J160" s="13">
        <f t="shared" si="21"/>
        <v>3200</v>
      </c>
      <c r="K160" s="13">
        <f t="shared" si="22"/>
        <v>4756</v>
      </c>
      <c r="L160" s="14">
        <f t="shared" si="23"/>
        <v>0.66055555555555556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8.6</v>
      </c>
      <c r="B161" s="10" t="s">
        <v>17</v>
      </c>
      <c r="C161" s="11" t="s">
        <v>31</v>
      </c>
      <c r="D161" s="13">
        <v>3200</v>
      </c>
      <c r="E161" s="13">
        <f t="shared" si="19"/>
        <v>27520</v>
      </c>
      <c r="F161" s="13">
        <f t="shared" si="20"/>
        <v>30409.599999999999</v>
      </c>
      <c r="G161" s="2"/>
      <c r="H161" s="2"/>
      <c r="I161" s="13">
        <f>15000/7</f>
        <v>2142.8571428571427</v>
      </c>
      <c r="J161" s="13">
        <f t="shared" si="21"/>
        <v>18428.571428571428</v>
      </c>
      <c r="K161" s="13">
        <f t="shared" si="22"/>
        <v>11981.028571428571</v>
      </c>
      <c r="L161" s="14">
        <f t="shared" si="23"/>
        <v>0.43535714285714283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8.6</v>
      </c>
      <c r="B162" s="10" t="s">
        <v>17</v>
      </c>
      <c r="C162" s="11" t="s">
        <v>32</v>
      </c>
      <c r="D162" s="13">
        <v>2400</v>
      </c>
      <c r="E162" s="13">
        <f t="shared" si="19"/>
        <v>20640</v>
      </c>
      <c r="F162" s="13">
        <f t="shared" si="20"/>
        <v>22807.200000000001</v>
      </c>
      <c r="G162" s="2"/>
      <c r="H162" s="2"/>
      <c r="I162" s="13">
        <f>12000/7</f>
        <v>1714.2857142857142</v>
      </c>
      <c r="J162" s="13">
        <f t="shared" si="21"/>
        <v>14742.857142857141</v>
      </c>
      <c r="K162" s="13">
        <f t="shared" si="22"/>
        <v>8064.3428571428594</v>
      </c>
      <c r="L162" s="14">
        <f t="shared" si="23"/>
        <v>0.39071428571428585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2">
        <v>4</v>
      </c>
      <c r="B163" s="10" t="s">
        <v>17</v>
      </c>
      <c r="C163" s="11" t="s">
        <v>33</v>
      </c>
      <c r="D163" s="13">
        <v>2800</v>
      </c>
      <c r="E163" s="13">
        <f t="shared" si="19"/>
        <v>11200</v>
      </c>
      <c r="F163" s="13">
        <f t="shared" si="20"/>
        <v>12376</v>
      </c>
      <c r="G163" s="2"/>
      <c r="H163" s="2"/>
      <c r="I163" s="13">
        <v>2142.86</v>
      </c>
      <c r="J163" s="13">
        <f t="shared" si="21"/>
        <v>8571.44</v>
      </c>
      <c r="K163" s="13">
        <f t="shared" si="22"/>
        <v>3804.5599999999995</v>
      </c>
      <c r="L163" s="14">
        <f t="shared" si="23"/>
        <v>0.33969285714285707</v>
      </c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1</v>
      </c>
      <c r="B164" s="10" t="s">
        <v>17</v>
      </c>
      <c r="C164" s="11" t="s">
        <v>30</v>
      </c>
      <c r="D164" s="13">
        <v>1500</v>
      </c>
      <c r="E164" s="13">
        <f t="shared" si="19"/>
        <v>1500</v>
      </c>
      <c r="F164" s="13">
        <f t="shared" si="20"/>
        <v>1657.5</v>
      </c>
      <c r="G164" s="2"/>
      <c r="H164" s="2"/>
      <c r="I164" s="13">
        <f>12000/14</f>
        <v>857.14285714285711</v>
      </c>
      <c r="J164" s="13">
        <f t="shared" si="21"/>
        <v>857.14285714285711</v>
      </c>
      <c r="K164" s="13">
        <f t="shared" si="22"/>
        <v>800.35714285714289</v>
      </c>
      <c r="L164" s="14">
        <f t="shared" si="23"/>
        <v>0.53357142857142859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2">
        <v>0.5</v>
      </c>
      <c r="B165" s="10" t="s">
        <v>17</v>
      </c>
      <c r="C165" s="11" t="s">
        <v>88</v>
      </c>
      <c r="D165" s="13">
        <v>2400</v>
      </c>
      <c r="E165" s="13">
        <f t="shared" si="19"/>
        <v>1200</v>
      </c>
      <c r="F165" s="13">
        <f t="shared" si="20"/>
        <v>1326</v>
      </c>
      <c r="G165" s="2"/>
      <c r="H165" s="2"/>
      <c r="I165" s="13">
        <f>15000/14</f>
        <v>1071.4285714285713</v>
      </c>
      <c r="J165" s="13">
        <f t="shared" si="21"/>
        <v>535.71428571428567</v>
      </c>
      <c r="K165" s="13">
        <f t="shared" si="22"/>
        <v>790.28571428571433</v>
      </c>
      <c r="L165" s="14">
        <f t="shared" si="23"/>
        <v>0.65857142857142859</v>
      </c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1</v>
      </c>
      <c r="B166" s="10" t="s">
        <v>17</v>
      </c>
      <c r="C166" s="11" t="s">
        <v>34</v>
      </c>
      <c r="D166" s="13">
        <v>5000</v>
      </c>
      <c r="E166" s="13">
        <f t="shared" si="19"/>
        <v>5000</v>
      </c>
      <c r="F166" s="13">
        <f t="shared" si="20"/>
        <v>5525</v>
      </c>
      <c r="G166" s="2"/>
      <c r="H166" s="2"/>
      <c r="I166" s="13">
        <v>2000</v>
      </c>
      <c r="J166" s="13">
        <f t="shared" si="21"/>
        <v>2000</v>
      </c>
      <c r="K166" s="13">
        <f t="shared" si="22"/>
        <v>3525</v>
      </c>
      <c r="L166" s="14">
        <f t="shared" si="23"/>
        <v>0.70499999999999996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3</v>
      </c>
      <c r="B167" s="10" t="s">
        <v>17</v>
      </c>
      <c r="C167" s="11" t="s">
        <v>35</v>
      </c>
      <c r="D167" s="13">
        <v>2500</v>
      </c>
      <c r="E167" s="13">
        <f t="shared" si="19"/>
        <v>7500</v>
      </c>
      <c r="F167" s="13">
        <f t="shared" si="20"/>
        <v>8287.5</v>
      </c>
      <c r="G167" s="2"/>
      <c r="H167" s="2"/>
      <c r="I167" s="13">
        <v>1500</v>
      </c>
      <c r="J167" s="13">
        <f t="shared" si="21"/>
        <v>4500</v>
      </c>
      <c r="K167" s="13">
        <f t="shared" si="22"/>
        <v>3787.5</v>
      </c>
      <c r="L167" s="14">
        <f t="shared" si="23"/>
        <v>0.505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"/>
      <c r="B168" s="2"/>
      <c r="C168" s="4"/>
      <c r="D168" s="2"/>
      <c r="E168" s="2"/>
      <c r="F168" s="2"/>
      <c r="G168" s="2"/>
      <c r="H168" s="2"/>
      <c r="I168" s="2"/>
      <c r="J168" s="2"/>
      <c r="K168" s="2"/>
      <c r="L168" s="3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"/>
      <c r="B169" s="2"/>
      <c r="C169" s="4"/>
      <c r="D169" s="2"/>
      <c r="E169" s="13">
        <f t="shared" ref="E169:F169" si="24">SUM(E133:E167)</f>
        <v>705790</v>
      </c>
      <c r="F169" s="13">
        <f t="shared" si="24"/>
        <v>779897.95</v>
      </c>
      <c r="G169" s="2"/>
      <c r="H169" s="2"/>
      <c r="I169" s="2"/>
      <c r="J169" s="2"/>
      <c r="K169" s="13">
        <f>SUM(K133:K167)</f>
        <v>287734.52120448183</v>
      </c>
      <c r="L169" s="14">
        <f>K169/F169</f>
        <v>0.36893868127808499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0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0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88" t="s">
        <v>70</v>
      </c>
      <c r="B172" s="89"/>
      <c r="C172" s="89"/>
      <c r="D172" s="2"/>
      <c r="E172" s="7" t="s">
        <v>1090</v>
      </c>
      <c r="F172" s="8">
        <v>46126</v>
      </c>
      <c r="G172" s="2"/>
      <c r="H172" s="2"/>
      <c r="I172" s="91" t="s">
        <v>2</v>
      </c>
      <c r="J172" s="89"/>
      <c r="K172" s="89"/>
      <c r="L172" s="3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3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6" t="s">
        <v>3</v>
      </c>
      <c r="B174" s="10" t="s">
        <v>4</v>
      </c>
      <c r="C174" s="11" t="s">
        <v>5</v>
      </c>
      <c r="D174" s="10" t="s">
        <v>6</v>
      </c>
      <c r="E174" s="10" t="s">
        <v>7</v>
      </c>
      <c r="F174" s="10" t="s">
        <v>8</v>
      </c>
      <c r="G174" s="2"/>
      <c r="H174" s="2"/>
      <c r="I174" s="10" t="s">
        <v>9</v>
      </c>
      <c r="J174" s="10" t="s">
        <v>7</v>
      </c>
      <c r="K174" s="10" t="s">
        <v>10</v>
      </c>
      <c r="L174" s="3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1</v>
      </c>
      <c r="B175" s="10" t="s">
        <v>15</v>
      </c>
      <c r="C175" s="11" t="s">
        <v>27</v>
      </c>
      <c r="D175" s="13">
        <v>25000</v>
      </c>
      <c r="E175" s="13">
        <f t="shared" ref="E175:E192" si="25">A175*D175</f>
        <v>25000</v>
      </c>
      <c r="F175" s="13">
        <f t="shared" ref="F175:F192" si="26">E175*1.105</f>
        <v>27625</v>
      </c>
      <c r="G175" s="2"/>
      <c r="H175" s="2"/>
      <c r="I175" s="13">
        <v>18000</v>
      </c>
      <c r="J175" s="13">
        <f t="shared" ref="J175:J192" si="27">I175*A175</f>
        <v>18000</v>
      </c>
      <c r="K175" s="13">
        <f t="shared" ref="K175:K192" si="28">F175-J175</f>
        <v>9625</v>
      </c>
      <c r="L175" s="18">
        <f t="shared" ref="L175:L192" si="29">IFERROR(K175/E175, 0)</f>
        <v>0.38500000000000001</v>
      </c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1.25</v>
      </c>
      <c r="B176" s="10" t="s">
        <v>17</v>
      </c>
      <c r="C176" s="11" t="s">
        <v>31</v>
      </c>
      <c r="D176" s="13">
        <v>3200</v>
      </c>
      <c r="E176" s="13">
        <f t="shared" si="25"/>
        <v>4000</v>
      </c>
      <c r="F176" s="13">
        <f t="shared" si="26"/>
        <v>4420</v>
      </c>
      <c r="G176" s="2"/>
      <c r="H176" s="2"/>
      <c r="I176" s="13">
        <f>15000/7</f>
        <v>2142.8571428571427</v>
      </c>
      <c r="J176" s="13">
        <f t="shared" si="27"/>
        <v>2678.5714285714284</v>
      </c>
      <c r="K176" s="13">
        <f t="shared" si="28"/>
        <v>1741.4285714285716</v>
      </c>
      <c r="L176" s="18">
        <f t="shared" si="29"/>
        <v>0.43535714285714289</v>
      </c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2">
        <v>4</v>
      </c>
      <c r="B177" s="10" t="s">
        <v>17</v>
      </c>
      <c r="C177" s="11" t="s">
        <v>56</v>
      </c>
      <c r="D177" s="13">
        <v>1200</v>
      </c>
      <c r="E177" s="13">
        <f t="shared" si="25"/>
        <v>4800</v>
      </c>
      <c r="F177" s="13">
        <f t="shared" si="26"/>
        <v>5304</v>
      </c>
      <c r="G177" s="2"/>
      <c r="H177" s="2"/>
      <c r="I177" s="13">
        <v>812</v>
      </c>
      <c r="J177" s="13">
        <f t="shared" si="27"/>
        <v>3248</v>
      </c>
      <c r="K177" s="13">
        <f t="shared" si="28"/>
        <v>2056</v>
      </c>
      <c r="L177" s="18">
        <f t="shared" si="29"/>
        <v>0.42833333333333334</v>
      </c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2">
        <v>5</v>
      </c>
      <c r="B178" s="10" t="s">
        <v>17</v>
      </c>
      <c r="C178" s="11" t="s">
        <v>39</v>
      </c>
      <c r="D178" s="13">
        <v>1600</v>
      </c>
      <c r="E178" s="13">
        <f t="shared" si="25"/>
        <v>8000</v>
      </c>
      <c r="F178" s="13">
        <f t="shared" si="26"/>
        <v>8840</v>
      </c>
      <c r="G178" s="2"/>
      <c r="H178" s="2"/>
      <c r="I178" s="13">
        <f>12000/15</f>
        <v>800</v>
      </c>
      <c r="J178" s="13">
        <f t="shared" si="27"/>
        <v>4000</v>
      </c>
      <c r="K178" s="13">
        <f t="shared" si="28"/>
        <v>4840</v>
      </c>
      <c r="L178" s="18">
        <f t="shared" si="29"/>
        <v>0.60499999999999998</v>
      </c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2">
        <v>1</v>
      </c>
      <c r="B179" s="10" t="s">
        <v>21</v>
      </c>
      <c r="C179" s="11" t="s">
        <v>34</v>
      </c>
      <c r="D179" s="13">
        <v>5000</v>
      </c>
      <c r="E179" s="13">
        <f t="shared" si="25"/>
        <v>5000</v>
      </c>
      <c r="F179" s="13">
        <f t="shared" si="26"/>
        <v>5525</v>
      </c>
      <c r="G179" s="2"/>
      <c r="H179" s="2"/>
      <c r="I179" s="13">
        <v>2000</v>
      </c>
      <c r="J179" s="13">
        <f t="shared" si="27"/>
        <v>2000</v>
      </c>
      <c r="K179" s="13">
        <f t="shared" si="28"/>
        <v>3525</v>
      </c>
      <c r="L179" s="18">
        <f t="shared" si="29"/>
        <v>0.70499999999999996</v>
      </c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2">
        <v>1</v>
      </c>
      <c r="B180" s="10" t="s">
        <v>17</v>
      </c>
      <c r="C180" s="11" t="s">
        <v>129</v>
      </c>
      <c r="D180" s="13">
        <v>1600</v>
      </c>
      <c r="E180" s="13">
        <f t="shared" si="25"/>
        <v>1600</v>
      </c>
      <c r="F180" s="13">
        <f t="shared" si="26"/>
        <v>1768</v>
      </c>
      <c r="G180" s="2"/>
      <c r="H180" s="2"/>
      <c r="I180" s="13">
        <f>12000/11</f>
        <v>1090.909090909091</v>
      </c>
      <c r="J180" s="13">
        <f t="shared" si="27"/>
        <v>1090.909090909091</v>
      </c>
      <c r="K180" s="13">
        <f t="shared" si="28"/>
        <v>677.09090909090901</v>
      </c>
      <c r="L180" s="18">
        <f t="shared" si="29"/>
        <v>0.4231818181818181</v>
      </c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1</v>
      </c>
      <c r="B181" s="10" t="s">
        <v>17</v>
      </c>
      <c r="C181" s="11" t="s">
        <v>82</v>
      </c>
      <c r="D181" s="13">
        <v>2600</v>
      </c>
      <c r="E181" s="13">
        <f t="shared" si="25"/>
        <v>2600</v>
      </c>
      <c r="F181" s="13">
        <f t="shared" si="26"/>
        <v>2873</v>
      </c>
      <c r="G181" s="2"/>
      <c r="H181" s="2"/>
      <c r="I181" s="13">
        <f>25000/14</f>
        <v>1785.7142857142858</v>
      </c>
      <c r="J181" s="13">
        <f t="shared" si="27"/>
        <v>1785.7142857142858</v>
      </c>
      <c r="K181" s="13">
        <f t="shared" si="28"/>
        <v>1087.2857142857142</v>
      </c>
      <c r="L181" s="18">
        <f t="shared" si="29"/>
        <v>0.41818681318681317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2">
        <v>2</v>
      </c>
      <c r="B182" s="10" t="s">
        <v>4</v>
      </c>
      <c r="C182" s="11" t="s">
        <v>72</v>
      </c>
      <c r="D182" s="13">
        <v>3500</v>
      </c>
      <c r="E182" s="13">
        <f t="shared" si="25"/>
        <v>7000</v>
      </c>
      <c r="F182" s="13">
        <f t="shared" si="26"/>
        <v>7735</v>
      </c>
      <c r="G182" s="2"/>
      <c r="H182" s="2"/>
      <c r="I182" s="13">
        <v>2500</v>
      </c>
      <c r="J182" s="13">
        <f t="shared" si="27"/>
        <v>5000</v>
      </c>
      <c r="K182" s="13">
        <f t="shared" si="28"/>
        <v>2735</v>
      </c>
      <c r="L182" s="18">
        <f t="shared" si="29"/>
        <v>0.39071428571428574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1.5</v>
      </c>
      <c r="B183" s="10" t="s">
        <v>17</v>
      </c>
      <c r="C183" s="11" t="s">
        <v>80</v>
      </c>
      <c r="D183" s="13">
        <v>1800</v>
      </c>
      <c r="E183" s="13">
        <f t="shared" si="25"/>
        <v>2700</v>
      </c>
      <c r="F183" s="13">
        <f t="shared" si="26"/>
        <v>2983.5</v>
      </c>
      <c r="G183" s="2"/>
      <c r="H183" s="2"/>
      <c r="I183" s="13">
        <v>800</v>
      </c>
      <c r="J183" s="13">
        <f t="shared" si="27"/>
        <v>1200</v>
      </c>
      <c r="K183" s="13">
        <f t="shared" si="28"/>
        <v>1783.5</v>
      </c>
      <c r="L183" s="18">
        <f t="shared" si="29"/>
        <v>0.66055555555555556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1</v>
      </c>
      <c r="B184" s="10" t="s">
        <v>21</v>
      </c>
      <c r="C184" s="11" t="s">
        <v>46</v>
      </c>
      <c r="D184" s="13">
        <v>600</v>
      </c>
      <c r="E184" s="13">
        <f t="shared" si="25"/>
        <v>600</v>
      </c>
      <c r="F184" s="13">
        <f t="shared" si="26"/>
        <v>663</v>
      </c>
      <c r="G184" s="2"/>
      <c r="H184" s="2"/>
      <c r="I184" s="13">
        <f>9000/24</f>
        <v>375</v>
      </c>
      <c r="J184" s="13">
        <f t="shared" si="27"/>
        <v>375</v>
      </c>
      <c r="K184" s="13">
        <f t="shared" si="28"/>
        <v>288</v>
      </c>
      <c r="L184" s="18">
        <f t="shared" si="29"/>
        <v>0.48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1</v>
      </c>
      <c r="B185" s="10" t="s">
        <v>17</v>
      </c>
      <c r="C185" s="11" t="s">
        <v>88</v>
      </c>
      <c r="D185" s="13">
        <v>2400</v>
      </c>
      <c r="E185" s="13">
        <f t="shared" si="25"/>
        <v>2400</v>
      </c>
      <c r="F185" s="13">
        <f t="shared" si="26"/>
        <v>2652</v>
      </c>
      <c r="G185" s="2"/>
      <c r="H185" s="2"/>
      <c r="I185" s="13">
        <f>15000/14</f>
        <v>1071.4285714285713</v>
      </c>
      <c r="J185" s="13">
        <f t="shared" si="27"/>
        <v>1071.4285714285713</v>
      </c>
      <c r="K185" s="13">
        <f t="shared" si="28"/>
        <v>1580.5714285714287</v>
      </c>
      <c r="L185" s="18">
        <f t="shared" si="29"/>
        <v>0.65857142857142859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2</v>
      </c>
      <c r="B186" s="10" t="s">
        <v>17</v>
      </c>
      <c r="C186" s="11" t="s">
        <v>40</v>
      </c>
      <c r="D186" s="13">
        <v>1300</v>
      </c>
      <c r="E186" s="13">
        <f t="shared" si="25"/>
        <v>2600</v>
      </c>
      <c r="F186" s="13">
        <f t="shared" si="26"/>
        <v>2873</v>
      </c>
      <c r="G186" s="2"/>
      <c r="H186" s="2"/>
      <c r="I186" s="13">
        <v>1000</v>
      </c>
      <c r="J186" s="13">
        <f t="shared" si="27"/>
        <v>2000</v>
      </c>
      <c r="K186" s="13">
        <f t="shared" si="28"/>
        <v>873</v>
      </c>
      <c r="L186" s="18">
        <f t="shared" si="29"/>
        <v>0.33576923076923076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2</v>
      </c>
      <c r="B187" s="10" t="s">
        <v>17</v>
      </c>
      <c r="C187" s="11" t="s">
        <v>62</v>
      </c>
      <c r="D187" s="13">
        <v>3000</v>
      </c>
      <c r="E187" s="13">
        <f t="shared" si="25"/>
        <v>6000</v>
      </c>
      <c r="F187" s="13">
        <f t="shared" si="26"/>
        <v>6630</v>
      </c>
      <c r="G187" s="2"/>
      <c r="H187" s="2"/>
      <c r="I187" s="13">
        <f>28000/17</f>
        <v>1647.0588235294117</v>
      </c>
      <c r="J187" s="13">
        <f t="shared" si="27"/>
        <v>3294.1176470588234</v>
      </c>
      <c r="K187" s="13">
        <f t="shared" si="28"/>
        <v>3335.8823529411766</v>
      </c>
      <c r="L187" s="18">
        <f t="shared" si="29"/>
        <v>0.55598039215686279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4</v>
      </c>
      <c r="B188" s="10" t="s">
        <v>17</v>
      </c>
      <c r="C188" s="11" t="s">
        <v>26</v>
      </c>
      <c r="D188" s="13">
        <v>1700</v>
      </c>
      <c r="E188" s="13">
        <f t="shared" si="25"/>
        <v>6800</v>
      </c>
      <c r="F188" s="13">
        <f t="shared" si="26"/>
        <v>7514</v>
      </c>
      <c r="G188" s="2"/>
      <c r="H188" s="2"/>
      <c r="I188" s="13">
        <f>1000</f>
        <v>1000</v>
      </c>
      <c r="J188" s="13">
        <f t="shared" si="27"/>
        <v>4000</v>
      </c>
      <c r="K188" s="13">
        <f t="shared" si="28"/>
        <v>3514</v>
      </c>
      <c r="L188" s="18">
        <f t="shared" si="29"/>
        <v>0.5167647058823529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1</v>
      </c>
      <c r="B189" s="10" t="s">
        <v>17</v>
      </c>
      <c r="C189" s="11" t="s">
        <v>25</v>
      </c>
      <c r="D189" s="13">
        <v>4500</v>
      </c>
      <c r="E189" s="13">
        <f t="shared" si="25"/>
        <v>4500</v>
      </c>
      <c r="F189" s="13">
        <f t="shared" si="26"/>
        <v>4972.5</v>
      </c>
      <c r="G189" s="2"/>
      <c r="H189" s="2"/>
      <c r="I189" s="13">
        <f>60000/17</f>
        <v>3529.4117647058824</v>
      </c>
      <c r="J189" s="13">
        <f t="shared" si="27"/>
        <v>3529.4117647058824</v>
      </c>
      <c r="K189" s="13">
        <f t="shared" si="28"/>
        <v>1443.0882352941176</v>
      </c>
      <c r="L189" s="18">
        <f t="shared" si="29"/>
        <v>0.32068627450980391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2</v>
      </c>
      <c r="B190" s="10" t="s">
        <v>17</v>
      </c>
      <c r="C190" s="11" t="s">
        <v>24</v>
      </c>
      <c r="D190" s="13">
        <v>3600</v>
      </c>
      <c r="E190" s="13">
        <f t="shared" si="25"/>
        <v>7200</v>
      </c>
      <c r="F190" s="13">
        <f t="shared" si="26"/>
        <v>7956</v>
      </c>
      <c r="G190" s="2"/>
      <c r="H190" s="2"/>
      <c r="I190" s="13">
        <f>50000/17</f>
        <v>2941.1764705882351</v>
      </c>
      <c r="J190" s="13">
        <f t="shared" si="27"/>
        <v>5882.3529411764703</v>
      </c>
      <c r="K190" s="13">
        <f t="shared" si="28"/>
        <v>2073.6470588235297</v>
      </c>
      <c r="L190" s="18">
        <f t="shared" si="29"/>
        <v>0.28800653594771247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1</v>
      </c>
      <c r="B191" s="10" t="s">
        <v>17</v>
      </c>
      <c r="C191" s="11" t="s">
        <v>123</v>
      </c>
      <c r="D191" s="13">
        <v>3000</v>
      </c>
      <c r="E191" s="13">
        <f t="shared" si="25"/>
        <v>3000</v>
      </c>
      <c r="F191" s="13">
        <f t="shared" si="26"/>
        <v>3315</v>
      </c>
      <c r="G191" s="2"/>
      <c r="H191" s="2"/>
      <c r="I191" s="13">
        <f>32000/15</f>
        <v>2133.3333333333335</v>
      </c>
      <c r="J191" s="13">
        <f t="shared" si="27"/>
        <v>2133.3333333333335</v>
      </c>
      <c r="K191" s="13">
        <f t="shared" si="28"/>
        <v>1181.6666666666665</v>
      </c>
      <c r="L191" s="18">
        <f t="shared" si="29"/>
        <v>0.39388888888888884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1</v>
      </c>
      <c r="B192" s="10" t="s">
        <v>17</v>
      </c>
      <c r="C192" s="11" t="s">
        <v>67</v>
      </c>
      <c r="D192" s="13">
        <v>1200</v>
      </c>
      <c r="E192" s="13">
        <f t="shared" si="25"/>
        <v>1200</v>
      </c>
      <c r="F192" s="13">
        <f t="shared" si="26"/>
        <v>1326</v>
      </c>
      <c r="G192" s="2"/>
      <c r="H192" s="2"/>
      <c r="I192" s="13">
        <f>10000/14</f>
        <v>714.28571428571433</v>
      </c>
      <c r="J192" s="13">
        <f t="shared" si="27"/>
        <v>714.28571428571433</v>
      </c>
      <c r="K192" s="13">
        <f t="shared" si="28"/>
        <v>611.71428571428567</v>
      </c>
      <c r="L192" s="18">
        <f t="shared" si="29"/>
        <v>0.50976190476190475</v>
      </c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"/>
      <c r="B193" s="2"/>
      <c r="C193" s="4"/>
      <c r="D193" s="2"/>
      <c r="E193" s="2"/>
      <c r="F193" s="2"/>
      <c r="G193" s="2"/>
      <c r="H193" s="2"/>
      <c r="I193" s="2"/>
      <c r="J193" s="2"/>
      <c r="K193" s="2"/>
      <c r="L193" s="3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"/>
      <c r="B194" s="2"/>
      <c r="C194" s="4"/>
      <c r="D194" s="2"/>
      <c r="E194" s="13">
        <f t="shared" ref="E194:F194" si="30">SUM(E175:E192)</f>
        <v>95000</v>
      </c>
      <c r="F194" s="13">
        <f t="shared" si="30"/>
        <v>104975</v>
      </c>
      <c r="G194" s="2"/>
      <c r="H194" s="2"/>
      <c r="I194" s="2"/>
      <c r="J194" s="2"/>
      <c r="K194" s="13">
        <f>SUM(K175:K192)</f>
        <v>42971.875222816394</v>
      </c>
      <c r="L194" s="18">
        <f>K194/F194</f>
        <v>0.40935341960291871</v>
      </c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0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0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0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0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0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6" t="s">
        <v>124</v>
      </c>
      <c r="B200" s="1"/>
      <c r="C200" s="1"/>
      <c r="D200" s="22" t="s">
        <v>1087</v>
      </c>
      <c r="E200" s="8">
        <v>46126</v>
      </c>
      <c r="F200" s="24" t="s">
        <v>37</v>
      </c>
      <c r="G200" s="2"/>
      <c r="H200" s="2"/>
      <c r="I200" s="2"/>
      <c r="J200" s="2"/>
      <c r="K200" s="2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2"/>
      <c r="C201" s="4"/>
      <c r="D201" s="2"/>
      <c r="E201" s="2"/>
      <c r="F201" s="2"/>
      <c r="G201" s="2"/>
      <c r="H201" s="2"/>
      <c r="I201" s="2"/>
      <c r="J201" s="2"/>
      <c r="K201" s="2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6" t="s">
        <v>3</v>
      </c>
      <c r="B202" s="10" t="s">
        <v>4</v>
      </c>
      <c r="C202" s="11" t="s">
        <v>5</v>
      </c>
      <c r="D202" s="10" t="s">
        <v>6</v>
      </c>
      <c r="E202" s="10" t="s">
        <v>7</v>
      </c>
      <c r="F202" s="2"/>
      <c r="G202" s="2"/>
      <c r="H202" s="2"/>
      <c r="I202" s="10" t="s">
        <v>6</v>
      </c>
      <c r="J202" s="10" t="s">
        <v>7</v>
      </c>
      <c r="K202" s="10" t="s">
        <v>10</v>
      </c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2">
        <v>2</v>
      </c>
      <c r="B203" s="10" t="s">
        <v>17</v>
      </c>
      <c r="C203" s="11" t="s">
        <v>93</v>
      </c>
      <c r="D203" s="13">
        <v>2600</v>
      </c>
      <c r="E203" s="13">
        <f t="shared" ref="E203:E209" si="31">A203*D203</f>
        <v>5200</v>
      </c>
      <c r="F203" s="2"/>
      <c r="G203" s="2"/>
      <c r="H203" s="2"/>
      <c r="I203" s="13">
        <f>12000/8</f>
        <v>1500</v>
      </c>
      <c r="J203" s="13">
        <f t="shared" ref="J203:J209" si="32">I203*A203</f>
        <v>3000</v>
      </c>
      <c r="K203" s="13">
        <f t="shared" ref="K203:K209" si="33">E203-J203</f>
        <v>2200</v>
      </c>
      <c r="L203" s="14">
        <f t="shared" ref="L203:L209" si="34">K203/E203</f>
        <v>0.42307692307692307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2">
        <v>2</v>
      </c>
      <c r="B204" s="10" t="s">
        <v>17</v>
      </c>
      <c r="C204" s="11" t="s">
        <v>182</v>
      </c>
      <c r="D204" s="13">
        <v>13000</v>
      </c>
      <c r="E204" s="13">
        <f t="shared" si="31"/>
        <v>26000</v>
      </c>
      <c r="F204" s="2"/>
      <c r="G204" s="2"/>
      <c r="H204" s="2"/>
      <c r="I204" s="13">
        <v>12000</v>
      </c>
      <c r="J204" s="13">
        <f t="shared" si="32"/>
        <v>24000</v>
      </c>
      <c r="K204" s="13">
        <f t="shared" si="33"/>
        <v>2000</v>
      </c>
      <c r="L204" s="14">
        <f t="shared" si="34"/>
        <v>7.6923076923076927E-2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2">
        <v>3</v>
      </c>
      <c r="B205" s="10" t="s">
        <v>23</v>
      </c>
      <c r="C205" s="11" t="s">
        <v>127</v>
      </c>
      <c r="D205" s="13">
        <v>22000</v>
      </c>
      <c r="E205" s="13">
        <f t="shared" si="31"/>
        <v>66000</v>
      </c>
      <c r="F205" s="2"/>
      <c r="G205" s="2"/>
      <c r="H205" s="7" t="s">
        <v>107</v>
      </c>
      <c r="I205" s="13">
        <v>0</v>
      </c>
      <c r="J205" s="13">
        <f t="shared" si="32"/>
        <v>0</v>
      </c>
      <c r="K205" s="13">
        <f t="shared" si="33"/>
        <v>66000</v>
      </c>
      <c r="L205" s="14">
        <f t="shared" si="34"/>
        <v>1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2">
        <v>1</v>
      </c>
      <c r="B206" s="10" t="s">
        <v>23</v>
      </c>
      <c r="C206" s="11" t="s">
        <v>88</v>
      </c>
      <c r="D206" s="13">
        <v>24000</v>
      </c>
      <c r="E206" s="13">
        <f t="shared" si="31"/>
        <v>24000</v>
      </c>
      <c r="F206" s="2"/>
      <c r="G206" s="2"/>
      <c r="H206" s="2"/>
      <c r="I206" s="13">
        <v>16000</v>
      </c>
      <c r="J206" s="13">
        <f t="shared" si="32"/>
        <v>16000</v>
      </c>
      <c r="K206" s="13">
        <f t="shared" si="33"/>
        <v>8000</v>
      </c>
      <c r="L206" s="14">
        <f t="shared" si="34"/>
        <v>0.33333333333333331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2">
        <v>4</v>
      </c>
      <c r="B207" s="10" t="s">
        <v>17</v>
      </c>
      <c r="C207" s="11" t="s">
        <v>113</v>
      </c>
      <c r="D207" s="13">
        <v>4000</v>
      </c>
      <c r="E207" s="13">
        <f t="shared" si="31"/>
        <v>16000</v>
      </c>
      <c r="F207" s="2"/>
      <c r="G207" s="2"/>
      <c r="H207" s="2"/>
      <c r="I207" s="13">
        <v>2000</v>
      </c>
      <c r="J207" s="13">
        <f t="shared" si="32"/>
        <v>8000</v>
      </c>
      <c r="K207" s="13">
        <f t="shared" si="33"/>
        <v>8000</v>
      </c>
      <c r="L207" s="14">
        <f t="shared" si="34"/>
        <v>0.5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2">
        <v>3</v>
      </c>
      <c r="B208" s="10" t="s">
        <v>17</v>
      </c>
      <c r="C208" s="11" t="s">
        <v>87</v>
      </c>
      <c r="D208" s="13">
        <v>3000</v>
      </c>
      <c r="E208" s="13">
        <f t="shared" si="31"/>
        <v>9000</v>
      </c>
      <c r="F208" s="2"/>
      <c r="G208" s="2"/>
      <c r="H208" s="2"/>
      <c r="I208" s="13">
        <f>28000/17</f>
        <v>1647.0588235294117</v>
      </c>
      <c r="J208" s="13">
        <f t="shared" si="32"/>
        <v>4941.1764705882351</v>
      </c>
      <c r="K208" s="13">
        <f t="shared" si="33"/>
        <v>4058.8235294117649</v>
      </c>
      <c r="L208" s="14">
        <f t="shared" si="34"/>
        <v>0.45098039215686275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2">
        <v>3</v>
      </c>
      <c r="B209" s="10" t="s">
        <v>17</v>
      </c>
      <c r="C209" s="11" t="s">
        <v>67</v>
      </c>
      <c r="D209" s="13">
        <v>1400</v>
      </c>
      <c r="E209" s="13">
        <f t="shared" si="31"/>
        <v>4200</v>
      </c>
      <c r="F209" s="2"/>
      <c r="G209" s="2"/>
      <c r="H209" s="2"/>
      <c r="I209" s="13">
        <f>10000/15</f>
        <v>666.66666666666663</v>
      </c>
      <c r="J209" s="13">
        <f t="shared" si="32"/>
        <v>2000</v>
      </c>
      <c r="K209" s="13">
        <f t="shared" si="33"/>
        <v>2200</v>
      </c>
      <c r="L209" s="14">
        <f t="shared" si="34"/>
        <v>0.52380952380952384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"/>
      <c r="B210" s="2"/>
      <c r="C210" s="4"/>
      <c r="D210" s="2"/>
      <c r="E210" s="2"/>
      <c r="F210" s="2"/>
      <c r="G210" s="4"/>
      <c r="H210" s="2"/>
      <c r="I210" s="2"/>
      <c r="J210" s="2"/>
      <c r="K210" s="2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"/>
      <c r="B211" s="2"/>
      <c r="C211" s="4"/>
      <c r="D211" s="2"/>
      <c r="E211" s="13">
        <f>SUM(E203:E209)</f>
        <v>150400</v>
      </c>
      <c r="F211" s="2"/>
      <c r="G211" s="2"/>
      <c r="H211" s="2"/>
      <c r="I211" s="2"/>
      <c r="J211" s="2"/>
      <c r="K211" s="13">
        <f>SUM(K203:K209)</f>
        <v>92458.823529411762</v>
      </c>
      <c r="L211" s="14">
        <f>K211/E211</f>
        <v>0.61475281602002496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0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6" t="s">
        <v>174</v>
      </c>
      <c r="B213" s="25"/>
      <c r="C213" s="1"/>
      <c r="D213" s="12" t="s">
        <v>1093</v>
      </c>
      <c r="E213" s="8">
        <v>46126</v>
      </c>
      <c r="F213" s="15" t="s">
        <v>37</v>
      </c>
      <c r="G213" s="2"/>
      <c r="H213" s="2"/>
      <c r="I213" s="2"/>
      <c r="J213" s="2"/>
      <c r="K213" s="2"/>
      <c r="L213" s="3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"/>
      <c r="B214" s="2"/>
      <c r="C214" s="1"/>
      <c r="D214" s="2"/>
      <c r="E214" s="2"/>
      <c r="F214" s="2"/>
      <c r="G214" s="2"/>
      <c r="H214" s="2"/>
      <c r="I214" s="2"/>
      <c r="J214" s="2"/>
      <c r="K214" s="2"/>
      <c r="L214" s="3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6" t="s">
        <v>3</v>
      </c>
      <c r="B215" s="10" t="s">
        <v>4</v>
      </c>
      <c r="C215" s="6" t="s">
        <v>5</v>
      </c>
      <c r="D215" s="10" t="s">
        <v>6</v>
      </c>
      <c r="E215" s="10" t="s">
        <v>7</v>
      </c>
      <c r="F215" s="2"/>
      <c r="G215" s="2"/>
      <c r="H215" s="2"/>
      <c r="I215" s="10" t="s">
        <v>6</v>
      </c>
      <c r="J215" s="10" t="s">
        <v>7</v>
      </c>
      <c r="K215" s="10" t="s">
        <v>10</v>
      </c>
      <c r="L215" s="3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3</v>
      </c>
      <c r="B216" s="10" t="s">
        <v>23</v>
      </c>
      <c r="C216" s="6" t="s">
        <v>61</v>
      </c>
      <c r="D216" s="13">
        <v>38000</v>
      </c>
      <c r="E216" s="13">
        <f t="shared" ref="E216:E226" si="35">A216*D216</f>
        <v>114000</v>
      </c>
      <c r="F216" s="2"/>
      <c r="G216" s="2"/>
      <c r="H216" s="2"/>
      <c r="I216" s="13">
        <v>30000</v>
      </c>
      <c r="J216" s="13">
        <f t="shared" ref="J216:J226" si="36">I216*A216</f>
        <v>90000</v>
      </c>
      <c r="K216" s="13">
        <f t="shared" ref="K216:K226" si="37">E216-J216</f>
        <v>24000</v>
      </c>
      <c r="L216" s="14">
        <f t="shared" ref="L216:L226" si="38">K216/E216</f>
        <v>0.21052631578947367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4</v>
      </c>
      <c r="B217" s="10" t="s">
        <v>23</v>
      </c>
      <c r="C217" s="6" t="s">
        <v>99</v>
      </c>
      <c r="D217" s="13">
        <v>10000</v>
      </c>
      <c r="E217" s="13">
        <f t="shared" si="35"/>
        <v>40000</v>
      </c>
      <c r="F217" s="2"/>
      <c r="G217" s="2"/>
      <c r="H217" s="2"/>
      <c r="I217" s="13">
        <v>7000</v>
      </c>
      <c r="J217" s="13">
        <f t="shared" si="36"/>
        <v>28000</v>
      </c>
      <c r="K217" s="13">
        <f t="shared" si="37"/>
        <v>12000</v>
      </c>
      <c r="L217" s="14">
        <f t="shared" si="38"/>
        <v>0.3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3</v>
      </c>
      <c r="B218" s="10" t="s">
        <v>23</v>
      </c>
      <c r="C218" s="6" t="s">
        <v>98</v>
      </c>
      <c r="D218" s="13">
        <v>33000</v>
      </c>
      <c r="E218" s="13">
        <f t="shared" si="35"/>
        <v>99000</v>
      </c>
      <c r="F218" s="2"/>
      <c r="G218" s="2"/>
      <c r="H218" s="2"/>
      <c r="I218" s="13">
        <v>25000</v>
      </c>
      <c r="J218" s="13">
        <f t="shared" si="36"/>
        <v>75000</v>
      </c>
      <c r="K218" s="13">
        <f t="shared" si="37"/>
        <v>24000</v>
      </c>
      <c r="L218" s="14">
        <f t="shared" si="38"/>
        <v>0.24242424242424243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2">
        <v>3</v>
      </c>
      <c r="B219" s="10" t="s">
        <v>23</v>
      </c>
      <c r="C219" s="6" t="s">
        <v>22</v>
      </c>
      <c r="D219" s="13">
        <v>18000</v>
      </c>
      <c r="E219" s="13">
        <f t="shared" si="35"/>
        <v>54000</v>
      </c>
      <c r="F219" s="2"/>
      <c r="G219" s="2"/>
      <c r="H219" s="2"/>
      <c r="I219" s="13">
        <v>15000</v>
      </c>
      <c r="J219" s="13">
        <f t="shared" si="36"/>
        <v>45000</v>
      </c>
      <c r="K219" s="13">
        <f t="shared" si="37"/>
        <v>9000</v>
      </c>
      <c r="L219" s="14">
        <f t="shared" si="38"/>
        <v>0.16666666666666666</v>
      </c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3</v>
      </c>
      <c r="B220" s="10" t="s">
        <v>23</v>
      </c>
      <c r="C220" s="6" t="s">
        <v>79</v>
      </c>
      <c r="D220" s="13">
        <v>12000</v>
      </c>
      <c r="E220" s="13">
        <f t="shared" si="35"/>
        <v>36000</v>
      </c>
      <c r="F220" s="2"/>
      <c r="G220" s="2"/>
      <c r="H220" s="2"/>
      <c r="I220" s="13">
        <v>8000</v>
      </c>
      <c r="J220" s="13">
        <f t="shared" si="36"/>
        <v>24000</v>
      </c>
      <c r="K220" s="13">
        <f t="shared" si="37"/>
        <v>12000</v>
      </c>
      <c r="L220" s="14">
        <f t="shared" si="38"/>
        <v>0.33333333333333331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2">
        <v>2.5</v>
      </c>
      <c r="B221" s="10" t="s">
        <v>23</v>
      </c>
      <c r="C221" s="6" t="s">
        <v>46</v>
      </c>
      <c r="D221" s="13">
        <v>11000</v>
      </c>
      <c r="E221" s="13">
        <f t="shared" si="35"/>
        <v>27500</v>
      </c>
      <c r="F221" s="2"/>
      <c r="G221" s="2"/>
      <c r="H221" s="2"/>
      <c r="I221" s="13">
        <v>9000</v>
      </c>
      <c r="J221" s="13">
        <f t="shared" si="36"/>
        <v>22500</v>
      </c>
      <c r="K221" s="13">
        <f t="shared" si="37"/>
        <v>5000</v>
      </c>
      <c r="L221" s="14">
        <f t="shared" si="38"/>
        <v>0.18181818181818182</v>
      </c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2">
        <v>2</v>
      </c>
      <c r="B222" s="10" t="s">
        <v>23</v>
      </c>
      <c r="C222" s="6" t="s">
        <v>118</v>
      </c>
      <c r="D222" s="13">
        <v>11000</v>
      </c>
      <c r="E222" s="13">
        <f t="shared" si="35"/>
        <v>22000</v>
      </c>
      <c r="F222" s="2"/>
      <c r="G222" s="2"/>
      <c r="H222" s="2"/>
      <c r="I222" s="13">
        <v>8000</v>
      </c>
      <c r="J222" s="13">
        <f t="shared" si="36"/>
        <v>16000</v>
      </c>
      <c r="K222" s="13">
        <f t="shared" si="37"/>
        <v>6000</v>
      </c>
      <c r="L222" s="14">
        <f t="shared" si="38"/>
        <v>0.27272727272727271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2">
        <v>1</v>
      </c>
      <c r="B223" s="10" t="s">
        <v>86</v>
      </c>
      <c r="C223" s="6" t="s">
        <v>55</v>
      </c>
      <c r="D223" s="13">
        <v>95000</v>
      </c>
      <c r="E223" s="13">
        <f t="shared" si="35"/>
        <v>95000</v>
      </c>
      <c r="F223" s="2"/>
      <c r="G223" s="2"/>
      <c r="H223" s="2"/>
      <c r="I223" s="13">
        <v>85000</v>
      </c>
      <c r="J223" s="13">
        <f t="shared" si="36"/>
        <v>85000</v>
      </c>
      <c r="K223" s="13">
        <f t="shared" si="37"/>
        <v>10000</v>
      </c>
      <c r="L223" s="14">
        <f t="shared" si="38"/>
        <v>0.10526315789473684</v>
      </c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2">
        <v>6</v>
      </c>
      <c r="B224" s="10" t="s">
        <v>15</v>
      </c>
      <c r="C224" s="6" t="s">
        <v>135</v>
      </c>
      <c r="D224" s="13">
        <v>16000</v>
      </c>
      <c r="E224" s="13">
        <f t="shared" si="35"/>
        <v>96000</v>
      </c>
      <c r="F224" s="2"/>
      <c r="G224" s="2"/>
      <c r="H224" s="2"/>
      <c r="I224" s="13">
        <v>13000</v>
      </c>
      <c r="J224" s="13">
        <f t="shared" si="36"/>
        <v>78000</v>
      </c>
      <c r="K224" s="13">
        <f t="shared" si="37"/>
        <v>18000</v>
      </c>
      <c r="L224" s="14">
        <f t="shared" si="38"/>
        <v>0.1875</v>
      </c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2">
        <v>1</v>
      </c>
      <c r="B225" s="10" t="s">
        <v>23</v>
      </c>
      <c r="C225" s="6" t="s">
        <v>31</v>
      </c>
      <c r="D225" s="13">
        <v>20000</v>
      </c>
      <c r="E225" s="13">
        <f t="shared" si="35"/>
        <v>20000</v>
      </c>
      <c r="F225" s="2"/>
      <c r="G225" s="2"/>
      <c r="H225" s="2"/>
      <c r="I225" s="13">
        <v>13000</v>
      </c>
      <c r="J225" s="13">
        <f t="shared" si="36"/>
        <v>13000</v>
      </c>
      <c r="K225" s="13">
        <f t="shared" si="37"/>
        <v>7000</v>
      </c>
      <c r="L225" s="14">
        <f t="shared" si="38"/>
        <v>0.35</v>
      </c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2">
        <v>1</v>
      </c>
      <c r="B226" s="10" t="s">
        <v>23</v>
      </c>
      <c r="C226" s="6" t="s">
        <v>1094</v>
      </c>
      <c r="D226" s="13">
        <v>15000</v>
      </c>
      <c r="E226" s="13">
        <f t="shared" si="35"/>
        <v>15000</v>
      </c>
      <c r="F226" s="2"/>
      <c r="G226" s="2"/>
      <c r="H226" s="2"/>
      <c r="I226" s="13">
        <v>13000</v>
      </c>
      <c r="J226" s="13">
        <f t="shared" si="36"/>
        <v>13000</v>
      </c>
      <c r="K226" s="13">
        <f t="shared" si="37"/>
        <v>2000</v>
      </c>
      <c r="L226" s="14">
        <f t="shared" si="38"/>
        <v>0.13333333333333333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"/>
      <c r="B227" s="2"/>
      <c r="C227" s="1"/>
      <c r="D227" s="2"/>
      <c r="E227" s="2"/>
      <c r="F227" s="2"/>
      <c r="G227" s="1"/>
      <c r="H227" s="2"/>
      <c r="I227" s="2"/>
      <c r="J227" s="2"/>
      <c r="K227" s="2"/>
      <c r="L227" s="3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"/>
      <c r="B228" s="2"/>
      <c r="C228" s="1"/>
      <c r="D228" s="2"/>
      <c r="E228" s="13">
        <f>SUM(E216:E226)</f>
        <v>618500</v>
      </c>
      <c r="F228" s="2"/>
      <c r="G228" s="2"/>
      <c r="H228" s="2"/>
      <c r="I228" s="2"/>
      <c r="J228" s="2"/>
      <c r="K228" s="13">
        <f>SUM(K216:K226)</f>
        <v>129000</v>
      </c>
      <c r="L228" s="14">
        <f>K228/E228</f>
        <v>0.2085691188358933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0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0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0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88" t="s">
        <v>47</v>
      </c>
      <c r="B232" s="89"/>
      <c r="C232" s="89"/>
      <c r="D232" s="2"/>
      <c r="E232" s="7" t="s">
        <v>179</v>
      </c>
      <c r="F232" s="8">
        <v>46126</v>
      </c>
      <c r="G232" s="7"/>
      <c r="H232" s="2"/>
      <c r="I232" s="9" t="s">
        <v>2</v>
      </c>
      <c r="J232" s="9"/>
      <c r="K232" s="9"/>
      <c r="L232" s="3"/>
      <c r="M232" s="1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3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6" t="s">
        <v>3</v>
      </c>
      <c r="B234" s="10" t="s">
        <v>4</v>
      </c>
      <c r="C234" s="11" t="s">
        <v>5</v>
      </c>
      <c r="D234" s="10" t="s">
        <v>6</v>
      </c>
      <c r="E234" s="10" t="s">
        <v>7</v>
      </c>
      <c r="F234" s="10" t="s">
        <v>8</v>
      </c>
      <c r="G234" s="2"/>
      <c r="H234" s="2"/>
      <c r="I234" s="10" t="s">
        <v>9</v>
      </c>
      <c r="J234" s="10" t="s">
        <v>7</v>
      </c>
      <c r="K234" s="10" t="s">
        <v>10</v>
      </c>
      <c r="L234" s="3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3</v>
      </c>
      <c r="B235" s="10" t="s">
        <v>15</v>
      </c>
      <c r="C235" s="11" t="s">
        <v>27</v>
      </c>
      <c r="D235" s="13">
        <v>25000</v>
      </c>
      <c r="E235" s="13">
        <f t="shared" ref="E235:E266" si="39">A235*D235</f>
        <v>75000</v>
      </c>
      <c r="F235" s="13">
        <f t="shared" ref="F235:F265" si="40">E235*1.105</f>
        <v>82875</v>
      </c>
      <c r="G235" s="2"/>
      <c r="H235" s="2"/>
      <c r="I235" s="13">
        <v>18000</v>
      </c>
      <c r="J235" s="13">
        <f t="shared" ref="J235:J266" si="41">I235*A235</f>
        <v>54000</v>
      </c>
      <c r="K235" s="13">
        <f t="shared" ref="K235:K266" si="42">F235-J235</f>
        <v>28875</v>
      </c>
      <c r="L235" s="18">
        <f t="shared" ref="L235:L266" si="43">IFERROR(K235/E235, 0)</f>
        <v>0.38500000000000001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10</v>
      </c>
      <c r="B236" s="10" t="s">
        <v>17</v>
      </c>
      <c r="C236" s="11" t="s">
        <v>40</v>
      </c>
      <c r="D236" s="13">
        <v>1300</v>
      </c>
      <c r="E236" s="13">
        <f t="shared" si="39"/>
        <v>13000</v>
      </c>
      <c r="F236" s="13">
        <f t="shared" si="40"/>
        <v>14365</v>
      </c>
      <c r="G236" s="2"/>
      <c r="H236" s="2"/>
      <c r="I236" s="13">
        <v>1000</v>
      </c>
      <c r="J236" s="13">
        <f t="shared" si="41"/>
        <v>10000</v>
      </c>
      <c r="K236" s="13">
        <f t="shared" si="42"/>
        <v>4365</v>
      </c>
      <c r="L236" s="18">
        <f t="shared" si="43"/>
        <v>0.33576923076923076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10</v>
      </c>
      <c r="B237" s="10" t="s">
        <v>17</v>
      </c>
      <c r="C237" s="11" t="s">
        <v>48</v>
      </c>
      <c r="D237" s="13">
        <v>1000</v>
      </c>
      <c r="E237" s="13">
        <f t="shared" si="39"/>
        <v>10000</v>
      </c>
      <c r="F237" s="13">
        <f t="shared" si="40"/>
        <v>11050</v>
      </c>
      <c r="G237" s="2"/>
      <c r="H237" s="2"/>
      <c r="I237" s="13">
        <f>8000/15</f>
        <v>533.33333333333337</v>
      </c>
      <c r="J237" s="13">
        <f t="shared" si="41"/>
        <v>5333.3333333333339</v>
      </c>
      <c r="K237" s="13">
        <f t="shared" si="42"/>
        <v>5716.6666666666661</v>
      </c>
      <c r="L237" s="18">
        <f t="shared" si="43"/>
        <v>0.57166666666666666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2">
        <v>8</v>
      </c>
      <c r="B238" s="10" t="s">
        <v>17</v>
      </c>
      <c r="C238" s="11" t="s">
        <v>39</v>
      </c>
      <c r="D238" s="13">
        <v>1600</v>
      </c>
      <c r="E238" s="13">
        <f t="shared" si="39"/>
        <v>12800</v>
      </c>
      <c r="F238" s="13">
        <f t="shared" si="40"/>
        <v>14144</v>
      </c>
      <c r="G238" s="2"/>
      <c r="H238" s="2"/>
      <c r="I238" s="13">
        <f>12000/15</f>
        <v>800</v>
      </c>
      <c r="J238" s="13">
        <f t="shared" si="41"/>
        <v>6400</v>
      </c>
      <c r="K238" s="13">
        <f t="shared" si="42"/>
        <v>7744</v>
      </c>
      <c r="L238" s="18">
        <f t="shared" si="43"/>
        <v>0.60499999999999998</v>
      </c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2">
        <v>3</v>
      </c>
      <c r="B239" s="10" t="s">
        <v>17</v>
      </c>
      <c r="C239" s="11" t="s">
        <v>31</v>
      </c>
      <c r="D239" s="13">
        <v>3200</v>
      </c>
      <c r="E239" s="13">
        <f t="shared" si="39"/>
        <v>9600</v>
      </c>
      <c r="F239" s="13">
        <f t="shared" si="40"/>
        <v>10608</v>
      </c>
      <c r="G239" s="2"/>
      <c r="H239" s="2"/>
      <c r="I239" s="13">
        <f>15000/7</f>
        <v>2142.8571428571427</v>
      </c>
      <c r="J239" s="13">
        <f t="shared" si="41"/>
        <v>6428.5714285714275</v>
      </c>
      <c r="K239" s="13">
        <f t="shared" si="42"/>
        <v>4179.4285714285725</v>
      </c>
      <c r="L239" s="18">
        <f t="shared" si="43"/>
        <v>0.43535714285714294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2">
        <v>2</v>
      </c>
      <c r="B240" s="10" t="s">
        <v>17</v>
      </c>
      <c r="C240" s="11" t="s">
        <v>32</v>
      </c>
      <c r="D240" s="13">
        <v>2400</v>
      </c>
      <c r="E240" s="13">
        <f t="shared" si="39"/>
        <v>4800</v>
      </c>
      <c r="F240" s="13">
        <f t="shared" si="40"/>
        <v>5304</v>
      </c>
      <c r="G240" s="2"/>
      <c r="H240" s="2"/>
      <c r="I240" s="13">
        <f>12000/7</f>
        <v>1714.2857142857142</v>
      </c>
      <c r="J240" s="13">
        <f t="shared" si="41"/>
        <v>3428.5714285714284</v>
      </c>
      <c r="K240" s="13">
        <f t="shared" si="42"/>
        <v>1875.4285714285716</v>
      </c>
      <c r="L240" s="18">
        <f t="shared" si="43"/>
        <v>0.39071428571428574</v>
      </c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2">
        <v>2</v>
      </c>
      <c r="B241" s="10" t="s">
        <v>17</v>
      </c>
      <c r="C241" s="11" t="s">
        <v>33</v>
      </c>
      <c r="D241" s="13">
        <v>2800</v>
      </c>
      <c r="E241" s="13">
        <f t="shared" si="39"/>
        <v>5600</v>
      </c>
      <c r="F241" s="13">
        <f t="shared" si="40"/>
        <v>6188</v>
      </c>
      <c r="G241" s="2"/>
      <c r="H241" s="2"/>
      <c r="I241" s="13">
        <v>2142.86</v>
      </c>
      <c r="J241" s="13">
        <f t="shared" si="41"/>
        <v>4285.72</v>
      </c>
      <c r="K241" s="13">
        <f t="shared" si="42"/>
        <v>1902.2799999999997</v>
      </c>
      <c r="L241" s="18">
        <f t="shared" si="43"/>
        <v>0.33969285714285707</v>
      </c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2">
        <v>2</v>
      </c>
      <c r="B242" s="10" t="s">
        <v>17</v>
      </c>
      <c r="C242" s="11" t="s">
        <v>18</v>
      </c>
      <c r="D242" s="13">
        <v>1600</v>
      </c>
      <c r="E242" s="13">
        <f t="shared" si="39"/>
        <v>3200</v>
      </c>
      <c r="F242" s="13">
        <f t="shared" si="40"/>
        <v>3536</v>
      </c>
      <c r="G242" s="2"/>
      <c r="H242" s="2"/>
      <c r="I242" s="13">
        <v>1000</v>
      </c>
      <c r="J242" s="13">
        <f t="shared" si="41"/>
        <v>2000</v>
      </c>
      <c r="K242" s="13">
        <f t="shared" si="42"/>
        <v>1536</v>
      </c>
      <c r="L242" s="18">
        <f t="shared" si="43"/>
        <v>0.48</v>
      </c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2">
        <v>2</v>
      </c>
      <c r="B243" s="10" t="s">
        <v>17</v>
      </c>
      <c r="C243" s="11" t="s">
        <v>56</v>
      </c>
      <c r="D243" s="13">
        <v>1200</v>
      </c>
      <c r="E243" s="13">
        <f t="shared" si="39"/>
        <v>2400</v>
      </c>
      <c r="F243" s="13">
        <f t="shared" si="40"/>
        <v>2652</v>
      </c>
      <c r="G243" s="2"/>
      <c r="H243" s="2"/>
      <c r="I243" s="13">
        <v>812</v>
      </c>
      <c r="J243" s="13">
        <f t="shared" si="41"/>
        <v>1624</v>
      </c>
      <c r="K243" s="13">
        <f t="shared" si="42"/>
        <v>1028</v>
      </c>
      <c r="L243" s="18">
        <f t="shared" si="43"/>
        <v>0.42833333333333334</v>
      </c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2">
        <v>2</v>
      </c>
      <c r="B244" s="10" t="s">
        <v>17</v>
      </c>
      <c r="C244" s="11" t="s">
        <v>82</v>
      </c>
      <c r="D244" s="13">
        <v>2600</v>
      </c>
      <c r="E244" s="13">
        <f t="shared" si="39"/>
        <v>5200</v>
      </c>
      <c r="F244" s="13">
        <f t="shared" si="40"/>
        <v>5746</v>
      </c>
      <c r="G244" s="2"/>
      <c r="H244" s="2"/>
      <c r="I244" s="13">
        <f>25000/14</f>
        <v>1785.7142857142858</v>
      </c>
      <c r="J244" s="13">
        <f t="shared" si="41"/>
        <v>3571.4285714285716</v>
      </c>
      <c r="K244" s="13">
        <f t="shared" si="42"/>
        <v>2174.5714285714284</v>
      </c>
      <c r="L244" s="18">
        <f t="shared" si="43"/>
        <v>0.41818681318681317</v>
      </c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2</v>
      </c>
      <c r="B245" s="10" t="s">
        <v>17</v>
      </c>
      <c r="C245" s="11" t="s">
        <v>43</v>
      </c>
      <c r="D245" s="13">
        <v>6000</v>
      </c>
      <c r="E245" s="13">
        <f t="shared" si="39"/>
        <v>12000</v>
      </c>
      <c r="F245" s="13">
        <f t="shared" si="40"/>
        <v>13260</v>
      </c>
      <c r="G245" s="2"/>
      <c r="H245" s="2"/>
      <c r="I245" s="13">
        <v>5000</v>
      </c>
      <c r="J245" s="13">
        <f t="shared" si="41"/>
        <v>10000</v>
      </c>
      <c r="K245" s="13">
        <f t="shared" si="42"/>
        <v>3260</v>
      </c>
      <c r="L245" s="18">
        <f t="shared" si="43"/>
        <v>0.27166666666666667</v>
      </c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2</v>
      </c>
      <c r="B246" s="10" t="s">
        <v>21</v>
      </c>
      <c r="C246" s="11" t="s">
        <v>22</v>
      </c>
      <c r="D246" s="13">
        <v>1700</v>
      </c>
      <c r="E246" s="13">
        <f t="shared" si="39"/>
        <v>3400</v>
      </c>
      <c r="F246" s="13">
        <f t="shared" si="40"/>
        <v>3757</v>
      </c>
      <c r="G246" s="2"/>
      <c r="H246" s="2"/>
      <c r="I246" s="13">
        <v>1500</v>
      </c>
      <c r="J246" s="13">
        <f t="shared" si="41"/>
        <v>3000</v>
      </c>
      <c r="K246" s="13">
        <f t="shared" si="42"/>
        <v>757</v>
      </c>
      <c r="L246" s="18">
        <f t="shared" si="43"/>
        <v>0.22264705882352942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1</v>
      </c>
      <c r="B247" s="10" t="s">
        <v>17</v>
      </c>
      <c r="C247" s="11" t="s">
        <v>61</v>
      </c>
      <c r="D247" s="13">
        <v>2800</v>
      </c>
      <c r="E247" s="13">
        <f t="shared" si="39"/>
        <v>2800</v>
      </c>
      <c r="F247" s="13">
        <f t="shared" si="40"/>
        <v>3094</v>
      </c>
      <c r="G247" s="2"/>
      <c r="H247" s="2"/>
      <c r="I247" s="13">
        <f>30000/14</f>
        <v>2142.8571428571427</v>
      </c>
      <c r="J247" s="13">
        <f t="shared" si="41"/>
        <v>2142.8571428571427</v>
      </c>
      <c r="K247" s="13">
        <f t="shared" si="42"/>
        <v>951.14285714285734</v>
      </c>
      <c r="L247" s="18">
        <f t="shared" si="43"/>
        <v>0.33969387755102048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1</v>
      </c>
      <c r="B248" s="10" t="s">
        <v>17</v>
      </c>
      <c r="C248" s="11" t="s">
        <v>35</v>
      </c>
      <c r="D248" s="13">
        <v>2500</v>
      </c>
      <c r="E248" s="13">
        <f t="shared" si="39"/>
        <v>2500</v>
      </c>
      <c r="F248" s="13">
        <f t="shared" si="40"/>
        <v>2762.5</v>
      </c>
      <c r="G248" s="2"/>
      <c r="H248" s="2"/>
      <c r="I248" s="13">
        <v>1500</v>
      </c>
      <c r="J248" s="13">
        <f t="shared" si="41"/>
        <v>1500</v>
      </c>
      <c r="K248" s="13">
        <f t="shared" si="42"/>
        <v>1262.5</v>
      </c>
      <c r="L248" s="18">
        <f t="shared" si="43"/>
        <v>0.505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</v>
      </c>
      <c r="B249" s="10" t="s">
        <v>17</v>
      </c>
      <c r="C249" s="11" t="s">
        <v>99</v>
      </c>
      <c r="D249" s="13">
        <v>1500</v>
      </c>
      <c r="E249" s="13">
        <f t="shared" si="39"/>
        <v>1500</v>
      </c>
      <c r="F249" s="13">
        <f t="shared" si="40"/>
        <v>1657.5</v>
      </c>
      <c r="G249" s="2"/>
      <c r="H249" s="2"/>
      <c r="I249" s="13">
        <v>1000</v>
      </c>
      <c r="J249" s="13">
        <f t="shared" si="41"/>
        <v>1000</v>
      </c>
      <c r="K249" s="13">
        <f t="shared" si="42"/>
        <v>657.5</v>
      </c>
      <c r="L249" s="18">
        <f t="shared" si="43"/>
        <v>0.43833333333333335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1</v>
      </c>
      <c r="B250" s="10" t="s">
        <v>21</v>
      </c>
      <c r="C250" s="11" t="s">
        <v>34</v>
      </c>
      <c r="D250" s="13">
        <v>5000</v>
      </c>
      <c r="E250" s="13">
        <f t="shared" si="39"/>
        <v>5000</v>
      </c>
      <c r="F250" s="13">
        <f t="shared" si="40"/>
        <v>5525</v>
      </c>
      <c r="G250" s="2"/>
      <c r="H250" s="2"/>
      <c r="I250" s="13">
        <v>2000</v>
      </c>
      <c r="J250" s="13">
        <f t="shared" si="41"/>
        <v>2000</v>
      </c>
      <c r="K250" s="13">
        <f t="shared" si="42"/>
        <v>3525</v>
      </c>
      <c r="L250" s="18">
        <f t="shared" si="43"/>
        <v>0.70499999999999996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1</v>
      </c>
      <c r="B251" s="10" t="s">
        <v>17</v>
      </c>
      <c r="C251" s="11" t="s">
        <v>38</v>
      </c>
      <c r="D251" s="13">
        <v>1800</v>
      </c>
      <c r="E251" s="13">
        <f t="shared" si="39"/>
        <v>1800</v>
      </c>
      <c r="F251" s="13">
        <f t="shared" si="40"/>
        <v>1989</v>
      </c>
      <c r="G251" s="2"/>
      <c r="H251" s="2"/>
      <c r="I251" s="13">
        <v>800</v>
      </c>
      <c r="J251" s="13">
        <f t="shared" si="41"/>
        <v>800</v>
      </c>
      <c r="K251" s="13">
        <f t="shared" si="42"/>
        <v>1189</v>
      </c>
      <c r="L251" s="18">
        <f t="shared" si="43"/>
        <v>0.66055555555555556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1.5</v>
      </c>
      <c r="B252" s="10" t="s">
        <v>21</v>
      </c>
      <c r="C252" s="11" t="s">
        <v>42</v>
      </c>
      <c r="D252" s="13">
        <v>4500</v>
      </c>
      <c r="E252" s="13">
        <f t="shared" si="39"/>
        <v>6750</v>
      </c>
      <c r="F252" s="13">
        <f t="shared" si="40"/>
        <v>7458.75</v>
      </c>
      <c r="G252" s="2"/>
      <c r="H252" s="2"/>
      <c r="I252" s="13">
        <v>2000</v>
      </c>
      <c r="J252" s="13">
        <f t="shared" si="41"/>
        <v>3000</v>
      </c>
      <c r="K252" s="13">
        <f t="shared" si="42"/>
        <v>4458.75</v>
      </c>
      <c r="L252" s="18">
        <f t="shared" si="43"/>
        <v>0.66055555555555556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14</v>
      </c>
      <c r="B253" s="10" t="s">
        <v>21</v>
      </c>
      <c r="C253" s="11" t="s">
        <v>46</v>
      </c>
      <c r="D253" s="13">
        <v>600</v>
      </c>
      <c r="E253" s="13">
        <f t="shared" si="39"/>
        <v>8400</v>
      </c>
      <c r="F253" s="13">
        <f t="shared" si="40"/>
        <v>9282</v>
      </c>
      <c r="G253" s="2"/>
      <c r="H253" s="2"/>
      <c r="I253" s="13">
        <f>9000/24</f>
        <v>375</v>
      </c>
      <c r="J253" s="13">
        <f t="shared" si="41"/>
        <v>5250</v>
      </c>
      <c r="K253" s="13">
        <f t="shared" si="42"/>
        <v>4032</v>
      </c>
      <c r="L253" s="18">
        <f t="shared" si="43"/>
        <v>0.48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1</v>
      </c>
      <c r="B254" s="10" t="s">
        <v>21</v>
      </c>
      <c r="C254" s="11" t="s">
        <v>29</v>
      </c>
      <c r="D254" s="13">
        <v>3500</v>
      </c>
      <c r="E254" s="13">
        <f t="shared" si="39"/>
        <v>3500</v>
      </c>
      <c r="F254" s="13">
        <f t="shared" si="40"/>
        <v>3867.5</v>
      </c>
      <c r="G254" s="2"/>
      <c r="H254" s="2"/>
      <c r="I254" s="13">
        <v>1500</v>
      </c>
      <c r="J254" s="13">
        <f t="shared" si="41"/>
        <v>1500</v>
      </c>
      <c r="K254" s="13">
        <f t="shared" si="42"/>
        <v>2367.5</v>
      </c>
      <c r="L254" s="18">
        <f t="shared" si="43"/>
        <v>0.67642857142857138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1</v>
      </c>
      <c r="B255" s="10" t="s">
        <v>21</v>
      </c>
      <c r="C255" s="11" t="s">
        <v>133</v>
      </c>
      <c r="D255" s="13">
        <v>3000</v>
      </c>
      <c r="E255" s="13">
        <f t="shared" si="39"/>
        <v>3000</v>
      </c>
      <c r="F255" s="13">
        <f t="shared" si="40"/>
        <v>3315</v>
      </c>
      <c r="G255" s="2"/>
      <c r="H255" s="2"/>
      <c r="I255" s="13">
        <f>2500/6</f>
        <v>416.66666666666669</v>
      </c>
      <c r="J255" s="13">
        <f t="shared" si="41"/>
        <v>416.66666666666669</v>
      </c>
      <c r="K255" s="13">
        <f t="shared" si="42"/>
        <v>2898.3333333333335</v>
      </c>
      <c r="L255" s="18">
        <f t="shared" si="43"/>
        <v>0.96611111111111114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1</v>
      </c>
      <c r="B256" s="10" t="s">
        <v>4</v>
      </c>
      <c r="C256" s="11" t="s">
        <v>13</v>
      </c>
      <c r="D256" s="13">
        <v>900</v>
      </c>
      <c r="E256" s="13">
        <f t="shared" si="39"/>
        <v>900</v>
      </c>
      <c r="F256" s="13">
        <f t="shared" si="40"/>
        <v>994.5</v>
      </c>
      <c r="G256" s="2"/>
      <c r="H256" s="2"/>
      <c r="I256" s="13">
        <v>460</v>
      </c>
      <c r="J256" s="13">
        <f t="shared" si="41"/>
        <v>460</v>
      </c>
      <c r="K256" s="13">
        <f t="shared" si="42"/>
        <v>534.5</v>
      </c>
      <c r="L256" s="18">
        <f t="shared" si="43"/>
        <v>0.59388888888888891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3</v>
      </c>
      <c r="B257" s="10" t="s">
        <v>4</v>
      </c>
      <c r="C257" s="11" t="s">
        <v>65</v>
      </c>
      <c r="D257" s="13">
        <v>1000</v>
      </c>
      <c r="E257" s="13">
        <f t="shared" si="39"/>
        <v>3000</v>
      </c>
      <c r="F257" s="13">
        <f t="shared" si="40"/>
        <v>3315</v>
      </c>
      <c r="G257" s="2"/>
      <c r="H257" s="2"/>
      <c r="I257" s="13">
        <v>500</v>
      </c>
      <c r="J257" s="13">
        <f t="shared" si="41"/>
        <v>1500</v>
      </c>
      <c r="K257" s="13">
        <f t="shared" si="42"/>
        <v>1815</v>
      </c>
      <c r="L257" s="18">
        <f t="shared" si="43"/>
        <v>0.60499999999999998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0.35</v>
      </c>
      <c r="B258" s="10" t="s">
        <v>17</v>
      </c>
      <c r="C258" s="11" t="s">
        <v>88</v>
      </c>
      <c r="D258" s="13">
        <v>2400</v>
      </c>
      <c r="E258" s="13">
        <f t="shared" si="39"/>
        <v>840</v>
      </c>
      <c r="F258" s="13">
        <f t="shared" si="40"/>
        <v>928.19999999999993</v>
      </c>
      <c r="G258" s="2"/>
      <c r="H258" s="2"/>
      <c r="I258" s="13">
        <f>15000/14</f>
        <v>1071.4285714285713</v>
      </c>
      <c r="J258" s="13">
        <f t="shared" si="41"/>
        <v>374.99999999999994</v>
      </c>
      <c r="K258" s="13">
        <f t="shared" si="42"/>
        <v>553.20000000000005</v>
      </c>
      <c r="L258" s="18">
        <f t="shared" si="43"/>
        <v>0.65857142857142859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0.7</v>
      </c>
      <c r="B259" s="10" t="s">
        <v>17</v>
      </c>
      <c r="C259" s="11" t="s">
        <v>93</v>
      </c>
      <c r="D259" s="13">
        <v>3000</v>
      </c>
      <c r="E259" s="13">
        <f t="shared" si="39"/>
        <v>2100</v>
      </c>
      <c r="F259" s="13">
        <f t="shared" si="40"/>
        <v>2320.5</v>
      </c>
      <c r="G259" s="2"/>
      <c r="H259" s="2"/>
      <c r="I259" s="13">
        <f>12000/8</f>
        <v>1500</v>
      </c>
      <c r="J259" s="13">
        <f t="shared" si="41"/>
        <v>1050</v>
      </c>
      <c r="K259" s="13">
        <f t="shared" si="42"/>
        <v>1270.5</v>
      </c>
      <c r="L259" s="18">
        <f t="shared" si="43"/>
        <v>0.60499999999999998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2</v>
      </c>
      <c r="B260" s="10" t="s">
        <v>21</v>
      </c>
      <c r="C260" s="11" t="s">
        <v>52</v>
      </c>
      <c r="D260" s="13">
        <v>2000</v>
      </c>
      <c r="E260" s="13">
        <f t="shared" si="39"/>
        <v>4000</v>
      </c>
      <c r="F260" s="13">
        <f t="shared" si="40"/>
        <v>4420</v>
      </c>
      <c r="G260" s="2"/>
      <c r="H260" s="2"/>
      <c r="I260" s="13">
        <v>1000</v>
      </c>
      <c r="J260" s="13">
        <f t="shared" si="41"/>
        <v>2000</v>
      </c>
      <c r="K260" s="13">
        <f t="shared" si="42"/>
        <v>2420</v>
      </c>
      <c r="L260" s="18">
        <f t="shared" si="43"/>
        <v>0.60499999999999998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1</v>
      </c>
      <c r="B261" s="10" t="s">
        <v>23</v>
      </c>
      <c r="C261" s="11" t="s">
        <v>26</v>
      </c>
      <c r="D261" s="13">
        <v>22000</v>
      </c>
      <c r="E261" s="13">
        <f t="shared" si="39"/>
        <v>22000</v>
      </c>
      <c r="F261" s="13">
        <f t="shared" si="40"/>
        <v>24310</v>
      </c>
      <c r="G261" s="2"/>
      <c r="H261" s="2"/>
      <c r="I261" s="13">
        <v>15000</v>
      </c>
      <c r="J261" s="13">
        <f t="shared" si="41"/>
        <v>15000</v>
      </c>
      <c r="K261" s="13">
        <f t="shared" si="42"/>
        <v>9310</v>
      </c>
      <c r="L261" s="18">
        <f t="shared" si="43"/>
        <v>0.42318181818181816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4</v>
      </c>
      <c r="B262" s="10" t="s">
        <v>17</v>
      </c>
      <c r="C262" s="11" t="s">
        <v>24</v>
      </c>
      <c r="D262" s="13">
        <v>3600</v>
      </c>
      <c r="E262" s="13">
        <f t="shared" si="39"/>
        <v>14400</v>
      </c>
      <c r="F262" s="13">
        <f t="shared" si="40"/>
        <v>15912</v>
      </c>
      <c r="G262" s="2"/>
      <c r="H262" s="2"/>
      <c r="I262" s="13">
        <f>50000/17</f>
        <v>2941.1764705882351</v>
      </c>
      <c r="J262" s="13">
        <f t="shared" si="41"/>
        <v>11764.705882352941</v>
      </c>
      <c r="K262" s="13">
        <f t="shared" si="42"/>
        <v>4147.2941176470595</v>
      </c>
      <c r="L262" s="18">
        <f t="shared" si="43"/>
        <v>0.28800653594771247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3</v>
      </c>
      <c r="B263" s="10" t="s">
        <v>17</v>
      </c>
      <c r="C263" s="11" t="s">
        <v>25</v>
      </c>
      <c r="D263" s="13">
        <v>4500</v>
      </c>
      <c r="E263" s="13">
        <f t="shared" si="39"/>
        <v>13500</v>
      </c>
      <c r="F263" s="13">
        <f t="shared" si="40"/>
        <v>14917.5</v>
      </c>
      <c r="G263" s="2"/>
      <c r="H263" s="2"/>
      <c r="I263" s="13">
        <f>60000/17</f>
        <v>3529.4117647058824</v>
      </c>
      <c r="J263" s="13">
        <f t="shared" si="41"/>
        <v>10588.235294117647</v>
      </c>
      <c r="K263" s="13">
        <f t="shared" si="42"/>
        <v>4329.2647058823532</v>
      </c>
      <c r="L263" s="18">
        <f t="shared" si="43"/>
        <v>0.32068627450980391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2</v>
      </c>
      <c r="B264" s="10" t="s">
        <v>17</v>
      </c>
      <c r="C264" s="11" t="s">
        <v>49</v>
      </c>
      <c r="D264" s="13">
        <v>3000</v>
      </c>
      <c r="E264" s="13">
        <f t="shared" si="39"/>
        <v>6000</v>
      </c>
      <c r="F264" s="13">
        <f t="shared" si="40"/>
        <v>6630</v>
      </c>
      <c r="G264" s="2"/>
      <c r="H264" s="2"/>
      <c r="I264" s="13">
        <f>35000/18</f>
        <v>1944.4444444444443</v>
      </c>
      <c r="J264" s="13">
        <f t="shared" si="41"/>
        <v>3888.8888888888887</v>
      </c>
      <c r="K264" s="13">
        <f t="shared" si="42"/>
        <v>2741.1111111111113</v>
      </c>
      <c r="L264" s="18">
        <f t="shared" si="43"/>
        <v>0.4568518518518519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1</v>
      </c>
      <c r="B265" s="10" t="s">
        <v>17</v>
      </c>
      <c r="C265" s="11" t="s">
        <v>62</v>
      </c>
      <c r="D265" s="13">
        <v>3000</v>
      </c>
      <c r="E265" s="13">
        <f t="shared" si="39"/>
        <v>3000</v>
      </c>
      <c r="F265" s="13">
        <f t="shared" si="40"/>
        <v>3315</v>
      </c>
      <c r="G265" s="2"/>
      <c r="H265" s="2"/>
      <c r="I265" s="13">
        <f>28000/17</f>
        <v>1647.0588235294117</v>
      </c>
      <c r="J265" s="13">
        <f t="shared" si="41"/>
        <v>1647.0588235294117</v>
      </c>
      <c r="K265" s="13">
        <f t="shared" si="42"/>
        <v>1667.9411764705883</v>
      </c>
      <c r="L265" s="18">
        <f t="shared" si="43"/>
        <v>0.55598039215686279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0.5</v>
      </c>
      <c r="B266" s="10" t="s">
        <v>23</v>
      </c>
      <c r="C266" s="11" t="s">
        <v>12</v>
      </c>
      <c r="D266" s="13">
        <v>54000</v>
      </c>
      <c r="E266" s="13">
        <f t="shared" si="39"/>
        <v>27000</v>
      </c>
      <c r="F266" s="13">
        <f>E266*1.21</f>
        <v>32670</v>
      </c>
      <c r="G266" s="2"/>
      <c r="H266" s="2"/>
      <c r="I266" s="13">
        <v>54000</v>
      </c>
      <c r="J266" s="13">
        <f t="shared" si="41"/>
        <v>27000</v>
      </c>
      <c r="K266" s="13">
        <f t="shared" si="42"/>
        <v>5670</v>
      </c>
      <c r="L266" s="18">
        <f t="shared" si="43"/>
        <v>0.21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"/>
      <c r="B267" s="2"/>
      <c r="C267" s="4"/>
      <c r="D267" s="2"/>
      <c r="E267" s="2"/>
      <c r="F267" s="2"/>
      <c r="G267" s="2"/>
      <c r="H267" s="2"/>
      <c r="I267" s="2"/>
      <c r="J267" s="2"/>
      <c r="K267" s="2"/>
      <c r="L267" s="3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"/>
      <c r="B268" s="2"/>
      <c r="C268" s="4"/>
      <c r="D268" s="2"/>
      <c r="E268" s="13">
        <f t="shared" ref="E268:F268" si="44">SUM(E235:E266)</f>
        <v>288990</v>
      </c>
      <c r="F268" s="13">
        <f t="shared" si="44"/>
        <v>322168.95</v>
      </c>
      <c r="G268" s="2"/>
      <c r="H268" s="2"/>
      <c r="I268" s="2"/>
      <c r="J268" s="2"/>
      <c r="K268" s="13">
        <f>SUM(K235:K266)</f>
        <v>119213.91253968253</v>
      </c>
      <c r="L268" s="18">
        <f>K268/F268</f>
        <v>0.37003538838762245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"/>
      <c r="B269" s="2"/>
      <c r="C269" s="4"/>
      <c r="D269" s="2"/>
      <c r="E269" s="2"/>
      <c r="F269" s="13"/>
      <c r="G269" s="4"/>
      <c r="H269" s="2"/>
      <c r="I269" s="2"/>
      <c r="J269" s="2"/>
      <c r="K269" s="2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6"/>
      <c r="B270" s="6"/>
      <c r="C270" s="6"/>
      <c r="D270" s="2"/>
      <c r="E270" s="7"/>
      <c r="F270" s="8"/>
      <c r="G270" s="7"/>
      <c r="H270" s="2"/>
      <c r="I270" s="9"/>
      <c r="J270" s="9"/>
      <c r="K270" s="9"/>
      <c r="L270" s="3"/>
      <c r="M270" s="1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88" t="s">
        <v>50</v>
      </c>
      <c r="B271" s="89"/>
      <c r="C271" s="89"/>
      <c r="D271" s="2"/>
      <c r="E271" s="7" t="s">
        <v>179</v>
      </c>
      <c r="F271" s="8">
        <v>46126</v>
      </c>
      <c r="G271" s="2"/>
      <c r="H271" s="2"/>
      <c r="I271" s="9" t="s">
        <v>2</v>
      </c>
      <c r="J271" s="9"/>
      <c r="K271" s="9"/>
      <c r="L271" s="3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3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6" t="s">
        <v>3</v>
      </c>
      <c r="B273" s="10" t="s">
        <v>4</v>
      </c>
      <c r="C273" s="11" t="s">
        <v>5</v>
      </c>
      <c r="D273" s="10" t="s">
        <v>6</v>
      </c>
      <c r="E273" s="10" t="s">
        <v>7</v>
      </c>
      <c r="F273" s="10" t="s">
        <v>8</v>
      </c>
      <c r="G273" s="2"/>
      <c r="H273" s="2"/>
      <c r="I273" s="10" t="s">
        <v>9</v>
      </c>
      <c r="J273" s="10" t="s">
        <v>7</v>
      </c>
      <c r="K273" s="10" t="s">
        <v>10</v>
      </c>
      <c r="L273" s="3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1</v>
      </c>
      <c r="B274" s="10" t="s">
        <v>21</v>
      </c>
      <c r="C274" s="11" t="s">
        <v>51</v>
      </c>
      <c r="D274" s="13">
        <v>1500</v>
      </c>
      <c r="E274" s="13">
        <f t="shared" ref="E274:E303" si="45">A274*D274</f>
        <v>1500</v>
      </c>
      <c r="F274" s="13">
        <f t="shared" ref="F274:F303" si="46">E274*1.105</f>
        <v>1657.5</v>
      </c>
      <c r="G274" s="2"/>
      <c r="H274" s="2"/>
      <c r="I274" s="13">
        <v>1000</v>
      </c>
      <c r="J274" s="13">
        <f t="shared" ref="J274:J303" si="47">I274*A274</f>
        <v>1000</v>
      </c>
      <c r="K274" s="13">
        <f t="shared" ref="K274:K303" si="48">F274-J274</f>
        <v>657.5</v>
      </c>
      <c r="L274" s="18">
        <f t="shared" ref="L274:L303" si="49">IFERROR(K274/E274, 0)</f>
        <v>0.43833333333333335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4</v>
      </c>
      <c r="B275" s="10" t="s">
        <v>17</v>
      </c>
      <c r="C275" s="11" t="s">
        <v>62</v>
      </c>
      <c r="D275" s="13">
        <v>3000</v>
      </c>
      <c r="E275" s="13">
        <f t="shared" si="45"/>
        <v>12000</v>
      </c>
      <c r="F275" s="13">
        <f t="shared" si="46"/>
        <v>13260</v>
      </c>
      <c r="G275" s="2"/>
      <c r="H275" s="2"/>
      <c r="I275" s="13">
        <f>28000/17</f>
        <v>1647.0588235294117</v>
      </c>
      <c r="J275" s="13">
        <f t="shared" si="47"/>
        <v>6588.2352941176468</v>
      </c>
      <c r="K275" s="13">
        <f t="shared" si="48"/>
        <v>6671.7647058823532</v>
      </c>
      <c r="L275" s="18">
        <f t="shared" si="49"/>
        <v>0.55598039215686279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2</v>
      </c>
      <c r="B276" s="10" t="s">
        <v>17</v>
      </c>
      <c r="C276" s="11" t="s">
        <v>129</v>
      </c>
      <c r="D276" s="13">
        <v>1600</v>
      </c>
      <c r="E276" s="13">
        <f t="shared" si="45"/>
        <v>3200</v>
      </c>
      <c r="F276" s="13">
        <f t="shared" si="46"/>
        <v>3536</v>
      </c>
      <c r="G276" s="2"/>
      <c r="H276" s="2"/>
      <c r="I276" s="13">
        <f>12000/11</f>
        <v>1090.909090909091</v>
      </c>
      <c r="J276" s="13">
        <f t="shared" si="47"/>
        <v>2181.818181818182</v>
      </c>
      <c r="K276" s="13">
        <f t="shared" si="48"/>
        <v>1354.181818181818</v>
      </c>
      <c r="L276" s="18">
        <f t="shared" si="49"/>
        <v>0.4231818181818181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5</v>
      </c>
      <c r="B277" s="10" t="s">
        <v>15</v>
      </c>
      <c r="C277" s="11" t="s">
        <v>27</v>
      </c>
      <c r="D277" s="13">
        <v>25000</v>
      </c>
      <c r="E277" s="13">
        <f t="shared" si="45"/>
        <v>125000</v>
      </c>
      <c r="F277" s="13">
        <f t="shared" si="46"/>
        <v>138125</v>
      </c>
      <c r="G277" s="2"/>
      <c r="H277" s="2"/>
      <c r="I277" s="13">
        <v>18000</v>
      </c>
      <c r="J277" s="13">
        <f t="shared" si="47"/>
        <v>90000</v>
      </c>
      <c r="K277" s="13">
        <f t="shared" si="48"/>
        <v>48125</v>
      </c>
      <c r="L277" s="18">
        <f t="shared" si="49"/>
        <v>0.38500000000000001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>
        <v>12</v>
      </c>
      <c r="B278" s="10" t="s">
        <v>17</v>
      </c>
      <c r="C278" s="11" t="s">
        <v>48</v>
      </c>
      <c r="D278" s="13">
        <v>1000</v>
      </c>
      <c r="E278" s="13">
        <f t="shared" si="45"/>
        <v>12000</v>
      </c>
      <c r="F278" s="13">
        <f t="shared" si="46"/>
        <v>13260</v>
      </c>
      <c r="G278" s="2"/>
      <c r="H278" s="2"/>
      <c r="I278" s="13">
        <f>8000/15</f>
        <v>533.33333333333337</v>
      </c>
      <c r="J278" s="13">
        <f t="shared" si="47"/>
        <v>6400</v>
      </c>
      <c r="K278" s="13">
        <f t="shared" si="48"/>
        <v>6860</v>
      </c>
      <c r="L278" s="18">
        <f t="shared" si="49"/>
        <v>0.57166666666666666</v>
      </c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2">
        <v>2</v>
      </c>
      <c r="B279" s="10" t="s">
        <v>21</v>
      </c>
      <c r="C279" s="11" t="s">
        <v>42</v>
      </c>
      <c r="D279" s="13">
        <v>4500</v>
      </c>
      <c r="E279" s="13">
        <f t="shared" si="45"/>
        <v>9000</v>
      </c>
      <c r="F279" s="13">
        <f t="shared" si="46"/>
        <v>9945</v>
      </c>
      <c r="G279" s="2"/>
      <c r="H279" s="2"/>
      <c r="I279" s="13">
        <v>2000</v>
      </c>
      <c r="J279" s="13">
        <f t="shared" si="47"/>
        <v>4000</v>
      </c>
      <c r="K279" s="13">
        <f t="shared" si="48"/>
        <v>5945</v>
      </c>
      <c r="L279" s="18">
        <f t="shared" si="49"/>
        <v>0.66055555555555556</v>
      </c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2">
        <v>6</v>
      </c>
      <c r="B280" s="10" t="s">
        <v>17</v>
      </c>
      <c r="C280" s="11" t="s">
        <v>18</v>
      </c>
      <c r="D280" s="13">
        <v>1600</v>
      </c>
      <c r="E280" s="13">
        <f t="shared" si="45"/>
        <v>9600</v>
      </c>
      <c r="F280" s="13">
        <f t="shared" si="46"/>
        <v>10608</v>
      </c>
      <c r="G280" s="2"/>
      <c r="H280" s="2"/>
      <c r="I280" s="13">
        <v>1000</v>
      </c>
      <c r="J280" s="13">
        <f t="shared" si="47"/>
        <v>6000</v>
      </c>
      <c r="K280" s="13">
        <f t="shared" si="48"/>
        <v>4608</v>
      </c>
      <c r="L280" s="18">
        <f t="shared" si="49"/>
        <v>0.48</v>
      </c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0.6</v>
      </c>
      <c r="B281" s="10" t="s">
        <v>17</v>
      </c>
      <c r="C281" s="11" t="s">
        <v>93</v>
      </c>
      <c r="D281" s="13">
        <v>3000</v>
      </c>
      <c r="E281" s="13">
        <f t="shared" si="45"/>
        <v>1800</v>
      </c>
      <c r="F281" s="13">
        <f t="shared" si="46"/>
        <v>1989</v>
      </c>
      <c r="G281" s="2"/>
      <c r="H281" s="2"/>
      <c r="I281" s="13">
        <f>12000/8</f>
        <v>1500</v>
      </c>
      <c r="J281" s="13">
        <f t="shared" si="47"/>
        <v>900</v>
      </c>
      <c r="K281" s="13">
        <f t="shared" si="48"/>
        <v>1089</v>
      </c>
      <c r="L281" s="18">
        <f t="shared" si="49"/>
        <v>0.60499999999999998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2</v>
      </c>
      <c r="B282" s="10" t="s">
        <v>21</v>
      </c>
      <c r="C282" s="11" t="s">
        <v>133</v>
      </c>
      <c r="D282" s="13">
        <v>3000</v>
      </c>
      <c r="E282" s="13">
        <f t="shared" si="45"/>
        <v>6000</v>
      </c>
      <c r="F282" s="13">
        <f t="shared" si="46"/>
        <v>6630</v>
      </c>
      <c r="G282" s="2"/>
      <c r="H282" s="2"/>
      <c r="I282" s="13">
        <f>2500/6</f>
        <v>416.66666666666669</v>
      </c>
      <c r="J282" s="13">
        <f t="shared" si="47"/>
        <v>833.33333333333337</v>
      </c>
      <c r="K282" s="13">
        <f t="shared" si="48"/>
        <v>5796.666666666667</v>
      </c>
      <c r="L282" s="18">
        <f t="shared" si="49"/>
        <v>0.96611111111111114</v>
      </c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1</v>
      </c>
      <c r="B283" s="10" t="s">
        <v>21</v>
      </c>
      <c r="C283" s="11" t="s">
        <v>52</v>
      </c>
      <c r="D283" s="13">
        <v>2000</v>
      </c>
      <c r="E283" s="13">
        <f t="shared" si="45"/>
        <v>2000</v>
      </c>
      <c r="F283" s="13">
        <f t="shared" si="46"/>
        <v>2210</v>
      </c>
      <c r="G283" s="2"/>
      <c r="H283" s="2"/>
      <c r="I283" s="13">
        <v>1000</v>
      </c>
      <c r="J283" s="13">
        <f t="shared" si="47"/>
        <v>1000</v>
      </c>
      <c r="K283" s="13">
        <f t="shared" si="48"/>
        <v>1210</v>
      </c>
      <c r="L283" s="18">
        <f t="shared" si="49"/>
        <v>0.60499999999999998</v>
      </c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3</v>
      </c>
      <c r="B284" s="10" t="s">
        <v>17</v>
      </c>
      <c r="C284" s="11" t="s">
        <v>43</v>
      </c>
      <c r="D284" s="13">
        <v>6000</v>
      </c>
      <c r="E284" s="13">
        <f t="shared" si="45"/>
        <v>18000</v>
      </c>
      <c r="F284" s="13">
        <f t="shared" si="46"/>
        <v>19890</v>
      </c>
      <c r="G284" s="2"/>
      <c r="H284" s="2"/>
      <c r="I284" s="13">
        <v>5000</v>
      </c>
      <c r="J284" s="13">
        <f t="shared" si="47"/>
        <v>15000</v>
      </c>
      <c r="K284" s="13">
        <f t="shared" si="48"/>
        <v>4890</v>
      </c>
      <c r="L284" s="18">
        <f t="shared" si="49"/>
        <v>0.27166666666666667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2</v>
      </c>
      <c r="B285" s="10" t="s">
        <v>17</v>
      </c>
      <c r="C285" s="11" t="s">
        <v>67</v>
      </c>
      <c r="D285" s="13">
        <v>1200</v>
      </c>
      <c r="E285" s="13">
        <f t="shared" si="45"/>
        <v>2400</v>
      </c>
      <c r="F285" s="13">
        <f t="shared" si="46"/>
        <v>2652</v>
      </c>
      <c r="G285" s="2"/>
      <c r="H285" s="2"/>
      <c r="I285" s="13">
        <f>10000/14</f>
        <v>714.28571428571433</v>
      </c>
      <c r="J285" s="13">
        <f t="shared" si="47"/>
        <v>1428.5714285714287</v>
      </c>
      <c r="K285" s="13">
        <f t="shared" si="48"/>
        <v>1223.4285714285713</v>
      </c>
      <c r="L285" s="18">
        <f t="shared" si="49"/>
        <v>0.50976190476190475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4</v>
      </c>
      <c r="B286" s="10" t="s">
        <v>17</v>
      </c>
      <c r="C286" s="11" t="s">
        <v>25</v>
      </c>
      <c r="D286" s="13">
        <v>4500</v>
      </c>
      <c r="E286" s="13">
        <f t="shared" si="45"/>
        <v>18000</v>
      </c>
      <c r="F286" s="13">
        <f t="shared" si="46"/>
        <v>19890</v>
      </c>
      <c r="G286" s="2"/>
      <c r="H286" s="2"/>
      <c r="I286" s="13">
        <f>60000/17</f>
        <v>3529.4117647058824</v>
      </c>
      <c r="J286" s="13">
        <f t="shared" si="47"/>
        <v>14117.64705882353</v>
      </c>
      <c r="K286" s="13">
        <f t="shared" si="48"/>
        <v>5772.3529411764703</v>
      </c>
      <c r="L286" s="18">
        <f t="shared" si="49"/>
        <v>0.32068627450980391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3</v>
      </c>
      <c r="B287" s="10" t="s">
        <v>17</v>
      </c>
      <c r="C287" s="11" t="s">
        <v>33</v>
      </c>
      <c r="D287" s="13">
        <v>2800</v>
      </c>
      <c r="E287" s="13">
        <f t="shared" si="45"/>
        <v>8400</v>
      </c>
      <c r="F287" s="13">
        <f t="shared" si="46"/>
        <v>9282</v>
      </c>
      <c r="G287" s="2"/>
      <c r="H287" s="2"/>
      <c r="I287" s="13">
        <f>15000/7</f>
        <v>2142.8571428571427</v>
      </c>
      <c r="J287" s="13">
        <f t="shared" si="47"/>
        <v>6428.5714285714275</v>
      </c>
      <c r="K287" s="13">
        <f t="shared" si="48"/>
        <v>2853.4285714285725</v>
      </c>
      <c r="L287" s="18">
        <f t="shared" si="49"/>
        <v>0.33969387755102054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5</v>
      </c>
      <c r="B288" s="10" t="s">
        <v>17</v>
      </c>
      <c r="C288" s="11" t="s">
        <v>31</v>
      </c>
      <c r="D288" s="13">
        <v>3200</v>
      </c>
      <c r="E288" s="13">
        <f t="shared" si="45"/>
        <v>16000</v>
      </c>
      <c r="F288" s="13">
        <f t="shared" si="46"/>
        <v>17680</v>
      </c>
      <c r="G288" s="2"/>
      <c r="H288" s="2"/>
      <c r="I288" s="13">
        <v>2142.86</v>
      </c>
      <c r="J288" s="13">
        <f t="shared" si="47"/>
        <v>10714.300000000001</v>
      </c>
      <c r="K288" s="13">
        <f t="shared" si="48"/>
        <v>6965.6999999999989</v>
      </c>
      <c r="L288" s="18">
        <f t="shared" si="49"/>
        <v>0.43535624999999994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4</v>
      </c>
      <c r="B289" s="10" t="s">
        <v>17</v>
      </c>
      <c r="C289" s="11" t="s">
        <v>32</v>
      </c>
      <c r="D289" s="13">
        <v>2400</v>
      </c>
      <c r="E289" s="13">
        <f t="shared" si="45"/>
        <v>9600</v>
      </c>
      <c r="F289" s="13">
        <f t="shared" si="46"/>
        <v>10608</v>
      </c>
      <c r="G289" s="2"/>
      <c r="H289" s="2"/>
      <c r="I289" s="13">
        <f>12000/7</f>
        <v>1714.2857142857142</v>
      </c>
      <c r="J289" s="13">
        <f t="shared" si="47"/>
        <v>6857.1428571428569</v>
      </c>
      <c r="K289" s="13">
        <f t="shared" si="48"/>
        <v>3750.8571428571431</v>
      </c>
      <c r="L289" s="18">
        <f t="shared" si="49"/>
        <v>0.39071428571428574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3</v>
      </c>
      <c r="B290" s="10" t="s">
        <v>23</v>
      </c>
      <c r="C290" s="11" t="s">
        <v>26</v>
      </c>
      <c r="D290" s="13">
        <v>22000</v>
      </c>
      <c r="E290" s="13">
        <f t="shared" si="45"/>
        <v>66000</v>
      </c>
      <c r="F290" s="13">
        <f t="shared" si="46"/>
        <v>72930</v>
      </c>
      <c r="G290" s="2"/>
      <c r="H290" s="2"/>
      <c r="I290" s="13">
        <v>15000</v>
      </c>
      <c r="J290" s="13">
        <f t="shared" si="47"/>
        <v>45000</v>
      </c>
      <c r="K290" s="13">
        <f t="shared" si="48"/>
        <v>27930</v>
      </c>
      <c r="L290" s="18">
        <f t="shared" si="49"/>
        <v>0.42318181818181816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2</v>
      </c>
      <c r="B291" s="10" t="s">
        <v>4</v>
      </c>
      <c r="C291" s="11" t="s">
        <v>65</v>
      </c>
      <c r="D291" s="13">
        <v>1000</v>
      </c>
      <c r="E291" s="13">
        <f t="shared" si="45"/>
        <v>2000</v>
      </c>
      <c r="F291" s="13">
        <f t="shared" si="46"/>
        <v>2210</v>
      </c>
      <c r="G291" s="2"/>
      <c r="H291" s="2"/>
      <c r="I291" s="13">
        <v>500</v>
      </c>
      <c r="J291" s="13">
        <f t="shared" si="47"/>
        <v>1000</v>
      </c>
      <c r="K291" s="13">
        <f t="shared" si="48"/>
        <v>1210</v>
      </c>
      <c r="L291" s="18">
        <f t="shared" si="49"/>
        <v>0.60499999999999998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1</v>
      </c>
      <c r="B292" s="10" t="s">
        <v>17</v>
      </c>
      <c r="C292" s="11" t="s">
        <v>30</v>
      </c>
      <c r="D292" s="13">
        <v>1500</v>
      </c>
      <c r="E292" s="13">
        <f t="shared" si="45"/>
        <v>1500</v>
      </c>
      <c r="F292" s="13">
        <f t="shared" si="46"/>
        <v>1657.5</v>
      </c>
      <c r="G292" s="2"/>
      <c r="H292" s="2"/>
      <c r="I292" s="13">
        <f>12000/14</f>
        <v>857.14285714285711</v>
      </c>
      <c r="J292" s="13">
        <f t="shared" si="47"/>
        <v>857.14285714285711</v>
      </c>
      <c r="K292" s="13">
        <f t="shared" si="48"/>
        <v>800.35714285714289</v>
      </c>
      <c r="L292" s="18">
        <f t="shared" si="49"/>
        <v>0.53357142857142859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4</v>
      </c>
      <c r="B293" s="10" t="s">
        <v>17</v>
      </c>
      <c r="C293" s="11" t="s">
        <v>123</v>
      </c>
      <c r="D293" s="13">
        <v>3000</v>
      </c>
      <c r="E293" s="13">
        <f t="shared" si="45"/>
        <v>12000</v>
      </c>
      <c r="F293" s="13">
        <f t="shared" si="46"/>
        <v>13260</v>
      </c>
      <c r="G293" s="2"/>
      <c r="H293" s="2"/>
      <c r="I293" s="13">
        <f>32000/15</f>
        <v>2133.3333333333335</v>
      </c>
      <c r="J293" s="13">
        <f t="shared" si="47"/>
        <v>8533.3333333333339</v>
      </c>
      <c r="K293" s="13">
        <f t="shared" si="48"/>
        <v>4726.6666666666661</v>
      </c>
      <c r="L293" s="18">
        <f t="shared" si="49"/>
        <v>0.39388888888888884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1</v>
      </c>
      <c r="B294" s="10" t="s">
        <v>17</v>
      </c>
      <c r="C294" s="11" t="s">
        <v>34</v>
      </c>
      <c r="D294" s="13">
        <v>5000</v>
      </c>
      <c r="E294" s="13">
        <f t="shared" si="45"/>
        <v>5000</v>
      </c>
      <c r="F294" s="13">
        <f t="shared" si="46"/>
        <v>5525</v>
      </c>
      <c r="G294" s="2"/>
      <c r="H294" s="2"/>
      <c r="I294" s="13">
        <v>2000</v>
      </c>
      <c r="J294" s="13">
        <f t="shared" si="47"/>
        <v>2000</v>
      </c>
      <c r="K294" s="13">
        <f t="shared" si="48"/>
        <v>3525</v>
      </c>
      <c r="L294" s="18">
        <f t="shared" si="49"/>
        <v>0.70499999999999996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1</v>
      </c>
      <c r="B295" s="10" t="s">
        <v>17</v>
      </c>
      <c r="C295" s="11" t="s">
        <v>35</v>
      </c>
      <c r="D295" s="13">
        <v>2500</v>
      </c>
      <c r="E295" s="13">
        <f t="shared" si="45"/>
        <v>2500</v>
      </c>
      <c r="F295" s="13">
        <f t="shared" si="46"/>
        <v>2762.5</v>
      </c>
      <c r="G295" s="2"/>
      <c r="H295" s="2"/>
      <c r="I295" s="13">
        <v>1500</v>
      </c>
      <c r="J295" s="13">
        <f t="shared" si="47"/>
        <v>1500</v>
      </c>
      <c r="K295" s="13">
        <f t="shared" si="48"/>
        <v>1262.5</v>
      </c>
      <c r="L295" s="18">
        <f t="shared" si="49"/>
        <v>0.505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1.1000000000000001</v>
      </c>
      <c r="B296" s="10" t="s">
        <v>17</v>
      </c>
      <c r="C296" s="11" t="s">
        <v>36</v>
      </c>
      <c r="D296" s="13">
        <v>1800</v>
      </c>
      <c r="E296" s="13">
        <f t="shared" si="45"/>
        <v>1980.0000000000002</v>
      </c>
      <c r="F296" s="13">
        <f t="shared" si="46"/>
        <v>2187.9</v>
      </c>
      <c r="G296" s="2"/>
      <c r="H296" s="2"/>
      <c r="I296" s="13">
        <v>800</v>
      </c>
      <c r="J296" s="13">
        <f t="shared" si="47"/>
        <v>880.00000000000011</v>
      </c>
      <c r="K296" s="13">
        <f t="shared" si="48"/>
        <v>1307.9000000000001</v>
      </c>
      <c r="L296" s="18">
        <f t="shared" si="49"/>
        <v>0.66055555555555556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1.8</v>
      </c>
      <c r="B297" s="10" t="s">
        <v>17</v>
      </c>
      <c r="C297" s="11" t="s">
        <v>38</v>
      </c>
      <c r="D297" s="13">
        <v>1800</v>
      </c>
      <c r="E297" s="13">
        <f t="shared" si="45"/>
        <v>3240</v>
      </c>
      <c r="F297" s="13">
        <f t="shared" si="46"/>
        <v>3580.2</v>
      </c>
      <c r="G297" s="2"/>
      <c r="H297" s="2"/>
      <c r="I297" s="13">
        <v>800</v>
      </c>
      <c r="J297" s="13">
        <f t="shared" si="47"/>
        <v>1440</v>
      </c>
      <c r="K297" s="13">
        <f t="shared" si="48"/>
        <v>2140.1999999999998</v>
      </c>
      <c r="L297" s="18">
        <f t="shared" si="49"/>
        <v>0.66055555555555545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15</v>
      </c>
      <c r="B298" s="10" t="s">
        <v>21</v>
      </c>
      <c r="C298" s="11" t="s">
        <v>46</v>
      </c>
      <c r="D298" s="13">
        <v>600</v>
      </c>
      <c r="E298" s="13">
        <f t="shared" si="45"/>
        <v>9000</v>
      </c>
      <c r="F298" s="13">
        <f t="shared" si="46"/>
        <v>9945</v>
      </c>
      <c r="G298" s="2"/>
      <c r="H298" s="2"/>
      <c r="I298" s="13">
        <f>9000/24</f>
        <v>375</v>
      </c>
      <c r="J298" s="13">
        <f t="shared" si="47"/>
        <v>5625</v>
      </c>
      <c r="K298" s="13">
        <f t="shared" si="48"/>
        <v>4320</v>
      </c>
      <c r="L298" s="18">
        <f t="shared" si="49"/>
        <v>0.48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10</v>
      </c>
      <c r="B299" s="10" t="s">
        <v>17</v>
      </c>
      <c r="C299" s="11" t="s">
        <v>39</v>
      </c>
      <c r="D299" s="13">
        <v>1600</v>
      </c>
      <c r="E299" s="13">
        <f t="shared" si="45"/>
        <v>16000</v>
      </c>
      <c r="F299" s="13">
        <f t="shared" si="46"/>
        <v>17680</v>
      </c>
      <c r="G299" s="2"/>
      <c r="H299" s="2"/>
      <c r="I299" s="13">
        <f>12000/15</f>
        <v>800</v>
      </c>
      <c r="J299" s="13">
        <f t="shared" si="47"/>
        <v>8000</v>
      </c>
      <c r="K299" s="13">
        <f t="shared" si="48"/>
        <v>9680</v>
      </c>
      <c r="L299" s="18">
        <f t="shared" si="49"/>
        <v>0.60499999999999998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</v>
      </c>
      <c r="B300" s="10" t="s">
        <v>15</v>
      </c>
      <c r="C300" s="11" t="s">
        <v>40</v>
      </c>
      <c r="D300" s="13">
        <v>12000</v>
      </c>
      <c r="E300" s="13">
        <f t="shared" si="45"/>
        <v>12000</v>
      </c>
      <c r="F300" s="13">
        <f t="shared" si="46"/>
        <v>13260</v>
      </c>
      <c r="G300" s="2"/>
      <c r="H300" s="2"/>
      <c r="I300" s="13">
        <v>7000</v>
      </c>
      <c r="J300" s="13">
        <f t="shared" si="47"/>
        <v>7000</v>
      </c>
      <c r="K300" s="13">
        <f t="shared" si="48"/>
        <v>6260</v>
      </c>
      <c r="L300" s="18">
        <f t="shared" si="49"/>
        <v>0.52166666666666661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3.45</v>
      </c>
      <c r="B301" s="10" t="s">
        <v>17</v>
      </c>
      <c r="C301" s="11" t="s">
        <v>40</v>
      </c>
      <c r="D301" s="13">
        <v>1300</v>
      </c>
      <c r="E301" s="13">
        <f t="shared" si="45"/>
        <v>4485</v>
      </c>
      <c r="F301" s="13">
        <f t="shared" si="46"/>
        <v>4955.9250000000002</v>
      </c>
      <c r="G301" s="2"/>
      <c r="H301" s="2"/>
      <c r="I301" s="13">
        <v>1000</v>
      </c>
      <c r="J301" s="13">
        <f t="shared" si="47"/>
        <v>3450</v>
      </c>
      <c r="K301" s="13">
        <f t="shared" si="48"/>
        <v>1505.9250000000002</v>
      </c>
      <c r="L301" s="18">
        <f t="shared" si="49"/>
        <v>0.33576923076923082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2</v>
      </c>
      <c r="B302" s="10" t="s">
        <v>17</v>
      </c>
      <c r="C302" s="11" t="s">
        <v>82</v>
      </c>
      <c r="D302" s="13">
        <v>2600</v>
      </c>
      <c r="E302" s="13">
        <f t="shared" si="45"/>
        <v>5200</v>
      </c>
      <c r="F302" s="13">
        <f t="shared" si="46"/>
        <v>5746</v>
      </c>
      <c r="G302" s="2"/>
      <c r="H302" s="2"/>
      <c r="I302" s="13">
        <f>25000/14</f>
        <v>1785.7142857142858</v>
      </c>
      <c r="J302" s="13">
        <f t="shared" si="47"/>
        <v>3571.4285714285716</v>
      </c>
      <c r="K302" s="13">
        <f t="shared" si="48"/>
        <v>2174.5714285714284</v>
      </c>
      <c r="L302" s="18">
        <f t="shared" si="49"/>
        <v>0.41818681318681317</v>
      </c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1</v>
      </c>
      <c r="B303" s="10" t="s">
        <v>17</v>
      </c>
      <c r="C303" s="11" t="s">
        <v>61</v>
      </c>
      <c r="D303" s="13">
        <v>2800</v>
      </c>
      <c r="E303" s="13">
        <f t="shared" si="45"/>
        <v>2800</v>
      </c>
      <c r="F303" s="13">
        <f t="shared" si="46"/>
        <v>3094</v>
      </c>
      <c r="G303" s="2"/>
      <c r="H303" s="2"/>
      <c r="I303" s="13">
        <f>30000/15</f>
        <v>2000</v>
      </c>
      <c r="J303" s="13">
        <f t="shared" si="47"/>
        <v>2000</v>
      </c>
      <c r="K303" s="13">
        <f t="shared" si="48"/>
        <v>1094</v>
      </c>
      <c r="L303" s="18">
        <f t="shared" si="49"/>
        <v>0.39071428571428574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"/>
      <c r="B304" s="2"/>
      <c r="C304" s="4"/>
      <c r="D304" s="2"/>
      <c r="E304" s="2"/>
      <c r="F304" s="2"/>
      <c r="G304" s="2"/>
      <c r="H304" s="2"/>
      <c r="I304" s="2"/>
      <c r="J304" s="2"/>
      <c r="K304" s="2"/>
      <c r="L304" s="3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"/>
      <c r="B305" s="2"/>
      <c r="C305" s="4"/>
      <c r="D305" s="2"/>
      <c r="E305" s="13">
        <f t="shared" ref="E305:F305" si="50">SUM(E274:E303)</f>
        <v>398205</v>
      </c>
      <c r="F305" s="13">
        <f t="shared" si="50"/>
        <v>440016.52500000002</v>
      </c>
      <c r="G305" s="2"/>
      <c r="H305" s="2"/>
      <c r="I305" s="2"/>
      <c r="J305" s="2"/>
      <c r="K305" s="13">
        <f>SUM(K274:K303)</f>
        <v>175710.00065571681</v>
      </c>
      <c r="L305" s="18">
        <f>K305/F305</f>
        <v>0.39932591317045829</v>
      </c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"/>
      <c r="B306" s="2"/>
      <c r="C306" s="4"/>
      <c r="D306" s="2"/>
      <c r="E306" s="13"/>
      <c r="F306" s="13"/>
      <c r="G306" s="2"/>
      <c r="H306" s="2"/>
      <c r="I306" s="2"/>
      <c r="J306" s="2"/>
      <c r="K306" s="13"/>
      <c r="L306" s="14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2"/>
      <c r="C307" s="4"/>
      <c r="D307" s="2"/>
      <c r="E307" s="13"/>
      <c r="F307" s="13"/>
      <c r="G307" s="2"/>
      <c r="H307" s="2"/>
      <c r="I307" s="2"/>
      <c r="J307" s="2"/>
      <c r="K307" s="13"/>
      <c r="L307" s="1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5.5" customHeight="1" x14ac:dyDescent="0.25">
      <c r="A308" s="26" t="s">
        <v>101</v>
      </c>
      <c r="B308" s="27">
        <f>F305+F268+E228+E211+F194+F169+F125+F86+F42</f>
        <v>3730001.0249999999</v>
      </c>
      <c r="C308" s="4"/>
      <c r="D308" s="4"/>
      <c r="E308" s="4"/>
      <c r="F308" s="4"/>
      <c r="G308" s="4"/>
      <c r="H308" s="4"/>
      <c r="I308" s="4"/>
      <c r="J308" s="4"/>
      <c r="K308" s="4"/>
      <c r="L308" s="28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8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7" customHeight="1" x14ac:dyDescent="0.25">
      <c r="A310" s="26" t="s">
        <v>102</v>
      </c>
      <c r="B310" s="27">
        <f>K305+K268+K228+K211+K194+K169+K125+K86+K42</f>
        <v>1361994.0335391732</v>
      </c>
      <c r="C310" s="4"/>
      <c r="D310" s="4"/>
      <c r="E310" s="4"/>
      <c r="F310" s="4"/>
      <c r="G310" s="4"/>
      <c r="H310" s="4"/>
      <c r="I310" s="4"/>
      <c r="J310" s="4"/>
      <c r="K310" s="4"/>
      <c r="L310" s="2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8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8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6.25" customHeight="1" x14ac:dyDescent="0.25">
      <c r="A313" s="26" t="s">
        <v>103</v>
      </c>
      <c r="B313" s="29">
        <f>B310/B308</f>
        <v>0.36514575315409553</v>
      </c>
      <c r="C313" s="4"/>
      <c r="D313" s="4"/>
      <c r="E313" s="4"/>
      <c r="F313" s="4"/>
      <c r="G313" s="4"/>
      <c r="H313" s="4"/>
      <c r="I313" s="4"/>
      <c r="J313" s="4"/>
      <c r="K313" s="4"/>
      <c r="L313" s="28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8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90" t="s">
        <v>104</v>
      </c>
      <c r="B315" s="89"/>
      <c r="C315" s="4"/>
      <c r="D315" s="4"/>
      <c r="E315" s="4"/>
      <c r="F315" s="4"/>
      <c r="G315" s="4"/>
      <c r="H315" s="4"/>
      <c r="I315" s="4"/>
      <c r="J315" s="4"/>
      <c r="K315" s="4"/>
      <c r="L315" s="28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2"/>
      <c r="C316" s="4"/>
      <c r="D316" s="2"/>
      <c r="E316" s="13"/>
      <c r="F316" s="13"/>
      <c r="G316" s="2"/>
      <c r="H316" s="2"/>
      <c r="I316" s="2"/>
      <c r="J316" s="2"/>
      <c r="K316" s="13"/>
      <c r="L316" s="1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"/>
      <c r="B317" s="2"/>
      <c r="C317" s="4"/>
      <c r="D317" s="2"/>
      <c r="E317" s="13"/>
      <c r="F317" s="13"/>
      <c r="G317" s="2"/>
      <c r="H317" s="2"/>
      <c r="I317" s="2"/>
      <c r="J317" s="2"/>
      <c r="K317" s="13"/>
      <c r="L317" s="1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"/>
      <c r="B318" s="2"/>
      <c r="C318" s="4"/>
      <c r="D318" s="2"/>
      <c r="E318" s="13"/>
      <c r="F318" s="13"/>
      <c r="G318" s="2"/>
      <c r="H318" s="2"/>
      <c r="I318" s="2"/>
      <c r="J318" s="2"/>
      <c r="K318" s="13"/>
      <c r="L318" s="1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"/>
      <c r="B319" s="2"/>
      <c r="C319" s="4"/>
      <c r="D319" s="2"/>
      <c r="E319" s="13"/>
      <c r="F319" s="13"/>
      <c r="G319" s="2"/>
      <c r="H319" s="2"/>
      <c r="I319" s="2"/>
      <c r="J319" s="2"/>
      <c r="K319" s="13"/>
      <c r="L319" s="1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2"/>
      <c r="C320" s="4"/>
      <c r="D320" s="2"/>
      <c r="E320" s="13"/>
      <c r="F320" s="13"/>
      <c r="G320" s="2"/>
      <c r="H320" s="2"/>
      <c r="I320" s="2"/>
      <c r="J320" s="2"/>
      <c r="K320" s="13"/>
      <c r="L320" s="1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"/>
      <c r="B321" s="2"/>
      <c r="C321" s="4"/>
      <c r="D321" s="2"/>
      <c r="E321" s="13"/>
      <c r="F321" s="13"/>
      <c r="G321" s="2"/>
      <c r="H321" s="2"/>
      <c r="I321" s="2"/>
      <c r="J321" s="2"/>
      <c r="K321" s="13"/>
      <c r="L321" s="1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2"/>
      <c r="C322" s="4"/>
      <c r="D322" s="2"/>
      <c r="E322" s="13"/>
      <c r="F322" s="13"/>
      <c r="G322" s="2"/>
      <c r="H322" s="2"/>
      <c r="I322" s="2"/>
      <c r="J322" s="2"/>
      <c r="K322" s="13"/>
      <c r="L322" s="1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"/>
      <c r="B323" s="2"/>
      <c r="C323" s="4"/>
      <c r="D323" s="2"/>
      <c r="E323" s="13"/>
      <c r="F323" s="13"/>
      <c r="G323" s="2"/>
      <c r="H323" s="2"/>
      <c r="I323" s="2"/>
      <c r="J323" s="2"/>
      <c r="K323" s="13"/>
      <c r="L323" s="1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"/>
      <c r="B324" s="2"/>
      <c r="C324" s="4"/>
      <c r="D324" s="2"/>
      <c r="E324" s="13"/>
      <c r="F324" s="13"/>
      <c r="G324" s="2"/>
      <c r="H324" s="2"/>
      <c r="I324" s="2"/>
      <c r="J324" s="2"/>
      <c r="K324" s="13"/>
      <c r="L324" s="1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"/>
      <c r="B325" s="2"/>
      <c r="C325" s="4"/>
      <c r="D325" s="2"/>
      <c r="E325" s="13"/>
      <c r="F325" s="13"/>
      <c r="G325" s="2"/>
      <c r="H325" s="2"/>
      <c r="I325" s="2"/>
      <c r="J325" s="2"/>
      <c r="K325" s="13"/>
      <c r="L325" s="1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"/>
      <c r="B326" s="2"/>
      <c r="C326" s="4"/>
      <c r="D326" s="2"/>
      <c r="E326" s="13"/>
      <c r="F326" s="13"/>
      <c r="G326" s="2"/>
      <c r="H326" s="2"/>
      <c r="I326" s="2"/>
      <c r="J326" s="2"/>
      <c r="K326" s="13"/>
      <c r="L326" s="1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"/>
      <c r="B327" s="2"/>
      <c r="C327" s="4"/>
      <c r="D327" s="2"/>
      <c r="E327" s="13"/>
      <c r="F327" s="13"/>
      <c r="G327" s="2"/>
      <c r="H327" s="2"/>
      <c r="I327" s="2"/>
      <c r="J327" s="2"/>
      <c r="K327" s="13"/>
      <c r="L327" s="1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"/>
      <c r="B328" s="2"/>
      <c r="C328" s="4"/>
      <c r="D328" s="2"/>
      <c r="E328" s="13"/>
      <c r="F328" s="13"/>
      <c r="G328" s="2"/>
      <c r="H328" s="2"/>
      <c r="I328" s="2"/>
      <c r="J328" s="2"/>
      <c r="K328" s="13"/>
      <c r="L328" s="1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"/>
      <c r="B329" s="2"/>
      <c r="C329" s="4"/>
      <c r="D329" s="2"/>
      <c r="E329" s="13"/>
      <c r="F329" s="13"/>
      <c r="G329" s="2"/>
      <c r="H329" s="2"/>
      <c r="I329" s="2"/>
      <c r="J329" s="2"/>
      <c r="K329" s="13"/>
      <c r="L329" s="1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"/>
      <c r="B330" s="2"/>
      <c r="C330" s="4"/>
      <c r="D330" s="2"/>
      <c r="E330" s="13"/>
      <c r="F330" s="13"/>
      <c r="G330" s="2"/>
      <c r="H330" s="2"/>
      <c r="I330" s="2"/>
      <c r="J330" s="2"/>
      <c r="K330" s="13"/>
      <c r="L330" s="1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"/>
      <c r="B331" s="2"/>
      <c r="C331" s="4"/>
      <c r="D331" s="2"/>
      <c r="E331" s="13"/>
      <c r="F331" s="13"/>
      <c r="G331" s="2"/>
      <c r="H331" s="2"/>
      <c r="I331" s="2"/>
      <c r="J331" s="2"/>
      <c r="K331" s="13"/>
      <c r="L331" s="1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"/>
      <c r="B332" s="2"/>
      <c r="C332" s="4"/>
      <c r="D332" s="2"/>
      <c r="E332" s="13"/>
      <c r="F332" s="13"/>
      <c r="G332" s="2"/>
      <c r="H332" s="2"/>
      <c r="I332" s="2"/>
      <c r="J332" s="2"/>
      <c r="K332" s="13"/>
      <c r="L332" s="1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"/>
      <c r="B333" s="2"/>
      <c r="C333" s="4"/>
      <c r="D333" s="2"/>
      <c r="E333" s="13"/>
      <c r="F333" s="13"/>
      <c r="G333" s="2"/>
      <c r="H333" s="2"/>
      <c r="I333" s="2"/>
      <c r="J333" s="2"/>
      <c r="K333" s="13"/>
      <c r="L333" s="1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"/>
      <c r="B334" s="2"/>
      <c r="C334" s="4"/>
      <c r="D334" s="2"/>
      <c r="E334" s="13"/>
      <c r="F334" s="13"/>
      <c r="G334" s="2"/>
      <c r="H334" s="2"/>
      <c r="I334" s="2"/>
      <c r="J334" s="2"/>
      <c r="K334" s="13"/>
      <c r="L334" s="1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"/>
      <c r="B335" s="2"/>
      <c r="C335" s="4"/>
      <c r="D335" s="2"/>
      <c r="E335" s="13"/>
      <c r="F335" s="13"/>
      <c r="G335" s="2"/>
      <c r="H335" s="2"/>
      <c r="I335" s="2"/>
      <c r="J335" s="2"/>
      <c r="K335" s="13"/>
      <c r="L335" s="1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"/>
      <c r="B336" s="2"/>
      <c r="C336" s="4"/>
      <c r="D336" s="2"/>
      <c r="E336" s="13"/>
      <c r="F336" s="13"/>
      <c r="G336" s="2"/>
      <c r="H336" s="2"/>
      <c r="I336" s="2"/>
      <c r="J336" s="2"/>
      <c r="K336" s="13"/>
      <c r="L336" s="1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"/>
      <c r="B337" s="2"/>
      <c r="C337" s="4"/>
      <c r="D337" s="2"/>
      <c r="E337" s="13"/>
      <c r="F337" s="13"/>
      <c r="G337" s="2"/>
      <c r="H337" s="2"/>
      <c r="I337" s="2"/>
      <c r="J337" s="2"/>
      <c r="K337" s="13"/>
      <c r="L337" s="1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"/>
      <c r="B338" s="2"/>
      <c r="C338" s="4"/>
      <c r="D338" s="2"/>
      <c r="E338" s="13"/>
      <c r="F338" s="13"/>
      <c r="G338" s="2"/>
      <c r="H338" s="2"/>
      <c r="I338" s="2"/>
      <c r="J338" s="2"/>
      <c r="K338" s="13"/>
      <c r="L338" s="1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"/>
      <c r="B339" s="2"/>
      <c r="C339" s="4"/>
      <c r="D339" s="2"/>
      <c r="E339" s="13"/>
      <c r="F339" s="13"/>
      <c r="G339" s="2"/>
      <c r="H339" s="2"/>
      <c r="I339" s="2"/>
      <c r="J339" s="2"/>
      <c r="K339" s="13"/>
      <c r="L339" s="1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"/>
      <c r="B340" s="2"/>
      <c r="C340" s="4"/>
      <c r="D340" s="2"/>
      <c r="E340" s="13"/>
      <c r="F340" s="13"/>
      <c r="G340" s="2"/>
      <c r="H340" s="2"/>
      <c r="I340" s="2"/>
      <c r="J340" s="2"/>
      <c r="K340" s="13"/>
      <c r="L340" s="1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"/>
      <c r="B341" s="2"/>
      <c r="C341" s="4"/>
      <c r="D341" s="2"/>
      <c r="E341" s="13"/>
      <c r="F341" s="13"/>
      <c r="G341" s="2"/>
      <c r="H341" s="2"/>
      <c r="I341" s="2"/>
      <c r="J341" s="2"/>
      <c r="K341" s="13"/>
      <c r="L341" s="1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2"/>
      <c r="C342" s="4"/>
      <c r="D342" s="2"/>
      <c r="E342" s="13"/>
      <c r="F342" s="13"/>
      <c r="G342" s="2"/>
      <c r="H342" s="2"/>
      <c r="I342" s="2"/>
      <c r="J342" s="2"/>
      <c r="K342" s="13"/>
      <c r="L342" s="1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"/>
      <c r="B343" s="2"/>
      <c r="C343" s="4"/>
      <c r="D343" s="2"/>
      <c r="E343" s="13"/>
      <c r="F343" s="13"/>
      <c r="G343" s="2"/>
      <c r="H343" s="2"/>
      <c r="I343" s="2"/>
      <c r="J343" s="2"/>
      <c r="K343" s="13"/>
      <c r="L343" s="1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"/>
      <c r="B344" s="2"/>
      <c r="C344" s="4"/>
      <c r="D344" s="2"/>
      <c r="E344" s="13"/>
      <c r="F344" s="13"/>
      <c r="G344" s="2"/>
      <c r="H344" s="2"/>
      <c r="I344" s="2"/>
      <c r="J344" s="2"/>
      <c r="K344" s="13"/>
      <c r="L344" s="1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"/>
      <c r="B345" s="2"/>
      <c r="C345" s="4"/>
      <c r="D345" s="2"/>
      <c r="E345" s="13"/>
      <c r="F345" s="13"/>
      <c r="G345" s="2"/>
      <c r="H345" s="2"/>
      <c r="I345" s="2"/>
      <c r="J345" s="2"/>
      <c r="K345" s="13"/>
      <c r="L345" s="1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"/>
      <c r="B346" s="2"/>
      <c r="C346" s="4"/>
      <c r="D346" s="2"/>
      <c r="E346" s="13"/>
      <c r="F346" s="13"/>
      <c r="G346" s="2"/>
      <c r="H346" s="2"/>
      <c r="I346" s="2"/>
      <c r="J346" s="2"/>
      <c r="K346" s="13"/>
      <c r="L346" s="1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"/>
      <c r="B347" s="2"/>
      <c r="C347" s="4"/>
      <c r="D347" s="2"/>
      <c r="E347" s="13"/>
      <c r="F347" s="13"/>
      <c r="G347" s="2"/>
      <c r="H347" s="2"/>
      <c r="I347" s="2"/>
      <c r="J347" s="2"/>
      <c r="K347" s="13"/>
      <c r="L347" s="1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"/>
      <c r="B348" s="2"/>
      <c r="C348" s="4"/>
      <c r="D348" s="2"/>
      <c r="E348" s="13"/>
      <c r="F348" s="13"/>
      <c r="G348" s="2"/>
      <c r="H348" s="2"/>
      <c r="I348" s="2"/>
      <c r="J348" s="2"/>
      <c r="K348" s="13"/>
      <c r="L348" s="1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"/>
      <c r="B349" s="2"/>
      <c r="C349" s="4"/>
      <c r="D349" s="2"/>
      <c r="E349" s="13"/>
      <c r="F349" s="13"/>
      <c r="G349" s="2"/>
      <c r="H349" s="2"/>
      <c r="I349" s="2"/>
      <c r="J349" s="2"/>
      <c r="K349" s="13"/>
      <c r="L349" s="1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"/>
      <c r="B350" s="2"/>
      <c r="C350" s="4"/>
      <c r="D350" s="2"/>
      <c r="E350" s="13"/>
      <c r="F350" s="13"/>
      <c r="G350" s="2"/>
      <c r="H350" s="2"/>
      <c r="I350" s="2"/>
      <c r="J350" s="2"/>
      <c r="K350" s="13"/>
      <c r="L350" s="1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"/>
      <c r="B351" s="2"/>
      <c r="C351" s="4"/>
      <c r="D351" s="2"/>
      <c r="E351" s="13"/>
      <c r="F351" s="13"/>
      <c r="G351" s="2"/>
      <c r="H351" s="2"/>
      <c r="I351" s="2"/>
      <c r="J351" s="2"/>
      <c r="K351" s="13"/>
      <c r="L351" s="1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"/>
      <c r="B352" s="2"/>
      <c r="C352" s="4"/>
      <c r="D352" s="2"/>
      <c r="E352" s="13"/>
      <c r="F352" s="13"/>
      <c r="G352" s="2"/>
      <c r="H352" s="2"/>
      <c r="I352" s="2"/>
      <c r="J352" s="2"/>
      <c r="K352" s="13"/>
      <c r="L352" s="1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"/>
      <c r="B353" s="2"/>
      <c r="C353" s="4"/>
      <c r="D353" s="2"/>
      <c r="E353" s="13"/>
      <c r="F353" s="13"/>
      <c r="G353" s="2"/>
      <c r="H353" s="2"/>
      <c r="I353" s="2"/>
      <c r="J353" s="2"/>
      <c r="K353" s="13"/>
      <c r="L353" s="1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"/>
      <c r="B354" s="2"/>
      <c r="C354" s="4"/>
      <c r="D354" s="2"/>
      <c r="E354" s="13"/>
      <c r="F354" s="13"/>
      <c r="G354" s="2"/>
      <c r="H354" s="2"/>
      <c r="I354" s="2"/>
      <c r="J354" s="2"/>
      <c r="K354" s="13"/>
      <c r="L354" s="1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"/>
      <c r="B355" s="2"/>
      <c r="C355" s="4"/>
      <c r="D355" s="2"/>
      <c r="E355" s="13"/>
      <c r="F355" s="13"/>
      <c r="G355" s="2"/>
      <c r="H355" s="2"/>
      <c r="I355" s="2"/>
      <c r="J355" s="2"/>
      <c r="K355" s="13"/>
      <c r="L355" s="1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"/>
      <c r="B356" s="2"/>
      <c r="C356" s="4"/>
      <c r="D356" s="2"/>
      <c r="E356" s="13"/>
      <c r="F356" s="13"/>
      <c r="G356" s="2"/>
      <c r="H356" s="2"/>
      <c r="I356" s="2"/>
      <c r="J356" s="2"/>
      <c r="K356" s="13"/>
      <c r="L356" s="1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"/>
      <c r="B357" s="2"/>
      <c r="C357" s="4"/>
      <c r="D357" s="2"/>
      <c r="E357" s="13"/>
      <c r="F357" s="13"/>
      <c r="G357" s="2"/>
      <c r="H357" s="2"/>
      <c r="I357" s="2"/>
      <c r="J357" s="2"/>
      <c r="K357" s="13"/>
      <c r="L357" s="1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"/>
      <c r="B358" s="2"/>
      <c r="C358" s="4"/>
      <c r="D358" s="2"/>
      <c r="E358" s="13"/>
      <c r="F358" s="13"/>
      <c r="G358" s="2"/>
      <c r="H358" s="2"/>
      <c r="I358" s="2"/>
      <c r="J358" s="2"/>
      <c r="K358" s="13"/>
      <c r="L358" s="1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"/>
      <c r="B359" s="2"/>
      <c r="C359" s="4"/>
      <c r="D359" s="2"/>
      <c r="E359" s="13"/>
      <c r="F359" s="13"/>
      <c r="G359" s="2"/>
      <c r="H359" s="2"/>
      <c r="I359" s="2"/>
      <c r="J359" s="2"/>
      <c r="K359" s="13"/>
      <c r="L359" s="1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"/>
      <c r="B360" s="2"/>
      <c r="C360" s="4"/>
      <c r="D360" s="2"/>
      <c r="E360" s="13"/>
      <c r="F360" s="13"/>
      <c r="G360" s="2"/>
      <c r="H360" s="2"/>
      <c r="I360" s="2"/>
      <c r="J360" s="2"/>
      <c r="K360" s="13"/>
      <c r="L360" s="1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"/>
      <c r="B361" s="2"/>
      <c r="C361" s="4"/>
      <c r="D361" s="2"/>
      <c r="E361" s="13"/>
      <c r="F361" s="13"/>
      <c r="G361" s="2"/>
      <c r="H361" s="2"/>
      <c r="I361" s="2"/>
      <c r="J361" s="2"/>
      <c r="K361" s="13"/>
      <c r="L361" s="1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"/>
      <c r="B362" s="2"/>
      <c r="C362" s="4"/>
      <c r="D362" s="2"/>
      <c r="E362" s="13"/>
      <c r="F362" s="13"/>
      <c r="G362" s="2"/>
      <c r="H362" s="2"/>
      <c r="I362" s="2"/>
      <c r="J362" s="2"/>
      <c r="K362" s="13"/>
      <c r="L362" s="1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"/>
      <c r="B363" s="2"/>
      <c r="C363" s="4"/>
      <c r="D363" s="2"/>
      <c r="E363" s="13"/>
      <c r="F363" s="13"/>
      <c r="G363" s="2"/>
      <c r="H363" s="2"/>
      <c r="I363" s="2"/>
      <c r="J363" s="2"/>
      <c r="K363" s="13"/>
      <c r="L363" s="1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"/>
      <c r="B364" s="2"/>
      <c r="C364" s="4"/>
      <c r="D364" s="2"/>
      <c r="E364" s="13"/>
      <c r="F364" s="13"/>
      <c r="G364" s="2"/>
      <c r="H364" s="2"/>
      <c r="I364" s="2"/>
      <c r="J364" s="2"/>
      <c r="K364" s="13"/>
      <c r="L364" s="1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"/>
      <c r="B365" s="2"/>
      <c r="C365" s="4"/>
      <c r="D365" s="2"/>
      <c r="E365" s="13"/>
      <c r="F365" s="13"/>
      <c r="G365" s="2"/>
      <c r="H365" s="2"/>
      <c r="I365" s="2"/>
      <c r="J365" s="2"/>
      <c r="K365" s="13"/>
      <c r="L365" s="1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"/>
      <c r="B366" s="2"/>
      <c r="C366" s="4"/>
      <c r="D366" s="2"/>
      <c r="E366" s="13"/>
      <c r="F366" s="13"/>
      <c r="G366" s="2"/>
      <c r="H366" s="2"/>
      <c r="I366" s="2"/>
      <c r="J366" s="2"/>
      <c r="K366" s="13"/>
      <c r="L366" s="1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"/>
      <c r="B367" s="2"/>
      <c r="C367" s="4"/>
      <c r="D367" s="2"/>
      <c r="E367" s="13"/>
      <c r="F367" s="13"/>
      <c r="G367" s="2"/>
      <c r="H367" s="2"/>
      <c r="I367" s="2"/>
      <c r="J367" s="2"/>
      <c r="K367" s="13"/>
      <c r="L367" s="1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"/>
      <c r="B368" s="2"/>
      <c r="C368" s="4"/>
      <c r="D368" s="2"/>
      <c r="E368" s="13"/>
      <c r="F368" s="13"/>
      <c r="G368" s="2"/>
      <c r="H368" s="2"/>
      <c r="I368" s="2"/>
      <c r="J368" s="2"/>
      <c r="K368" s="13"/>
      <c r="L368" s="1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"/>
      <c r="B369" s="2"/>
      <c r="C369" s="4"/>
      <c r="D369" s="2"/>
      <c r="E369" s="13"/>
      <c r="F369" s="13"/>
      <c r="G369" s="2"/>
      <c r="H369" s="2"/>
      <c r="I369" s="2"/>
      <c r="J369" s="2"/>
      <c r="K369" s="13"/>
      <c r="L369" s="1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"/>
      <c r="B370" s="2"/>
      <c r="C370" s="4"/>
      <c r="D370" s="2"/>
      <c r="E370" s="13"/>
      <c r="F370" s="13"/>
      <c r="G370" s="2"/>
      <c r="H370" s="2"/>
      <c r="I370" s="2"/>
      <c r="J370" s="2"/>
      <c r="K370" s="13"/>
      <c r="L370" s="1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"/>
      <c r="B371" s="2"/>
      <c r="C371" s="4"/>
      <c r="D371" s="2"/>
      <c r="E371" s="13"/>
      <c r="F371" s="13"/>
      <c r="G371" s="2"/>
      <c r="H371" s="2"/>
      <c r="I371" s="2"/>
      <c r="J371" s="2"/>
      <c r="K371" s="13"/>
      <c r="L371" s="1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"/>
      <c r="B372" s="2"/>
      <c r="C372" s="4"/>
      <c r="D372" s="2"/>
      <c r="E372" s="13"/>
      <c r="F372" s="13"/>
      <c r="G372" s="2"/>
      <c r="H372" s="2"/>
      <c r="I372" s="2"/>
      <c r="J372" s="2"/>
      <c r="K372" s="13"/>
      <c r="L372" s="1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"/>
      <c r="B373" s="2"/>
      <c r="C373" s="4"/>
      <c r="D373" s="2"/>
      <c r="E373" s="13"/>
      <c r="F373" s="13"/>
      <c r="G373" s="2"/>
      <c r="H373" s="2"/>
      <c r="I373" s="2"/>
      <c r="J373" s="2"/>
      <c r="K373" s="13"/>
      <c r="L373" s="1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"/>
      <c r="B374" s="2"/>
      <c r="C374" s="4"/>
      <c r="D374" s="2"/>
      <c r="E374" s="13"/>
      <c r="F374" s="13"/>
      <c r="G374" s="2"/>
      <c r="H374" s="2"/>
      <c r="I374" s="2"/>
      <c r="J374" s="2"/>
      <c r="K374" s="13"/>
      <c r="L374" s="1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"/>
      <c r="B375" s="2"/>
      <c r="C375" s="4"/>
      <c r="D375" s="2"/>
      <c r="E375" s="13"/>
      <c r="F375" s="13"/>
      <c r="G375" s="2"/>
      <c r="H375" s="2"/>
      <c r="I375" s="2"/>
      <c r="J375" s="2"/>
      <c r="K375" s="13"/>
      <c r="L375" s="1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"/>
      <c r="B376" s="2"/>
      <c r="C376" s="4"/>
      <c r="D376" s="2"/>
      <c r="E376" s="13"/>
      <c r="F376" s="13"/>
      <c r="G376" s="2"/>
      <c r="H376" s="2"/>
      <c r="I376" s="2"/>
      <c r="J376" s="2"/>
      <c r="K376" s="13"/>
      <c r="L376" s="1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"/>
      <c r="B377" s="2"/>
      <c r="C377" s="4"/>
      <c r="D377" s="2"/>
      <c r="E377" s="13"/>
      <c r="F377" s="13"/>
      <c r="G377" s="2"/>
      <c r="H377" s="2"/>
      <c r="I377" s="2"/>
      <c r="J377" s="2"/>
      <c r="K377" s="13"/>
      <c r="L377" s="1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"/>
      <c r="B378" s="2"/>
      <c r="C378" s="4"/>
      <c r="D378" s="2"/>
      <c r="E378" s="13"/>
      <c r="F378" s="13"/>
      <c r="G378" s="2"/>
      <c r="H378" s="2"/>
      <c r="I378" s="2"/>
      <c r="J378" s="2"/>
      <c r="K378" s="13"/>
      <c r="L378" s="1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"/>
      <c r="B379" s="2"/>
      <c r="C379" s="4"/>
      <c r="D379" s="2"/>
      <c r="E379" s="13"/>
      <c r="F379" s="13"/>
      <c r="G379" s="2"/>
      <c r="H379" s="2"/>
      <c r="I379" s="2"/>
      <c r="J379" s="2"/>
      <c r="K379" s="13"/>
      <c r="L379" s="1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"/>
      <c r="B380" s="2"/>
      <c r="C380" s="4"/>
      <c r="D380" s="2"/>
      <c r="E380" s="13"/>
      <c r="F380" s="13"/>
      <c r="G380" s="2"/>
      <c r="H380" s="2"/>
      <c r="I380" s="2"/>
      <c r="J380" s="2"/>
      <c r="K380" s="13"/>
      <c r="L380" s="1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"/>
      <c r="B381" s="2"/>
      <c r="C381" s="4"/>
      <c r="D381" s="2"/>
      <c r="E381" s="13"/>
      <c r="F381" s="13"/>
      <c r="G381" s="2"/>
      <c r="H381" s="2"/>
      <c r="I381" s="2"/>
      <c r="J381" s="2"/>
      <c r="K381" s="13"/>
      <c r="L381" s="1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"/>
      <c r="B382" s="2"/>
      <c r="C382" s="4"/>
      <c r="D382" s="2"/>
      <c r="E382" s="13"/>
      <c r="F382" s="13"/>
      <c r="G382" s="2"/>
      <c r="H382" s="2"/>
      <c r="I382" s="2"/>
      <c r="J382" s="2"/>
      <c r="K382" s="13"/>
      <c r="L382" s="1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"/>
      <c r="B383" s="2"/>
      <c r="C383" s="4"/>
      <c r="D383" s="2"/>
      <c r="E383" s="13"/>
      <c r="F383" s="13"/>
      <c r="G383" s="2"/>
      <c r="H383" s="2"/>
      <c r="I383" s="2"/>
      <c r="J383" s="2"/>
      <c r="K383" s="13"/>
      <c r="L383" s="1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"/>
      <c r="B384" s="2"/>
      <c r="C384" s="4"/>
      <c r="D384" s="2"/>
      <c r="E384" s="13"/>
      <c r="F384" s="13"/>
      <c r="G384" s="2"/>
      <c r="H384" s="2"/>
      <c r="I384" s="2"/>
      <c r="J384" s="2"/>
      <c r="K384" s="13"/>
      <c r="L384" s="1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"/>
      <c r="B385" s="2"/>
      <c r="C385" s="4"/>
      <c r="D385" s="2"/>
      <c r="E385" s="13"/>
      <c r="F385" s="13"/>
      <c r="G385" s="2"/>
      <c r="H385" s="2"/>
      <c r="I385" s="2"/>
      <c r="J385" s="2"/>
      <c r="K385" s="13"/>
      <c r="L385" s="1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"/>
      <c r="B386" s="2"/>
      <c r="C386" s="4"/>
      <c r="D386" s="2"/>
      <c r="E386" s="13"/>
      <c r="F386" s="13"/>
      <c r="G386" s="2"/>
      <c r="H386" s="2"/>
      <c r="I386" s="2"/>
      <c r="J386" s="2"/>
      <c r="K386" s="13"/>
      <c r="L386" s="1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"/>
      <c r="B387" s="2"/>
      <c r="C387" s="4"/>
      <c r="D387" s="2"/>
      <c r="E387" s="13"/>
      <c r="F387" s="13"/>
      <c r="G387" s="2"/>
      <c r="H387" s="2"/>
      <c r="I387" s="2"/>
      <c r="J387" s="2"/>
      <c r="K387" s="13"/>
      <c r="L387" s="1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"/>
      <c r="B388" s="2"/>
      <c r="C388" s="4"/>
      <c r="D388" s="2"/>
      <c r="E388" s="13"/>
      <c r="F388" s="13"/>
      <c r="G388" s="2"/>
      <c r="H388" s="2"/>
      <c r="I388" s="2"/>
      <c r="J388" s="2"/>
      <c r="K388" s="13"/>
      <c r="L388" s="1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"/>
      <c r="B389" s="2"/>
      <c r="C389" s="4"/>
      <c r="D389" s="2"/>
      <c r="E389" s="13"/>
      <c r="F389" s="13"/>
      <c r="G389" s="2"/>
      <c r="H389" s="2"/>
      <c r="I389" s="2"/>
      <c r="J389" s="2"/>
      <c r="K389" s="13"/>
      <c r="L389" s="1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"/>
      <c r="B390" s="2"/>
      <c r="C390" s="4"/>
      <c r="D390" s="2"/>
      <c r="E390" s="13"/>
      <c r="F390" s="13"/>
      <c r="G390" s="2"/>
      <c r="H390" s="2"/>
      <c r="I390" s="2"/>
      <c r="J390" s="2"/>
      <c r="K390" s="13"/>
      <c r="L390" s="1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"/>
      <c r="B391" s="2"/>
      <c r="C391" s="4"/>
      <c r="D391" s="2"/>
      <c r="E391" s="13"/>
      <c r="F391" s="13"/>
      <c r="G391" s="2"/>
      <c r="H391" s="2"/>
      <c r="I391" s="2"/>
      <c r="J391" s="2"/>
      <c r="K391" s="13"/>
      <c r="L391" s="1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"/>
      <c r="B392" s="2"/>
      <c r="C392" s="4"/>
      <c r="D392" s="2"/>
      <c r="E392" s="13"/>
      <c r="F392" s="13"/>
      <c r="G392" s="2"/>
      <c r="H392" s="2"/>
      <c r="I392" s="2"/>
      <c r="J392" s="2"/>
      <c r="K392" s="13"/>
      <c r="L392" s="1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"/>
      <c r="B393" s="2"/>
      <c r="C393" s="4"/>
      <c r="D393" s="2"/>
      <c r="E393" s="13"/>
      <c r="F393" s="13"/>
      <c r="G393" s="2"/>
      <c r="H393" s="2"/>
      <c r="I393" s="2"/>
      <c r="J393" s="2"/>
      <c r="K393" s="13"/>
      <c r="L393" s="1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1"/>
      <c r="B394" s="2"/>
      <c r="C394" s="4"/>
      <c r="D394" s="2"/>
      <c r="E394" s="13"/>
      <c r="F394" s="13"/>
      <c r="G394" s="2"/>
      <c r="H394" s="2"/>
      <c r="I394" s="2"/>
      <c r="J394" s="2"/>
      <c r="K394" s="13"/>
      <c r="L394" s="1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"/>
      <c r="B395" s="2"/>
      <c r="C395" s="4"/>
      <c r="D395" s="2"/>
      <c r="E395" s="13"/>
      <c r="F395" s="13"/>
      <c r="G395" s="2"/>
      <c r="H395" s="2"/>
      <c r="I395" s="2"/>
      <c r="J395" s="2"/>
      <c r="K395" s="13"/>
      <c r="L395" s="1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"/>
      <c r="B396" s="2"/>
      <c r="C396" s="4"/>
      <c r="D396" s="2"/>
      <c r="E396" s="13"/>
      <c r="F396" s="13"/>
      <c r="G396" s="2"/>
      <c r="H396" s="2"/>
      <c r="I396" s="2"/>
      <c r="J396" s="2"/>
      <c r="K396" s="13"/>
      <c r="L396" s="1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"/>
      <c r="B397" s="2"/>
      <c r="C397" s="4"/>
      <c r="D397" s="2"/>
      <c r="E397" s="13"/>
      <c r="F397" s="13"/>
      <c r="G397" s="2"/>
      <c r="H397" s="2"/>
      <c r="I397" s="2"/>
      <c r="J397" s="2"/>
      <c r="K397" s="13"/>
      <c r="L397" s="1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"/>
      <c r="B398" s="2"/>
      <c r="C398" s="4"/>
      <c r="D398" s="2"/>
      <c r="E398" s="13"/>
      <c r="F398" s="13"/>
      <c r="G398" s="2"/>
      <c r="H398" s="2"/>
      <c r="I398" s="2"/>
      <c r="J398" s="2"/>
      <c r="K398" s="13"/>
      <c r="L398" s="1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1"/>
      <c r="B399" s="2"/>
      <c r="C399" s="4"/>
      <c r="D399" s="2"/>
      <c r="E399" s="13"/>
      <c r="F399" s="13"/>
      <c r="G399" s="2"/>
      <c r="H399" s="2"/>
      <c r="I399" s="2"/>
      <c r="J399" s="2"/>
      <c r="K399" s="13"/>
      <c r="L399" s="1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"/>
      <c r="B400" s="2"/>
      <c r="C400" s="4"/>
      <c r="D400" s="2"/>
      <c r="E400" s="13"/>
      <c r="F400" s="13"/>
      <c r="G400" s="2"/>
      <c r="H400" s="2"/>
      <c r="I400" s="2"/>
      <c r="J400" s="2"/>
      <c r="K400" s="13"/>
      <c r="L400" s="1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"/>
      <c r="B401" s="2"/>
      <c r="C401" s="4"/>
      <c r="D401" s="2"/>
      <c r="E401" s="13"/>
      <c r="F401" s="13"/>
      <c r="G401" s="2"/>
      <c r="H401" s="2"/>
      <c r="I401" s="2"/>
      <c r="J401" s="2"/>
      <c r="K401" s="13"/>
      <c r="L401" s="1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"/>
      <c r="B402" s="2"/>
      <c r="C402" s="4"/>
      <c r="D402" s="2"/>
      <c r="E402" s="13"/>
      <c r="F402" s="13"/>
      <c r="G402" s="2"/>
      <c r="H402" s="2"/>
      <c r="I402" s="2"/>
      <c r="J402" s="2"/>
      <c r="K402" s="13"/>
      <c r="L402" s="1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"/>
      <c r="B403" s="2"/>
      <c r="C403" s="4"/>
      <c r="D403" s="2"/>
      <c r="E403" s="13"/>
      <c r="F403" s="13"/>
      <c r="G403" s="2"/>
      <c r="H403" s="2"/>
      <c r="I403" s="2"/>
      <c r="J403" s="2"/>
      <c r="K403" s="13"/>
      <c r="L403" s="1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"/>
      <c r="B404" s="2"/>
      <c r="C404" s="4"/>
      <c r="D404" s="2"/>
      <c r="E404" s="13"/>
      <c r="F404" s="13"/>
      <c r="G404" s="2"/>
      <c r="H404" s="2"/>
      <c r="I404" s="2"/>
      <c r="J404" s="2"/>
      <c r="K404" s="13"/>
      <c r="L404" s="1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"/>
      <c r="B405" s="2"/>
      <c r="C405" s="4"/>
      <c r="D405" s="2"/>
      <c r="E405" s="13"/>
      <c r="F405" s="13"/>
      <c r="G405" s="2"/>
      <c r="H405" s="2"/>
      <c r="I405" s="2"/>
      <c r="J405" s="2"/>
      <c r="K405" s="13"/>
      <c r="L405" s="1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"/>
      <c r="B406" s="2"/>
      <c r="C406" s="4"/>
      <c r="D406" s="2"/>
      <c r="E406" s="13"/>
      <c r="F406" s="13"/>
      <c r="G406" s="2"/>
      <c r="H406" s="2"/>
      <c r="I406" s="2"/>
      <c r="J406" s="2"/>
      <c r="K406" s="13"/>
      <c r="L406" s="1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"/>
      <c r="B407" s="2"/>
      <c r="C407" s="4"/>
      <c r="D407" s="2"/>
      <c r="E407" s="13"/>
      <c r="F407" s="13"/>
      <c r="G407" s="2"/>
      <c r="H407" s="2"/>
      <c r="I407" s="2"/>
      <c r="J407" s="2"/>
      <c r="K407" s="13"/>
      <c r="L407" s="1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"/>
      <c r="B408" s="2"/>
      <c r="C408" s="4"/>
      <c r="D408" s="2"/>
      <c r="E408" s="13"/>
      <c r="F408" s="13"/>
      <c r="G408" s="2"/>
      <c r="H408" s="2"/>
      <c r="I408" s="2"/>
      <c r="J408" s="2"/>
      <c r="K408" s="13"/>
      <c r="L408" s="1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"/>
      <c r="B409" s="2"/>
      <c r="C409" s="4"/>
      <c r="D409" s="2"/>
      <c r="E409" s="13"/>
      <c r="F409" s="13"/>
      <c r="G409" s="2"/>
      <c r="H409" s="2"/>
      <c r="I409" s="2"/>
      <c r="J409" s="2"/>
      <c r="K409" s="13"/>
      <c r="L409" s="1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"/>
      <c r="B410" s="2"/>
      <c r="C410" s="4"/>
      <c r="D410" s="2"/>
      <c r="E410" s="13"/>
      <c r="F410" s="13"/>
      <c r="G410" s="2"/>
      <c r="H410" s="2"/>
      <c r="I410" s="2"/>
      <c r="J410" s="2"/>
      <c r="K410" s="13"/>
      <c r="L410" s="1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"/>
      <c r="B411" s="2"/>
      <c r="C411" s="4"/>
      <c r="D411" s="2"/>
      <c r="E411" s="13"/>
      <c r="F411" s="13"/>
      <c r="G411" s="2"/>
      <c r="H411" s="2"/>
      <c r="I411" s="2"/>
      <c r="J411" s="2"/>
      <c r="K411" s="13"/>
      <c r="L411" s="1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"/>
      <c r="B412" s="2"/>
      <c r="C412" s="4"/>
      <c r="D412" s="2"/>
      <c r="E412" s="13"/>
      <c r="F412" s="13"/>
      <c r="G412" s="2"/>
      <c r="H412" s="2"/>
      <c r="I412" s="2"/>
      <c r="J412" s="2"/>
      <c r="K412" s="13"/>
      <c r="L412" s="1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"/>
      <c r="B413" s="2"/>
      <c r="C413" s="4"/>
      <c r="D413" s="2"/>
      <c r="E413" s="13"/>
      <c r="F413" s="13"/>
      <c r="G413" s="2"/>
      <c r="H413" s="2"/>
      <c r="I413" s="2"/>
      <c r="J413" s="2"/>
      <c r="K413" s="13"/>
      <c r="L413" s="1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"/>
      <c r="B414" s="2"/>
      <c r="C414" s="4"/>
      <c r="D414" s="2"/>
      <c r="E414" s="13"/>
      <c r="F414" s="13"/>
      <c r="G414" s="2"/>
      <c r="H414" s="2"/>
      <c r="I414" s="2"/>
      <c r="J414" s="2"/>
      <c r="K414" s="13"/>
      <c r="L414" s="1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"/>
      <c r="B415" s="2"/>
      <c r="C415" s="4"/>
      <c r="D415" s="2"/>
      <c r="E415" s="13"/>
      <c r="F415" s="13"/>
      <c r="G415" s="2"/>
      <c r="H415" s="2"/>
      <c r="I415" s="2"/>
      <c r="J415" s="2"/>
      <c r="K415" s="13"/>
      <c r="L415" s="1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"/>
      <c r="B416" s="2"/>
      <c r="C416" s="4"/>
      <c r="D416" s="2"/>
      <c r="E416" s="13"/>
      <c r="F416" s="13"/>
      <c r="G416" s="2"/>
      <c r="H416" s="2"/>
      <c r="I416" s="2"/>
      <c r="J416" s="2"/>
      <c r="K416" s="13"/>
      <c r="L416" s="1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"/>
      <c r="B417" s="2"/>
      <c r="C417" s="4"/>
      <c r="D417" s="2"/>
      <c r="E417" s="13"/>
      <c r="F417" s="13"/>
      <c r="G417" s="2"/>
      <c r="H417" s="2"/>
      <c r="I417" s="2"/>
      <c r="J417" s="2"/>
      <c r="K417" s="13"/>
      <c r="L417" s="1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"/>
      <c r="B418" s="2"/>
      <c r="C418" s="4"/>
      <c r="D418" s="2"/>
      <c r="E418" s="13"/>
      <c r="F418" s="13"/>
      <c r="G418" s="2"/>
      <c r="H418" s="2"/>
      <c r="I418" s="2"/>
      <c r="J418" s="2"/>
      <c r="K418" s="13"/>
      <c r="L418" s="1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"/>
      <c r="B419" s="2"/>
      <c r="C419" s="4"/>
      <c r="D419" s="2"/>
      <c r="E419" s="13"/>
      <c r="F419" s="13"/>
      <c r="G419" s="2"/>
      <c r="H419" s="2"/>
      <c r="I419" s="2"/>
      <c r="J419" s="2"/>
      <c r="K419" s="13"/>
      <c r="L419" s="1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"/>
      <c r="B420" s="2"/>
      <c r="C420" s="4"/>
      <c r="D420" s="2"/>
      <c r="E420" s="13"/>
      <c r="F420" s="13"/>
      <c r="G420" s="2"/>
      <c r="H420" s="2"/>
      <c r="I420" s="2"/>
      <c r="J420" s="2"/>
      <c r="K420" s="13"/>
      <c r="L420" s="1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"/>
      <c r="B421" s="2"/>
      <c r="C421" s="4"/>
      <c r="D421" s="2"/>
      <c r="E421" s="13"/>
      <c r="F421" s="13"/>
      <c r="G421" s="2"/>
      <c r="H421" s="2"/>
      <c r="I421" s="2"/>
      <c r="J421" s="2"/>
      <c r="K421" s="13"/>
      <c r="L421" s="1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2"/>
      <c r="C422" s="4"/>
      <c r="D422" s="2"/>
      <c r="E422" s="13"/>
      <c r="F422" s="13"/>
      <c r="G422" s="2"/>
      <c r="H422" s="2"/>
      <c r="I422" s="2"/>
      <c r="J422" s="2"/>
      <c r="K422" s="13"/>
      <c r="L422" s="1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2"/>
      <c r="C423" s="4"/>
      <c r="D423" s="2"/>
      <c r="E423" s="13"/>
      <c r="F423" s="13"/>
      <c r="G423" s="2"/>
      <c r="H423" s="2"/>
      <c r="I423" s="2"/>
      <c r="J423" s="2"/>
      <c r="K423" s="13"/>
      <c r="L423" s="1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2"/>
      <c r="C424" s="4"/>
      <c r="D424" s="2"/>
      <c r="E424" s="13"/>
      <c r="F424" s="13"/>
      <c r="G424" s="2"/>
      <c r="H424" s="2"/>
      <c r="I424" s="2"/>
      <c r="J424" s="2"/>
      <c r="K424" s="13"/>
      <c r="L424" s="1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"/>
      <c r="B425" s="2"/>
      <c r="C425" s="4"/>
      <c r="D425" s="2"/>
      <c r="E425" s="13"/>
      <c r="F425" s="13"/>
      <c r="G425" s="2"/>
      <c r="H425" s="2"/>
      <c r="I425" s="2"/>
      <c r="J425" s="2"/>
      <c r="K425" s="13"/>
      <c r="L425" s="1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"/>
      <c r="B426" s="2"/>
      <c r="C426" s="4"/>
      <c r="D426" s="2"/>
      <c r="E426" s="13"/>
      <c r="F426" s="13"/>
      <c r="G426" s="2"/>
      <c r="H426" s="2"/>
      <c r="I426" s="2"/>
      <c r="J426" s="2"/>
      <c r="K426" s="13"/>
      <c r="L426" s="1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"/>
      <c r="B427" s="2"/>
      <c r="C427" s="4"/>
      <c r="D427" s="2"/>
      <c r="E427" s="13"/>
      <c r="F427" s="13"/>
      <c r="G427" s="2"/>
      <c r="H427" s="2"/>
      <c r="I427" s="2"/>
      <c r="J427" s="2"/>
      <c r="K427" s="13"/>
      <c r="L427" s="1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"/>
      <c r="B428" s="2"/>
      <c r="C428" s="4"/>
      <c r="D428" s="2"/>
      <c r="E428" s="13"/>
      <c r="F428" s="13"/>
      <c r="G428" s="2"/>
      <c r="H428" s="2"/>
      <c r="I428" s="2"/>
      <c r="J428" s="2"/>
      <c r="K428" s="13"/>
      <c r="L428" s="1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"/>
      <c r="B429" s="2"/>
      <c r="C429" s="4"/>
      <c r="D429" s="2"/>
      <c r="E429" s="13"/>
      <c r="F429" s="13"/>
      <c r="G429" s="2"/>
      <c r="H429" s="2"/>
      <c r="I429" s="2"/>
      <c r="J429" s="2"/>
      <c r="K429" s="13"/>
      <c r="L429" s="1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"/>
      <c r="B430" s="2"/>
      <c r="C430" s="4"/>
      <c r="D430" s="2"/>
      <c r="E430" s="13"/>
      <c r="F430" s="13"/>
      <c r="G430" s="2"/>
      <c r="H430" s="2"/>
      <c r="I430" s="2"/>
      <c r="J430" s="2"/>
      <c r="K430" s="13"/>
      <c r="L430" s="1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"/>
      <c r="B431" s="2"/>
      <c r="C431" s="4"/>
      <c r="D431" s="2"/>
      <c r="E431" s="13"/>
      <c r="F431" s="13"/>
      <c r="G431" s="2"/>
      <c r="H431" s="2"/>
      <c r="I431" s="2"/>
      <c r="J431" s="2"/>
      <c r="K431" s="13"/>
      <c r="L431" s="1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1"/>
      <c r="B432" s="2"/>
      <c r="C432" s="4"/>
      <c r="D432" s="2"/>
      <c r="E432" s="13"/>
      <c r="F432" s="13"/>
      <c r="G432" s="2"/>
      <c r="H432" s="2"/>
      <c r="I432" s="2"/>
      <c r="J432" s="2"/>
      <c r="K432" s="13"/>
      <c r="L432" s="1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1"/>
      <c r="B433" s="2"/>
      <c r="C433" s="4"/>
      <c r="D433" s="2"/>
      <c r="E433" s="13"/>
      <c r="F433" s="13"/>
      <c r="G433" s="2"/>
      <c r="H433" s="2"/>
      <c r="I433" s="2"/>
      <c r="J433" s="2"/>
      <c r="K433" s="13"/>
      <c r="L433" s="1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"/>
      <c r="B434" s="2"/>
      <c r="C434" s="4"/>
      <c r="D434" s="2"/>
      <c r="E434" s="13"/>
      <c r="F434" s="13"/>
      <c r="G434" s="2"/>
      <c r="H434" s="2"/>
      <c r="I434" s="2"/>
      <c r="J434" s="2"/>
      <c r="K434" s="13"/>
      <c r="L434" s="1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"/>
      <c r="B435" s="2"/>
      <c r="C435" s="4"/>
      <c r="D435" s="2"/>
      <c r="E435" s="13"/>
      <c r="F435" s="13"/>
      <c r="G435" s="2"/>
      <c r="H435" s="2"/>
      <c r="I435" s="2"/>
      <c r="J435" s="2"/>
      <c r="K435" s="13"/>
      <c r="L435" s="1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"/>
      <c r="B436" s="2"/>
      <c r="C436" s="4"/>
      <c r="D436" s="2"/>
      <c r="E436" s="13"/>
      <c r="F436" s="13"/>
      <c r="G436" s="2"/>
      <c r="H436" s="2"/>
      <c r="I436" s="2"/>
      <c r="J436" s="2"/>
      <c r="K436" s="13"/>
      <c r="L436" s="1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"/>
      <c r="B437" s="2"/>
      <c r="C437" s="4"/>
      <c r="D437" s="2"/>
      <c r="E437" s="13"/>
      <c r="F437" s="13"/>
      <c r="G437" s="2"/>
      <c r="H437" s="2"/>
      <c r="I437" s="2"/>
      <c r="J437" s="2"/>
      <c r="K437" s="13"/>
      <c r="L437" s="1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2"/>
      <c r="C438" s="4"/>
      <c r="D438" s="2"/>
      <c r="E438" s="13"/>
      <c r="F438" s="13"/>
      <c r="G438" s="2"/>
      <c r="H438" s="2"/>
      <c r="I438" s="2"/>
      <c r="J438" s="2"/>
      <c r="K438" s="13"/>
      <c r="L438" s="1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"/>
      <c r="B439" s="2"/>
      <c r="C439" s="4"/>
      <c r="D439" s="2"/>
      <c r="E439" s="13"/>
      <c r="F439" s="13"/>
      <c r="G439" s="2"/>
      <c r="H439" s="2"/>
      <c r="I439" s="2"/>
      <c r="J439" s="2"/>
      <c r="K439" s="13"/>
      <c r="L439" s="1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"/>
      <c r="B440" s="2"/>
      <c r="C440" s="4"/>
      <c r="D440" s="2"/>
      <c r="E440" s="13"/>
      <c r="F440" s="13"/>
      <c r="G440" s="2"/>
      <c r="H440" s="2"/>
      <c r="I440" s="2"/>
      <c r="J440" s="2"/>
      <c r="K440" s="13"/>
      <c r="L440" s="1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"/>
      <c r="B441" s="2"/>
      <c r="C441" s="4"/>
      <c r="D441" s="2"/>
      <c r="E441" s="13"/>
      <c r="F441" s="13"/>
      <c r="G441" s="2"/>
      <c r="H441" s="2"/>
      <c r="I441" s="2"/>
      <c r="J441" s="2"/>
      <c r="K441" s="13"/>
      <c r="L441" s="1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"/>
      <c r="B442" s="2"/>
      <c r="C442" s="4"/>
      <c r="D442" s="2"/>
      <c r="E442" s="13"/>
      <c r="F442" s="13"/>
      <c r="G442" s="2"/>
      <c r="H442" s="2"/>
      <c r="I442" s="2"/>
      <c r="J442" s="2"/>
      <c r="K442" s="13"/>
      <c r="L442" s="1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"/>
      <c r="B443" s="2"/>
      <c r="C443" s="4"/>
      <c r="D443" s="2"/>
      <c r="E443" s="13"/>
      <c r="F443" s="13"/>
      <c r="G443" s="2"/>
      <c r="H443" s="2"/>
      <c r="I443" s="2"/>
      <c r="J443" s="2"/>
      <c r="K443" s="13"/>
      <c r="L443" s="1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"/>
      <c r="B444" s="2"/>
      <c r="C444" s="4"/>
      <c r="D444" s="2"/>
      <c r="E444" s="13"/>
      <c r="F444" s="13"/>
      <c r="G444" s="2"/>
      <c r="H444" s="2"/>
      <c r="I444" s="2"/>
      <c r="J444" s="2"/>
      <c r="K444" s="13"/>
      <c r="L444" s="1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"/>
      <c r="B445" s="2"/>
      <c r="C445" s="4"/>
      <c r="D445" s="2"/>
      <c r="E445" s="13"/>
      <c r="F445" s="13"/>
      <c r="G445" s="2"/>
      <c r="H445" s="2"/>
      <c r="I445" s="2"/>
      <c r="J445" s="2"/>
      <c r="K445" s="13"/>
      <c r="L445" s="1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"/>
      <c r="B446" s="2"/>
      <c r="C446" s="4"/>
      <c r="D446" s="2"/>
      <c r="E446" s="13"/>
      <c r="F446" s="13"/>
      <c r="G446" s="2"/>
      <c r="H446" s="2"/>
      <c r="I446" s="2"/>
      <c r="J446" s="2"/>
      <c r="K446" s="13"/>
      <c r="L446" s="1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"/>
      <c r="B447" s="2"/>
      <c r="C447" s="4"/>
      <c r="D447" s="2"/>
      <c r="E447" s="13"/>
      <c r="F447" s="13"/>
      <c r="G447" s="2"/>
      <c r="H447" s="2"/>
      <c r="I447" s="2"/>
      <c r="J447" s="2"/>
      <c r="K447" s="13"/>
      <c r="L447" s="1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"/>
      <c r="B448" s="2"/>
      <c r="C448" s="4"/>
      <c r="D448" s="2"/>
      <c r="E448" s="13"/>
      <c r="F448" s="13"/>
      <c r="G448" s="2"/>
      <c r="H448" s="2"/>
      <c r="I448" s="2"/>
      <c r="J448" s="2"/>
      <c r="K448" s="13"/>
      <c r="L448" s="1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"/>
      <c r="B449" s="2"/>
      <c r="C449" s="4"/>
      <c r="D449" s="2"/>
      <c r="E449" s="13"/>
      <c r="F449" s="13"/>
      <c r="G449" s="2"/>
      <c r="H449" s="2"/>
      <c r="I449" s="2"/>
      <c r="J449" s="2"/>
      <c r="K449" s="13"/>
      <c r="L449" s="1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"/>
      <c r="B450" s="2"/>
      <c r="C450" s="4"/>
      <c r="D450" s="2"/>
      <c r="E450" s="13"/>
      <c r="F450" s="13"/>
      <c r="G450" s="2"/>
      <c r="H450" s="2"/>
      <c r="I450" s="2"/>
      <c r="J450" s="2"/>
      <c r="K450" s="13"/>
      <c r="L450" s="1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"/>
      <c r="B451" s="2"/>
      <c r="C451" s="4"/>
      <c r="D451" s="2"/>
      <c r="E451" s="13"/>
      <c r="F451" s="13"/>
      <c r="G451" s="2"/>
      <c r="H451" s="2"/>
      <c r="I451" s="2"/>
      <c r="J451" s="2"/>
      <c r="K451" s="13"/>
      <c r="L451" s="1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"/>
      <c r="B452" s="2"/>
      <c r="C452" s="4"/>
      <c r="D452" s="2"/>
      <c r="E452" s="13"/>
      <c r="F452" s="13"/>
      <c r="G452" s="2"/>
      <c r="H452" s="2"/>
      <c r="I452" s="2"/>
      <c r="J452" s="2"/>
      <c r="K452" s="13"/>
      <c r="L452" s="1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"/>
      <c r="B453" s="2"/>
      <c r="C453" s="4"/>
      <c r="D453" s="2"/>
      <c r="E453" s="13"/>
      <c r="F453" s="13"/>
      <c r="G453" s="2"/>
      <c r="H453" s="2"/>
      <c r="I453" s="2"/>
      <c r="J453" s="2"/>
      <c r="K453" s="13"/>
      <c r="L453" s="1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"/>
      <c r="B454" s="2"/>
      <c r="C454" s="4"/>
      <c r="D454" s="2"/>
      <c r="E454" s="13"/>
      <c r="F454" s="13"/>
      <c r="G454" s="2"/>
      <c r="H454" s="2"/>
      <c r="I454" s="2"/>
      <c r="J454" s="2"/>
      <c r="K454" s="13"/>
      <c r="L454" s="1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"/>
      <c r="B455" s="2"/>
      <c r="C455" s="4"/>
      <c r="D455" s="2"/>
      <c r="E455" s="13"/>
      <c r="F455" s="13"/>
      <c r="G455" s="2"/>
      <c r="H455" s="2"/>
      <c r="I455" s="2"/>
      <c r="J455" s="2"/>
      <c r="K455" s="13"/>
      <c r="L455" s="1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"/>
      <c r="B456" s="2"/>
      <c r="C456" s="4"/>
      <c r="D456" s="2"/>
      <c r="E456" s="13"/>
      <c r="F456" s="13"/>
      <c r="G456" s="2"/>
      <c r="H456" s="2"/>
      <c r="I456" s="2"/>
      <c r="J456" s="2"/>
      <c r="K456" s="13"/>
      <c r="L456" s="1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"/>
      <c r="B457" s="2"/>
      <c r="C457" s="4"/>
      <c r="D457" s="2"/>
      <c r="E457" s="13"/>
      <c r="F457" s="13"/>
      <c r="G457" s="2"/>
      <c r="H457" s="2"/>
      <c r="I457" s="2"/>
      <c r="J457" s="2"/>
      <c r="K457" s="13"/>
      <c r="L457" s="1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2"/>
      <c r="C458" s="4"/>
      <c r="D458" s="2"/>
      <c r="E458" s="13"/>
      <c r="F458" s="13"/>
      <c r="G458" s="2"/>
      <c r="H458" s="2"/>
      <c r="I458" s="2"/>
      <c r="J458" s="2"/>
      <c r="K458" s="13"/>
      <c r="L458" s="1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2"/>
      <c r="C459" s="4"/>
      <c r="D459" s="2"/>
      <c r="E459" s="13"/>
      <c r="F459" s="13"/>
      <c r="G459" s="2"/>
      <c r="H459" s="2"/>
      <c r="I459" s="2"/>
      <c r="J459" s="2"/>
      <c r="K459" s="13"/>
      <c r="L459" s="1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"/>
      <c r="B460" s="2"/>
      <c r="C460" s="4"/>
      <c r="D460" s="2"/>
      <c r="E460" s="13"/>
      <c r="F460" s="13"/>
      <c r="G460" s="2"/>
      <c r="H460" s="2"/>
      <c r="I460" s="2"/>
      <c r="J460" s="2"/>
      <c r="K460" s="13"/>
      <c r="L460" s="1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2"/>
      <c r="C461" s="4"/>
      <c r="D461" s="2"/>
      <c r="E461" s="13"/>
      <c r="F461" s="13"/>
      <c r="G461" s="2"/>
      <c r="H461" s="2"/>
      <c r="I461" s="2"/>
      <c r="J461" s="2"/>
      <c r="K461" s="13"/>
      <c r="L461" s="1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"/>
      <c r="B462" s="2"/>
      <c r="C462" s="4"/>
      <c r="D462" s="2"/>
      <c r="E462" s="13"/>
      <c r="F462" s="13"/>
      <c r="G462" s="2"/>
      <c r="H462" s="2"/>
      <c r="I462" s="2"/>
      <c r="J462" s="2"/>
      <c r="K462" s="13"/>
      <c r="L462" s="1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"/>
      <c r="B463" s="2"/>
      <c r="C463" s="4"/>
      <c r="D463" s="2"/>
      <c r="E463" s="13"/>
      <c r="F463" s="13"/>
      <c r="G463" s="2"/>
      <c r="H463" s="2"/>
      <c r="I463" s="2"/>
      <c r="J463" s="2"/>
      <c r="K463" s="13"/>
      <c r="L463" s="1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"/>
      <c r="B464" s="2"/>
      <c r="C464" s="4"/>
      <c r="D464" s="2"/>
      <c r="E464" s="13"/>
      <c r="F464" s="13"/>
      <c r="G464" s="2"/>
      <c r="H464" s="2"/>
      <c r="I464" s="2"/>
      <c r="J464" s="2"/>
      <c r="K464" s="13"/>
      <c r="L464" s="1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"/>
      <c r="B465" s="2"/>
      <c r="C465" s="4"/>
      <c r="D465" s="2"/>
      <c r="E465" s="13"/>
      <c r="F465" s="13"/>
      <c r="G465" s="2"/>
      <c r="H465" s="2"/>
      <c r="I465" s="2"/>
      <c r="J465" s="2"/>
      <c r="K465" s="13"/>
      <c r="L465" s="1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"/>
      <c r="B466" s="2"/>
      <c r="C466" s="4"/>
      <c r="D466" s="2"/>
      <c r="E466" s="13"/>
      <c r="F466" s="13"/>
      <c r="G466" s="2"/>
      <c r="H466" s="2"/>
      <c r="I466" s="2"/>
      <c r="J466" s="2"/>
      <c r="K466" s="13"/>
      <c r="L466" s="1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"/>
      <c r="B467" s="2"/>
      <c r="C467" s="4"/>
      <c r="D467" s="2"/>
      <c r="E467" s="13"/>
      <c r="F467" s="13"/>
      <c r="G467" s="2"/>
      <c r="H467" s="2"/>
      <c r="I467" s="2"/>
      <c r="J467" s="2"/>
      <c r="K467" s="13"/>
      <c r="L467" s="1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"/>
      <c r="B468" s="2"/>
      <c r="C468" s="4"/>
      <c r="D468" s="2"/>
      <c r="E468" s="13"/>
      <c r="F468" s="13"/>
      <c r="G468" s="2"/>
      <c r="H468" s="2"/>
      <c r="I468" s="2"/>
      <c r="J468" s="2"/>
      <c r="K468" s="13"/>
      <c r="L468" s="1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"/>
      <c r="B469" s="2"/>
      <c r="C469" s="4"/>
      <c r="D469" s="2"/>
      <c r="E469" s="13"/>
      <c r="F469" s="13"/>
      <c r="G469" s="2"/>
      <c r="H469" s="2"/>
      <c r="I469" s="2"/>
      <c r="J469" s="2"/>
      <c r="K469" s="13"/>
      <c r="L469" s="1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"/>
      <c r="B470" s="2"/>
      <c r="C470" s="4"/>
      <c r="D470" s="2"/>
      <c r="E470" s="13"/>
      <c r="F470" s="13"/>
      <c r="G470" s="2"/>
      <c r="H470" s="2"/>
      <c r="I470" s="2"/>
      <c r="J470" s="2"/>
      <c r="K470" s="13"/>
      <c r="L470" s="1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"/>
      <c r="B471" s="2"/>
      <c r="C471" s="4"/>
      <c r="D471" s="2"/>
      <c r="E471" s="13"/>
      <c r="F471" s="13"/>
      <c r="G471" s="2"/>
      <c r="H471" s="2"/>
      <c r="I471" s="2"/>
      <c r="J471" s="2"/>
      <c r="K471" s="13"/>
      <c r="L471" s="1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"/>
      <c r="B472" s="2"/>
      <c r="C472" s="4"/>
      <c r="D472" s="2"/>
      <c r="E472" s="13"/>
      <c r="F472" s="13"/>
      <c r="G472" s="2"/>
      <c r="H472" s="2"/>
      <c r="I472" s="2"/>
      <c r="J472" s="2"/>
      <c r="K472" s="13"/>
      <c r="L472" s="1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"/>
      <c r="B473" s="2"/>
      <c r="C473" s="4"/>
      <c r="D473" s="2"/>
      <c r="E473" s="13"/>
      <c r="F473" s="13"/>
      <c r="G473" s="2"/>
      <c r="H473" s="2"/>
      <c r="I473" s="2"/>
      <c r="J473" s="2"/>
      <c r="K473" s="13"/>
      <c r="L473" s="1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"/>
      <c r="B474" s="2"/>
      <c r="C474" s="4"/>
      <c r="D474" s="2"/>
      <c r="E474" s="13"/>
      <c r="F474" s="13"/>
      <c r="G474" s="2"/>
      <c r="H474" s="2"/>
      <c r="I474" s="2"/>
      <c r="J474" s="2"/>
      <c r="K474" s="13"/>
      <c r="L474" s="1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"/>
      <c r="B475" s="2"/>
      <c r="C475" s="4"/>
      <c r="D475" s="2"/>
      <c r="E475" s="13"/>
      <c r="F475" s="13"/>
      <c r="G475" s="2"/>
      <c r="H475" s="2"/>
      <c r="I475" s="2"/>
      <c r="J475" s="2"/>
      <c r="K475" s="13"/>
      <c r="L475" s="1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"/>
      <c r="B476" s="2"/>
      <c r="C476" s="4"/>
      <c r="D476" s="2"/>
      <c r="E476" s="13"/>
      <c r="F476" s="13"/>
      <c r="G476" s="2"/>
      <c r="H476" s="2"/>
      <c r="I476" s="2"/>
      <c r="J476" s="2"/>
      <c r="K476" s="13"/>
      <c r="L476" s="1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"/>
      <c r="B477" s="2"/>
      <c r="C477" s="4"/>
      <c r="D477" s="2"/>
      <c r="E477" s="13"/>
      <c r="F477" s="13"/>
      <c r="G477" s="2"/>
      <c r="H477" s="2"/>
      <c r="I477" s="2"/>
      <c r="J477" s="2"/>
      <c r="K477" s="13"/>
      <c r="L477" s="1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"/>
      <c r="B478" s="2"/>
      <c r="C478" s="4"/>
      <c r="D478" s="2"/>
      <c r="E478" s="13"/>
      <c r="F478" s="13"/>
      <c r="G478" s="2"/>
      <c r="H478" s="2"/>
      <c r="I478" s="2"/>
      <c r="J478" s="2"/>
      <c r="K478" s="13"/>
      <c r="L478" s="1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"/>
      <c r="B479" s="2"/>
      <c r="C479" s="4"/>
      <c r="D479" s="2"/>
      <c r="E479" s="13"/>
      <c r="F479" s="13"/>
      <c r="G479" s="2"/>
      <c r="H479" s="2"/>
      <c r="I479" s="2"/>
      <c r="J479" s="2"/>
      <c r="K479" s="13"/>
      <c r="L479" s="1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"/>
      <c r="B480" s="2"/>
      <c r="C480" s="4"/>
      <c r="D480" s="2"/>
      <c r="E480" s="13"/>
      <c r="F480" s="13"/>
      <c r="G480" s="2"/>
      <c r="H480" s="2"/>
      <c r="I480" s="2"/>
      <c r="J480" s="2"/>
      <c r="K480" s="13"/>
      <c r="L480" s="1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2"/>
      <c r="C481" s="4"/>
      <c r="D481" s="2"/>
      <c r="E481" s="13"/>
      <c r="F481" s="13"/>
      <c r="G481" s="2"/>
      <c r="H481" s="2"/>
      <c r="I481" s="2"/>
      <c r="J481" s="2"/>
      <c r="K481" s="13"/>
      <c r="L481" s="14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2"/>
      <c r="C482" s="4"/>
      <c r="D482" s="2"/>
      <c r="E482" s="13"/>
      <c r="F482" s="13"/>
      <c r="G482" s="2"/>
      <c r="H482" s="2"/>
      <c r="I482" s="2"/>
      <c r="J482" s="2"/>
      <c r="K482" s="13"/>
      <c r="L482" s="14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"/>
      <c r="B483" s="2"/>
      <c r="C483" s="4"/>
      <c r="D483" s="2"/>
      <c r="E483" s="13"/>
      <c r="F483" s="13"/>
      <c r="G483" s="2"/>
      <c r="H483" s="2"/>
      <c r="I483" s="2"/>
      <c r="J483" s="2"/>
      <c r="K483" s="13"/>
      <c r="L483" s="14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"/>
      <c r="B484" s="2"/>
      <c r="C484" s="4"/>
      <c r="D484" s="2"/>
      <c r="E484" s="13"/>
      <c r="F484" s="13"/>
      <c r="G484" s="2"/>
      <c r="H484" s="2"/>
      <c r="I484" s="2"/>
      <c r="J484" s="2"/>
      <c r="K484" s="13"/>
      <c r="L484" s="14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"/>
      <c r="B485" s="2"/>
      <c r="C485" s="4"/>
      <c r="D485" s="2"/>
      <c r="E485" s="13"/>
      <c r="F485" s="13"/>
      <c r="G485" s="2"/>
      <c r="H485" s="2"/>
      <c r="I485" s="2"/>
      <c r="J485" s="2"/>
      <c r="K485" s="13"/>
      <c r="L485" s="14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"/>
      <c r="B486" s="2"/>
      <c r="C486" s="4"/>
      <c r="D486" s="2"/>
      <c r="E486" s="13"/>
      <c r="F486" s="13"/>
      <c r="G486" s="2"/>
      <c r="H486" s="2"/>
      <c r="I486" s="2"/>
      <c r="J486" s="2"/>
      <c r="K486" s="13"/>
      <c r="L486" s="14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"/>
      <c r="B487" s="2"/>
      <c r="C487" s="4"/>
      <c r="D487" s="2"/>
      <c r="E487" s="13"/>
      <c r="F487" s="13"/>
      <c r="G487" s="2"/>
      <c r="H487" s="2"/>
      <c r="I487" s="2"/>
      <c r="J487" s="2"/>
      <c r="K487" s="13"/>
      <c r="L487" s="14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"/>
      <c r="B488" s="2"/>
      <c r="C488" s="4"/>
      <c r="D488" s="2"/>
      <c r="E488" s="13"/>
      <c r="F488" s="13"/>
      <c r="G488" s="2"/>
      <c r="H488" s="2"/>
      <c r="I488" s="2"/>
      <c r="J488" s="2"/>
      <c r="K488" s="13"/>
      <c r="L488" s="14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"/>
      <c r="B489" s="2"/>
      <c r="C489" s="4"/>
      <c r="D489" s="2"/>
      <c r="E489" s="13"/>
      <c r="F489" s="13"/>
      <c r="G489" s="2"/>
      <c r="H489" s="2"/>
      <c r="I489" s="2"/>
      <c r="J489" s="2"/>
      <c r="K489" s="13"/>
      <c r="L489" s="14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"/>
      <c r="B490" s="2"/>
      <c r="C490" s="4"/>
      <c r="D490" s="2"/>
      <c r="E490" s="13"/>
      <c r="F490" s="13"/>
      <c r="G490" s="2"/>
      <c r="H490" s="2"/>
      <c r="I490" s="2"/>
      <c r="J490" s="2"/>
      <c r="K490" s="13"/>
      <c r="L490" s="14"/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"/>
      <c r="B491" s="2"/>
      <c r="C491" s="4"/>
      <c r="D491" s="2"/>
      <c r="E491" s="13"/>
      <c r="F491" s="13"/>
      <c r="G491" s="2"/>
      <c r="H491" s="2"/>
      <c r="I491" s="2"/>
      <c r="J491" s="2"/>
      <c r="K491" s="13"/>
      <c r="L491" s="14"/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"/>
      <c r="B492" s="2"/>
      <c r="C492" s="4"/>
      <c r="D492" s="2"/>
      <c r="E492" s="13"/>
      <c r="F492" s="13"/>
      <c r="G492" s="2"/>
      <c r="H492" s="2"/>
      <c r="I492" s="2"/>
      <c r="J492" s="2"/>
      <c r="K492" s="13"/>
      <c r="L492" s="14"/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"/>
      <c r="B493" s="2"/>
      <c r="C493" s="4"/>
      <c r="D493" s="2"/>
      <c r="E493" s="13"/>
      <c r="F493" s="13"/>
      <c r="G493" s="2"/>
      <c r="H493" s="2"/>
      <c r="I493" s="2"/>
      <c r="J493" s="2"/>
      <c r="K493" s="13"/>
      <c r="L493" s="14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"/>
      <c r="B494" s="2"/>
      <c r="C494" s="4"/>
      <c r="D494" s="2"/>
      <c r="E494" s="13"/>
      <c r="F494" s="13"/>
      <c r="G494" s="2"/>
      <c r="H494" s="2"/>
      <c r="I494" s="2"/>
      <c r="J494" s="2"/>
      <c r="K494" s="13"/>
      <c r="L494" s="14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"/>
      <c r="B495" s="2"/>
      <c r="C495" s="4"/>
      <c r="D495" s="2"/>
      <c r="E495" s="13"/>
      <c r="F495" s="13"/>
      <c r="G495" s="2"/>
      <c r="H495" s="2"/>
      <c r="I495" s="2"/>
      <c r="J495" s="2"/>
      <c r="K495" s="13"/>
      <c r="L495" s="14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2"/>
      <c r="C496" s="4"/>
      <c r="D496" s="2"/>
      <c r="E496" s="13"/>
      <c r="F496" s="13"/>
      <c r="G496" s="2"/>
      <c r="H496" s="2"/>
      <c r="I496" s="2"/>
      <c r="J496" s="2"/>
      <c r="K496" s="13"/>
      <c r="L496" s="14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"/>
      <c r="B497" s="2"/>
      <c r="C497" s="4"/>
      <c r="D497" s="2"/>
      <c r="E497" s="13"/>
      <c r="F497" s="13"/>
      <c r="G497" s="2"/>
      <c r="H497" s="2"/>
      <c r="I497" s="2"/>
      <c r="J497" s="2"/>
      <c r="K497" s="13"/>
      <c r="L497" s="14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"/>
      <c r="B498" s="2"/>
      <c r="C498" s="4"/>
      <c r="D498" s="2"/>
      <c r="E498" s="13"/>
      <c r="F498" s="13"/>
      <c r="G498" s="2"/>
      <c r="H498" s="2"/>
      <c r="I498" s="2"/>
      <c r="J498" s="2"/>
      <c r="K498" s="13"/>
      <c r="L498" s="14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"/>
      <c r="B499" s="2"/>
      <c r="C499" s="4"/>
      <c r="D499" s="2"/>
      <c r="E499" s="13"/>
      <c r="F499" s="13"/>
      <c r="G499" s="2"/>
      <c r="H499" s="2"/>
      <c r="I499" s="2"/>
      <c r="J499" s="2"/>
      <c r="K499" s="13"/>
      <c r="L499" s="14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"/>
      <c r="B500" s="2"/>
      <c r="C500" s="4"/>
      <c r="D500" s="2"/>
      <c r="E500" s="13"/>
      <c r="F500" s="13"/>
      <c r="G500" s="2"/>
      <c r="H500" s="2"/>
      <c r="I500" s="2"/>
      <c r="J500" s="2"/>
      <c r="K500" s="13"/>
      <c r="L500" s="14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"/>
      <c r="B501" s="2"/>
      <c r="C501" s="4"/>
      <c r="D501" s="2"/>
      <c r="E501" s="13"/>
      <c r="F501" s="13"/>
      <c r="G501" s="2"/>
      <c r="H501" s="2"/>
      <c r="I501" s="2"/>
      <c r="J501" s="2"/>
      <c r="K501" s="13"/>
      <c r="L501" s="14"/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"/>
      <c r="B502" s="2"/>
      <c r="C502" s="4"/>
      <c r="D502" s="2"/>
      <c r="E502" s="13"/>
      <c r="F502" s="13"/>
      <c r="G502" s="2"/>
      <c r="H502" s="2"/>
      <c r="I502" s="2"/>
      <c r="J502" s="2"/>
      <c r="K502" s="13"/>
      <c r="L502" s="14"/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2"/>
      <c r="C503" s="4"/>
      <c r="D503" s="2"/>
      <c r="E503" s="13"/>
      <c r="F503" s="13"/>
      <c r="G503" s="2"/>
      <c r="H503" s="2"/>
      <c r="I503" s="2"/>
      <c r="J503" s="2"/>
      <c r="K503" s="13"/>
      <c r="L503" s="14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2"/>
      <c r="C504" s="4"/>
      <c r="D504" s="2"/>
      <c r="E504" s="13"/>
      <c r="F504" s="13"/>
      <c r="G504" s="2"/>
      <c r="H504" s="2"/>
      <c r="I504" s="2"/>
      <c r="J504" s="2"/>
      <c r="K504" s="13"/>
      <c r="L504" s="14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2"/>
      <c r="C505" s="4"/>
      <c r="D505" s="2"/>
      <c r="E505" s="13"/>
      <c r="F505" s="13"/>
      <c r="G505" s="2"/>
      <c r="H505" s="2"/>
      <c r="I505" s="2"/>
      <c r="J505" s="2"/>
      <c r="K505" s="13"/>
      <c r="L505" s="14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"/>
      <c r="B506" s="2"/>
      <c r="C506" s="4"/>
      <c r="D506" s="2"/>
      <c r="E506" s="13"/>
      <c r="F506" s="13"/>
      <c r="G506" s="2"/>
      <c r="H506" s="2"/>
      <c r="I506" s="2"/>
      <c r="J506" s="2"/>
      <c r="K506" s="13"/>
      <c r="L506" s="14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"/>
      <c r="B507" s="2"/>
      <c r="C507" s="4"/>
      <c r="D507" s="2"/>
      <c r="E507" s="13"/>
      <c r="F507" s="13"/>
      <c r="G507" s="2"/>
      <c r="H507" s="2"/>
      <c r="I507" s="2"/>
      <c r="J507" s="2"/>
      <c r="K507" s="13"/>
      <c r="L507" s="14"/>
      <c r="M507" s="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"/>
      <c r="B508" s="2"/>
      <c r="C508" s="4"/>
      <c r="D508" s="2"/>
      <c r="E508" s="13"/>
      <c r="F508" s="13"/>
      <c r="G508" s="2"/>
      <c r="H508" s="2"/>
      <c r="I508" s="2"/>
      <c r="J508" s="2"/>
      <c r="K508" s="13"/>
      <c r="L508" s="14"/>
      <c r="M508" s="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"/>
      <c r="B509" s="2"/>
      <c r="C509" s="4"/>
      <c r="D509" s="2"/>
      <c r="E509" s="13"/>
      <c r="F509" s="13"/>
      <c r="G509" s="2"/>
      <c r="H509" s="2"/>
      <c r="I509" s="2"/>
      <c r="J509" s="2"/>
      <c r="K509" s="13"/>
      <c r="L509" s="14"/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"/>
      <c r="B510" s="2"/>
      <c r="C510" s="4"/>
      <c r="D510" s="2"/>
      <c r="E510" s="13"/>
      <c r="F510" s="13"/>
      <c r="G510" s="2"/>
      <c r="H510" s="2"/>
      <c r="I510" s="2"/>
      <c r="J510" s="2"/>
      <c r="K510" s="13"/>
      <c r="L510" s="14"/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"/>
      <c r="B511" s="2"/>
      <c r="C511" s="4"/>
      <c r="D511" s="2"/>
      <c r="E511" s="13"/>
      <c r="F511" s="13"/>
      <c r="G511" s="2"/>
      <c r="H511" s="2"/>
      <c r="I511" s="2"/>
      <c r="J511" s="2"/>
      <c r="K511" s="13"/>
      <c r="L511" s="14"/>
      <c r="M511" s="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"/>
      <c r="B512" s="2"/>
      <c r="C512" s="4"/>
      <c r="D512" s="2"/>
      <c r="E512" s="13"/>
      <c r="F512" s="13"/>
      <c r="G512" s="2"/>
      <c r="H512" s="2"/>
      <c r="I512" s="2"/>
      <c r="J512" s="2"/>
      <c r="K512" s="13"/>
      <c r="L512" s="14"/>
      <c r="M512" s="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"/>
      <c r="B513" s="2"/>
      <c r="C513" s="4"/>
      <c r="D513" s="2"/>
      <c r="E513" s="13"/>
      <c r="F513" s="13"/>
      <c r="G513" s="2"/>
      <c r="H513" s="2"/>
      <c r="I513" s="2"/>
      <c r="J513" s="2"/>
      <c r="K513" s="13"/>
      <c r="L513" s="14"/>
      <c r="M513" s="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"/>
      <c r="B514" s="2"/>
      <c r="C514" s="4"/>
      <c r="D514" s="2"/>
      <c r="E514" s="13"/>
      <c r="F514" s="13"/>
      <c r="G514" s="2"/>
      <c r="H514" s="2"/>
      <c r="I514" s="2"/>
      <c r="J514" s="2"/>
      <c r="K514" s="13"/>
      <c r="L514" s="14"/>
      <c r="M514" s="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2"/>
      <c r="C515" s="4"/>
      <c r="D515" s="2"/>
      <c r="E515" s="13"/>
      <c r="F515" s="13"/>
      <c r="G515" s="2"/>
      <c r="H515" s="2"/>
      <c r="I515" s="2"/>
      <c r="J515" s="2"/>
      <c r="K515" s="13"/>
      <c r="L515" s="14"/>
      <c r="M515" s="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2"/>
      <c r="C516" s="4"/>
      <c r="D516" s="2"/>
      <c r="E516" s="13"/>
      <c r="F516" s="13"/>
      <c r="G516" s="2"/>
      <c r="H516" s="2"/>
      <c r="I516" s="2"/>
      <c r="J516" s="2"/>
      <c r="K516" s="13"/>
      <c r="L516" s="14"/>
      <c r="M516" s="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2"/>
      <c r="C517" s="4"/>
      <c r="D517" s="2"/>
      <c r="E517" s="13"/>
      <c r="F517" s="13"/>
      <c r="G517" s="2"/>
      <c r="H517" s="2"/>
      <c r="I517" s="2"/>
      <c r="J517" s="2"/>
      <c r="K517" s="13"/>
      <c r="L517" s="14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2"/>
      <c r="C518" s="4"/>
      <c r="D518" s="2"/>
      <c r="E518" s="13"/>
      <c r="F518" s="13"/>
      <c r="G518" s="2"/>
      <c r="H518" s="2"/>
      <c r="I518" s="2"/>
      <c r="J518" s="2"/>
      <c r="K518" s="13"/>
      <c r="L518" s="14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"/>
      <c r="B519" s="2"/>
      <c r="C519" s="4"/>
      <c r="D519" s="2"/>
      <c r="E519" s="13"/>
      <c r="F519" s="13"/>
      <c r="G519" s="2"/>
      <c r="H519" s="2"/>
      <c r="I519" s="2"/>
      <c r="J519" s="2"/>
      <c r="K519" s="13"/>
      <c r="L519" s="14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"/>
      <c r="B520" s="2"/>
      <c r="C520" s="4"/>
      <c r="D520" s="2"/>
      <c r="E520" s="13"/>
      <c r="F520" s="13"/>
      <c r="G520" s="2"/>
      <c r="H520" s="2"/>
      <c r="I520" s="2"/>
      <c r="J520" s="2"/>
      <c r="K520" s="13"/>
      <c r="L520" s="14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"/>
      <c r="B521" s="2"/>
      <c r="C521" s="4"/>
      <c r="D521" s="2"/>
      <c r="E521" s="13"/>
      <c r="F521" s="13"/>
      <c r="G521" s="2"/>
      <c r="H521" s="2"/>
      <c r="I521" s="2"/>
      <c r="J521" s="2"/>
      <c r="K521" s="13"/>
      <c r="L521" s="14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"/>
      <c r="B522" s="2"/>
      <c r="C522" s="4"/>
      <c r="D522" s="2"/>
      <c r="E522" s="13"/>
      <c r="F522" s="13"/>
      <c r="G522" s="2"/>
      <c r="H522" s="2"/>
      <c r="I522" s="2"/>
      <c r="J522" s="2"/>
      <c r="K522" s="13"/>
      <c r="L522" s="14"/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"/>
      <c r="B523" s="2"/>
      <c r="C523" s="4"/>
      <c r="D523" s="2"/>
      <c r="E523" s="13"/>
      <c r="F523" s="13"/>
      <c r="G523" s="2"/>
      <c r="H523" s="2"/>
      <c r="I523" s="2"/>
      <c r="J523" s="2"/>
      <c r="K523" s="13"/>
      <c r="L523" s="14"/>
      <c r="M523" s="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"/>
      <c r="B524" s="2"/>
      <c r="C524" s="4"/>
      <c r="D524" s="2"/>
      <c r="E524" s="13"/>
      <c r="F524" s="13"/>
      <c r="G524" s="2"/>
      <c r="H524" s="2"/>
      <c r="I524" s="2"/>
      <c r="J524" s="2"/>
      <c r="K524" s="13"/>
      <c r="L524" s="14"/>
      <c r="M524" s="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"/>
      <c r="B525" s="2"/>
      <c r="C525" s="4"/>
      <c r="D525" s="2"/>
      <c r="E525" s="13"/>
      <c r="F525" s="13"/>
      <c r="G525" s="2"/>
      <c r="H525" s="2"/>
      <c r="I525" s="2"/>
      <c r="J525" s="2"/>
      <c r="K525" s="13"/>
      <c r="L525" s="14"/>
      <c r="M525" s="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"/>
      <c r="B526" s="2"/>
      <c r="C526" s="4"/>
      <c r="D526" s="2"/>
      <c r="E526" s="13"/>
      <c r="F526" s="13"/>
      <c r="G526" s="2"/>
      <c r="H526" s="2"/>
      <c r="I526" s="2"/>
      <c r="J526" s="2"/>
      <c r="K526" s="13"/>
      <c r="L526" s="14"/>
      <c r="M526" s="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"/>
      <c r="B527" s="2"/>
      <c r="C527" s="4"/>
      <c r="D527" s="2"/>
      <c r="E527" s="13"/>
      <c r="F527" s="13"/>
      <c r="G527" s="2"/>
      <c r="H527" s="2"/>
      <c r="I527" s="2"/>
      <c r="J527" s="2"/>
      <c r="K527" s="13"/>
      <c r="L527" s="14"/>
      <c r="M527" s="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"/>
      <c r="B528" s="2"/>
      <c r="C528" s="4"/>
      <c r="D528" s="2"/>
      <c r="E528" s="13"/>
      <c r="F528" s="13"/>
      <c r="G528" s="2"/>
      <c r="H528" s="2"/>
      <c r="I528" s="2"/>
      <c r="J528" s="2"/>
      <c r="K528" s="13"/>
      <c r="L528" s="14"/>
      <c r="M528" s="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"/>
      <c r="B529" s="2"/>
      <c r="C529" s="4"/>
      <c r="D529" s="2"/>
      <c r="E529" s="13"/>
      <c r="F529" s="13"/>
      <c r="G529" s="2"/>
      <c r="H529" s="2"/>
      <c r="I529" s="2"/>
      <c r="J529" s="2"/>
      <c r="K529" s="13"/>
      <c r="L529" s="14"/>
      <c r="M529" s="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"/>
      <c r="B530" s="2"/>
      <c r="C530" s="4"/>
      <c r="D530" s="2"/>
      <c r="E530" s="13"/>
      <c r="F530" s="13"/>
      <c r="G530" s="2"/>
      <c r="H530" s="2"/>
      <c r="I530" s="2"/>
      <c r="J530" s="2"/>
      <c r="K530" s="13"/>
      <c r="L530" s="14"/>
      <c r="M530" s="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"/>
      <c r="B531" s="2"/>
      <c r="C531" s="4"/>
      <c r="D531" s="2"/>
      <c r="E531" s="13"/>
      <c r="F531" s="13"/>
      <c r="G531" s="2"/>
      <c r="H531" s="2"/>
      <c r="I531" s="2"/>
      <c r="J531" s="2"/>
      <c r="K531" s="13"/>
      <c r="L531" s="14"/>
      <c r="M531" s="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"/>
      <c r="B532" s="2"/>
      <c r="C532" s="4"/>
      <c r="D532" s="2"/>
      <c r="E532" s="13"/>
      <c r="F532" s="13"/>
      <c r="G532" s="2"/>
      <c r="H532" s="2"/>
      <c r="I532" s="2"/>
      <c r="J532" s="2"/>
      <c r="K532" s="13"/>
      <c r="L532" s="14"/>
      <c r="M532" s="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"/>
      <c r="B533" s="2"/>
      <c r="C533" s="4"/>
      <c r="D533" s="2"/>
      <c r="E533" s="13"/>
      <c r="F533" s="13"/>
      <c r="G533" s="2"/>
      <c r="H533" s="2"/>
      <c r="I533" s="2"/>
      <c r="J533" s="2"/>
      <c r="K533" s="13"/>
      <c r="L533" s="14"/>
      <c r="M533" s="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"/>
      <c r="B534" s="2"/>
      <c r="C534" s="4"/>
      <c r="D534" s="2"/>
      <c r="E534" s="13"/>
      <c r="F534" s="13"/>
      <c r="G534" s="2"/>
      <c r="H534" s="2"/>
      <c r="I534" s="2"/>
      <c r="J534" s="2"/>
      <c r="K534" s="13"/>
      <c r="L534" s="14"/>
      <c r="M534" s="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"/>
      <c r="B535" s="2"/>
      <c r="C535" s="4"/>
      <c r="D535" s="2"/>
      <c r="E535" s="13"/>
      <c r="F535" s="13"/>
      <c r="G535" s="2"/>
      <c r="H535" s="2"/>
      <c r="I535" s="2"/>
      <c r="J535" s="2"/>
      <c r="K535" s="13"/>
      <c r="L535" s="14"/>
      <c r="M535" s="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"/>
      <c r="B536" s="2"/>
      <c r="C536" s="4"/>
      <c r="D536" s="2"/>
      <c r="E536" s="13"/>
      <c r="F536" s="13"/>
      <c r="G536" s="2"/>
      <c r="H536" s="2"/>
      <c r="I536" s="2"/>
      <c r="J536" s="2"/>
      <c r="K536" s="13"/>
      <c r="L536" s="14"/>
      <c r="M536" s="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"/>
      <c r="B537" s="2"/>
      <c r="C537" s="4"/>
      <c r="D537" s="2"/>
      <c r="E537" s="13"/>
      <c r="F537" s="13"/>
      <c r="G537" s="2"/>
      <c r="H537" s="2"/>
      <c r="I537" s="2"/>
      <c r="J537" s="2"/>
      <c r="K537" s="13"/>
      <c r="L537" s="14"/>
      <c r="M537" s="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2"/>
      <c r="C538" s="4"/>
      <c r="D538" s="2"/>
      <c r="E538" s="13"/>
      <c r="F538" s="13"/>
      <c r="G538" s="2"/>
      <c r="H538" s="2"/>
      <c r="I538" s="2"/>
      <c r="J538" s="2"/>
      <c r="K538" s="13"/>
      <c r="L538" s="14"/>
      <c r="M538" s="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2"/>
      <c r="C539" s="4"/>
      <c r="D539" s="2"/>
      <c r="E539" s="13"/>
      <c r="F539" s="13"/>
      <c r="G539" s="2"/>
      <c r="H539" s="2"/>
      <c r="I539" s="2"/>
      <c r="J539" s="2"/>
      <c r="K539" s="13"/>
      <c r="L539" s="14"/>
      <c r="M539" s="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"/>
      <c r="B540" s="2"/>
      <c r="C540" s="4"/>
      <c r="D540" s="2"/>
      <c r="E540" s="13"/>
      <c r="F540" s="13"/>
      <c r="G540" s="2"/>
      <c r="H540" s="2"/>
      <c r="I540" s="2"/>
      <c r="J540" s="2"/>
      <c r="K540" s="13"/>
      <c r="L540" s="14"/>
      <c r="M540" s="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"/>
      <c r="B541" s="2"/>
      <c r="C541" s="4"/>
      <c r="D541" s="2"/>
      <c r="E541" s="13"/>
      <c r="F541" s="13"/>
      <c r="G541" s="2"/>
      <c r="H541" s="2"/>
      <c r="I541" s="2"/>
      <c r="J541" s="2"/>
      <c r="K541" s="13"/>
      <c r="L541" s="14"/>
      <c r="M541" s="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"/>
      <c r="B542" s="2"/>
      <c r="C542" s="4"/>
      <c r="D542" s="2"/>
      <c r="E542" s="13"/>
      <c r="F542" s="13"/>
      <c r="G542" s="2"/>
      <c r="H542" s="2"/>
      <c r="I542" s="2"/>
      <c r="J542" s="2"/>
      <c r="K542" s="13"/>
      <c r="L542" s="14"/>
      <c r="M542" s="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"/>
      <c r="B543" s="2"/>
      <c r="C543" s="4"/>
      <c r="D543" s="2"/>
      <c r="E543" s="13"/>
      <c r="F543" s="13"/>
      <c r="G543" s="2"/>
      <c r="H543" s="2"/>
      <c r="I543" s="2"/>
      <c r="J543" s="2"/>
      <c r="K543" s="13"/>
      <c r="L543" s="14"/>
      <c r="M543" s="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"/>
      <c r="B544" s="2"/>
      <c r="C544" s="4"/>
      <c r="D544" s="2"/>
      <c r="E544" s="13"/>
      <c r="F544" s="13"/>
      <c r="G544" s="2"/>
      <c r="H544" s="2"/>
      <c r="I544" s="2"/>
      <c r="J544" s="2"/>
      <c r="K544" s="13"/>
      <c r="L544" s="14"/>
      <c r="M544" s="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"/>
      <c r="B545" s="2"/>
      <c r="C545" s="4"/>
      <c r="D545" s="2"/>
      <c r="E545" s="13"/>
      <c r="F545" s="13"/>
      <c r="G545" s="2"/>
      <c r="H545" s="2"/>
      <c r="I545" s="2"/>
      <c r="J545" s="2"/>
      <c r="K545" s="13"/>
      <c r="L545" s="14"/>
      <c r="M545" s="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"/>
      <c r="B546" s="2"/>
      <c r="C546" s="4"/>
      <c r="D546" s="2"/>
      <c r="E546" s="13"/>
      <c r="F546" s="13"/>
      <c r="G546" s="2"/>
      <c r="H546" s="2"/>
      <c r="I546" s="2"/>
      <c r="J546" s="2"/>
      <c r="K546" s="13"/>
      <c r="L546" s="14"/>
      <c r="M546" s="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"/>
      <c r="B547" s="2"/>
      <c r="C547" s="4"/>
      <c r="D547" s="2"/>
      <c r="E547" s="13"/>
      <c r="F547" s="13"/>
      <c r="G547" s="2"/>
      <c r="H547" s="2"/>
      <c r="I547" s="2"/>
      <c r="J547" s="2"/>
      <c r="K547" s="13"/>
      <c r="L547" s="14"/>
      <c r="M547" s="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"/>
      <c r="B548" s="2"/>
      <c r="C548" s="4"/>
      <c r="D548" s="2"/>
      <c r="E548" s="13"/>
      <c r="F548" s="13"/>
      <c r="G548" s="2"/>
      <c r="H548" s="2"/>
      <c r="I548" s="2"/>
      <c r="J548" s="2"/>
      <c r="K548" s="13"/>
      <c r="L548" s="14"/>
      <c r="M548" s="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"/>
      <c r="B549" s="2"/>
      <c r="C549" s="4"/>
      <c r="D549" s="2"/>
      <c r="E549" s="13"/>
      <c r="F549" s="13"/>
      <c r="G549" s="2"/>
      <c r="H549" s="2"/>
      <c r="I549" s="2"/>
      <c r="J549" s="2"/>
      <c r="K549" s="13"/>
      <c r="L549" s="14"/>
      <c r="M549" s="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"/>
      <c r="B550" s="2"/>
      <c r="C550" s="4"/>
      <c r="D550" s="2"/>
      <c r="E550" s="13"/>
      <c r="F550" s="13"/>
      <c r="G550" s="2"/>
      <c r="H550" s="2"/>
      <c r="I550" s="2"/>
      <c r="J550" s="2"/>
      <c r="K550" s="13"/>
      <c r="L550" s="14"/>
      <c r="M550" s="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"/>
      <c r="B551" s="2"/>
      <c r="C551" s="4"/>
      <c r="D551" s="2"/>
      <c r="E551" s="13"/>
      <c r="F551" s="13"/>
      <c r="G551" s="2"/>
      <c r="H551" s="2"/>
      <c r="I551" s="2"/>
      <c r="J551" s="2"/>
      <c r="K551" s="13"/>
      <c r="L551" s="14"/>
      <c r="M551" s="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"/>
      <c r="B552" s="2"/>
      <c r="C552" s="4"/>
      <c r="D552" s="2"/>
      <c r="E552" s="13"/>
      <c r="F552" s="13"/>
      <c r="G552" s="2"/>
      <c r="H552" s="2"/>
      <c r="I552" s="2"/>
      <c r="J552" s="2"/>
      <c r="K552" s="13"/>
      <c r="L552" s="14"/>
      <c r="M552" s="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"/>
      <c r="B553" s="2"/>
      <c r="C553" s="4"/>
      <c r="D553" s="2"/>
      <c r="E553" s="13"/>
      <c r="F553" s="13"/>
      <c r="G553" s="2"/>
      <c r="H553" s="2"/>
      <c r="I553" s="2"/>
      <c r="J553" s="2"/>
      <c r="K553" s="13"/>
      <c r="L553" s="14"/>
      <c r="M553" s="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"/>
      <c r="B554" s="2"/>
      <c r="C554" s="4"/>
      <c r="D554" s="2"/>
      <c r="E554" s="13"/>
      <c r="F554" s="13"/>
      <c r="G554" s="2"/>
      <c r="H554" s="2"/>
      <c r="I554" s="2"/>
      <c r="J554" s="2"/>
      <c r="K554" s="13"/>
      <c r="L554" s="14"/>
      <c r="M554" s="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"/>
      <c r="B555" s="2"/>
      <c r="C555" s="4"/>
      <c r="D555" s="2"/>
      <c r="E555" s="13"/>
      <c r="F555" s="13"/>
      <c r="G555" s="2"/>
      <c r="H555" s="2"/>
      <c r="I555" s="2"/>
      <c r="J555" s="2"/>
      <c r="K555" s="13"/>
      <c r="L555" s="14"/>
      <c r="M555" s="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"/>
      <c r="B556" s="2"/>
      <c r="C556" s="4"/>
      <c r="D556" s="2"/>
      <c r="E556" s="13"/>
      <c r="F556" s="13"/>
      <c r="G556" s="2"/>
      <c r="H556" s="2"/>
      <c r="I556" s="2"/>
      <c r="J556" s="2"/>
      <c r="K556" s="13"/>
      <c r="L556" s="14"/>
      <c r="M556" s="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"/>
      <c r="B557" s="2"/>
      <c r="C557" s="4"/>
      <c r="D557" s="2"/>
      <c r="E557" s="13"/>
      <c r="F557" s="13"/>
      <c r="G557" s="2"/>
      <c r="H557" s="2"/>
      <c r="I557" s="2"/>
      <c r="J557" s="2"/>
      <c r="K557" s="13"/>
      <c r="L557" s="14"/>
      <c r="M557" s="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"/>
      <c r="B558" s="2"/>
      <c r="C558" s="4"/>
      <c r="D558" s="2"/>
      <c r="E558" s="13"/>
      <c r="F558" s="13"/>
      <c r="G558" s="2"/>
      <c r="H558" s="2"/>
      <c r="I558" s="2"/>
      <c r="J558" s="2"/>
      <c r="K558" s="13"/>
      <c r="L558" s="14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2"/>
      <c r="C559" s="4"/>
      <c r="D559" s="2"/>
      <c r="E559" s="13"/>
      <c r="F559" s="13"/>
      <c r="G559" s="2"/>
      <c r="H559" s="2"/>
      <c r="I559" s="2"/>
      <c r="J559" s="2"/>
      <c r="K559" s="13"/>
      <c r="L559" s="14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"/>
      <c r="B560" s="2"/>
      <c r="C560" s="4"/>
      <c r="D560" s="2"/>
      <c r="E560" s="13"/>
      <c r="F560" s="13"/>
      <c r="G560" s="2"/>
      <c r="H560" s="2"/>
      <c r="I560" s="2"/>
      <c r="J560" s="2"/>
      <c r="K560" s="13"/>
      <c r="L560" s="14"/>
      <c r="M560" s="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2"/>
      <c r="C561" s="4"/>
      <c r="D561" s="2"/>
      <c r="E561" s="13"/>
      <c r="F561" s="13"/>
      <c r="G561" s="2"/>
      <c r="H561" s="2"/>
      <c r="I561" s="2"/>
      <c r="J561" s="2"/>
      <c r="K561" s="13"/>
      <c r="L561" s="14"/>
      <c r="M561" s="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1"/>
      <c r="B562" s="2"/>
      <c r="C562" s="4"/>
      <c r="D562" s="2"/>
      <c r="E562" s="13"/>
      <c r="F562" s="13"/>
      <c r="G562" s="2"/>
      <c r="H562" s="2"/>
      <c r="I562" s="2"/>
      <c r="J562" s="2"/>
      <c r="K562" s="13"/>
      <c r="L562" s="14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"/>
      <c r="B563" s="2"/>
      <c r="C563" s="4"/>
      <c r="D563" s="2"/>
      <c r="E563" s="13"/>
      <c r="F563" s="13"/>
      <c r="G563" s="2"/>
      <c r="H563" s="2"/>
      <c r="I563" s="2"/>
      <c r="J563" s="2"/>
      <c r="K563" s="13"/>
      <c r="L563" s="14"/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"/>
      <c r="B564" s="2"/>
      <c r="C564" s="4"/>
      <c r="D564" s="2"/>
      <c r="E564" s="13"/>
      <c r="F564" s="13"/>
      <c r="G564" s="2"/>
      <c r="H564" s="2"/>
      <c r="I564" s="2"/>
      <c r="J564" s="2"/>
      <c r="K564" s="13"/>
      <c r="L564" s="14"/>
      <c r="M564" s="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"/>
      <c r="B565" s="2"/>
      <c r="C565" s="4"/>
      <c r="D565" s="2"/>
      <c r="E565" s="13"/>
      <c r="F565" s="13"/>
      <c r="G565" s="2"/>
      <c r="H565" s="2"/>
      <c r="I565" s="2"/>
      <c r="J565" s="2"/>
      <c r="K565" s="13"/>
      <c r="L565" s="14"/>
      <c r="M565" s="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"/>
      <c r="B566" s="2"/>
      <c r="C566" s="4"/>
      <c r="D566" s="2"/>
      <c r="E566" s="13"/>
      <c r="F566" s="13"/>
      <c r="G566" s="2"/>
      <c r="H566" s="2"/>
      <c r="I566" s="2"/>
      <c r="J566" s="2"/>
      <c r="K566" s="13"/>
      <c r="L566" s="14"/>
      <c r="M566" s="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"/>
      <c r="B567" s="2"/>
      <c r="C567" s="4"/>
      <c r="D567" s="2"/>
      <c r="E567" s="13"/>
      <c r="F567" s="13"/>
      <c r="G567" s="2"/>
      <c r="H567" s="2"/>
      <c r="I567" s="2"/>
      <c r="J567" s="2"/>
      <c r="K567" s="13"/>
      <c r="L567" s="14"/>
      <c r="M567" s="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"/>
      <c r="B568" s="2"/>
      <c r="C568" s="4"/>
      <c r="D568" s="2"/>
      <c r="E568" s="13"/>
      <c r="F568" s="13"/>
      <c r="G568" s="2"/>
      <c r="H568" s="2"/>
      <c r="I568" s="2"/>
      <c r="J568" s="2"/>
      <c r="K568" s="13"/>
      <c r="L568" s="14"/>
      <c r="M568" s="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"/>
      <c r="B569" s="2"/>
      <c r="C569" s="4"/>
      <c r="D569" s="2"/>
      <c r="E569" s="13"/>
      <c r="F569" s="13"/>
      <c r="G569" s="2"/>
      <c r="H569" s="2"/>
      <c r="I569" s="2"/>
      <c r="J569" s="2"/>
      <c r="K569" s="13"/>
      <c r="L569" s="14"/>
      <c r="M569" s="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"/>
      <c r="B570" s="2"/>
      <c r="C570" s="4"/>
      <c r="D570" s="2"/>
      <c r="E570" s="13"/>
      <c r="F570" s="13"/>
      <c r="G570" s="2"/>
      <c r="H570" s="2"/>
      <c r="I570" s="2"/>
      <c r="J570" s="2"/>
      <c r="K570" s="13"/>
      <c r="L570" s="14"/>
      <c r="M570" s="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"/>
      <c r="B571" s="2"/>
      <c r="C571" s="4"/>
      <c r="D571" s="2"/>
      <c r="E571" s="13"/>
      <c r="F571" s="13"/>
      <c r="G571" s="2"/>
      <c r="H571" s="2"/>
      <c r="I571" s="2"/>
      <c r="J571" s="2"/>
      <c r="K571" s="13"/>
      <c r="L571" s="14"/>
      <c r="M571" s="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"/>
      <c r="B572" s="2"/>
      <c r="C572" s="4"/>
      <c r="D572" s="2"/>
      <c r="E572" s="13"/>
      <c r="F572" s="13"/>
      <c r="G572" s="2"/>
      <c r="H572" s="2"/>
      <c r="I572" s="2"/>
      <c r="J572" s="2"/>
      <c r="K572" s="13"/>
      <c r="L572" s="14"/>
      <c r="M572" s="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"/>
      <c r="B573" s="2"/>
      <c r="C573" s="4"/>
      <c r="D573" s="2"/>
      <c r="E573" s="13"/>
      <c r="F573" s="13"/>
      <c r="G573" s="2"/>
      <c r="H573" s="2"/>
      <c r="I573" s="2"/>
      <c r="J573" s="2"/>
      <c r="K573" s="13"/>
      <c r="L573" s="14"/>
      <c r="M573" s="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"/>
      <c r="B574" s="2"/>
      <c r="C574" s="4"/>
      <c r="D574" s="2"/>
      <c r="E574" s="13"/>
      <c r="F574" s="13"/>
      <c r="G574" s="2"/>
      <c r="H574" s="2"/>
      <c r="I574" s="2"/>
      <c r="J574" s="2"/>
      <c r="K574" s="13"/>
      <c r="L574" s="14"/>
      <c r="M574" s="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"/>
      <c r="B575" s="2"/>
      <c r="C575" s="4"/>
      <c r="D575" s="2"/>
      <c r="E575" s="13"/>
      <c r="F575" s="13"/>
      <c r="G575" s="2"/>
      <c r="H575" s="2"/>
      <c r="I575" s="2"/>
      <c r="J575" s="2"/>
      <c r="K575" s="13"/>
      <c r="L575" s="14"/>
      <c r="M575" s="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"/>
      <c r="B576" s="2"/>
      <c r="C576" s="4"/>
      <c r="D576" s="2"/>
      <c r="E576" s="13"/>
      <c r="F576" s="13"/>
      <c r="G576" s="2"/>
      <c r="H576" s="2"/>
      <c r="I576" s="2"/>
      <c r="J576" s="2"/>
      <c r="K576" s="13"/>
      <c r="L576" s="14"/>
      <c r="M576" s="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"/>
      <c r="B577" s="2"/>
      <c r="C577" s="4"/>
      <c r="D577" s="2"/>
      <c r="E577" s="13"/>
      <c r="F577" s="13"/>
      <c r="G577" s="2"/>
      <c r="H577" s="2"/>
      <c r="I577" s="2"/>
      <c r="J577" s="2"/>
      <c r="K577" s="13"/>
      <c r="L577" s="14"/>
      <c r="M577" s="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"/>
      <c r="B578" s="2"/>
      <c r="C578" s="4"/>
      <c r="D578" s="2"/>
      <c r="E578" s="13"/>
      <c r="F578" s="13"/>
      <c r="G578" s="2"/>
      <c r="H578" s="2"/>
      <c r="I578" s="2"/>
      <c r="J578" s="2"/>
      <c r="K578" s="13"/>
      <c r="L578" s="14"/>
      <c r="M578" s="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"/>
      <c r="B579" s="2"/>
      <c r="C579" s="4"/>
      <c r="D579" s="2"/>
      <c r="E579" s="13"/>
      <c r="F579" s="13"/>
      <c r="G579" s="2"/>
      <c r="H579" s="2"/>
      <c r="I579" s="2"/>
      <c r="J579" s="2"/>
      <c r="K579" s="13"/>
      <c r="L579" s="14"/>
      <c r="M579" s="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"/>
      <c r="B580" s="2"/>
      <c r="C580" s="4"/>
      <c r="D580" s="2"/>
      <c r="E580" s="13"/>
      <c r="F580" s="13"/>
      <c r="G580" s="2"/>
      <c r="H580" s="2"/>
      <c r="I580" s="2"/>
      <c r="J580" s="2"/>
      <c r="K580" s="13"/>
      <c r="L580" s="14"/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"/>
      <c r="B581" s="2"/>
      <c r="C581" s="4"/>
      <c r="D581" s="2"/>
      <c r="E581" s="13"/>
      <c r="F581" s="13"/>
      <c r="G581" s="2"/>
      <c r="H581" s="2"/>
      <c r="I581" s="2"/>
      <c r="J581" s="2"/>
      <c r="K581" s="13"/>
      <c r="L581" s="14"/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"/>
      <c r="B582" s="2"/>
      <c r="C582" s="4"/>
      <c r="D582" s="2"/>
      <c r="E582" s="13"/>
      <c r="F582" s="13"/>
      <c r="G582" s="2"/>
      <c r="H582" s="2"/>
      <c r="I582" s="2"/>
      <c r="J582" s="2"/>
      <c r="K582" s="13"/>
      <c r="L582" s="14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"/>
      <c r="B583" s="2"/>
      <c r="C583" s="4"/>
      <c r="D583" s="2"/>
      <c r="E583" s="13"/>
      <c r="F583" s="13"/>
      <c r="G583" s="2"/>
      <c r="H583" s="2"/>
      <c r="I583" s="2"/>
      <c r="J583" s="2"/>
      <c r="K583" s="13"/>
      <c r="L583" s="14"/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"/>
      <c r="B584" s="2"/>
      <c r="C584" s="4"/>
      <c r="D584" s="2"/>
      <c r="E584" s="13"/>
      <c r="F584" s="13"/>
      <c r="G584" s="2"/>
      <c r="H584" s="2"/>
      <c r="I584" s="2"/>
      <c r="J584" s="2"/>
      <c r="K584" s="13"/>
      <c r="L584" s="14"/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"/>
      <c r="B585" s="2"/>
      <c r="C585" s="4"/>
      <c r="D585" s="2"/>
      <c r="E585" s="13"/>
      <c r="F585" s="13"/>
      <c r="G585" s="2"/>
      <c r="H585" s="2"/>
      <c r="I585" s="2"/>
      <c r="J585" s="2"/>
      <c r="K585" s="13"/>
      <c r="L585" s="14"/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"/>
      <c r="B586" s="2"/>
      <c r="C586" s="4"/>
      <c r="D586" s="2"/>
      <c r="E586" s="13"/>
      <c r="F586" s="13"/>
      <c r="G586" s="2"/>
      <c r="H586" s="2"/>
      <c r="I586" s="2"/>
      <c r="J586" s="2"/>
      <c r="K586" s="13"/>
      <c r="L586" s="14"/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"/>
      <c r="B587" s="2"/>
      <c r="C587" s="4"/>
      <c r="D587" s="2"/>
      <c r="E587" s="13"/>
      <c r="F587" s="13"/>
      <c r="G587" s="2"/>
      <c r="H587" s="2"/>
      <c r="I587" s="2"/>
      <c r="J587" s="2"/>
      <c r="K587" s="13"/>
      <c r="L587" s="14"/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"/>
      <c r="B588" s="2"/>
      <c r="C588" s="4"/>
      <c r="D588" s="2"/>
      <c r="E588" s="13"/>
      <c r="F588" s="13"/>
      <c r="G588" s="2"/>
      <c r="H588" s="2"/>
      <c r="I588" s="2"/>
      <c r="J588" s="2"/>
      <c r="K588" s="13"/>
      <c r="L588" s="14"/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"/>
      <c r="B589" s="2"/>
      <c r="C589" s="4"/>
      <c r="D589" s="2"/>
      <c r="E589" s="13"/>
      <c r="F589" s="13"/>
      <c r="G589" s="2"/>
      <c r="H589" s="2"/>
      <c r="I589" s="2"/>
      <c r="J589" s="2"/>
      <c r="K589" s="13"/>
      <c r="L589" s="14"/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"/>
      <c r="B590" s="2"/>
      <c r="C590" s="4"/>
      <c r="D590" s="2"/>
      <c r="E590" s="13"/>
      <c r="F590" s="13"/>
      <c r="G590" s="2"/>
      <c r="H590" s="2"/>
      <c r="I590" s="2"/>
      <c r="J590" s="2"/>
      <c r="K590" s="13"/>
      <c r="L590" s="14"/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"/>
      <c r="B591" s="2"/>
      <c r="C591" s="4"/>
      <c r="D591" s="2"/>
      <c r="E591" s="13"/>
      <c r="F591" s="13"/>
      <c r="G591" s="2"/>
      <c r="H591" s="2"/>
      <c r="I591" s="2"/>
      <c r="J591" s="2"/>
      <c r="K591" s="13"/>
      <c r="L591" s="14"/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"/>
      <c r="B592" s="2"/>
      <c r="C592" s="4"/>
      <c r="D592" s="2"/>
      <c r="E592" s="13"/>
      <c r="F592" s="13"/>
      <c r="G592" s="2"/>
      <c r="H592" s="2"/>
      <c r="I592" s="2"/>
      <c r="J592" s="2"/>
      <c r="K592" s="13"/>
      <c r="L592" s="14"/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"/>
      <c r="B593" s="2"/>
      <c r="C593" s="4"/>
      <c r="D593" s="2"/>
      <c r="E593" s="13"/>
      <c r="F593" s="13"/>
      <c r="G593" s="2"/>
      <c r="H593" s="2"/>
      <c r="I593" s="2"/>
      <c r="J593" s="2"/>
      <c r="K593" s="13"/>
      <c r="L593" s="14"/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"/>
      <c r="B594" s="2"/>
      <c r="C594" s="4"/>
      <c r="D594" s="2"/>
      <c r="E594" s="13"/>
      <c r="F594" s="13"/>
      <c r="G594" s="2"/>
      <c r="H594" s="2"/>
      <c r="I594" s="2"/>
      <c r="J594" s="2"/>
      <c r="K594" s="13"/>
      <c r="L594" s="14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2"/>
      <c r="C595" s="4"/>
      <c r="D595" s="2"/>
      <c r="E595" s="13"/>
      <c r="F595" s="13"/>
      <c r="G595" s="2"/>
      <c r="H595" s="2"/>
      <c r="I595" s="2"/>
      <c r="J595" s="2"/>
      <c r="K595" s="13"/>
      <c r="L595" s="14"/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2"/>
      <c r="C596" s="4"/>
      <c r="D596" s="2"/>
      <c r="E596" s="13"/>
      <c r="F596" s="13"/>
      <c r="G596" s="2"/>
      <c r="H596" s="2"/>
      <c r="I596" s="2"/>
      <c r="J596" s="2"/>
      <c r="K596" s="13"/>
      <c r="L596" s="14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2"/>
      <c r="C597" s="4"/>
      <c r="D597" s="2"/>
      <c r="E597" s="13"/>
      <c r="F597" s="13"/>
      <c r="G597" s="2"/>
      <c r="H597" s="2"/>
      <c r="I597" s="2"/>
      <c r="J597" s="2"/>
      <c r="K597" s="13"/>
      <c r="L597" s="14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"/>
      <c r="B598" s="2"/>
      <c r="C598" s="4"/>
      <c r="D598" s="2"/>
      <c r="E598" s="13"/>
      <c r="F598" s="13"/>
      <c r="G598" s="2"/>
      <c r="H598" s="2"/>
      <c r="I598" s="2"/>
      <c r="J598" s="2"/>
      <c r="K598" s="13"/>
      <c r="L598" s="14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"/>
      <c r="B599" s="2"/>
      <c r="C599" s="4"/>
      <c r="D599" s="2"/>
      <c r="E599" s="13"/>
      <c r="F599" s="13"/>
      <c r="G599" s="2"/>
      <c r="H599" s="2"/>
      <c r="I599" s="2"/>
      <c r="J599" s="2"/>
      <c r="K599" s="13"/>
      <c r="L599" s="14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"/>
      <c r="B600" s="2"/>
      <c r="C600" s="4"/>
      <c r="D600" s="2"/>
      <c r="E600" s="13"/>
      <c r="F600" s="13"/>
      <c r="G600" s="2"/>
      <c r="H600" s="2"/>
      <c r="I600" s="2"/>
      <c r="J600" s="2"/>
      <c r="K600" s="13"/>
      <c r="L600" s="14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"/>
      <c r="B601" s="2"/>
      <c r="C601" s="4"/>
      <c r="D601" s="2"/>
      <c r="E601" s="13"/>
      <c r="F601" s="13"/>
      <c r="G601" s="2"/>
      <c r="H601" s="2"/>
      <c r="I601" s="2"/>
      <c r="J601" s="2"/>
      <c r="K601" s="13"/>
      <c r="L601" s="14"/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"/>
      <c r="B602" s="2"/>
      <c r="C602" s="4"/>
      <c r="D602" s="2"/>
      <c r="E602" s="13"/>
      <c r="F602" s="13"/>
      <c r="G602" s="2"/>
      <c r="H602" s="2"/>
      <c r="I602" s="2"/>
      <c r="J602" s="2"/>
      <c r="K602" s="13"/>
      <c r="L602" s="14"/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"/>
      <c r="B603" s="2"/>
      <c r="C603" s="4"/>
      <c r="D603" s="2"/>
      <c r="E603" s="13"/>
      <c r="F603" s="13"/>
      <c r="G603" s="2"/>
      <c r="H603" s="2"/>
      <c r="I603" s="2"/>
      <c r="J603" s="2"/>
      <c r="K603" s="13"/>
      <c r="L603" s="14"/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"/>
      <c r="B604" s="2"/>
      <c r="C604" s="4"/>
      <c r="D604" s="2"/>
      <c r="E604" s="13"/>
      <c r="F604" s="13"/>
      <c r="G604" s="2"/>
      <c r="H604" s="2"/>
      <c r="I604" s="2"/>
      <c r="J604" s="2"/>
      <c r="K604" s="13"/>
      <c r="L604" s="14"/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"/>
      <c r="B605" s="2"/>
      <c r="C605" s="4"/>
      <c r="D605" s="2"/>
      <c r="E605" s="13"/>
      <c r="F605" s="13"/>
      <c r="G605" s="2"/>
      <c r="H605" s="2"/>
      <c r="I605" s="2"/>
      <c r="J605" s="2"/>
      <c r="K605" s="13"/>
      <c r="L605" s="14"/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"/>
      <c r="B606" s="2"/>
      <c r="C606" s="4"/>
      <c r="D606" s="2"/>
      <c r="E606" s="13"/>
      <c r="F606" s="13"/>
      <c r="G606" s="2"/>
      <c r="H606" s="2"/>
      <c r="I606" s="2"/>
      <c r="J606" s="2"/>
      <c r="K606" s="13"/>
      <c r="L606" s="14"/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"/>
      <c r="B607" s="2"/>
      <c r="C607" s="4"/>
      <c r="D607" s="2"/>
      <c r="E607" s="13"/>
      <c r="F607" s="13"/>
      <c r="G607" s="2"/>
      <c r="H607" s="2"/>
      <c r="I607" s="2"/>
      <c r="J607" s="2"/>
      <c r="K607" s="13"/>
      <c r="L607" s="14"/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"/>
      <c r="B608" s="2"/>
      <c r="C608" s="4"/>
      <c r="D608" s="2"/>
      <c r="E608" s="13"/>
      <c r="F608" s="13"/>
      <c r="G608" s="2"/>
      <c r="H608" s="2"/>
      <c r="I608" s="2"/>
      <c r="J608" s="2"/>
      <c r="K608" s="13"/>
      <c r="L608" s="14"/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"/>
      <c r="B609" s="2"/>
      <c r="C609" s="4"/>
      <c r="D609" s="2"/>
      <c r="E609" s="13"/>
      <c r="F609" s="13"/>
      <c r="G609" s="2"/>
      <c r="H609" s="2"/>
      <c r="I609" s="2"/>
      <c r="J609" s="2"/>
      <c r="K609" s="13"/>
      <c r="L609" s="14"/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"/>
      <c r="B610" s="2"/>
      <c r="C610" s="4"/>
      <c r="D610" s="2"/>
      <c r="E610" s="13"/>
      <c r="F610" s="13"/>
      <c r="G610" s="2"/>
      <c r="H610" s="2"/>
      <c r="I610" s="2"/>
      <c r="J610" s="2"/>
      <c r="K610" s="13"/>
      <c r="L610" s="14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2"/>
      <c r="C611" s="4"/>
      <c r="D611" s="2"/>
      <c r="E611" s="13"/>
      <c r="F611" s="13"/>
      <c r="G611" s="2"/>
      <c r="H611" s="2"/>
      <c r="I611" s="2"/>
      <c r="J611" s="2"/>
      <c r="K611" s="13"/>
      <c r="L611" s="14"/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"/>
      <c r="B612" s="2"/>
      <c r="C612" s="4"/>
      <c r="D612" s="2"/>
      <c r="E612" s="13"/>
      <c r="F612" s="13"/>
      <c r="G612" s="2"/>
      <c r="H612" s="2"/>
      <c r="I612" s="2"/>
      <c r="J612" s="2"/>
      <c r="K612" s="13"/>
      <c r="L612" s="14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"/>
      <c r="B613" s="2"/>
      <c r="C613" s="4"/>
      <c r="D613" s="2"/>
      <c r="E613" s="13"/>
      <c r="F613" s="13"/>
      <c r="G613" s="2"/>
      <c r="H613" s="2"/>
      <c r="I613" s="2"/>
      <c r="J613" s="2"/>
      <c r="K613" s="13"/>
      <c r="L613" s="14"/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"/>
      <c r="B614" s="2"/>
      <c r="C614" s="4"/>
      <c r="D614" s="2"/>
      <c r="E614" s="13"/>
      <c r="F614" s="13"/>
      <c r="G614" s="2"/>
      <c r="H614" s="2"/>
      <c r="I614" s="2"/>
      <c r="J614" s="2"/>
      <c r="K614" s="13"/>
      <c r="L614" s="14"/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"/>
      <c r="B615" s="2"/>
      <c r="C615" s="4"/>
      <c r="D615" s="2"/>
      <c r="E615" s="13"/>
      <c r="F615" s="13"/>
      <c r="G615" s="2"/>
      <c r="H615" s="2"/>
      <c r="I615" s="2"/>
      <c r="J615" s="2"/>
      <c r="K615" s="13"/>
      <c r="L615" s="14"/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"/>
      <c r="B616" s="2"/>
      <c r="C616" s="4"/>
      <c r="D616" s="2"/>
      <c r="E616" s="13"/>
      <c r="F616" s="13"/>
      <c r="G616" s="2"/>
      <c r="H616" s="2"/>
      <c r="I616" s="2"/>
      <c r="J616" s="2"/>
      <c r="K616" s="13"/>
      <c r="L616" s="14"/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"/>
      <c r="B617" s="2"/>
      <c r="C617" s="4"/>
      <c r="D617" s="2"/>
      <c r="E617" s="13"/>
      <c r="F617" s="13"/>
      <c r="G617" s="2"/>
      <c r="H617" s="2"/>
      <c r="I617" s="2"/>
      <c r="J617" s="2"/>
      <c r="K617" s="13"/>
      <c r="L617" s="14"/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"/>
      <c r="B618" s="2"/>
      <c r="C618" s="4"/>
      <c r="D618" s="2"/>
      <c r="E618" s="13"/>
      <c r="F618" s="13"/>
      <c r="G618" s="2"/>
      <c r="H618" s="2"/>
      <c r="I618" s="2"/>
      <c r="J618" s="2"/>
      <c r="K618" s="13"/>
      <c r="L618" s="14"/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"/>
      <c r="B619" s="2"/>
      <c r="C619" s="4"/>
      <c r="D619" s="2"/>
      <c r="E619" s="13"/>
      <c r="F619" s="13"/>
      <c r="G619" s="2"/>
      <c r="H619" s="2"/>
      <c r="I619" s="2"/>
      <c r="J619" s="2"/>
      <c r="K619" s="13"/>
      <c r="L619" s="14"/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"/>
      <c r="B620" s="2"/>
      <c r="C620" s="4"/>
      <c r="D620" s="2"/>
      <c r="E620" s="13"/>
      <c r="F620" s="13"/>
      <c r="G620" s="2"/>
      <c r="H620" s="2"/>
      <c r="I620" s="2"/>
      <c r="J620" s="2"/>
      <c r="K620" s="13"/>
      <c r="L620" s="14"/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"/>
      <c r="B621" s="2"/>
      <c r="C621" s="4"/>
      <c r="D621" s="2"/>
      <c r="E621" s="13"/>
      <c r="F621" s="13"/>
      <c r="G621" s="2"/>
      <c r="H621" s="2"/>
      <c r="I621" s="2"/>
      <c r="J621" s="2"/>
      <c r="K621" s="13"/>
      <c r="L621" s="14"/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2"/>
      <c r="C622" s="4"/>
      <c r="D622" s="2"/>
      <c r="E622" s="13"/>
      <c r="F622" s="13"/>
      <c r="G622" s="2"/>
      <c r="H622" s="2"/>
      <c r="I622" s="2"/>
      <c r="J622" s="2"/>
      <c r="K622" s="13"/>
      <c r="L622" s="14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2"/>
      <c r="C623" s="4"/>
      <c r="D623" s="2"/>
      <c r="E623" s="13"/>
      <c r="F623" s="13"/>
      <c r="G623" s="2"/>
      <c r="H623" s="2"/>
      <c r="I623" s="2"/>
      <c r="J623" s="2"/>
      <c r="K623" s="13"/>
      <c r="L623" s="14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2"/>
      <c r="C624" s="4"/>
      <c r="D624" s="2"/>
      <c r="E624" s="13"/>
      <c r="F624" s="13"/>
      <c r="G624" s="2"/>
      <c r="H624" s="2"/>
      <c r="I624" s="2"/>
      <c r="J624" s="2"/>
      <c r="K624" s="13"/>
      <c r="L624" s="14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"/>
      <c r="B625" s="2"/>
      <c r="C625" s="4"/>
      <c r="D625" s="2"/>
      <c r="E625" s="13"/>
      <c r="F625" s="13"/>
      <c r="G625" s="2"/>
      <c r="H625" s="2"/>
      <c r="I625" s="2"/>
      <c r="J625" s="2"/>
      <c r="K625" s="13"/>
      <c r="L625" s="14"/>
      <c r="M625" s="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"/>
      <c r="B626" s="2"/>
      <c r="C626" s="4"/>
      <c r="D626" s="2"/>
      <c r="E626" s="13"/>
      <c r="F626" s="13"/>
      <c r="G626" s="2"/>
      <c r="H626" s="2"/>
      <c r="I626" s="2"/>
      <c r="J626" s="2"/>
      <c r="K626" s="13"/>
      <c r="L626" s="14"/>
      <c r="M626" s="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"/>
      <c r="B627" s="2"/>
      <c r="C627" s="4"/>
      <c r="D627" s="2"/>
      <c r="E627" s="13"/>
      <c r="F627" s="13"/>
      <c r="G627" s="2"/>
      <c r="H627" s="2"/>
      <c r="I627" s="2"/>
      <c r="J627" s="2"/>
      <c r="K627" s="13"/>
      <c r="L627" s="14"/>
      <c r="M627" s="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"/>
      <c r="B628" s="2"/>
      <c r="C628" s="4"/>
      <c r="D628" s="2"/>
      <c r="E628" s="13"/>
      <c r="F628" s="13"/>
      <c r="G628" s="2"/>
      <c r="H628" s="2"/>
      <c r="I628" s="2"/>
      <c r="J628" s="2"/>
      <c r="K628" s="13"/>
      <c r="L628" s="14"/>
      <c r="M628" s="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"/>
      <c r="B629" s="2"/>
      <c r="C629" s="4"/>
      <c r="D629" s="2"/>
      <c r="E629" s="13"/>
      <c r="F629" s="13"/>
      <c r="G629" s="2"/>
      <c r="H629" s="2"/>
      <c r="I629" s="2"/>
      <c r="J629" s="2"/>
      <c r="K629" s="13"/>
      <c r="L629" s="14"/>
      <c r="M629" s="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"/>
      <c r="B630" s="2"/>
      <c r="C630" s="4"/>
      <c r="D630" s="2"/>
      <c r="E630" s="13"/>
      <c r="F630" s="13"/>
      <c r="G630" s="2"/>
      <c r="H630" s="2"/>
      <c r="I630" s="2"/>
      <c r="J630" s="2"/>
      <c r="K630" s="13"/>
      <c r="L630" s="14"/>
      <c r="M630" s="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"/>
      <c r="B631" s="2"/>
      <c r="C631" s="4"/>
      <c r="D631" s="2"/>
      <c r="E631" s="13"/>
      <c r="F631" s="13"/>
      <c r="G631" s="2"/>
      <c r="H631" s="2"/>
      <c r="I631" s="2"/>
      <c r="J631" s="2"/>
      <c r="K631" s="13"/>
      <c r="L631" s="14"/>
      <c r="M631" s="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"/>
      <c r="B632" s="2"/>
      <c r="C632" s="4"/>
      <c r="D632" s="2"/>
      <c r="E632" s="13"/>
      <c r="F632" s="13"/>
      <c r="G632" s="2"/>
      <c r="H632" s="2"/>
      <c r="I632" s="2"/>
      <c r="J632" s="2"/>
      <c r="K632" s="13"/>
      <c r="L632" s="14"/>
      <c r="M632" s="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"/>
      <c r="B633" s="2"/>
      <c r="C633" s="4"/>
      <c r="D633" s="2"/>
      <c r="E633" s="13"/>
      <c r="F633" s="13"/>
      <c r="G633" s="2"/>
      <c r="H633" s="2"/>
      <c r="I633" s="2"/>
      <c r="J633" s="2"/>
      <c r="K633" s="13"/>
      <c r="L633" s="14"/>
      <c r="M633" s="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"/>
      <c r="B634" s="2"/>
      <c r="C634" s="4"/>
      <c r="D634" s="2"/>
      <c r="E634" s="13"/>
      <c r="F634" s="13"/>
      <c r="G634" s="2"/>
      <c r="H634" s="2"/>
      <c r="I634" s="2"/>
      <c r="J634" s="2"/>
      <c r="K634" s="13"/>
      <c r="L634" s="14"/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"/>
      <c r="B635" s="2"/>
      <c r="C635" s="4"/>
      <c r="D635" s="2"/>
      <c r="E635" s="13"/>
      <c r="F635" s="13"/>
      <c r="G635" s="2"/>
      <c r="H635" s="2"/>
      <c r="I635" s="2"/>
      <c r="J635" s="2"/>
      <c r="K635" s="13"/>
      <c r="L635" s="14"/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"/>
      <c r="B636" s="2"/>
      <c r="C636" s="4"/>
      <c r="D636" s="2"/>
      <c r="E636" s="13"/>
      <c r="F636" s="13"/>
      <c r="G636" s="2"/>
      <c r="H636" s="2"/>
      <c r="I636" s="2"/>
      <c r="J636" s="2"/>
      <c r="K636" s="13"/>
      <c r="L636" s="14"/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"/>
      <c r="B637" s="2"/>
      <c r="C637" s="4"/>
      <c r="D637" s="2"/>
      <c r="E637" s="13"/>
      <c r="F637" s="13"/>
      <c r="G637" s="2"/>
      <c r="H637" s="2"/>
      <c r="I637" s="2"/>
      <c r="J637" s="2"/>
      <c r="K637" s="13"/>
      <c r="L637" s="14"/>
      <c r="M637" s="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2"/>
      <c r="C638" s="4"/>
      <c r="D638" s="2"/>
      <c r="E638" s="13"/>
      <c r="F638" s="13"/>
      <c r="G638" s="2"/>
      <c r="H638" s="2"/>
      <c r="I638" s="2"/>
      <c r="J638" s="2"/>
      <c r="K638" s="13"/>
      <c r="L638" s="14"/>
      <c r="M638" s="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2"/>
      <c r="C639" s="4"/>
      <c r="D639" s="2"/>
      <c r="E639" s="13"/>
      <c r="F639" s="13"/>
      <c r="G639" s="2"/>
      <c r="H639" s="2"/>
      <c r="I639" s="2"/>
      <c r="J639" s="2"/>
      <c r="K639" s="13"/>
      <c r="L639" s="14"/>
      <c r="M639" s="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2"/>
      <c r="C640" s="4"/>
      <c r="D640" s="2"/>
      <c r="E640" s="13"/>
      <c r="F640" s="13"/>
      <c r="G640" s="2"/>
      <c r="H640" s="2"/>
      <c r="I640" s="2"/>
      <c r="J640" s="2"/>
      <c r="K640" s="13"/>
      <c r="L640" s="14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2"/>
      <c r="C641" s="4"/>
      <c r="D641" s="2"/>
      <c r="E641" s="13"/>
      <c r="F641" s="13"/>
      <c r="G641" s="2"/>
      <c r="H641" s="2"/>
      <c r="I641" s="2"/>
      <c r="J641" s="2"/>
      <c r="K641" s="13"/>
      <c r="L641" s="14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2"/>
      <c r="C642" s="4"/>
      <c r="D642" s="2"/>
      <c r="E642" s="13"/>
      <c r="F642" s="13"/>
      <c r="G642" s="2"/>
      <c r="H642" s="2"/>
      <c r="I642" s="2"/>
      <c r="J642" s="2"/>
      <c r="K642" s="13"/>
      <c r="L642" s="14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2"/>
      <c r="C643" s="4"/>
      <c r="D643" s="2"/>
      <c r="E643" s="13"/>
      <c r="F643" s="13"/>
      <c r="G643" s="2"/>
      <c r="H643" s="2"/>
      <c r="I643" s="2"/>
      <c r="J643" s="2"/>
      <c r="K643" s="13"/>
      <c r="L643" s="14"/>
      <c r="M643" s="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1"/>
      <c r="B644" s="2"/>
      <c r="C644" s="4"/>
      <c r="D644" s="2"/>
      <c r="E644" s="13"/>
      <c r="F644" s="13"/>
      <c r="G644" s="2"/>
      <c r="H644" s="2"/>
      <c r="I644" s="2"/>
      <c r="J644" s="2"/>
      <c r="K644" s="13"/>
      <c r="L644" s="14"/>
      <c r="M644" s="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2"/>
      <c r="C645" s="4"/>
      <c r="D645" s="2"/>
      <c r="E645" s="13"/>
      <c r="F645" s="13"/>
      <c r="G645" s="2"/>
      <c r="H645" s="2"/>
      <c r="I645" s="2"/>
      <c r="J645" s="2"/>
      <c r="K645" s="13"/>
      <c r="L645" s="14"/>
      <c r="M645" s="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"/>
      <c r="B646" s="2"/>
      <c r="C646" s="4"/>
      <c r="D646" s="2"/>
      <c r="E646" s="13"/>
      <c r="F646" s="13"/>
      <c r="G646" s="2"/>
      <c r="H646" s="2"/>
      <c r="I646" s="2"/>
      <c r="J646" s="2"/>
      <c r="K646" s="13"/>
      <c r="L646" s="14"/>
      <c r="M646" s="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2"/>
      <c r="C647" s="4"/>
      <c r="D647" s="2"/>
      <c r="E647" s="13"/>
      <c r="F647" s="13"/>
      <c r="G647" s="2"/>
      <c r="H647" s="2"/>
      <c r="I647" s="2"/>
      <c r="J647" s="2"/>
      <c r="K647" s="13"/>
      <c r="L647" s="14"/>
      <c r="M647" s="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2"/>
      <c r="C648" s="4"/>
      <c r="D648" s="2"/>
      <c r="E648" s="13"/>
      <c r="F648" s="13"/>
      <c r="G648" s="2"/>
      <c r="H648" s="2"/>
      <c r="I648" s="2"/>
      <c r="J648" s="2"/>
      <c r="K648" s="13"/>
      <c r="L648" s="14"/>
      <c r="M648" s="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"/>
      <c r="B649" s="2"/>
      <c r="C649" s="4"/>
      <c r="D649" s="2"/>
      <c r="E649" s="13"/>
      <c r="F649" s="13"/>
      <c r="G649" s="2"/>
      <c r="H649" s="2"/>
      <c r="I649" s="2"/>
      <c r="J649" s="2"/>
      <c r="K649" s="13"/>
      <c r="L649" s="14"/>
      <c r="M649" s="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2"/>
      <c r="C650" s="4"/>
      <c r="D650" s="2"/>
      <c r="E650" s="13"/>
      <c r="F650" s="13"/>
      <c r="G650" s="2"/>
      <c r="H650" s="2"/>
      <c r="I650" s="2"/>
      <c r="J650" s="2"/>
      <c r="K650" s="13"/>
      <c r="L650" s="14"/>
      <c r="M650" s="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"/>
      <c r="B651" s="2"/>
      <c r="C651" s="4"/>
      <c r="D651" s="2"/>
      <c r="E651" s="13"/>
      <c r="F651" s="13"/>
      <c r="G651" s="2"/>
      <c r="H651" s="2"/>
      <c r="I651" s="2"/>
      <c r="J651" s="2"/>
      <c r="K651" s="13"/>
      <c r="L651" s="14"/>
      <c r="M651" s="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2"/>
      <c r="C652" s="4"/>
      <c r="D652" s="2"/>
      <c r="E652" s="13"/>
      <c r="F652" s="13"/>
      <c r="G652" s="2"/>
      <c r="H652" s="2"/>
      <c r="I652" s="2"/>
      <c r="J652" s="2"/>
      <c r="K652" s="13"/>
      <c r="L652" s="14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2"/>
      <c r="C653" s="4"/>
      <c r="D653" s="2"/>
      <c r="E653" s="13"/>
      <c r="F653" s="13"/>
      <c r="G653" s="2"/>
      <c r="H653" s="2"/>
      <c r="I653" s="2"/>
      <c r="J653" s="2"/>
      <c r="K653" s="13"/>
      <c r="L653" s="14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2"/>
      <c r="C654" s="4"/>
      <c r="D654" s="2"/>
      <c r="E654" s="13"/>
      <c r="F654" s="13"/>
      <c r="G654" s="2"/>
      <c r="H654" s="2"/>
      <c r="I654" s="2"/>
      <c r="J654" s="2"/>
      <c r="K654" s="13"/>
      <c r="L654" s="14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2"/>
      <c r="C655" s="4"/>
      <c r="D655" s="2"/>
      <c r="E655" s="13"/>
      <c r="F655" s="13"/>
      <c r="G655" s="2"/>
      <c r="H655" s="2"/>
      <c r="I655" s="2"/>
      <c r="J655" s="2"/>
      <c r="K655" s="13"/>
      <c r="L655" s="14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2"/>
      <c r="C656" s="4"/>
      <c r="D656" s="2"/>
      <c r="E656" s="13"/>
      <c r="F656" s="13"/>
      <c r="G656" s="2"/>
      <c r="H656" s="2"/>
      <c r="I656" s="2"/>
      <c r="J656" s="2"/>
      <c r="K656" s="13"/>
      <c r="L656" s="14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2"/>
      <c r="C657" s="4"/>
      <c r="D657" s="2"/>
      <c r="E657" s="13"/>
      <c r="F657" s="13"/>
      <c r="G657" s="2"/>
      <c r="H657" s="2"/>
      <c r="I657" s="2"/>
      <c r="J657" s="2"/>
      <c r="K657" s="13"/>
      <c r="L657" s="14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2"/>
      <c r="C658" s="4"/>
      <c r="D658" s="2"/>
      <c r="E658" s="13"/>
      <c r="F658" s="13"/>
      <c r="G658" s="2"/>
      <c r="H658" s="2"/>
      <c r="I658" s="2"/>
      <c r="J658" s="2"/>
      <c r="K658" s="13"/>
      <c r="L658" s="14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2"/>
      <c r="C659" s="4"/>
      <c r="D659" s="2"/>
      <c r="E659" s="13"/>
      <c r="F659" s="13"/>
      <c r="G659" s="2"/>
      <c r="H659" s="2"/>
      <c r="I659" s="2"/>
      <c r="J659" s="2"/>
      <c r="K659" s="13"/>
      <c r="L659" s="14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2"/>
      <c r="C660" s="4"/>
      <c r="D660" s="2"/>
      <c r="E660" s="13"/>
      <c r="F660" s="13"/>
      <c r="G660" s="2"/>
      <c r="H660" s="2"/>
      <c r="I660" s="2"/>
      <c r="J660" s="2"/>
      <c r="K660" s="13"/>
      <c r="L660" s="14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2"/>
      <c r="C661" s="4"/>
      <c r="D661" s="2"/>
      <c r="E661" s="13"/>
      <c r="F661" s="13"/>
      <c r="G661" s="2"/>
      <c r="H661" s="2"/>
      <c r="I661" s="2"/>
      <c r="J661" s="2"/>
      <c r="K661" s="13"/>
      <c r="L661" s="14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2"/>
      <c r="C662" s="4"/>
      <c r="D662" s="2"/>
      <c r="E662" s="13"/>
      <c r="F662" s="13"/>
      <c r="G662" s="2"/>
      <c r="H662" s="2"/>
      <c r="I662" s="2"/>
      <c r="J662" s="2"/>
      <c r="K662" s="13"/>
      <c r="L662" s="14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2"/>
      <c r="C663" s="4"/>
      <c r="D663" s="2"/>
      <c r="E663" s="13"/>
      <c r="F663" s="13"/>
      <c r="G663" s="2"/>
      <c r="H663" s="2"/>
      <c r="I663" s="2"/>
      <c r="J663" s="2"/>
      <c r="K663" s="13"/>
      <c r="L663" s="14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2"/>
      <c r="C664" s="4"/>
      <c r="D664" s="2"/>
      <c r="E664" s="13"/>
      <c r="F664" s="13"/>
      <c r="G664" s="2"/>
      <c r="H664" s="2"/>
      <c r="I664" s="2"/>
      <c r="J664" s="2"/>
      <c r="K664" s="13"/>
      <c r="L664" s="14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2"/>
      <c r="C665" s="4"/>
      <c r="D665" s="2"/>
      <c r="E665" s="13"/>
      <c r="F665" s="13"/>
      <c r="G665" s="2"/>
      <c r="H665" s="2"/>
      <c r="I665" s="2"/>
      <c r="J665" s="2"/>
      <c r="K665" s="13"/>
      <c r="L665" s="14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2"/>
      <c r="C666" s="4"/>
      <c r="D666" s="2"/>
      <c r="E666" s="13"/>
      <c r="F666" s="13"/>
      <c r="G666" s="2"/>
      <c r="H666" s="2"/>
      <c r="I666" s="2"/>
      <c r="J666" s="2"/>
      <c r="K666" s="13"/>
      <c r="L666" s="14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2"/>
      <c r="C667" s="4"/>
      <c r="D667" s="2"/>
      <c r="E667" s="13"/>
      <c r="F667" s="13"/>
      <c r="G667" s="2"/>
      <c r="H667" s="2"/>
      <c r="I667" s="2"/>
      <c r="J667" s="2"/>
      <c r="K667" s="13"/>
      <c r="L667" s="14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2"/>
      <c r="C668" s="4"/>
      <c r="D668" s="2"/>
      <c r="E668" s="13"/>
      <c r="F668" s="13"/>
      <c r="G668" s="2"/>
      <c r="H668" s="2"/>
      <c r="I668" s="2"/>
      <c r="J668" s="2"/>
      <c r="K668" s="13"/>
      <c r="L668" s="14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2"/>
      <c r="C669" s="4"/>
      <c r="D669" s="2"/>
      <c r="E669" s="13"/>
      <c r="F669" s="13"/>
      <c r="G669" s="2"/>
      <c r="H669" s="2"/>
      <c r="I669" s="2"/>
      <c r="J669" s="2"/>
      <c r="K669" s="13"/>
      <c r="L669" s="14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2"/>
      <c r="C670" s="4"/>
      <c r="D670" s="2"/>
      <c r="E670" s="13"/>
      <c r="F670" s="13"/>
      <c r="G670" s="2"/>
      <c r="H670" s="2"/>
      <c r="I670" s="2"/>
      <c r="J670" s="2"/>
      <c r="K670" s="13"/>
      <c r="L670" s="14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2"/>
      <c r="C671" s="4"/>
      <c r="D671" s="2"/>
      <c r="E671" s="13"/>
      <c r="F671" s="13"/>
      <c r="G671" s="2"/>
      <c r="H671" s="2"/>
      <c r="I671" s="2"/>
      <c r="J671" s="2"/>
      <c r="K671" s="13"/>
      <c r="L671" s="14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2"/>
      <c r="C672" s="4"/>
      <c r="D672" s="2"/>
      <c r="E672" s="13"/>
      <c r="F672" s="13"/>
      <c r="G672" s="2"/>
      <c r="H672" s="2"/>
      <c r="I672" s="2"/>
      <c r="J672" s="2"/>
      <c r="K672" s="13"/>
      <c r="L672" s="14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2"/>
      <c r="C673" s="4"/>
      <c r="D673" s="2"/>
      <c r="E673" s="13"/>
      <c r="F673" s="13"/>
      <c r="G673" s="2"/>
      <c r="H673" s="2"/>
      <c r="I673" s="2"/>
      <c r="J673" s="2"/>
      <c r="K673" s="13"/>
      <c r="L673" s="14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2"/>
      <c r="C674" s="4"/>
      <c r="D674" s="2"/>
      <c r="E674" s="13"/>
      <c r="F674" s="13"/>
      <c r="G674" s="2"/>
      <c r="H674" s="2"/>
      <c r="I674" s="2"/>
      <c r="J674" s="2"/>
      <c r="K674" s="13"/>
      <c r="L674" s="14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2"/>
      <c r="C675" s="4"/>
      <c r="D675" s="2"/>
      <c r="E675" s="13"/>
      <c r="F675" s="13"/>
      <c r="G675" s="2"/>
      <c r="H675" s="2"/>
      <c r="I675" s="2"/>
      <c r="J675" s="2"/>
      <c r="K675" s="13"/>
      <c r="L675" s="14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2"/>
      <c r="C676" s="4"/>
      <c r="D676" s="2"/>
      <c r="E676" s="13"/>
      <c r="F676" s="13"/>
      <c r="G676" s="2"/>
      <c r="H676" s="2"/>
      <c r="I676" s="2"/>
      <c r="J676" s="2"/>
      <c r="K676" s="13"/>
      <c r="L676" s="14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2"/>
      <c r="C677" s="4"/>
      <c r="D677" s="2"/>
      <c r="E677" s="13"/>
      <c r="F677" s="13"/>
      <c r="G677" s="2"/>
      <c r="H677" s="2"/>
      <c r="I677" s="2"/>
      <c r="J677" s="2"/>
      <c r="K677" s="13"/>
      <c r="L677" s="14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2"/>
      <c r="C678" s="4"/>
      <c r="D678" s="2"/>
      <c r="E678" s="13"/>
      <c r="F678" s="13"/>
      <c r="G678" s="2"/>
      <c r="H678" s="2"/>
      <c r="I678" s="2"/>
      <c r="J678" s="2"/>
      <c r="K678" s="13"/>
      <c r="L678" s="14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2"/>
      <c r="C679" s="4"/>
      <c r="D679" s="2"/>
      <c r="E679" s="13"/>
      <c r="F679" s="13"/>
      <c r="G679" s="2"/>
      <c r="H679" s="2"/>
      <c r="I679" s="2"/>
      <c r="J679" s="2"/>
      <c r="K679" s="13"/>
      <c r="L679" s="14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2"/>
      <c r="C680" s="4"/>
      <c r="D680" s="2"/>
      <c r="E680" s="13"/>
      <c r="F680" s="13"/>
      <c r="G680" s="2"/>
      <c r="H680" s="2"/>
      <c r="I680" s="2"/>
      <c r="J680" s="2"/>
      <c r="K680" s="13"/>
      <c r="L680" s="14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2"/>
      <c r="C681" s="4"/>
      <c r="D681" s="2"/>
      <c r="E681" s="13"/>
      <c r="F681" s="13"/>
      <c r="G681" s="2"/>
      <c r="H681" s="2"/>
      <c r="I681" s="2"/>
      <c r="J681" s="2"/>
      <c r="K681" s="13"/>
      <c r="L681" s="14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2"/>
      <c r="C682" s="4"/>
      <c r="D682" s="2"/>
      <c r="E682" s="13"/>
      <c r="F682" s="13"/>
      <c r="G682" s="2"/>
      <c r="H682" s="2"/>
      <c r="I682" s="2"/>
      <c r="J682" s="2"/>
      <c r="K682" s="13"/>
      <c r="L682" s="14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2"/>
      <c r="C683" s="4"/>
      <c r="D683" s="2"/>
      <c r="E683" s="13"/>
      <c r="F683" s="13"/>
      <c r="G683" s="2"/>
      <c r="H683" s="2"/>
      <c r="I683" s="2"/>
      <c r="J683" s="2"/>
      <c r="K683" s="13"/>
      <c r="L683" s="14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2"/>
      <c r="C684" s="4"/>
      <c r="D684" s="2"/>
      <c r="E684" s="13"/>
      <c r="F684" s="13"/>
      <c r="G684" s="2"/>
      <c r="H684" s="2"/>
      <c r="I684" s="2"/>
      <c r="J684" s="2"/>
      <c r="K684" s="13"/>
      <c r="L684" s="14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2"/>
      <c r="C685" s="4"/>
      <c r="D685" s="2"/>
      <c r="E685" s="13"/>
      <c r="F685" s="13"/>
      <c r="G685" s="2"/>
      <c r="H685" s="2"/>
      <c r="I685" s="2"/>
      <c r="J685" s="2"/>
      <c r="K685" s="13"/>
      <c r="L685" s="14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2"/>
      <c r="C686" s="4"/>
      <c r="D686" s="2"/>
      <c r="E686" s="13"/>
      <c r="F686" s="13"/>
      <c r="G686" s="2"/>
      <c r="H686" s="2"/>
      <c r="I686" s="2"/>
      <c r="J686" s="2"/>
      <c r="K686" s="13"/>
      <c r="L686" s="14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2"/>
      <c r="C687" s="4"/>
      <c r="D687" s="2"/>
      <c r="E687" s="13"/>
      <c r="F687" s="13"/>
      <c r="G687" s="2"/>
      <c r="H687" s="2"/>
      <c r="I687" s="2"/>
      <c r="J687" s="2"/>
      <c r="K687" s="13"/>
      <c r="L687" s="14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2"/>
      <c r="C688" s="4"/>
      <c r="D688" s="2"/>
      <c r="E688" s="13"/>
      <c r="F688" s="13"/>
      <c r="G688" s="2"/>
      <c r="H688" s="2"/>
      <c r="I688" s="2"/>
      <c r="J688" s="2"/>
      <c r="K688" s="13"/>
      <c r="L688" s="14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2"/>
      <c r="C689" s="4"/>
      <c r="D689" s="2"/>
      <c r="E689" s="13"/>
      <c r="F689" s="13"/>
      <c r="G689" s="2"/>
      <c r="H689" s="2"/>
      <c r="I689" s="2"/>
      <c r="J689" s="2"/>
      <c r="K689" s="13"/>
      <c r="L689" s="14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2"/>
      <c r="C690" s="4"/>
      <c r="D690" s="2"/>
      <c r="E690" s="13"/>
      <c r="F690" s="13"/>
      <c r="G690" s="2"/>
      <c r="H690" s="2"/>
      <c r="I690" s="2"/>
      <c r="J690" s="2"/>
      <c r="K690" s="13"/>
      <c r="L690" s="14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2"/>
      <c r="C691" s="4"/>
      <c r="D691" s="2"/>
      <c r="E691" s="13"/>
      <c r="F691" s="13"/>
      <c r="G691" s="2"/>
      <c r="H691" s="2"/>
      <c r="I691" s="2"/>
      <c r="J691" s="2"/>
      <c r="K691" s="13"/>
      <c r="L691" s="14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2"/>
      <c r="C692" s="4"/>
      <c r="D692" s="2"/>
      <c r="E692" s="13"/>
      <c r="F692" s="13"/>
      <c r="G692" s="2"/>
      <c r="H692" s="2"/>
      <c r="I692" s="2"/>
      <c r="J692" s="2"/>
      <c r="K692" s="13"/>
      <c r="L692" s="14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2"/>
      <c r="C693" s="4"/>
      <c r="D693" s="2"/>
      <c r="E693" s="13"/>
      <c r="F693" s="13"/>
      <c r="G693" s="2"/>
      <c r="H693" s="2"/>
      <c r="I693" s="2"/>
      <c r="J693" s="2"/>
      <c r="K693" s="13"/>
      <c r="L693" s="14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2"/>
      <c r="C694" s="4"/>
      <c r="D694" s="2"/>
      <c r="E694" s="13"/>
      <c r="F694" s="13"/>
      <c r="G694" s="2"/>
      <c r="H694" s="2"/>
      <c r="I694" s="2"/>
      <c r="J694" s="2"/>
      <c r="K694" s="13"/>
      <c r="L694" s="14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2"/>
      <c r="C695" s="4"/>
      <c r="D695" s="2"/>
      <c r="E695" s="13"/>
      <c r="F695" s="13"/>
      <c r="G695" s="2"/>
      <c r="H695" s="2"/>
      <c r="I695" s="2"/>
      <c r="J695" s="2"/>
      <c r="K695" s="13"/>
      <c r="L695" s="14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2"/>
      <c r="C696" s="4"/>
      <c r="D696" s="2"/>
      <c r="E696" s="13"/>
      <c r="F696" s="13"/>
      <c r="G696" s="2"/>
      <c r="H696" s="2"/>
      <c r="I696" s="2"/>
      <c r="J696" s="2"/>
      <c r="K696" s="13"/>
      <c r="L696" s="14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2"/>
      <c r="C697" s="4"/>
      <c r="D697" s="2"/>
      <c r="E697" s="13"/>
      <c r="F697" s="13"/>
      <c r="G697" s="2"/>
      <c r="H697" s="2"/>
      <c r="I697" s="2"/>
      <c r="J697" s="2"/>
      <c r="K697" s="13"/>
      <c r="L697" s="14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2"/>
      <c r="C698" s="4"/>
      <c r="D698" s="2"/>
      <c r="E698" s="13"/>
      <c r="F698" s="13"/>
      <c r="G698" s="2"/>
      <c r="H698" s="2"/>
      <c r="I698" s="2"/>
      <c r="J698" s="2"/>
      <c r="K698" s="13"/>
      <c r="L698" s="14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2"/>
      <c r="C699" s="4"/>
      <c r="D699" s="2"/>
      <c r="E699" s="13"/>
      <c r="F699" s="13"/>
      <c r="G699" s="2"/>
      <c r="H699" s="2"/>
      <c r="I699" s="2"/>
      <c r="J699" s="2"/>
      <c r="K699" s="13"/>
      <c r="L699" s="14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2"/>
      <c r="C700" s="4"/>
      <c r="D700" s="2"/>
      <c r="E700" s="13"/>
      <c r="F700" s="13"/>
      <c r="G700" s="2"/>
      <c r="H700" s="2"/>
      <c r="I700" s="2"/>
      <c r="J700" s="2"/>
      <c r="K700" s="13"/>
      <c r="L700" s="14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2"/>
      <c r="C701" s="4"/>
      <c r="D701" s="2"/>
      <c r="E701" s="13"/>
      <c r="F701" s="13"/>
      <c r="G701" s="2"/>
      <c r="H701" s="2"/>
      <c r="I701" s="2"/>
      <c r="J701" s="2"/>
      <c r="K701" s="13"/>
      <c r="L701" s="14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2"/>
      <c r="C702" s="4"/>
      <c r="D702" s="2"/>
      <c r="E702" s="13"/>
      <c r="F702" s="13"/>
      <c r="G702" s="2"/>
      <c r="H702" s="2"/>
      <c r="I702" s="2"/>
      <c r="J702" s="2"/>
      <c r="K702" s="13"/>
      <c r="L702" s="14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2"/>
      <c r="C703" s="4"/>
      <c r="D703" s="2"/>
      <c r="E703" s="13"/>
      <c r="F703" s="13"/>
      <c r="G703" s="2"/>
      <c r="H703" s="2"/>
      <c r="I703" s="2"/>
      <c r="J703" s="2"/>
      <c r="K703" s="13"/>
      <c r="L703" s="14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2"/>
      <c r="C704" s="4"/>
      <c r="D704" s="2"/>
      <c r="E704" s="13"/>
      <c r="F704" s="13"/>
      <c r="G704" s="2"/>
      <c r="H704" s="2"/>
      <c r="I704" s="2"/>
      <c r="J704" s="2"/>
      <c r="K704" s="13"/>
      <c r="L704" s="14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2"/>
      <c r="C705" s="4"/>
      <c r="D705" s="2"/>
      <c r="E705" s="13"/>
      <c r="F705" s="13"/>
      <c r="G705" s="2"/>
      <c r="H705" s="2"/>
      <c r="I705" s="2"/>
      <c r="J705" s="2"/>
      <c r="K705" s="13"/>
      <c r="L705" s="14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2"/>
      <c r="C706" s="4"/>
      <c r="D706" s="2"/>
      <c r="E706" s="13"/>
      <c r="F706" s="13"/>
      <c r="G706" s="2"/>
      <c r="H706" s="2"/>
      <c r="I706" s="2"/>
      <c r="J706" s="2"/>
      <c r="K706" s="13"/>
      <c r="L706" s="14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2"/>
      <c r="C707" s="4"/>
      <c r="D707" s="2"/>
      <c r="E707" s="13"/>
      <c r="F707" s="13"/>
      <c r="G707" s="2"/>
      <c r="H707" s="2"/>
      <c r="I707" s="2"/>
      <c r="J707" s="2"/>
      <c r="K707" s="13"/>
      <c r="L707" s="14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2"/>
      <c r="C708" s="4"/>
      <c r="D708" s="2"/>
      <c r="E708" s="13"/>
      <c r="F708" s="13"/>
      <c r="G708" s="2"/>
      <c r="H708" s="2"/>
      <c r="I708" s="2"/>
      <c r="J708" s="2"/>
      <c r="K708" s="13"/>
      <c r="L708" s="14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2"/>
      <c r="C709" s="4"/>
      <c r="D709" s="2"/>
      <c r="E709" s="13"/>
      <c r="F709" s="13"/>
      <c r="G709" s="2"/>
      <c r="H709" s="2"/>
      <c r="I709" s="2"/>
      <c r="J709" s="2"/>
      <c r="K709" s="13"/>
      <c r="L709" s="14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2"/>
      <c r="C710" s="4"/>
      <c r="D710" s="2"/>
      <c r="E710" s="13"/>
      <c r="F710" s="13"/>
      <c r="G710" s="2"/>
      <c r="H710" s="2"/>
      <c r="I710" s="2"/>
      <c r="J710" s="2"/>
      <c r="K710" s="13"/>
      <c r="L710" s="14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2"/>
      <c r="C711" s="4"/>
      <c r="D711" s="2"/>
      <c r="E711" s="13"/>
      <c r="F711" s="13"/>
      <c r="G711" s="2"/>
      <c r="H711" s="2"/>
      <c r="I711" s="2"/>
      <c r="J711" s="2"/>
      <c r="K711" s="13"/>
      <c r="L711" s="14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2"/>
      <c r="C712" s="4"/>
      <c r="D712" s="2"/>
      <c r="E712" s="13"/>
      <c r="F712" s="13"/>
      <c r="G712" s="2"/>
      <c r="H712" s="2"/>
      <c r="I712" s="2"/>
      <c r="J712" s="2"/>
      <c r="K712" s="13"/>
      <c r="L712" s="14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2"/>
      <c r="C713" s="4"/>
      <c r="D713" s="2"/>
      <c r="E713" s="13"/>
      <c r="F713" s="13"/>
      <c r="G713" s="2"/>
      <c r="H713" s="2"/>
      <c r="I713" s="2"/>
      <c r="J713" s="2"/>
      <c r="K713" s="13"/>
      <c r="L713" s="14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2"/>
      <c r="C714" s="4"/>
      <c r="D714" s="2"/>
      <c r="E714" s="13"/>
      <c r="F714" s="13"/>
      <c r="G714" s="2"/>
      <c r="H714" s="2"/>
      <c r="I714" s="2"/>
      <c r="J714" s="2"/>
      <c r="K714" s="13"/>
      <c r="L714" s="14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2"/>
      <c r="C715" s="4"/>
      <c r="D715" s="2"/>
      <c r="E715" s="13"/>
      <c r="F715" s="13"/>
      <c r="G715" s="2"/>
      <c r="H715" s="2"/>
      <c r="I715" s="2"/>
      <c r="J715" s="2"/>
      <c r="K715" s="13"/>
      <c r="L715" s="14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2"/>
      <c r="C716" s="4"/>
      <c r="D716" s="2"/>
      <c r="E716" s="13"/>
      <c r="F716" s="13"/>
      <c r="G716" s="2"/>
      <c r="H716" s="2"/>
      <c r="I716" s="2"/>
      <c r="J716" s="2"/>
      <c r="K716" s="13"/>
      <c r="L716" s="14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2"/>
      <c r="C717" s="4"/>
      <c r="D717" s="2"/>
      <c r="E717" s="13"/>
      <c r="F717" s="13"/>
      <c r="G717" s="2"/>
      <c r="H717" s="2"/>
      <c r="I717" s="2"/>
      <c r="J717" s="2"/>
      <c r="K717" s="13"/>
      <c r="L717" s="14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2"/>
      <c r="C718" s="4"/>
      <c r="D718" s="2"/>
      <c r="E718" s="13"/>
      <c r="F718" s="13"/>
      <c r="G718" s="2"/>
      <c r="H718" s="2"/>
      <c r="I718" s="2"/>
      <c r="J718" s="2"/>
      <c r="K718" s="13"/>
      <c r="L718" s="14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2"/>
      <c r="C719" s="4"/>
      <c r="D719" s="2"/>
      <c r="E719" s="13"/>
      <c r="F719" s="13"/>
      <c r="G719" s="2"/>
      <c r="H719" s="2"/>
      <c r="I719" s="2"/>
      <c r="J719" s="2"/>
      <c r="K719" s="13"/>
      <c r="L719" s="14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2"/>
      <c r="C720" s="4"/>
      <c r="D720" s="2"/>
      <c r="E720" s="13"/>
      <c r="F720" s="13"/>
      <c r="G720" s="2"/>
      <c r="H720" s="2"/>
      <c r="I720" s="2"/>
      <c r="J720" s="2"/>
      <c r="K720" s="13"/>
      <c r="L720" s="14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2"/>
      <c r="C721" s="4"/>
      <c r="D721" s="2"/>
      <c r="E721" s="13"/>
      <c r="F721" s="13"/>
      <c r="G721" s="2"/>
      <c r="H721" s="2"/>
      <c r="I721" s="2"/>
      <c r="J721" s="2"/>
      <c r="K721" s="13"/>
      <c r="L721" s="14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2"/>
      <c r="C722" s="4"/>
      <c r="D722" s="2"/>
      <c r="E722" s="13"/>
      <c r="F722" s="13"/>
      <c r="G722" s="2"/>
      <c r="H722" s="2"/>
      <c r="I722" s="2"/>
      <c r="J722" s="2"/>
      <c r="K722" s="13"/>
      <c r="L722" s="14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2"/>
      <c r="C723" s="4"/>
      <c r="D723" s="2"/>
      <c r="E723" s="13"/>
      <c r="F723" s="13"/>
      <c r="G723" s="2"/>
      <c r="H723" s="2"/>
      <c r="I723" s="2"/>
      <c r="J723" s="2"/>
      <c r="K723" s="13"/>
      <c r="L723" s="14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2"/>
      <c r="C724" s="4"/>
      <c r="D724" s="2"/>
      <c r="E724" s="13"/>
      <c r="F724" s="13"/>
      <c r="G724" s="2"/>
      <c r="H724" s="2"/>
      <c r="I724" s="2"/>
      <c r="J724" s="2"/>
      <c r="K724" s="13"/>
      <c r="L724" s="14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2"/>
      <c r="C725" s="4"/>
      <c r="D725" s="2"/>
      <c r="E725" s="13"/>
      <c r="F725" s="13"/>
      <c r="G725" s="2"/>
      <c r="H725" s="2"/>
      <c r="I725" s="2"/>
      <c r="J725" s="2"/>
      <c r="K725" s="13"/>
      <c r="L725" s="14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2"/>
      <c r="C726" s="4"/>
      <c r="D726" s="2"/>
      <c r="E726" s="13"/>
      <c r="F726" s="13"/>
      <c r="G726" s="2"/>
      <c r="H726" s="2"/>
      <c r="I726" s="2"/>
      <c r="J726" s="2"/>
      <c r="K726" s="13"/>
      <c r="L726" s="14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2"/>
      <c r="C727" s="4"/>
      <c r="D727" s="2"/>
      <c r="E727" s="13"/>
      <c r="F727" s="13"/>
      <c r="G727" s="2"/>
      <c r="H727" s="2"/>
      <c r="I727" s="2"/>
      <c r="J727" s="2"/>
      <c r="K727" s="13"/>
      <c r="L727" s="14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2"/>
      <c r="C728" s="4"/>
      <c r="D728" s="2"/>
      <c r="E728" s="13"/>
      <c r="F728" s="13"/>
      <c r="G728" s="2"/>
      <c r="H728" s="2"/>
      <c r="I728" s="2"/>
      <c r="J728" s="2"/>
      <c r="K728" s="13"/>
      <c r="L728" s="14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2"/>
      <c r="C729" s="4"/>
      <c r="D729" s="2"/>
      <c r="E729" s="13"/>
      <c r="F729" s="13"/>
      <c r="G729" s="2"/>
      <c r="H729" s="2"/>
      <c r="I729" s="2"/>
      <c r="J729" s="2"/>
      <c r="K729" s="13"/>
      <c r="L729" s="14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2"/>
      <c r="C730" s="4"/>
      <c r="D730" s="2"/>
      <c r="E730" s="13"/>
      <c r="F730" s="13"/>
      <c r="G730" s="2"/>
      <c r="H730" s="2"/>
      <c r="I730" s="2"/>
      <c r="J730" s="2"/>
      <c r="K730" s="13"/>
      <c r="L730" s="14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2"/>
      <c r="C731" s="4"/>
      <c r="D731" s="2"/>
      <c r="E731" s="13"/>
      <c r="F731" s="13"/>
      <c r="G731" s="2"/>
      <c r="H731" s="2"/>
      <c r="I731" s="2"/>
      <c r="J731" s="2"/>
      <c r="K731" s="13"/>
      <c r="L731" s="14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2"/>
      <c r="C732" s="4"/>
      <c r="D732" s="2"/>
      <c r="E732" s="13"/>
      <c r="F732" s="13"/>
      <c r="G732" s="2"/>
      <c r="H732" s="2"/>
      <c r="I732" s="2"/>
      <c r="J732" s="2"/>
      <c r="K732" s="13"/>
      <c r="L732" s="14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2"/>
      <c r="C733" s="4"/>
      <c r="D733" s="2"/>
      <c r="E733" s="13"/>
      <c r="F733" s="13"/>
      <c r="G733" s="2"/>
      <c r="H733" s="2"/>
      <c r="I733" s="2"/>
      <c r="J733" s="2"/>
      <c r="K733" s="13"/>
      <c r="L733" s="14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2"/>
      <c r="C734" s="4"/>
      <c r="D734" s="2"/>
      <c r="E734" s="13"/>
      <c r="F734" s="13"/>
      <c r="G734" s="2"/>
      <c r="H734" s="2"/>
      <c r="I734" s="2"/>
      <c r="J734" s="2"/>
      <c r="K734" s="13"/>
      <c r="L734" s="14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2"/>
      <c r="C735" s="4"/>
      <c r="D735" s="2"/>
      <c r="E735" s="13"/>
      <c r="F735" s="13"/>
      <c r="G735" s="2"/>
      <c r="H735" s="2"/>
      <c r="I735" s="2"/>
      <c r="J735" s="2"/>
      <c r="K735" s="13"/>
      <c r="L735" s="14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2"/>
      <c r="C736" s="4"/>
      <c r="D736" s="2"/>
      <c r="E736" s="13"/>
      <c r="F736" s="13"/>
      <c r="G736" s="2"/>
      <c r="H736" s="2"/>
      <c r="I736" s="2"/>
      <c r="J736" s="2"/>
      <c r="K736" s="13"/>
      <c r="L736" s="14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2"/>
      <c r="C737" s="4"/>
      <c r="D737" s="2"/>
      <c r="E737" s="13"/>
      <c r="F737" s="13"/>
      <c r="G737" s="2"/>
      <c r="H737" s="2"/>
      <c r="I737" s="2"/>
      <c r="J737" s="2"/>
      <c r="K737" s="13"/>
      <c r="L737" s="14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2"/>
      <c r="C738" s="4"/>
      <c r="D738" s="2"/>
      <c r="E738" s="13"/>
      <c r="F738" s="13"/>
      <c r="G738" s="2"/>
      <c r="H738" s="2"/>
      <c r="I738" s="2"/>
      <c r="J738" s="2"/>
      <c r="K738" s="13"/>
      <c r="L738" s="14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2"/>
      <c r="C739" s="4"/>
      <c r="D739" s="2"/>
      <c r="E739" s="13"/>
      <c r="F739" s="13"/>
      <c r="G739" s="2"/>
      <c r="H739" s="2"/>
      <c r="I739" s="2"/>
      <c r="J739" s="2"/>
      <c r="K739" s="13"/>
      <c r="L739" s="14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2"/>
      <c r="C740" s="4"/>
      <c r="D740" s="2"/>
      <c r="E740" s="13"/>
      <c r="F740" s="13"/>
      <c r="G740" s="2"/>
      <c r="H740" s="2"/>
      <c r="I740" s="2"/>
      <c r="J740" s="2"/>
      <c r="K740" s="13"/>
      <c r="L740" s="14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2"/>
      <c r="C741" s="4"/>
      <c r="D741" s="2"/>
      <c r="E741" s="13"/>
      <c r="F741" s="13"/>
      <c r="G741" s="2"/>
      <c r="H741" s="2"/>
      <c r="I741" s="2"/>
      <c r="J741" s="2"/>
      <c r="K741" s="13"/>
      <c r="L741" s="14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2"/>
      <c r="C742" s="4"/>
      <c r="D742" s="2"/>
      <c r="E742" s="13"/>
      <c r="F742" s="13"/>
      <c r="G742" s="2"/>
      <c r="H742" s="2"/>
      <c r="I742" s="2"/>
      <c r="J742" s="2"/>
      <c r="K742" s="13"/>
      <c r="L742" s="14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2"/>
      <c r="C743" s="4"/>
      <c r="D743" s="2"/>
      <c r="E743" s="13"/>
      <c r="F743" s="13"/>
      <c r="G743" s="2"/>
      <c r="H743" s="2"/>
      <c r="I743" s="2"/>
      <c r="J743" s="2"/>
      <c r="K743" s="13"/>
      <c r="L743" s="14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2"/>
      <c r="C744" s="4"/>
      <c r="D744" s="2"/>
      <c r="E744" s="13"/>
      <c r="F744" s="13"/>
      <c r="G744" s="2"/>
      <c r="H744" s="2"/>
      <c r="I744" s="2"/>
      <c r="J744" s="2"/>
      <c r="K744" s="13"/>
      <c r="L744" s="14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2"/>
      <c r="C745" s="4"/>
      <c r="D745" s="2"/>
      <c r="E745" s="13"/>
      <c r="F745" s="13"/>
      <c r="G745" s="2"/>
      <c r="H745" s="2"/>
      <c r="I745" s="2"/>
      <c r="J745" s="2"/>
      <c r="K745" s="13"/>
      <c r="L745" s="14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2"/>
      <c r="C746" s="4"/>
      <c r="D746" s="2"/>
      <c r="E746" s="13"/>
      <c r="F746" s="13"/>
      <c r="G746" s="2"/>
      <c r="H746" s="2"/>
      <c r="I746" s="2"/>
      <c r="J746" s="2"/>
      <c r="K746" s="13"/>
      <c r="L746" s="14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2"/>
      <c r="C747" s="4"/>
      <c r="D747" s="2"/>
      <c r="E747" s="13"/>
      <c r="F747" s="13"/>
      <c r="G747" s="2"/>
      <c r="H747" s="2"/>
      <c r="I747" s="2"/>
      <c r="J747" s="2"/>
      <c r="K747" s="13"/>
      <c r="L747" s="14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2"/>
      <c r="C748" s="4"/>
      <c r="D748" s="2"/>
      <c r="E748" s="13"/>
      <c r="F748" s="13"/>
      <c r="G748" s="2"/>
      <c r="H748" s="2"/>
      <c r="I748" s="2"/>
      <c r="J748" s="2"/>
      <c r="K748" s="13"/>
      <c r="L748" s="14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2"/>
      <c r="C749" s="4"/>
      <c r="D749" s="2"/>
      <c r="E749" s="13"/>
      <c r="F749" s="13"/>
      <c r="G749" s="2"/>
      <c r="H749" s="2"/>
      <c r="I749" s="2"/>
      <c r="J749" s="2"/>
      <c r="K749" s="13"/>
      <c r="L749" s="14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2"/>
      <c r="C750" s="4"/>
      <c r="D750" s="2"/>
      <c r="E750" s="13"/>
      <c r="F750" s="13"/>
      <c r="G750" s="2"/>
      <c r="H750" s="2"/>
      <c r="I750" s="2"/>
      <c r="J750" s="2"/>
      <c r="K750" s="13"/>
      <c r="L750" s="14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2"/>
      <c r="C751" s="4"/>
      <c r="D751" s="2"/>
      <c r="E751" s="13"/>
      <c r="F751" s="13"/>
      <c r="G751" s="2"/>
      <c r="H751" s="2"/>
      <c r="I751" s="2"/>
      <c r="J751" s="2"/>
      <c r="K751" s="13"/>
      <c r="L751" s="14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2"/>
      <c r="C752" s="4"/>
      <c r="D752" s="2"/>
      <c r="E752" s="13"/>
      <c r="F752" s="13"/>
      <c r="G752" s="2"/>
      <c r="H752" s="2"/>
      <c r="I752" s="2"/>
      <c r="J752" s="2"/>
      <c r="K752" s="13"/>
      <c r="L752" s="14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2"/>
      <c r="C753" s="4"/>
      <c r="D753" s="2"/>
      <c r="E753" s="13"/>
      <c r="F753" s="13"/>
      <c r="G753" s="2"/>
      <c r="H753" s="2"/>
      <c r="I753" s="2"/>
      <c r="J753" s="2"/>
      <c r="K753" s="13"/>
      <c r="L753" s="14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2"/>
      <c r="C754" s="4"/>
      <c r="D754" s="2"/>
      <c r="E754" s="13"/>
      <c r="F754" s="13"/>
      <c r="G754" s="2"/>
      <c r="H754" s="2"/>
      <c r="I754" s="2"/>
      <c r="J754" s="2"/>
      <c r="K754" s="13"/>
      <c r="L754" s="14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2"/>
      <c r="C755" s="4"/>
      <c r="D755" s="2"/>
      <c r="E755" s="13"/>
      <c r="F755" s="13"/>
      <c r="G755" s="2"/>
      <c r="H755" s="2"/>
      <c r="I755" s="2"/>
      <c r="J755" s="2"/>
      <c r="K755" s="13"/>
      <c r="L755" s="14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2"/>
      <c r="C756" s="4"/>
      <c r="D756" s="2"/>
      <c r="E756" s="13"/>
      <c r="F756" s="13"/>
      <c r="G756" s="2"/>
      <c r="H756" s="2"/>
      <c r="I756" s="2"/>
      <c r="J756" s="2"/>
      <c r="K756" s="13"/>
      <c r="L756" s="14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2"/>
      <c r="C757" s="4"/>
      <c r="D757" s="2"/>
      <c r="E757" s="13"/>
      <c r="F757" s="13"/>
      <c r="G757" s="2"/>
      <c r="H757" s="2"/>
      <c r="I757" s="2"/>
      <c r="J757" s="2"/>
      <c r="K757" s="13"/>
      <c r="L757" s="14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2"/>
      <c r="C758" s="4"/>
      <c r="D758" s="2"/>
      <c r="E758" s="13"/>
      <c r="F758" s="13"/>
      <c r="G758" s="2"/>
      <c r="H758" s="2"/>
      <c r="I758" s="2"/>
      <c r="J758" s="2"/>
      <c r="K758" s="13"/>
      <c r="L758" s="14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2"/>
      <c r="C759" s="4"/>
      <c r="D759" s="2"/>
      <c r="E759" s="13"/>
      <c r="F759" s="13"/>
      <c r="G759" s="2"/>
      <c r="H759" s="2"/>
      <c r="I759" s="2"/>
      <c r="J759" s="2"/>
      <c r="K759" s="13"/>
      <c r="L759" s="14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2"/>
      <c r="C760" s="4"/>
      <c r="D760" s="2"/>
      <c r="E760" s="13"/>
      <c r="F760" s="13"/>
      <c r="G760" s="2"/>
      <c r="H760" s="2"/>
      <c r="I760" s="2"/>
      <c r="J760" s="2"/>
      <c r="K760" s="13"/>
      <c r="L760" s="14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2"/>
      <c r="C761" s="4"/>
      <c r="D761" s="2"/>
      <c r="E761" s="13"/>
      <c r="F761" s="13"/>
      <c r="G761" s="2"/>
      <c r="H761" s="2"/>
      <c r="I761" s="2"/>
      <c r="J761" s="2"/>
      <c r="K761" s="13"/>
      <c r="L761" s="14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2"/>
      <c r="C762" s="4"/>
      <c r="D762" s="2"/>
      <c r="E762" s="13"/>
      <c r="F762" s="13"/>
      <c r="G762" s="2"/>
      <c r="H762" s="2"/>
      <c r="I762" s="2"/>
      <c r="J762" s="2"/>
      <c r="K762" s="13"/>
      <c r="L762" s="14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2"/>
      <c r="C763" s="4"/>
      <c r="D763" s="2"/>
      <c r="E763" s="13"/>
      <c r="F763" s="13"/>
      <c r="G763" s="2"/>
      <c r="H763" s="2"/>
      <c r="I763" s="2"/>
      <c r="J763" s="2"/>
      <c r="K763" s="13"/>
      <c r="L763" s="14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2"/>
      <c r="C764" s="4"/>
      <c r="D764" s="2"/>
      <c r="E764" s="13"/>
      <c r="F764" s="13"/>
      <c r="G764" s="2"/>
      <c r="H764" s="2"/>
      <c r="I764" s="2"/>
      <c r="J764" s="2"/>
      <c r="K764" s="13"/>
      <c r="L764" s="14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2"/>
      <c r="C765" s="4"/>
      <c r="D765" s="2"/>
      <c r="E765" s="13"/>
      <c r="F765" s="13"/>
      <c r="G765" s="2"/>
      <c r="H765" s="2"/>
      <c r="I765" s="2"/>
      <c r="J765" s="2"/>
      <c r="K765" s="13"/>
      <c r="L765" s="14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2"/>
      <c r="C766" s="4"/>
      <c r="D766" s="2"/>
      <c r="E766" s="13"/>
      <c r="F766" s="13"/>
      <c r="G766" s="2"/>
      <c r="H766" s="2"/>
      <c r="I766" s="2"/>
      <c r="J766" s="2"/>
      <c r="K766" s="13"/>
      <c r="L766" s="14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2"/>
      <c r="C767" s="4"/>
      <c r="D767" s="2"/>
      <c r="E767" s="13"/>
      <c r="F767" s="13"/>
      <c r="G767" s="2"/>
      <c r="H767" s="2"/>
      <c r="I767" s="2"/>
      <c r="J767" s="2"/>
      <c r="K767" s="13"/>
      <c r="L767" s="14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2"/>
      <c r="C768" s="4"/>
      <c r="D768" s="2"/>
      <c r="E768" s="13"/>
      <c r="F768" s="13"/>
      <c r="G768" s="2"/>
      <c r="H768" s="2"/>
      <c r="I768" s="2"/>
      <c r="J768" s="2"/>
      <c r="K768" s="13"/>
      <c r="L768" s="14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2"/>
      <c r="C769" s="4"/>
      <c r="D769" s="2"/>
      <c r="E769" s="13"/>
      <c r="F769" s="13"/>
      <c r="G769" s="2"/>
      <c r="H769" s="2"/>
      <c r="I769" s="2"/>
      <c r="J769" s="2"/>
      <c r="K769" s="13"/>
      <c r="L769" s="14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2"/>
      <c r="C770" s="4"/>
      <c r="D770" s="2"/>
      <c r="E770" s="13"/>
      <c r="F770" s="13"/>
      <c r="G770" s="2"/>
      <c r="H770" s="2"/>
      <c r="I770" s="2"/>
      <c r="J770" s="2"/>
      <c r="K770" s="13"/>
      <c r="L770" s="14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2"/>
      <c r="C771" s="4"/>
      <c r="D771" s="2"/>
      <c r="E771" s="13"/>
      <c r="F771" s="13"/>
      <c r="G771" s="2"/>
      <c r="H771" s="2"/>
      <c r="I771" s="2"/>
      <c r="J771" s="2"/>
      <c r="K771" s="13"/>
      <c r="L771" s="14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2"/>
      <c r="C772" s="4"/>
      <c r="D772" s="2"/>
      <c r="E772" s="13"/>
      <c r="F772" s="13"/>
      <c r="G772" s="2"/>
      <c r="H772" s="2"/>
      <c r="I772" s="2"/>
      <c r="J772" s="2"/>
      <c r="K772" s="13"/>
      <c r="L772" s="14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2"/>
      <c r="C773" s="4"/>
      <c r="D773" s="2"/>
      <c r="E773" s="13"/>
      <c r="F773" s="13"/>
      <c r="G773" s="2"/>
      <c r="H773" s="2"/>
      <c r="I773" s="2"/>
      <c r="J773" s="2"/>
      <c r="K773" s="13"/>
      <c r="L773" s="14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2"/>
      <c r="C774" s="4"/>
      <c r="D774" s="2"/>
      <c r="E774" s="13"/>
      <c r="F774" s="13"/>
      <c r="G774" s="2"/>
      <c r="H774" s="2"/>
      <c r="I774" s="2"/>
      <c r="J774" s="2"/>
      <c r="K774" s="13"/>
      <c r="L774" s="14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2"/>
      <c r="C775" s="4"/>
      <c r="D775" s="2"/>
      <c r="E775" s="13"/>
      <c r="F775" s="13"/>
      <c r="G775" s="2"/>
      <c r="H775" s="2"/>
      <c r="I775" s="2"/>
      <c r="J775" s="2"/>
      <c r="K775" s="13"/>
      <c r="L775" s="14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2"/>
      <c r="C776" s="4"/>
      <c r="D776" s="2"/>
      <c r="E776" s="13"/>
      <c r="F776" s="13"/>
      <c r="G776" s="2"/>
      <c r="H776" s="2"/>
      <c r="I776" s="2"/>
      <c r="J776" s="2"/>
      <c r="K776" s="13"/>
      <c r="L776" s="14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2"/>
      <c r="C777" s="4"/>
      <c r="D777" s="2"/>
      <c r="E777" s="13"/>
      <c r="F777" s="13"/>
      <c r="G777" s="2"/>
      <c r="H777" s="2"/>
      <c r="I777" s="2"/>
      <c r="J777" s="2"/>
      <c r="K777" s="13"/>
      <c r="L777" s="14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2"/>
      <c r="C778" s="4"/>
      <c r="D778" s="2"/>
      <c r="E778" s="13"/>
      <c r="F778" s="13"/>
      <c r="G778" s="2"/>
      <c r="H778" s="2"/>
      <c r="I778" s="2"/>
      <c r="J778" s="2"/>
      <c r="K778" s="13"/>
      <c r="L778" s="14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2"/>
      <c r="C779" s="4"/>
      <c r="D779" s="2"/>
      <c r="E779" s="13"/>
      <c r="F779" s="13"/>
      <c r="G779" s="2"/>
      <c r="H779" s="2"/>
      <c r="I779" s="2"/>
      <c r="J779" s="2"/>
      <c r="K779" s="13"/>
      <c r="L779" s="14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2"/>
      <c r="C780" s="4"/>
      <c r="D780" s="2"/>
      <c r="E780" s="13"/>
      <c r="F780" s="13"/>
      <c r="G780" s="2"/>
      <c r="H780" s="2"/>
      <c r="I780" s="2"/>
      <c r="J780" s="2"/>
      <c r="K780" s="13"/>
      <c r="L780" s="14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2"/>
      <c r="C781" s="4"/>
      <c r="D781" s="2"/>
      <c r="E781" s="13"/>
      <c r="F781" s="13"/>
      <c r="G781" s="2"/>
      <c r="H781" s="2"/>
      <c r="I781" s="2"/>
      <c r="J781" s="2"/>
      <c r="K781" s="13"/>
      <c r="L781" s="14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"/>
      <c r="B782" s="2"/>
      <c r="C782" s="4"/>
      <c r="D782" s="2"/>
      <c r="E782" s="13"/>
      <c r="F782" s="13"/>
      <c r="G782" s="2"/>
      <c r="H782" s="2"/>
      <c r="I782" s="2"/>
      <c r="J782" s="2"/>
      <c r="K782" s="13"/>
      <c r="L782" s="14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"/>
      <c r="B783" s="2"/>
      <c r="C783" s="4"/>
      <c r="D783" s="2"/>
      <c r="E783" s="13"/>
      <c r="F783" s="13"/>
      <c r="G783" s="2"/>
      <c r="H783" s="2"/>
      <c r="I783" s="2"/>
      <c r="J783" s="2"/>
      <c r="K783" s="13"/>
      <c r="L783" s="14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"/>
      <c r="B784" s="2"/>
      <c r="C784" s="4"/>
      <c r="D784" s="2"/>
      <c r="E784" s="13"/>
      <c r="F784" s="13"/>
      <c r="G784" s="2"/>
      <c r="H784" s="2"/>
      <c r="I784" s="2"/>
      <c r="J784" s="2"/>
      <c r="K784" s="13"/>
      <c r="L784" s="14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"/>
      <c r="B785" s="2"/>
      <c r="C785" s="4"/>
      <c r="D785" s="2"/>
      <c r="E785" s="13"/>
      <c r="F785" s="13"/>
      <c r="G785" s="2"/>
      <c r="H785" s="2"/>
      <c r="I785" s="2"/>
      <c r="J785" s="2"/>
      <c r="K785" s="13"/>
      <c r="L785" s="14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"/>
      <c r="B786" s="2"/>
      <c r="C786" s="4"/>
      <c r="D786" s="2"/>
      <c r="E786" s="13"/>
      <c r="F786" s="13"/>
      <c r="G786" s="2"/>
      <c r="H786" s="2"/>
      <c r="I786" s="2"/>
      <c r="J786" s="2"/>
      <c r="K786" s="13"/>
      <c r="L786" s="14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"/>
      <c r="B787" s="2"/>
      <c r="C787" s="4"/>
      <c r="D787" s="2"/>
      <c r="E787" s="13"/>
      <c r="F787" s="13"/>
      <c r="G787" s="2"/>
      <c r="H787" s="2"/>
      <c r="I787" s="2"/>
      <c r="J787" s="2"/>
      <c r="K787" s="13"/>
      <c r="L787" s="14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"/>
      <c r="B788" s="2"/>
      <c r="C788" s="4"/>
      <c r="D788" s="2"/>
      <c r="E788" s="13"/>
      <c r="F788" s="13"/>
      <c r="G788" s="2"/>
      <c r="H788" s="2"/>
      <c r="I788" s="2"/>
      <c r="J788" s="2"/>
      <c r="K788" s="13"/>
      <c r="L788" s="14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"/>
      <c r="B789" s="2"/>
      <c r="C789" s="4"/>
      <c r="D789" s="2"/>
      <c r="E789" s="13"/>
      <c r="F789" s="13"/>
      <c r="G789" s="2"/>
      <c r="H789" s="2"/>
      <c r="I789" s="2"/>
      <c r="J789" s="2"/>
      <c r="K789" s="13"/>
      <c r="L789" s="14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"/>
      <c r="B790" s="2"/>
      <c r="C790" s="4"/>
      <c r="D790" s="2"/>
      <c r="E790" s="13"/>
      <c r="F790" s="13"/>
      <c r="G790" s="2"/>
      <c r="H790" s="2"/>
      <c r="I790" s="2"/>
      <c r="J790" s="2"/>
      <c r="K790" s="13"/>
      <c r="L790" s="14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"/>
      <c r="B791" s="2"/>
      <c r="C791" s="4"/>
      <c r="D791" s="2"/>
      <c r="E791" s="13"/>
      <c r="F791" s="13"/>
      <c r="G791" s="2"/>
      <c r="H791" s="2"/>
      <c r="I791" s="2"/>
      <c r="J791" s="2"/>
      <c r="K791" s="13"/>
      <c r="L791" s="14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"/>
      <c r="B792" s="2"/>
      <c r="C792" s="4"/>
      <c r="D792" s="2"/>
      <c r="E792" s="13"/>
      <c r="F792" s="13"/>
      <c r="G792" s="2"/>
      <c r="H792" s="2"/>
      <c r="I792" s="2"/>
      <c r="J792" s="2"/>
      <c r="K792" s="13"/>
      <c r="L792" s="14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"/>
      <c r="B793" s="2"/>
      <c r="C793" s="4"/>
      <c r="D793" s="2"/>
      <c r="E793" s="13"/>
      <c r="F793" s="13"/>
      <c r="G793" s="2"/>
      <c r="H793" s="2"/>
      <c r="I793" s="2"/>
      <c r="J793" s="2"/>
      <c r="K793" s="13"/>
      <c r="L793" s="14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"/>
      <c r="B794" s="2"/>
      <c r="C794" s="4"/>
      <c r="D794" s="2"/>
      <c r="E794" s="13"/>
      <c r="F794" s="13"/>
      <c r="G794" s="2"/>
      <c r="H794" s="2"/>
      <c r="I794" s="2"/>
      <c r="J794" s="2"/>
      <c r="K794" s="13"/>
      <c r="L794" s="14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"/>
      <c r="B795" s="2"/>
      <c r="C795" s="4"/>
      <c r="D795" s="2"/>
      <c r="E795" s="13"/>
      <c r="F795" s="13"/>
      <c r="G795" s="2"/>
      <c r="H795" s="2"/>
      <c r="I795" s="2"/>
      <c r="J795" s="2"/>
      <c r="K795" s="13"/>
      <c r="L795" s="14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"/>
      <c r="B796" s="2"/>
      <c r="C796" s="4"/>
      <c r="D796" s="2"/>
      <c r="E796" s="13"/>
      <c r="F796" s="13"/>
      <c r="G796" s="2"/>
      <c r="H796" s="2"/>
      <c r="I796" s="2"/>
      <c r="J796" s="2"/>
      <c r="K796" s="13"/>
      <c r="L796" s="14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"/>
      <c r="B797" s="2"/>
      <c r="C797" s="4"/>
      <c r="D797" s="2"/>
      <c r="E797" s="13"/>
      <c r="F797" s="13"/>
      <c r="G797" s="2"/>
      <c r="H797" s="2"/>
      <c r="I797" s="2"/>
      <c r="J797" s="2"/>
      <c r="K797" s="13"/>
      <c r="L797" s="14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"/>
      <c r="B798" s="2"/>
      <c r="C798" s="4"/>
      <c r="D798" s="2"/>
      <c r="E798" s="13"/>
      <c r="F798" s="13"/>
      <c r="G798" s="2"/>
      <c r="H798" s="2"/>
      <c r="I798" s="2"/>
      <c r="J798" s="2"/>
      <c r="K798" s="13"/>
      <c r="L798" s="14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"/>
      <c r="B799" s="2"/>
      <c r="C799" s="4"/>
      <c r="D799" s="2"/>
      <c r="E799" s="13"/>
      <c r="F799" s="13"/>
      <c r="G799" s="2"/>
      <c r="H799" s="2"/>
      <c r="I799" s="2"/>
      <c r="J799" s="2"/>
      <c r="K799" s="13"/>
      <c r="L799" s="14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"/>
      <c r="B800" s="2"/>
      <c r="C800" s="4"/>
      <c r="D800" s="2"/>
      <c r="E800" s="13"/>
      <c r="F800" s="13"/>
      <c r="G800" s="2"/>
      <c r="H800" s="2"/>
      <c r="I800" s="2"/>
      <c r="J800" s="2"/>
      <c r="K800" s="13"/>
      <c r="L800" s="14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"/>
      <c r="B801" s="2"/>
      <c r="C801" s="4"/>
      <c r="D801" s="2"/>
      <c r="E801" s="13"/>
      <c r="F801" s="13"/>
      <c r="G801" s="2"/>
      <c r="H801" s="2"/>
      <c r="I801" s="2"/>
      <c r="J801" s="2"/>
      <c r="K801" s="13"/>
      <c r="L801" s="14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"/>
      <c r="B802" s="2"/>
      <c r="C802" s="4"/>
      <c r="D802" s="2"/>
      <c r="E802" s="13"/>
      <c r="F802" s="13"/>
      <c r="G802" s="2"/>
      <c r="H802" s="2"/>
      <c r="I802" s="2"/>
      <c r="J802" s="2"/>
      <c r="K802" s="13"/>
      <c r="L802" s="14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"/>
      <c r="B803" s="2"/>
      <c r="C803" s="4"/>
      <c r="D803" s="2"/>
      <c r="E803" s="13"/>
      <c r="F803" s="13"/>
      <c r="G803" s="2"/>
      <c r="H803" s="2"/>
      <c r="I803" s="2"/>
      <c r="J803" s="2"/>
      <c r="K803" s="13"/>
      <c r="L803" s="14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"/>
      <c r="B804" s="2"/>
      <c r="C804" s="4"/>
      <c r="D804" s="2"/>
      <c r="E804" s="13"/>
      <c r="F804" s="13"/>
      <c r="G804" s="2"/>
      <c r="H804" s="2"/>
      <c r="I804" s="2"/>
      <c r="J804" s="2"/>
      <c r="K804" s="13"/>
      <c r="L804" s="14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"/>
      <c r="B805" s="2"/>
      <c r="C805" s="4"/>
      <c r="D805" s="2"/>
      <c r="E805" s="13"/>
      <c r="F805" s="13"/>
      <c r="G805" s="2"/>
      <c r="H805" s="2"/>
      <c r="I805" s="2"/>
      <c r="J805" s="2"/>
      <c r="K805" s="13"/>
      <c r="L805" s="14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"/>
      <c r="B806" s="2"/>
      <c r="C806" s="4"/>
      <c r="D806" s="2"/>
      <c r="E806" s="13"/>
      <c r="F806" s="13"/>
      <c r="G806" s="2"/>
      <c r="H806" s="2"/>
      <c r="I806" s="2"/>
      <c r="J806" s="2"/>
      <c r="K806" s="13"/>
      <c r="L806" s="14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"/>
      <c r="B807" s="2"/>
      <c r="C807" s="4"/>
      <c r="D807" s="2"/>
      <c r="E807" s="13"/>
      <c r="F807" s="13"/>
      <c r="G807" s="2"/>
      <c r="H807" s="2"/>
      <c r="I807" s="2"/>
      <c r="J807" s="2"/>
      <c r="K807" s="13"/>
      <c r="L807" s="14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"/>
      <c r="B808" s="2"/>
      <c r="C808" s="4"/>
      <c r="D808" s="2"/>
      <c r="E808" s="13"/>
      <c r="F808" s="13"/>
      <c r="G808" s="2"/>
      <c r="H808" s="2"/>
      <c r="I808" s="2"/>
      <c r="J808" s="2"/>
      <c r="K808" s="13"/>
      <c r="L808" s="14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"/>
      <c r="B809" s="2"/>
      <c r="C809" s="4"/>
      <c r="D809" s="2"/>
      <c r="E809" s="13"/>
      <c r="F809" s="13"/>
      <c r="G809" s="2"/>
      <c r="H809" s="2"/>
      <c r="I809" s="2"/>
      <c r="J809" s="2"/>
      <c r="K809" s="13"/>
      <c r="L809" s="14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"/>
      <c r="B810" s="2"/>
      <c r="C810" s="4"/>
      <c r="D810" s="2"/>
      <c r="E810" s="13"/>
      <c r="F810" s="13"/>
      <c r="G810" s="2"/>
      <c r="H810" s="2"/>
      <c r="I810" s="2"/>
      <c r="J810" s="2"/>
      <c r="K810" s="13"/>
      <c r="L810" s="14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"/>
      <c r="B811" s="2"/>
      <c r="C811" s="4"/>
      <c r="D811" s="2"/>
      <c r="E811" s="13"/>
      <c r="F811" s="13"/>
      <c r="G811" s="2"/>
      <c r="H811" s="2"/>
      <c r="I811" s="2"/>
      <c r="J811" s="2"/>
      <c r="K811" s="13"/>
      <c r="L811" s="14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"/>
      <c r="B812" s="2"/>
      <c r="C812" s="4"/>
      <c r="D812" s="2"/>
      <c r="E812" s="13"/>
      <c r="F812" s="13"/>
      <c r="G812" s="2"/>
      <c r="H812" s="2"/>
      <c r="I812" s="2"/>
      <c r="J812" s="2"/>
      <c r="K812" s="13"/>
      <c r="L812" s="14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"/>
      <c r="B813" s="2"/>
      <c r="C813" s="4"/>
      <c r="D813" s="2"/>
      <c r="E813" s="13"/>
      <c r="F813" s="13"/>
      <c r="G813" s="2"/>
      <c r="H813" s="2"/>
      <c r="I813" s="2"/>
      <c r="J813" s="2"/>
      <c r="K813" s="13"/>
      <c r="L813" s="14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"/>
      <c r="B814" s="2"/>
      <c r="C814" s="4"/>
      <c r="D814" s="2"/>
      <c r="E814" s="13"/>
      <c r="F814" s="13"/>
      <c r="G814" s="2"/>
      <c r="H814" s="2"/>
      <c r="I814" s="2"/>
      <c r="J814" s="2"/>
      <c r="K814" s="13"/>
      <c r="L814" s="14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"/>
      <c r="B815" s="2"/>
      <c r="C815" s="4"/>
      <c r="D815" s="2"/>
      <c r="E815" s="13"/>
      <c r="F815" s="13"/>
      <c r="G815" s="2"/>
      <c r="H815" s="2"/>
      <c r="I815" s="2"/>
      <c r="J815" s="2"/>
      <c r="K815" s="13"/>
      <c r="L815" s="14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"/>
      <c r="B816" s="2"/>
      <c r="C816" s="4"/>
      <c r="D816" s="2"/>
      <c r="E816" s="13"/>
      <c r="F816" s="13"/>
      <c r="G816" s="2"/>
      <c r="H816" s="2"/>
      <c r="I816" s="2"/>
      <c r="J816" s="2"/>
      <c r="K816" s="13"/>
      <c r="L816" s="14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"/>
      <c r="B817" s="2"/>
      <c r="C817" s="4"/>
      <c r="D817" s="2"/>
      <c r="E817" s="13"/>
      <c r="F817" s="13"/>
      <c r="G817" s="2"/>
      <c r="H817" s="2"/>
      <c r="I817" s="2"/>
      <c r="J817" s="2"/>
      <c r="K817" s="13"/>
      <c r="L817" s="14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"/>
      <c r="B818" s="2"/>
      <c r="C818" s="4"/>
      <c r="D818" s="2"/>
      <c r="E818" s="13"/>
      <c r="F818" s="13"/>
      <c r="G818" s="2"/>
      <c r="H818" s="2"/>
      <c r="I818" s="2"/>
      <c r="J818" s="2"/>
      <c r="K818" s="13"/>
      <c r="L818" s="14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"/>
      <c r="B819" s="2"/>
      <c r="C819" s="4"/>
      <c r="D819" s="2"/>
      <c r="E819" s="13"/>
      <c r="F819" s="13"/>
      <c r="G819" s="2"/>
      <c r="H819" s="2"/>
      <c r="I819" s="2"/>
      <c r="J819" s="2"/>
      <c r="K819" s="13"/>
      <c r="L819" s="14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"/>
      <c r="B820" s="2"/>
      <c r="C820" s="4"/>
      <c r="D820" s="2"/>
      <c r="E820" s="13"/>
      <c r="F820" s="13"/>
      <c r="G820" s="2"/>
      <c r="H820" s="2"/>
      <c r="I820" s="2"/>
      <c r="J820" s="2"/>
      <c r="K820" s="13"/>
      <c r="L820" s="14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"/>
      <c r="B821" s="2"/>
      <c r="C821" s="4"/>
      <c r="D821" s="2"/>
      <c r="E821" s="13"/>
      <c r="F821" s="13"/>
      <c r="G821" s="2"/>
      <c r="H821" s="2"/>
      <c r="I821" s="2"/>
      <c r="J821" s="2"/>
      <c r="K821" s="13"/>
      <c r="L821" s="14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"/>
      <c r="B822" s="2"/>
      <c r="C822" s="4"/>
      <c r="D822" s="2"/>
      <c r="E822" s="13"/>
      <c r="F822" s="13"/>
      <c r="G822" s="2"/>
      <c r="H822" s="2"/>
      <c r="I822" s="2"/>
      <c r="J822" s="2"/>
      <c r="K822" s="13"/>
      <c r="L822" s="14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"/>
      <c r="B823" s="2"/>
      <c r="C823" s="4"/>
      <c r="D823" s="2"/>
      <c r="E823" s="13"/>
      <c r="F823" s="13"/>
      <c r="G823" s="2"/>
      <c r="H823" s="2"/>
      <c r="I823" s="2"/>
      <c r="J823" s="2"/>
      <c r="K823" s="13"/>
      <c r="L823" s="14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"/>
      <c r="B824" s="2"/>
      <c r="C824" s="4"/>
      <c r="D824" s="2"/>
      <c r="E824" s="13"/>
      <c r="F824" s="13"/>
      <c r="G824" s="2"/>
      <c r="H824" s="2"/>
      <c r="I824" s="2"/>
      <c r="J824" s="2"/>
      <c r="K824" s="13"/>
      <c r="L824" s="14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"/>
      <c r="B825" s="2"/>
      <c r="C825" s="4"/>
      <c r="D825" s="2"/>
      <c r="E825" s="13"/>
      <c r="F825" s="13"/>
      <c r="G825" s="2"/>
      <c r="H825" s="2"/>
      <c r="I825" s="2"/>
      <c r="J825" s="2"/>
      <c r="K825" s="13"/>
      <c r="L825" s="14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"/>
      <c r="B826" s="2"/>
      <c r="C826" s="4"/>
      <c r="D826" s="2"/>
      <c r="E826" s="13"/>
      <c r="F826" s="13"/>
      <c r="G826" s="2"/>
      <c r="H826" s="2"/>
      <c r="I826" s="2"/>
      <c r="J826" s="2"/>
      <c r="K826" s="13"/>
      <c r="L826" s="14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"/>
      <c r="B827" s="2"/>
      <c r="C827" s="4"/>
      <c r="D827" s="2"/>
      <c r="E827" s="13"/>
      <c r="F827" s="13"/>
      <c r="G827" s="2"/>
      <c r="H827" s="2"/>
      <c r="I827" s="2"/>
      <c r="J827" s="2"/>
      <c r="K827" s="13"/>
      <c r="L827" s="14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1"/>
      <c r="B828" s="2"/>
      <c r="C828" s="4"/>
      <c r="D828" s="2"/>
      <c r="E828" s="13"/>
      <c r="F828" s="13"/>
      <c r="G828" s="2"/>
      <c r="H828" s="2"/>
      <c r="I828" s="2"/>
      <c r="J828" s="2"/>
      <c r="K828" s="13"/>
      <c r="L828" s="14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"/>
      <c r="B829" s="2"/>
      <c r="C829" s="4"/>
      <c r="D829" s="2"/>
      <c r="E829" s="13"/>
      <c r="F829" s="13"/>
      <c r="G829" s="2"/>
      <c r="H829" s="2"/>
      <c r="I829" s="2"/>
      <c r="J829" s="2"/>
      <c r="K829" s="13"/>
      <c r="L829" s="14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"/>
      <c r="B830" s="2"/>
      <c r="C830" s="4"/>
      <c r="D830" s="2"/>
      <c r="E830" s="13"/>
      <c r="F830" s="13"/>
      <c r="G830" s="2"/>
      <c r="H830" s="2"/>
      <c r="I830" s="2"/>
      <c r="J830" s="2"/>
      <c r="K830" s="13"/>
      <c r="L830" s="14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1"/>
      <c r="B831" s="2"/>
      <c r="C831" s="4"/>
      <c r="D831" s="2"/>
      <c r="E831" s="13"/>
      <c r="F831" s="13"/>
      <c r="G831" s="2"/>
      <c r="H831" s="2"/>
      <c r="I831" s="2"/>
      <c r="J831" s="2"/>
      <c r="K831" s="13"/>
      <c r="L831" s="14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"/>
      <c r="B832" s="2"/>
      <c r="C832" s="4"/>
      <c r="D832" s="2"/>
      <c r="E832" s="13"/>
      <c r="F832" s="13"/>
      <c r="G832" s="2"/>
      <c r="H832" s="2"/>
      <c r="I832" s="2"/>
      <c r="J832" s="2"/>
      <c r="K832" s="13"/>
      <c r="L832" s="14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"/>
      <c r="B833" s="2"/>
      <c r="C833" s="4"/>
      <c r="D833" s="2"/>
      <c r="E833" s="13"/>
      <c r="F833" s="13"/>
      <c r="G833" s="2"/>
      <c r="H833" s="2"/>
      <c r="I833" s="2"/>
      <c r="J833" s="2"/>
      <c r="K833" s="13"/>
      <c r="L833" s="14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"/>
      <c r="B834" s="2"/>
      <c r="C834" s="4"/>
      <c r="D834" s="2"/>
      <c r="E834" s="13"/>
      <c r="F834" s="13"/>
      <c r="G834" s="2"/>
      <c r="H834" s="2"/>
      <c r="I834" s="2"/>
      <c r="J834" s="2"/>
      <c r="K834" s="13"/>
      <c r="L834" s="14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"/>
      <c r="B835" s="2"/>
      <c r="C835" s="4"/>
      <c r="D835" s="2"/>
      <c r="E835" s="13"/>
      <c r="F835" s="13"/>
      <c r="G835" s="2"/>
      <c r="H835" s="2"/>
      <c r="I835" s="2"/>
      <c r="J835" s="2"/>
      <c r="K835" s="13"/>
      <c r="L835" s="14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"/>
      <c r="B836" s="2"/>
      <c r="C836" s="4"/>
      <c r="D836" s="2"/>
      <c r="E836" s="13"/>
      <c r="F836" s="13"/>
      <c r="G836" s="2"/>
      <c r="H836" s="2"/>
      <c r="I836" s="2"/>
      <c r="J836" s="2"/>
      <c r="K836" s="13"/>
      <c r="L836" s="14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"/>
      <c r="B837" s="2"/>
      <c r="C837" s="4"/>
      <c r="D837" s="2"/>
      <c r="E837" s="13"/>
      <c r="F837" s="13"/>
      <c r="G837" s="2"/>
      <c r="H837" s="2"/>
      <c r="I837" s="2"/>
      <c r="J837" s="2"/>
      <c r="K837" s="13"/>
      <c r="L837" s="14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1"/>
      <c r="B838" s="2"/>
      <c r="C838" s="4"/>
      <c r="D838" s="2"/>
      <c r="E838" s="13"/>
      <c r="F838" s="13"/>
      <c r="G838" s="2"/>
      <c r="H838" s="2"/>
      <c r="I838" s="2"/>
      <c r="J838" s="2"/>
      <c r="K838" s="13"/>
      <c r="L838" s="14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"/>
      <c r="B839" s="2"/>
      <c r="C839" s="4"/>
      <c r="D839" s="2"/>
      <c r="E839" s="13"/>
      <c r="F839" s="13"/>
      <c r="G839" s="2"/>
      <c r="H839" s="2"/>
      <c r="I839" s="2"/>
      <c r="J839" s="2"/>
      <c r="K839" s="13"/>
      <c r="L839" s="14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"/>
      <c r="B840" s="2"/>
      <c r="C840" s="4"/>
      <c r="D840" s="2"/>
      <c r="E840" s="13"/>
      <c r="F840" s="13"/>
      <c r="G840" s="2"/>
      <c r="H840" s="2"/>
      <c r="I840" s="2"/>
      <c r="J840" s="2"/>
      <c r="K840" s="13"/>
      <c r="L840" s="14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1"/>
      <c r="B841" s="2"/>
      <c r="C841" s="4"/>
      <c r="D841" s="2"/>
      <c r="E841" s="13"/>
      <c r="F841" s="13"/>
      <c r="G841" s="2"/>
      <c r="H841" s="2"/>
      <c r="I841" s="2"/>
      <c r="J841" s="2"/>
      <c r="K841" s="13"/>
      <c r="L841" s="14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"/>
      <c r="B842" s="2"/>
      <c r="C842" s="4"/>
      <c r="D842" s="2"/>
      <c r="E842" s="13"/>
      <c r="F842" s="13"/>
      <c r="G842" s="2"/>
      <c r="H842" s="2"/>
      <c r="I842" s="2"/>
      <c r="J842" s="2"/>
      <c r="K842" s="13"/>
      <c r="L842" s="14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"/>
      <c r="B843" s="2"/>
      <c r="C843" s="4"/>
      <c r="D843" s="2"/>
      <c r="E843" s="13"/>
      <c r="F843" s="13"/>
      <c r="G843" s="2"/>
      <c r="H843" s="2"/>
      <c r="I843" s="2"/>
      <c r="J843" s="2"/>
      <c r="K843" s="13"/>
      <c r="L843" s="14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"/>
      <c r="B844" s="2"/>
      <c r="C844" s="4"/>
      <c r="D844" s="2"/>
      <c r="E844" s="13"/>
      <c r="F844" s="13"/>
      <c r="G844" s="2"/>
      <c r="H844" s="2"/>
      <c r="I844" s="2"/>
      <c r="J844" s="2"/>
      <c r="K844" s="13"/>
      <c r="L844" s="14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"/>
      <c r="B845" s="2"/>
      <c r="C845" s="4"/>
      <c r="D845" s="2"/>
      <c r="E845" s="13"/>
      <c r="F845" s="13"/>
      <c r="G845" s="2"/>
      <c r="H845" s="2"/>
      <c r="I845" s="2"/>
      <c r="J845" s="2"/>
      <c r="K845" s="13"/>
      <c r="L845" s="14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"/>
      <c r="B846" s="2"/>
      <c r="C846" s="4"/>
      <c r="D846" s="2"/>
      <c r="E846" s="13"/>
      <c r="F846" s="13"/>
      <c r="G846" s="2"/>
      <c r="H846" s="2"/>
      <c r="I846" s="2"/>
      <c r="J846" s="2"/>
      <c r="K846" s="13"/>
      <c r="L846" s="14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"/>
      <c r="B847" s="2"/>
      <c r="C847" s="4"/>
      <c r="D847" s="2"/>
      <c r="E847" s="13"/>
      <c r="F847" s="13"/>
      <c r="G847" s="2"/>
      <c r="H847" s="2"/>
      <c r="I847" s="2"/>
      <c r="J847" s="2"/>
      <c r="K847" s="13"/>
      <c r="L847" s="14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1"/>
      <c r="B848" s="2"/>
      <c r="C848" s="4"/>
      <c r="D848" s="2"/>
      <c r="E848" s="13"/>
      <c r="F848" s="13"/>
      <c r="G848" s="2"/>
      <c r="H848" s="2"/>
      <c r="I848" s="2"/>
      <c r="J848" s="2"/>
      <c r="K848" s="13"/>
      <c r="L848" s="14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"/>
      <c r="B849" s="2"/>
      <c r="C849" s="4"/>
      <c r="D849" s="2"/>
      <c r="E849" s="13"/>
      <c r="F849" s="13"/>
      <c r="G849" s="2"/>
      <c r="H849" s="2"/>
      <c r="I849" s="2"/>
      <c r="J849" s="2"/>
      <c r="K849" s="13"/>
      <c r="L849" s="14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"/>
      <c r="B850" s="2"/>
      <c r="C850" s="4"/>
      <c r="D850" s="2"/>
      <c r="E850" s="13"/>
      <c r="F850" s="13"/>
      <c r="G850" s="2"/>
      <c r="H850" s="2"/>
      <c r="I850" s="2"/>
      <c r="J850" s="2"/>
      <c r="K850" s="13"/>
      <c r="L850" s="14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1"/>
      <c r="B851" s="2"/>
      <c r="C851" s="4"/>
      <c r="D851" s="2"/>
      <c r="E851" s="13"/>
      <c r="F851" s="13"/>
      <c r="G851" s="2"/>
      <c r="H851" s="2"/>
      <c r="I851" s="2"/>
      <c r="J851" s="2"/>
      <c r="K851" s="13"/>
      <c r="L851" s="14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"/>
      <c r="B852" s="2"/>
      <c r="C852" s="4"/>
      <c r="D852" s="2"/>
      <c r="E852" s="13"/>
      <c r="F852" s="13"/>
      <c r="G852" s="2"/>
      <c r="H852" s="2"/>
      <c r="I852" s="2"/>
      <c r="J852" s="2"/>
      <c r="K852" s="13"/>
      <c r="L852" s="14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"/>
      <c r="B853" s="2"/>
      <c r="C853" s="4"/>
      <c r="D853" s="2"/>
      <c r="E853" s="13"/>
      <c r="F853" s="13"/>
      <c r="G853" s="2"/>
      <c r="H853" s="2"/>
      <c r="I853" s="2"/>
      <c r="J853" s="2"/>
      <c r="K853" s="13"/>
      <c r="L853" s="14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"/>
      <c r="B854" s="2"/>
      <c r="C854" s="4"/>
      <c r="D854" s="2"/>
      <c r="E854" s="13"/>
      <c r="F854" s="13"/>
      <c r="G854" s="2"/>
      <c r="H854" s="2"/>
      <c r="I854" s="2"/>
      <c r="J854" s="2"/>
      <c r="K854" s="13"/>
      <c r="L854" s="14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"/>
      <c r="B855" s="2"/>
      <c r="C855" s="4"/>
      <c r="D855" s="2"/>
      <c r="E855" s="13"/>
      <c r="F855" s="13"/>
      <c r="G855" s="2"/>
      <c r="H855" s="2"/>
      <c r="I855" s="2"/>
      <c r="J855" s="2"/>
      <c r="K855" s="13"/>
      <c r="L855" s="14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"/>
      <c r="B856" s="2"/>
      <c r="C856" s="4"/>
      <c r="D856" s="2"/>
      <c r="E856" s="13"/>
      <c r="F856" s="13"/>
      <c r="G856" s="2"/>
      <c r="H856" s="2"/>
      <c r="I856" s="2"/>
      <c r="J856" s="2"/>
      <c r="K856" s="13"/>
      <c r="L856" s="14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"/>
      <c r="B857" s="2"/>
      <c r="C857" s="4"/>
      <c r="D857" s="2"/>
      <c r="E857" s="13"/>
      <c r="F857" s="13"/>
      <c r="G857" s="2"/>
      <c r="H857" s="2"/>
      <c r="I857" s="2"/>
      <c r="J857" s="2"/>
      <c r="K857" s="13"/>
      <c r="L857" s="14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"/>
      <c r="B858" s="2"/>
      <c r="C858" s="4"/>
      <c r="D858" s="2"/>
      <c r="E858" s="13"/>
      <c r="F858" s="13"/>
      <c r="G858" s="2"/>
      <c r="H858" s="2"/>
      <c r="I858" s="2"/>
      <c r="J858" s="2"/>
      <c r="K858" s="13"/>
      <c r="L858" s="14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"/>
      <c r="B859" s="2"/>
      <c r="C859" s="4"/>
      <c r="D859" s="2"/>
      <c r="E859" s="13"/>
      <c r="F859" s="13"/>
      <c r="G859" s="2"/>
      <c r="H859" s="2"/>
      <c r="I859" s="2"/>
      <c r="J859" s="2"/>
      <c r="K859" s="13"/>
      <c r="L859" s="14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"/>
      <c r="B860" s="2"/>
      <c r="C860" s="4"/>
      <c r="D860" s="2"/>
      <c r="E860" s="13"/>
      <c r="F860" s="13"/>
      <c r="G860" s="2"/>
      <c r="H860" s="2"/>
      <c r="I860" s="2"/>
      <c r="J860" s="2"/>
      <c r="K860" s="13"/>
      <c r="L860" s="14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"/>
      <c r="B861" s="2"/>
      <c r="C861" s="4"/>
      <c r="D861" s="2"/>
      <c r="E861" s="13"/>
      <c r="F861" s="13"/>
      <c r="G861" s="2"/>
      <c r="H861" s="2"/>
      <c r="I861" s="2"/>
      <c r="J861" s="2"/>
      <c r="K861" s="13"/>
      <c r="L861" s="14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"/>
      <c r="B862" s="2"/>
      <c r="C862" s="4"/>
      <c r="D862" s="2"/>
      <c r="E862" s="13"/>
      <c r="F862" s="13"/>
      <c r="G862" s="2"/>
      <c r="H862" s="2"/>
      <c r="I862" s="2"/>
      <c r="J862" s="2"/>
      <c r="K862" s="13"/>
      <c r="L862" s="14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"/>
      <c r="B863" s="2"/>
      <c r="C863" s="4"/>
      <c r="D863" s="2"/>
      <c r="E863" s="13"/>
      <c r="F863" s="13"/>
      <c r="G863" s="2"/>
      <c r="H863" s="2"/>
      <c r="I863" s="2"/>
      <c r="J863" s="2"/>
      <c r="K863" s="13"/>
      <c r="L863" s="14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"/>
      <c r="B864" s="2"/>
      <c r="C864" s="4"/>
      <c r="D864" s="2"/>
      <c r="E864" s="13"/>
      <c r="F864" s="13"/>
      <c r="G864" s="2"/>
      <c r="H864" s="2"/>
      <c r="I864" s="2"/>
      <c r="J864" s="2"/>
      <c r="K864" s="13"/>
      <c r="L864" s="14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"/>
      <c r="B865" s="2"/>
      <c r="C865" s="4"/>
      <c r="D865" s="2"/>
      <c r="E865" s="13"/>
      <c r="F865" s="13"/>
      <c r="G865" s="2"/>
      <c r="H865" s="2"/>
      <c r="I865" s="2"/>
      <c r="J865" s="2"/>
      <c r="K865" s="13"/>
      <c r="L865" s="14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"/>
      <c r="B866" s="2"/>
      <c r="C866" s="4"/>
      <c r="D866" s="2"/>
      <c r="E866" s="13"/>
      <c r="F866" s="13"/>
      <c r="G866" s="2"/>
      <c r="H866" s="2"/>
      <c r="I866" s="2"/>
      <c r="J866" s="2"/>
      <c r="K866" s="13"/>
      <c r="L866" s="14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"/>
      <c r="B867" s="2"/>
      <c r="C867" s="4"/>
      <c r="D867" s="2"/>
      <c r="E867" s="13"/>
      <c r="F867" s="13"/>
      <c r="G867" s="2"/>
      <c r="H867" s="2"/>
      <c r="I867" s="2"/>
      <c r="J867" s="2"/>
      <c r="K867" s="13"/>
      <c r="L867" s="14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"/>
      <c r="B868" s="2"/>
      <c r="C868" s="4"/>
      <c r="D868" s="2"/>
      <c r="E868" s="13"/>
      <c r="F868" s="13"/>
      <c r="G868" s="2"/>
      <c r="H868" s="2"/>
      <c r="I868" s="2"/>
      <c r="J868" s="2"/>
      <c r="K868" s="13"/>
      <c r="L868" s="14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"/>
      <c r="B869" s="2"/>
      <c r="C869" s="4"/>
      <c r="D869" s="2"/>
      <c r="E869" s="13"/>
      <c r="F869" s="13"/>
      <c r="G869" s="2"/>
      <c r="H869" s="2"/>
      <c r="I869" s="2"/>
      <c r="J869" s="2"/>
      <c r="K869" s="13"/>
      <c r="L869" s="14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"/>
      <c r="B870" s="2"/>
      <c r="C870" s="4"/>
      <c r="D870" s="2"/>
      <c r="E870" s="13"/>
      <c r="F870" s="13"/>
      <c r="G870" s="2"/>
      <c r="H870" s="2"/>
      <c r="I870" s="2"/>
      <c r="J870" s="2"/>
      <c r="K870" s="13"/>
      <c r="L870" s="14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"/>
      <c r="B871" s="2"/>
      <c r="C871" s="4"/>
      <c r="D871" s="2"/>
      <c r="E871" s="13"/>
      <c r="F871" s="13"/>
      <c r="G871" s="2"/>
      <c r="H871" s="2"/>
      <c r="I871" s="2"/>
      <c r="J871" s="2"/>
      <c r="K871" s="13"/>
      <c r="L871" s="14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"/>
      <c r="B872" s="2"/>
      <c r="C872" s="4"/>
      <c r="D872" s="2"/>
      <c r="E872" s="13"/>
      <c r="F872" s="13"/>
      <c r="G872" s="2"/>
      <c r="H872" s="2"/>
      <c r="I872" s="2"/>
      <c r="J872" s="2"/>
      <c r="K872" s="13"/>
      <c r="L872" s="14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"/>
      <c r="B873" s="2"/>
      <c r="C873" s="4"/>
      <c r="D873" s="2"/>
      <c r="E873" s="13"/>
      <c r="F873" s="13"/>
      <c r="G873" s="2"/>
      <c r="H873" s="2"/>
      <c r="I873" s="2"/>
      <c r="J873" s="2"/>
      <c r="K873" s="13"/>
      <c r="L873" s="14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"/>
      <c r="B874" s="2"/>
      <c r="C874" s="4"/>
      <c r="D874" s="2"/>
      <c r="E874" s="13"/>
      <c r="F874" s="13"/>
      <c r="G874" s="2"/>
      <c r="H874" s="2"/>
      <c r="I874" s="2"/>
      <c r="J874" s="2"/>
      <c r="K874" s="13"/>
      <c r="L874" s="14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"/>
      <c r="B875" s="2"/>
      <c r="C875" s="4"/>
      <c r="D875" s="2"/>
      <c r="E875" s="13"/>
      <c r="F875" s="13"/>
      <c r="G875" s="2"/>
      <c r="H875" s="2"/>
      <c r="I875" s="2"/>
      <c r="J875" s="2"/>
      <c r="K875" s="13"/>
      <c r="L875" s="14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"/>
      <c r="B876" s="2"/>
      <c r="C876" s="4"/>
      <c r="D876" s="2"/>
      <c r="E876" s="13"/>
      <c r="F876" s="13"/>
      <c r="G876" s="2"/>
      <c r="H876" s="2"/>
      <c r="I876" s="2"/>
      <c r="J876" s="2"/>
      <c r="K876" s="13"/>
      <c r="L876" s="14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"/>
      <c r="B877" s="2"/>
      <c r="C877" s="4"/>
      <c r="D877" s="2"/>
      <c r="E877" s="13"/>
      <c r="F877" s="13"/>
      <c r="G877" s="2"/>
      <c r="H877" s="2"/>
      <c r="I877" s="2"/>
      <c r="J877" s="2"/>
      <c r="K877" s="13"/>
      <c r="L877" s="14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"/>
      <c r="B878" s="2"/>
      <c r="C878" s="4"/>
      <c r="D878" s="2"/>
      <c r="E878" s="13"/>
      <c r="F878" s="13"/>
      <c r="G878" s="2"/>
      <c r="H878" s="2"/>
      <c r="I878" s="2"/>
      <c r="J878" s="2"/>
      <c r="K878" s="13"/>
      <c r="L878" s="14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"/>
      <c r="B879" s="2"/>
      <c r="C879" s="4"/>
      <c r="D879" s="2"/>
      <c r="E879" s="13"/>
      <c r="F879" s="13"/>
      <c r="G879" s="2"/>
      <c r="H879" s="2"/>
      <c r="I879" s="2"/>
      <c r="J879" s="2"/>
      <c r="K879" s="13"/>
      <c r="L879" s="14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"/>
      <c r="B880" s="2"/>
      <c r="C880" s="4"/>
      <c r="D880" s="2"/>
      <c r="E880" s="13"/>
      <c r="F880" s="13"/>
      <c r="G880" s="2"/>
      <c r="H880" s="2"/>
      <c r="I880" s="2"/>
      <c r="J880" s="2"/>
      <c r="K880" s="13"/>
      <c r="L880" s="14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"/>
      <c r="B881" s="2"/>
      <c r="C881" s="4"/>
      <c r="D881" s="2"/>
      <c r="E881" s="13"/>
      <c r="F881" s="13"/>
      <c r="G881" s="2"/>
      <c r="H881" s="2"/>
      <c r="I881" s="2"/>
      <c r="J881" s="2"/>
      <c r="K881" s="13"/>
      <c r="L881" s="14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"/>
      <c r="B882" s="2"/>
      <c r="C882" s="4"/>
      <c r="D882" s="2"/>
      <c r="E882" s="13"/>
      <c r="F882" s="13"/>
      <c r="G882" s="2"/>
      <c r="H882" s="2"/>
      <c r="I882" s="2"/>
      <c r="J882" s="2"/>
      <c r="K882" s="13"/>
      <c r="L882" s="14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"/>
      <c r="B883" s="2"/>
      <c r="C883" s="4"/>
      <c r="D883" s="2"/>
      <c r="E883" s="13"/>
      <c r="F883" s="13"/>
      <c r="G883" s="2"/>
      <c r="H883" s="2"/>
      <c r="I883" s="2"/>
      <c r="J883" s="2"/>
      <c r="K883" s="13"/>
      <c r="L883" s="14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"/>
      <c r="B884" s="2"/>
      <c r="C884" s="4"/>
      <c r="D884" s="2"/>
      <c r="E884" s="13"/>
      <c r="F884" s="13"/>
      <c r="G884" s="2"/>
      <c r="H884" s="2"/>
      <c r="I884" s="2"/>
      <c r="J884" s="2"/>
      <c r="K884" s="13"/>
      <c r="L884" s="14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"/>
      <c r="B885" s="2"/>
      <c r="C885" s="4"/>
      <c r="D885" s="2"/>
      <c r="E885" s="13"/>
      <c r="F885" s="13"/>
      <c r="G885" s="2"/>
      <c r="H885" s="2"/>
      <c r="I885" s="2"/>
      <c r="J885" s="2"/>
      <c r="K885" s="13"/>
      <c r="L885" s="14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"/>
      <c r="B886" s="2"/>
      <c r="C886" s="4"/>
      <c r="D886" s="2"/>
      <c r="E886" s="13"/>
      <c r="F886" s="13"/>
      <c r="G886" s="2"/>
      <c r="H886" s="2"/>
      <c r="I886" s="2"/>
      <c r="J886" s="2"/>
      <c r="K886" s="13"/>
      <c r="L886" s="14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"/>
      <c r="B887" s="2"/>
      <c r="C887" s="4"/>
      <c r="D887" s="2"/>
      <c r="E887" s="13"/>
      <c r="F887" s="13"/>
      <c r="G887" s="2"/>
      <c r="H887" s="2"/>
      <c r="I887" s="2"/>
      <c r="J887" s="2"/>
      <c r="K887" s="13"/>
      <c r="L887" s="14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"/>
      <c r="B888" s="2"/>
      <c r="C888" s="4"/>
      <c r="D888" s="2"/>
      <c r="E888" s="13"/>
      <c r="F888" s="13"/>
      <c r="G888" s="2"/>
      <c r="H888" s="2"/>
      <c r="I888" s="2"/>
      <c r="J888" s="2"/>
      <c r="K888" s="13"/>
      <c r="L888" s="14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"/>
      <c r="B889" s="2"/>
      <c r="C889" s="4"/>
      <c r="D889" s="2"/>
      <c r="E889" s="13"/>
      <c r="F889" s="13"/>
      <c r="G889" s="2"/>
      <c r="H889" s="2"/>
      <c r="I889" s="2"/>
      <c r="J889" s="2"/>
      <c r="K889" s="13"/>
      <c r="L889" s="14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"/>
      <c r="B890" s="2"/>
      <c r="C890" s="4"/>
      <c r="D890" s="2"/>
      <c r="E890" s="13"/>
      <c r="F890" s="13"/>
      <c r="G890" s="2"/>
      <c r="H890" s="2"/>
      <c r="I890" s="2"/>
      <c r="J890" s="2"/>
      <c r="K890" s="13"/>
      <c r="L890" s="14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"/>
      <c r="B891" s="2"/>
      <c r="C891" s="4"/>
      <c r="D891" s="2"/>
      <c r="E891" s="13"/>
      <c r="F891" s="13"/>
      <c r="G891" s="2"/>
      <c r="H891" s="2"/>
      <c r="I891" s="2"/>
      <c r="J891" s="2"/>
      <c r="K891" s="13"/>
      <c r="L891" s="14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"/>
      <c r="B892" s="2"/>
      <c r="C892" s="4"/>
      <c r="D892" s="2"/>
      <c r="E892" s="13"/>
      <c r="F892" s="13"/>
      <c r="G892" s="2"/>
      <c r="H892" s="2"/>
      <c r="I892" s="2"/>
      <c r="J892" s="2"/>
      <c r="K892" s="13"/>
      <c r="L892" s="14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"/>
      <c r="B893" s="2"/>
      <c r="C893" s="4"/>
      <c r="D893" s="2"/>
      <c r="E893" s="13"/>
      <c r="F893" s="13"/>
      <c r="G893" s="2"/>
      <c r="H893" s="2"/>
      <c r="I893" s="2"/>
      <c r="J893" s="2"/>
      <c r="K893" s="13"/>
      <c r="L893" s="14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"/>
      <c r="B894" s="2"/>
      <c r="C894" s="4"/>
      <c r="D894" s="2"/>
      <c r="E894" s="13"/>
      <c r="F894" s="13"/>
      <c r="G894" s="2"/>
      <c r="H894" s="2"/>
      <c r="I894" s="2"/>
      <c r="J894" s="2"/>
      <c r="K894" s="13"/>
      <c r="L894" s="14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"/>
      <c r="B895" s="2"/>
      <c r="C895" s="4"/>
      <c r="D895" s="2"/>
      <c r="E895" s="13"/>
      <c r="F895" s="13"/>
      <c r="G895" s="2"/>
      <c r="H895" s="2"/>
      <c r="I895" s="2"/>
      <c r="J895" s="2"/>
      <c r="K895" s="13"/>
      <c r="L895" s="14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"/>
      <c r="B896" s="2"/>
      <c r="C896" s="4"/>
      <c r="D896" s="2"/>
      <c r="E896" s="13"/>
      <c r="F896" s="13"/>
      <c r="G896" s="2"/>
      <c r="H896" s="2"/>
      <c r="I896" s="2"/>
      <c r="J896" s="2"/>
      <c r="K896" s="13"/>
      <c r="L896" s="14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"/>
      <c r="B897" s="2"/>
      <c r="C897" s="4"/>
      <c r="D897" s="2"/>
      <c r="E897" s="13"/>
      <c r="F897" s="13"/>
      <c r="G897" s="2"/>
      <c r="H897" s="2"/>
      <c r="I897" s="2"/>
      <c r="J897" s="2"/>
      <c r="K897" s="13"/>
      <c r="L897" s="14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"/>
      <c r="B898" s="2"/>
      <c r="C898" s="4"/>
      <c r="D898" s="2"/>
      <c r="E898" s="13"/>
      <c r="F898" s="13"/>
      <c r="G898" s="2"/>
      <c r="H898" s="2"/>
      <c r="I898" s="2"/>
      <c r="J898" s="2"/>
      <c r="K898" s="13"/>
      <c r="L898" s="14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"/>
      <c r="B899" s="2"/>
      <c r="C899" s="4"/>
      <c r="D899" s="2"/>
      <c r="E899" s="13"/>
      <c r="F899" s="13"/>
      <c r="G899" s="2"/>
      <c r="H899" s="2"/>
      <c r="I899" s="2"/>
      <c r="J899" s="2"/>
      <c r="K899" s="13"/>
      <c r="L899" s="14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"/>
      <c r="B900" s="2"/>
      <c r="C900" s="4"/>
      <c r="D900" s="2"/>
      <c r="E900" s="13"/>
      <c r="F900" s="13"/>
      <c r="G900" s="2"/>
      <c r="H900" s="2"/>
      <c r="I900" s="2"/>
      <c r="J900" s="2"/>
      <c r="K900" s="13"/>
      <c r="L900" s="14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"/>
      <c r="B901" s="2"/>
      <c r="C901" s="4"/>
      <c r="D901" s="2"/>
      <c r="E901" s="13"/>
      <c r="F901" s="13"/>
      <c r="G901" s="2"/>
      <c r="H901" s="2"/>
      <c r="I901" s="2"/>
      <c r="J901" s="2"/>
      <c r="K901" s="13"/>
      <c r="L901" s="14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"/>
      <c r="B902" s="2"/>
      <c r="C902" s="4"/>
      <c r="D902" s="2"/>
      <c r="E902" s="13"/>
      <c r="F902" s="13"/>
      <c r="G902" s="2"/>
      <c r="H902" s="2"/>
      <c r="I902" s="2"/>
      <c r="J902" s="2"/>
      <c r="K902" s="13"/>
      <c r="L902" s="14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"/>
      <c r="B903" s="2"/>
      <c r="C903" s="4"/>
      <c r="D903" s="2"/>
      <c r="E903" s="13"/>
      <c r="F903" s="13"/>
      <c r="G903" s="2"/>
      <c r="H903" s="2"/>
      <c r="I903" s="2"/>
      <c r="J903" s="2"/>
      <c r="K903" s="13"/>
      <c r="L903" s="14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"/>
      <c r="B904" s="2"/>
      <c r="C904" s="4"/>
      <c r="D904" s="2"/>
      <c r="E904" s="13"/>
      <c r="F904" s="13"/>
      <c r="G904" s="2"/>
      <c r="H904" s="2"/>
      <c r="I904" s="2"/>
      <c r="J904" s="2"/>
      <c r="K904" s="13"/>
      <c r="L904" s="14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"/>
      <c r="B905" s="2"/>
      <c r="C905" s="4"/>
      <c r="D905" s="2"/>
      <c r="E905" s="13"/>
      <c r="F905" s="13"/>
      <c r="G905" s="2"/>
      <c r="H905" s="2"/>
      <c r="I905" s="2"/>
      <c r="J905" s="2"/>
      <c r="K905" s="13"/>
      <c r="L905" s="14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"/>
      <c r="B906" s="2"/>
      <c r="C906" s="4"/>
      <c r="D906" s="2"/>
      <c r="E906" s="13"/>
      <c r="F906" s="13"/>
      <c r="G906" s="2"/>
      <c r="H906" s="2"/>
      <c r="I906" s="2"/>
      <c r="J906" s="2"/>
      <c r="K906" s="13"/>
      <c r="L906" s="14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"/>
      <c r="B907" s="2"/>
      <c r="C907" s="4"/>
      <c r="D907" s="2"/>
      <c r="E907" s="13"/>
      <c r="F907" s="13"/>
      <c r="G907" s="2"/>
      <c r="H907" s="2"/>
      <c r="I907" s="2"/>
      <c r="J907" s="2"/>
      <c r="K907" s="13"/>
      <c r="L907" s="14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"/>
      <c r="B908" s="2"/>
      <c r="C908" s="4"/>
      <c r="D908" s="2"/>
      <c r="E908" s="13"/>
      <c r="F908" s="13"/>
      <c r="G908" s="2"/>
      <c r="H908" s="2"/>
      <c r="I908" s="2"/>
      <c r="J908" s="2"/>
      <c r="K908" s="13"/>
      <c r="L908" s="14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"/>
      <c r="B909" s="2"/>
      <c r="C909" s="4"/>
      <c r="D909" s="2"/>
      <c r="E909" s="13"/>
      <c r="F909" s="13"/>
      <c r="G909" s="2"/>
      <c r="H909" s="2"/>
      <c r="I909" s="2"/>
      <c r="J909" s="2"/>
      <c r="K909" s="13"/>
      <c r="L909" s="14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"/>
      <c r="B910" s="2"/>
      <c r="C910" s="4"/>
      <c r="D910" s="2"/>
      <c r="E910" s="13"/>
      <c r="F910" s="13"/>
      <c r="G910" s="2"/>
      <c r="H910" s="2"/>
      <c r="I910" s="2"/>
      <c r="J910" s="2"/>
      <c r="K910" s="13"/>
      <c r="L910" s="14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"/>
      <c r="B911" s="2"/>
      <c r="C911" s="4"/>
      <c r="D911" s="2"/>
      <c r="E911" s="13"/>
      <c r="F911" s="13"/>
      <c r="G911" s="2"/>
      <c r="H911" s="2"/>
      <c r="I911" s="2"/>
      <c r="J911" s="2"/>
      <c r="K911" s="13"/>
      <c r="L911" s="14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"/>
      <c r="B912" s="2"/>
      <c r="C912" s="4"/>
      <c r="D912" s="2"/>
      <c r="E912" s="13"/>
      <c r="F912" s="13"/>
      <c r="G912" s="2"/>
      <c r="H912" s="2"/>
      <c r="I912" s="2"/>
      <c r="J912" s="2"/>
      <c r="K912" s="13"/>
      <c r="L912" s="14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"/>
      <c r="B913" s="2"/>
      <c r="C913" s="4"/>
      <c r="D913" s="2"/>
      <c r="E913" s="13"/>
      <c r="F913" s="13"/>
      <c r="G913" s="2"/>
      <c r="H913" s="2"/>
      <c r="I913" s="2"/>
      <c r="J913" s="2"/>
      <c r="K913" s="13"/>
      <c r="L913" s="14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"/>
      <c r="B914" s="2"/>
      <c r="C914" s="4"/>
      <c r="D914" s="2"/>
      <c r="E914" s="13"/>
      <c r="F914" s="13"/>
      <c r="G914" s="2"/>
      <c r="H914" s="2"/>
      <c r="I914" s="2"/>
      <c r="J914" s="2"/>
      <c r="K914" s="13"/>
      <c r="L914" s="14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"/>
      <c r="B915" s="2"/>
      <c r="C915" s="4"/>
      <c r="D915" s="2"/>
      <c r="E915" s="13"/>
      <c r="F915" s="13"/>
      <c r="G915" s="2"/>
      <c r="H915" s="2"/>
      <c r="I915" s="2"/>
      <c r="J915" s="2"/>
      <c r="K915" s="13"/>
      <c r="L915" s="14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"/>
      <c r="B916" s="2"/>
      <c r="C916" s="4"/>
      <c r="D916" s="2"/>
      <c r="E916" s="13"/>
      <c r="F916" s="13"/>
      <c r="G916" s="2"/>
      <c r="H916" s="2"/>
      <c r="I916" s="2"/>
      <c r="J916" s="2"/>
      <c r="K916" s="13"/>
      <c r="L916" s="14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"/>
      <c r="B917" s="2"/>
      <c r="C917" s="4"/>
      <c r="D917" s="2"/>
      <c r="E917" s="13"/>
      <c r="F917" s="13"/>
      <c r="G917" s="2"/>
      <c r="H917" s="2"/>
      <c r="I917" s="2"/>
      <c r="J917" s="2"/>
      <c r="K917" s="13"/>
      <c r="L917" s="14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"/>
      <c r="B918" s="2"/>
      <c r="C918" s="4"/>
      <c r="D918" s="2"/>
      <c r="E918" s="13"/>
      <c r="F918" s="13"/>
      <c r="G918" s="2"/>
      <c r="H918" s="2"/>
      <c r="I918" s="2"/>
      <c r="J918" s="2"/>
      <c r="K918" s="13"/>
      <c r="L918" s="14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"/>
      <c r="B919" s="2"/>
      <c r="C919" s="4"/>
      <c r="D919" s="2"/>
      <c r="E919" s="13"/>
      <c r="F919" s="13"/>
      <c r="G919" s="2"/>
      <c r="H919" s="2"/>
      <c r="I919" s="2"/>
      <c r="J919" s="2"/>
      <c r="K919" s="13"/>
      <c r="L919" s="14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"/>
      <c r="B920" s="2"/>
      <c r="C920" s="4"/>
      <c r="D920" s="2"/>
      <c r="E920" s="13"/>
      <c r="F920" s="13"/>
      <c r="G920" s="2"/>
      <c r="H920" s="2"/>
      <c r="I920" s="2"/>
      <c r="J920" s="2"/>
      <c r="K920" s="13"/>
      <c r="L920" s="14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"/>
      <c r="B921" s="2"/>
      <c r="C921" s="4"/>
      <c r="D921" s="2"/>
      <c r="E921" s="13"/>
      <c r="F921" s="13"/>
      <c r="G921" s="2"/>
      <c r="H921" s="2"/>
      <c r="I921" s="2"/>
      <c r="J921" s="2"/>
      <c r="K921" s="13"/>
      <c r="L921" s="14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"/>
      <c r="B922" s="2"/>
      <c r="C922" s="4"/>
      <c r="D922" s="2"/>
      <c r="E922" s="13"/>
      <c r="F922" s="13"/>
      <c r="G922" s="2"/>
      <c r="H922" s="2"/>
      <c r="I922" s="2"/>
      <c r="J922" s="2"/>
      <c r="K922" s="13"/>
      <c r="L922" s="14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"/>
      <c r="B923" s="2"/>
      <c r="C923" s="4"/>
      <c r="D923" s="2"/>
      <c r="E923" s="13"/>
      <c r="F923" s="13"/>
      <c r="G923" s="2"/>
      <c r="H923" s="2"/>
      <c r="I923" s="2"/>
      <c r="J923" s="2"/>
      <c r="K923" s="13"/>
      <c r="L923" s="14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"/>
      <c r="B924" s="2"/>
      <c r="C924" s="4"/>
      <c r="D924" s="2"/>
      <c r="E924" s="13"/>
      <c r="F924" s="13"/>
      <c r="G924" s="2"/>
      <c r="H924" s="2"/>
      <c r="I924" s="2"/>
      <c r="J924" s="2"/>
      <c r="K924" s="13"/>
      <c r="L924" s="14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"/>
      <c r="B925" s="2"/>
      <c r="C925" s="4"/>
      <c r="D925" s="2"/>
      <c r="E925" s="13"/>
      <c r="F925" s="13"/>
      <c r="G925" s="2"/>
      <c r="H925" s="2"/>
      <c r="I925" s="2"/>
      <c r="J925" s="2"/>
      <c r="K925" s="13"/>
      <c r="L925" s="14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"/>
      <c r="B926" s="2"/>
      <c r="C926" s="4"/>
      <c r="D926" s="2"/>
      <c r="E926" s="13"/>
      <c r="F926" s="13"/>
      <c r="G926" s="2"/>
      <c r="H926" s="2"/>
      <c r="I926" s="2"/>
      <c r="J926" s="2"/>
      <c r="K926" s="13"/>
      <c r="L926" s="14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"/>
      <c r="B927" s="2"/>
      <c r="C927" s="4"/>
      <c r="D927" s="2"/>
      <c r="E927" s="13"/>
      <c r="F927" s="13"/>
      <c r="G927" s="2"/>
      <c r="H927" s="2"/>
      <c r="I927" s="2"/>
      <c r="J927" s="2"/>
      <c r="K927" s="13"/>
      <c r="L927" s="14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"/>
      <c r="B928" s="2"/>
      <c r="C928" s="4"/>
      <c r="D928" s="2"/>
      <c r="E928" s="13"/>
      <c r="F928" s="13"/>
      <c r="G928" s="2"/>
      <c r="H928" s="2"/>
      <c r="I928" s="2"/>
      <c r="J928" s="2"/>
      <c r="K928" s="13"/>
      <c r="L928" s="14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"/>
      <c r="B929" s="2"/>
      <c r="C929" s="4"/>
      <c r="D929" s="2"/>
      <c r="E929" s="13"/>
      <c r="F929" s="13"/>
      <c r="G929" s="2"/>
      <c r="H929" s="2"/>
      <c r="I929" s="2"/>
      <c r="J929" s="2"/>
      <c r="K929" s="13"/>
      <c r="L929" s="14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"/>
      <c r="B930" s="2"/>
      <c r="C930" s="4"/>
      <c r="D930" s="2"/>
      <c r="E930" s="13"/>
      <c r="F930" s="13"/>
      <c r="G930" s="2"/>
      <c r="H930" s="2"/>
      <c r="I930" s="2"/>
      <c r="J930" s="2"/>
      <c r="K930" s="13"/>
      <c r="L930" s="14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"/>
      <c r="B931" s="2"/>
      <c r="C931" s="4"/>
      <c r="D931" s="2"/>
      <c r="E931" s="13"/>
      <c r="F931" s="13"/>
      <c r="G931" s="2"/>
      <c r="H931" s="2"/>
      <c r="I931" s="2"/>
      <c r="J931" s="2"/>
      <c r="K931" s="13"/>
      <c r="L931" s="14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"/>
      <c r="B932" s="2"/>
      <c r="C932" s="4"/>
      <c r="D932" s="2"/>
      <c r="E932" s="13"/>
      <c r="F932" s="13"/>
      <c r="G932" s="2"/>
      <c r="H932" s="2"/>
      <c r="I932" s="2"/>
      <c r="J932" s="2"/>
      <c r="K932" s="13"/>
      <c r="L932" s="14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"/>
      <c r="B933" s="2"/>
      <c r="C933" s="4"/>
      <c r="D933" s="2"/>
      <c r="E933" s="13"/>
      <c r="F933" s="13"/>
      <c r="G933" s="2"/>
      <c r="H933" s="2"/>
      <c r="I933" s="2"/>
      <c r="J933" s="2"/>
      <c r="K933" s="13"/>
      <c r="L933" s="14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"/>
      <c r="B934" s="2"/>
      <c r="C934" s="4"/>
      <c r="D934" s="2"/>
      <c r="E934" s="13"/>
      <c r="F934" s="13"/>
      <c r="G934" s="2"/>
      <c r="H934" s="2"/>
      <c r="I934" s="2"/>
      <c r="J934" s="2"/>
      <c r="K934" s="13"/>
      <c r="L934" s="14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"/>
      <c r="B935" s="2"/>
      <c r="C935" s="4"/>
      <c r="D935" s="2"/>
      <c r="E935" s="13"/>
      <c r="F935" s="13"/>
      <c r="G935" s="2"/>
      <c r="H935" s="2"/>
      <c r="I935" s="2"/>
      <c r="J935" s="2"/>
      <c r="K935" s="13"/>
      <c r="L935" s="14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1"/>
      <c r="B936" s="2"/>
      <c r="C936" s="4"/>
      <c r="D936" s="2"/>
      <c r="E936" s="13"/>
      <c r="F936" s="13"/>
      <c r="G936" s="2"/>
      <c r="H936" s="2"/>
      <c r="I936" s="2"/>
      <c r="J936" s="2"/>
      <c r="K936" s="13"/>
      <c r="L936" s="14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1"/>
      <c r="B937" s="2"/>
      <c r="C937" s="4"/>
      <c r="D937" s="2"/>
      <c r="E937" s="13"/>
      <c r="F937" s="13"/>
      <c r="G937" s="2"/>
      <c r="H937" s="2"/>
      <c r="I937" s="2"/>
      <c r="J937" s="2"/>
      <c r="K937" s="13"/>
      <c r="L937" s="14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"/>
      <c r="B938" s="2"/>
      <c r="C938" s="4"/>
      <c r="D938" s="2"/>
      <c r="E938" s="13"/>
      <c r="F938" s="13"/>
      <c r="G938" s="2"/>
      <c r="H938" s="2"/>
      <c r="I938" s="2"/>
      <c r="J938" s="2"/>
      <c r="K938" s="13"/>
      <c r="L938" s="14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"/>
      <c r="B939" s="2"/>
      <c r="C939" s="4"/>
      <c r="D939" s="2"/>
      <c r="E939" s="13"/>
      <c r="F939" s="13"/>
      <c r="G939" s="2"/>
      <c r="H939" s="2"/>
      <c r="I939" s="2"/>
      <c r="J939" s="2"/>
      <c r="K939" s="13"/>
      <c r="L939" s="14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"/>
      <c r="B940" s="2"/>
      <c r="C940" s="4"/>
      <c r="D940" s="2"/>
      <c r="E940" s="13"/>
      <c r="F940" s="13"/>
      <c r="G940" s="2"/>
      <c r="H940" s="2"/>
      <c r="I940" s="2"/>
      <c r="J940" s="2"/>
      <c r="K940" s="13"/>
      <c r="L940" s="14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"/>
      <c r="B941" s="2"/>
      <c r="C941" s="4"/>
      <c r="D941" s="2"/>
      <c r="E941" s="13"/>
      <c r="F941" s="13"/>
      <c r="G941" s="2"/>
      <c r="H941" s="2"/>
      <c r="I941" s="2"/>
      <c r="J941" s="2"/>
      <c r="K941" s="13"/>
      <c r="L941" s="14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"/>
      <c r="B942" s="2"/>
      <c r="C942" s="4"/>
      <c r="D942" s="2"/>
      <c r="E942" s="13"/>
      <c r="F942" s="13"/>
      <c r="G942" s="2"/>
      <c r="H942" s="2"/>
      <c r="I942" s="2"/>
      <c r="J942" s="2"/>
      <c r="K942" s="13"/>
      <c r="L942" s="14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"/>
      <c r="B943" s="2"/>
      <c r="C943" s="4"/>
      <c r="D943" s="2"/>
      <c r="E943" s="13"/>
      <c r="F943" s="13"/>
      <c r="G943" s="2"/>
      <c r="H943" s="2"/>
      <c r="I943" s="2"/>
      <c r="J943" s="2"/>
      <c r="K943" s="13"/>
      <c r="L943" s="14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"/>
      <c r="B944" s="2"/>
      <c r="C944" s="4"/>
      <c r="D944" s="2"/>
      <c r="E944" s="13"/>
      <c r="F944" s="13"/>
      <c r="G944" s="2"/>
      <c r="H944" s="2"/>
      <c r="I944" s="2"/>
      <c r="J944" s="2"/>
      <c r="K944" s="13"/>
      <c r="L944" s="14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"/>
      <c r="B945" s="2"/>
      <c r="C945" s="4"/>
      <c r="D945" s="2"/>
      <c r="E945" s="13"/>
      <c r="F945" s="13"/>
      <c r="G945" s="2"/>
      <c r="H945" s="2"/>
      <c r="I945" s="2"/>
      <c r="J945" s="2"/>
      <c r="K945" s="13"/>
      <c r="L945" s="14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"/>
      <c r="B946" s="2"/>
      <c r="C946" s="4"/>
      <c r="D946" s="2"/>
      <c r="E946" s="13"/>
      <c r="F946" s="13"/>
      <c r="G946" s="2"/>
      <c r="H946" s="2"/>
      <c r="I946" s="2"/>
      <c r="J946" s="2"/>
      <c r="K946" s="13"/>
      <c r="L946" s="14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"/>
      <c r="B947" s="2"/>
      <c r="C947" s="4"/>
      <c r="D947" s="2"/>
      <c r="E947" s="13"/>
      <c r="F947" s="13"/>
      <c r="G947" s="2"/>
      <c r="H947" s="2"/>
      <c r="I947" s="2"/>
      <c r="J947" s="2"/>
      <c r="K947" s="13"/>
      <c r="L947" s="14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"/>
      <c r="B948" s="2"/>
      <c r="C948" s="4"/>
      <c r="D948" s="2"/>
      <c r="E948" s="13"/>
      <c r="F948" s="13"/>
      <c r="G948" s="2"/>
      <c r="H948" s="2"/>
      <c r="I948" s="2"/>
      <c r="J948" s="2"/>
      <c r="K948" s="13"/>
      <c r="L948" s="14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"/>
      <c r="B949" s="2"/>
      <c r="C949" s="4"/>
      <c r="D949" s="2"/>
      <c r="E949" s="13"/>
      <c r="F949" s="13"/>
      <c r="G949" s="2"/>
      <c r="H949" s="2"/>
      <c r="I949" s="2"/>
      <c r="J949" s="2"/>
      <c r="K949" s="13"/>
      <c r="L949" s="14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"/>
      <c r="B950" s="2"/>
      <c r="C950" s="4"/>
      <c r="D950" s="2"/>
      <c r="E950" s="13"/>
      <c r="F950" s="13"/>
      <c r="G950" s="2"/>
      <c r="H950" s="2"/>
      <c r="I950" s="2"/>
      <c r="J950" s="2"/>
      <c r="K950" s="13"/>
      <c r="L950" s="14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"/>
      <c r="B951" s="2"/>
      <c r="C951" s="4"/>
      <c r="D951" s="2"/>
      <c r="E951" s="13"/>
      <c r="F951" s="13"/>
      <c r="G951" s="2"/>
      <c r="H951" s="2"/>
      <c r="I951" s="2"/>
      <c r="J951" s="2"/>
      <c r="K951" s="13"/>
      <c r="L951" s="14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"/>
      <c r="B952" s="2"/>
      <c r="C952" s="4"/>
      <c r="D952" s="2"/>
      <c r="E952" s="13"/>
      <c r="F952" s="13"/>
      <c r="G952" s="2"/>
      <c r="H952" s="2"/>
      <c r="I952" s="2"/>
      <c r="J952" s="2"/>
      <c r="K952" s="13"/>
      <c r="L952" s="14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"/>
      <c r="B953" s="2"/>
      <c r="C953" s="4"/>
      <c r="D953" s="2"/>
      <c r="E953" s="13"/>
      <c r="F953" s="13"/>
      <c r="G953" s="2"/>
      <c r="H953" s="2"/>
      <c r="I953" s="2"/>
      <c r="J953" s="2"/>
      <c r="K953" s="13"/>
      <c r="L953" s="14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"/>
      <c r="B954" s="2"/>
      <c r="C954" s="4"/>
      <c r="D954" s="2"/>
      <c r="E954" s="13"/>
      <c r="F954" s="13"/>
      <c r="G954" s="2"/>
      <c r="H954" s="2"/>
      <c r="I954" s="2"/>
      <c r="J954" s="2"/>
      <c r="K954" s="13"/>
      <c r="L954" s="14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"/>
      <c r="B955" s="2"/>
      <c r="C955" s="4"/>
      <c r="D955" s="2"/>
      <c r="E955" s="13"/>
      <c r="F955" s="13"/>
      <c r="G955" s="2"/>
      <c r="H955" s="2"/>
      <c r="I955" s="2"/>
      <c r="J955" s="2"/>
      <c r="K955" s="13"/>
      <c r="L955" s="14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"/>
      <c r="B956" s="2"/>
      <c r="C956" s="4"/>
      <c r="D956" s="2"/>
      <c r="E956" s="13"/>
      <c r="F956" s="13"/>
      <c r="G956" s="2"/>
      <c r="H956" s="2"/>
      <c r="I956" s="2"/>
      <c r="J956" s="2"/>
      <c r="K956" s="13"/>
      <c r="L956" s="14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"/>
      <c r="B957" s="2"/>
      <c r="C957" s="4"/>
      <c r="D957" s="2"/>
      <c r="E957" s="13"/>
      <c r="F957" s="13"/>
      <c r="G957" s="2"/>
      <c r="H957" s="2"/>
      <c r="I957" s="2"/>
      <c r="J957" s="2"/>
      <c r="K957" s="13"/>
      <c r="L957" s="14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"/>
      <c r="B958" s="2"/>
      <c r="C958" s="4"/>
      <c r="D958" s="2"/>
      <c r="E958" s="13"/>
      <c r="F958" s="13"/>
      <c r="G958" s="2"/>
      <c r="H958" s="2"/>
      <c r="I958" s="2"/>
      <c r="J958" s="2"/>
      <c r="K958" s="13"/>
      <c r="L958" s="14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"/>
      <c r="B959" s="2"/>
      <c r="C959" s="4"/>
      <c r="D959" s="2"/>
      <c r="E959" s="13"/>
      <c r="F959" s="13"/>
      <c r="G959" s="2"/>
      <c r="H959" s="2"/>
      <c r="I959" s="2"/>
      <c r="J959" s="2"/>
      <c r="K959" s="13"/>
      <c r="L959" s="14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"/>
      <c r="B960" s="2"/>
      <c r="C960" s="4"/>
      <c r="D960" s="2"/>
      <c r="E960" s="13"/>
      <c r="F960" s="13"/>
      <c r="G960" s="2"/>
      <c r="H960" s="2"/>
      <c r="I960" s="2"/>
      <c r="J960" s="2"/>
      <c r="K960" s="13"/>
      <c r="L960" s="14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"/>
      <c r="B961" s="2"/>
      <c r="C961" s="4"/>
      <c r="D961" s="2"/>
      <c r="E961" s="13"/>
      <c r="F961" s="13"/>
      <c r="G961" s="2"/>
      <c r="H961" s="2"/>
      <c r="I961" s="2"/>
      <c r="J961" s="2"/>
      <c r="K961" s="13"/>
      <c r="L961" s="14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"/>
      <c r="B962" s="2"/>
      <c r="C962" s="4"/>
      <c r="D962" s="2"/>
      <c r="E962" s="13"/>
      <c r="F962" s="13"/>
      <c r="G962" s="2"/>
      <c r="H962" s="2"/>
      <c r="I962" s="2"/>
      <c r="J962" s="2"/>
      <c r="K962" s="13"/>
      <c r="L962" s="14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"/>
      <c r="B963" s="2"/>
      <c r="C963" s="4"/>
      <c r="D963" s="2"/>
      <c r="E963" s="13"/>
      <c r="F963" s="13"/>
      <c r="G963" s="2"/>
      <c r="H963" s="2"/>
      <c r="I963" s="2"/>
      <c r="J963" s="2"/>
      <c r="K963" s="13"/>
      <c r="L963" s="14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"/>
      <c r="B964" s="2"/>
      <c r="C964" s="4"/>
      <c r="D964" s="2"/>
      <c r="E964" s="13"/>
      <c r="F964" s="13"/>
      <c r="G964" s="2"/>
      <c r="H964" s="2"/>
      <c r="I964" s="2"/>
      <c r="J964" s="2"/>
      <c r="K964" s="13"/>
      <c r="L964" s="14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"/>
      <c r="B965" s="2"/>
      <c r="C965" s="4"/>
      <c r="D965" s="2"/>
      <c r="E965" s="13"/>
      <c r="F965" s="13"/>
      <c r="G965" s="2"/>
      <c r="H965" s="2"/>
      <c r="I965" s="2"/>
      <c r="J965" s="2"/>
      <c r="K965" s="13"/>
      <c r="L965" s="14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"/>
      <c r="B966" s="2"/>
      <c r="C966" s="4"/>
      <c r="D966" s="2"/>
      <c r="E966" s="13"/>
      <c r="F966" s="13"/>
      <c r="G966" s="2"/>
      <c r="H966" s="2"/>
      <c r="I966" s="2"/>
      <c r="J966" s="2"/>
      <c r="K966" s="13"/>
      <c r="L966" s="14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"/>
      <c r="B967" s="2"/>
      <c r="C967" s="4"/>
      <c r="D967" s="2"/>
      <c r="E967" s="13"/>
      <c r="F967" s="13"/>
      <c r="G967" s="2"/>
      <c r="H967" s="2"/>
      <c r="I967" s="2"/>
      <c r="J967" s="2"/>
      <c r="K967" s="13"/>
      <c r="L967" s="14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"/>
      <c r="B968" s="2"/>
      <c r="C968" s="4"/>
      <c r="D968" s="2"/>
      <c r="E968" s="13"/>
      <c r="F968" s="13"/>
      <c r="G968" s="2"/>
      <c r="H968" s="2"/>
      <c r="I968" s="2"/>
      <c r="J968" s="2"/>
      <c r="K968" s="13"/>
      <c r="L968" s="14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"/>
      <c r="B969" s="2"/>
      <c r="C969" s="4"/>
      <c r="D969" s="2"/>
      <c r="E969" s="13"/>
      <c r="F969" s="13"/>
      <c r="G969" s="2"/>
      <c r="H969" s="2"/>
      <c r="I969" s="2"/>
      <c r="J969" s="2"/>
      <c r="K969" s="13"/>
      <c r="L969" s="14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"/>
      <c r="B970" s="2"/>
      <c r="C970" s="4"/>
      <c r="D970" s="2"/>
      <c r="E970" s="13"/>
      <c r="F970" s="13"/>
      <c r="G970" s="2"/>
      <c r="H970" s="2"/>
      <c r="I970" s="2"/>
      <c r="J970" s="2"/>
      <c r="K970" s="13"/>
      <c r="L970" s="14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"/>
      <c r="B971" s="2"/>
      <c r="C971" s="4"/>
      <c r="D971" s="2"/>
      <c r="E971" s="13"/>
      <c r="F971" s="13"/>
      <c r="G971" s="2"/>
      <c r="H971" s="2"/>
      <c r="I971" s="2"/>
      <c r="J971" s="2"/>
      <c r="K971" s="13"/>
      <c r="L971" s="14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"/>
      <c r="B972" s="2"/>
      <c r="C972" s="4"/>
      <c r="D972" s="2"/>
      <c r="E972" s="13"/>
      <c r="F972" s="13"/>
      <c r="G972" s="2"/>
      <c r="H972" s="2"/>
      <c r="I972" s="2"/>
      <c r="J972" s="2"/>
      <c r="K972" s="13"/>
      <c r="L972" s="14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"/>
      <c r="B973" s="2"/>
      <c r="C973" s="4"/>
      <c r="D973" s="2"/>
      <c r="E973" s="13"/>
      <c r="F973" s="13"/>
      <c r="G973" s="2"/>
      <c r="H973" s="2"/>
      <c r="I973" s="2"/>
      <c r="J973" s="2"/>
      <c r="K973" s="13"/>
      <c r="L973" s="14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"/>
      <c r="B974" s="2"/>
      <c r="C974" s="4"/>
      <c r="D974" s="2"/>
      <c r="E974" s="13"/>
      <c r="F974" s="13"/>
      <c r="G974" s="2"/>
      <c r="H974" s="2"/>
      <c r="I974" s="2"/>
      <c r="J974" s="2"/>
      <c r="K974" s="13"/>
      <c r="L974" s="14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"/>
      <c r="B975" s="2"/>
      <c r="C975" s="4"/>
      <c r="D975" s="2"/>
      <c r="E975" s="13"/>
      <c r="F975" s="13"/>
      <c r="G975" s="2"/>
      <c r="H975" s="2"/>
      <c r="I975" s="2"/>
      <c r="J975" s="2"/>
      <c r="K975" s="13"/>
      <c r="L975" s="14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"/>
      <c r="B976" s="2"/>
      <c r="C976" s="4"/>
      <c r="D976" s="2"/>
      <c r="E976" s="13"/>
      <c r="F976" s="13"/>
      <c r="G976" s="2"/>
      <c r="H976" s="2"/>
      <c r="I976" s="2"/>
      <c r="J976" s="2"/>
      <c r="K976" s="13"/>
      <c r="L976" s="14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"/>
      <c r="B977" s="2"/>
      <c r="C977" s="4"/>
      <c r="D977" s="2"/>
      <c r="E977" s="13"/>
      <c r="F977" s="13"/>
      <c r="G977" s="2"/>
      <c r="H977" s="2"/>
      <c r="I977" s="2"/>
      <c r="J977" s="2"/>
      <c r="K977" s="13"/>
      <c r="L977" s="14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"/>
      <c r="B978" s="2"/>
      <c r="C978" s="4"/>
      <c r="D978" s="2"/>
      <c r="E978" s="13"/>
      <c r="F978" s="13"/>
      <c r="G978" s="2"/>
      <c r="H978" s="2"/>
      <c r="I978" s="2"/>
      <c r="J978" s="2"/>
      <c r="K978" s="13"/>
      <c r="L978" s="14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"/>
      <c r="B979" s="2"/>
      <c r="C979" s="4"/>
      <c r="D979" s="2"/>
      <c r="E979" s="13"/>
      <c r="F979" s="13"/>
      <c r="G979" s="2"/>
      <c r="H979" s="2"/>
      <c r="I979" s="2"/>
      <c r="J979" s="2"/>
      <c r="K979" s="13"/>
      <c r="L979" s="14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"/>
      <c r="B980" s="2"/>
      <c r="C980" s="4"/>
      <c r="D980" s="2"/>
      <c r="E980" s="13"/>
      <c r="F980" s="13"/>
      <c r="G980" s="2"/>
      <c r="H980" s="2"/>
      <c r="I980" s="2"/>
      <c r="J980" s="2"/>
      <c r="K980" s="13"/>
      <c r="L980" s="14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"/>
      <c r="B981" s="2"/>
      <c r="C981" s="4"/>
      <c r="D981" s="2"/>
      <c r="E981" s="13"/>
      <c r="F981" s="13"/>
      <c r="G981" s="2"/>
      <c r="H981" s="2"/>
      <c r="I981" s="2"/>
      <c r="J981" s="2"/>
      <c r="K981" s="13"/>
      <c r="L981" s="14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"/>
      <c r="B982" s="2"/>
      <c r="C982" s="4"/>
      <c r="D982" s="2"/>
      <c r="E982" s="13"/>
      <c r="F982" s="13"/>
      <c r="G982" s="2"/>
      <c r="H982" s="2"/>
      <c r="I982" s="2"/>
      <c r="J982" s="2"/>
      <c r="K982" s="13"/>
      <c r="L982" s="14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"/>
      <c r="B983" s="2"/>
      <c r="C983" s="4"/>
      <c r="D983" s="2"/>
      <c r="E983" s="13"/>
      <c r="F983" s="13"/>
      <c r="G983" s="2"/>
      <c r="H983" s="2"/>
      <c r="I983" s="2"/>
      <c r="J983" s="2"/>
      <c r="K983" s="13"/>
      <c r="L983" s="14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"/>
      <c r="B984" s="2"/>
      <c r="C984" s="4"/>
      <c r="D984" s="2"/>
      <c r="E984" s="13"/>
      <c r="F984" s="13"/>
      <c r="G984" s="2"/>
      <c r="H984" s="2"/>
      <c r="I984" s="2"/>
      <c r="J984" s="2"/>
      <c r="K984" s="13"/>
      <c r="L984" s="14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"/>
      <c r="B985" s="2"/>
      <c r="C985" s="4"/>
      <c r="D985" s="2"/>
      <c r="E985" s="13"/>
      <c r="F985" s="13"/>
      <c r="G985" s="2"/>
      <c r="H985" s="2"/>
      <c r="I985" s="2"/>
      <c r="J985" s="2"/>
      <c r="K985" s="13"/>
      <c r="L985" s="14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"/>
      <c r="B986" s="2"/>
      <c r="C986" s="4"/>
      <c r="D986" s="2"/>
      <c r="E986" s="13"/>
      <c r="F986" s="13"/>
      <c r="G986" s="2"/>
      <c r="H986" s="2"/>
      <c r="I986" s="2"/>
      <c r="J986" s="2"/>
      <c r="K986" s="13"/>
      <c r="L986" s="14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"/>
      <c r="B987" s="2"/>
      <c r="C987" s="4"/>
      <c r="D987" s="2"/>
      <c r="E987" s="13"/>
      <c r="F987" s="13"/>
      <c r="G987" s="2"/>
      <c r="H987" s="2"/>
      <c r="I987" s="2"/>
      <c r="J987" s="2"/>
      <c r="K987" s="13"/>
      <c r="L987" s="14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1"/>
      <c r="B988" s="2"/>
      <c r="C988" s="4"/>
      <c r="D988" s="2"/>
      <c r="E988" s="13"/>
      <c r="F988" s="13"/>
      <c r="G988" s="2"/>
      <c r="H988" s="2"/>
      <c r="I988" s="2"/>
      <c r="J988" s="2"/>
      <c r="K988" s="13"/>
      <c r="L988" s="14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1"/>
      <c r="B989" s="2"/>
      <c r="C989" s="4"/>
      <c r="D989" s="2"/>
      <c r="E989" s="13"/>
      <c r="F989" s="13"/>
      <c r="G989" s="2"/>
      <c r="H989" s="2"/>
      <c r="I989" s="2"/>
      <c r="J989" s="2"/>
      <c r="K989" s="13"/>
      <c r="L989" s="14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"/>
      <c r="B990" s="2"/>
      <c r="C990" s="4"/>
      <c r="D990" s="2"/>
      <c r="E990" s="13"/>
      <c r="F990" s="13"/>
      <c r="G990" s="2"/>
      <c r="H990" s="2"/>
      <c r="I990" s="2"/>
      <c r="J990" s="2"/>
      <c r="K990" s="13"/>
      <c r="L990" s="14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"/>
      <c r="B991" s="2"/>
      <c r="C991" s="4"/>
      <c r="D991" s="2"/>
      <c r="E991" s="13"/>
      <c r="F991" s="13"/>
      <c r="G991" s="2"/>
      <c r="H991" s="2"/>
      <c r="I991" s="2"/>
      <c r="J991" s="2"/>
      <c r="K991" s="13"/>
      <c r="L991" s="14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"/>
      <c r="B992" s="2"/>
      <c r="C992" s="4"/>
      <c r="D992" s="2"/>
      <c r="E992" s="13"/>
      <c r="F992" s="13"/>
      <c r="G992" s="2"/>
      <c r="H992" s="2"/>
      <c r="I992" s="2"/>
      <c r="J992" s="2"/>
      <c r="K992" s="13"/>
      <c r="L992" s="14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"/>
      <c r="B993" s="2"/>
      <c r="C993" s="4"/>
      <c r="D993" s="2"/>
      <c r="E993" s="13"/>
      <c r="F993" s="13"/>
      <c r="G993" s="2"/>
      <c r="H993" s="2"/>
      <c r="I993" s="2"/>
      <c r="J993" s="2"/>
      <c r="K993" s="13"/>
      <c r="L993" s="14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"/>
      <c r="B994" s="2"/>
      <c r="C994" s="4"/>
      <c r="D994" s="2"/>
      <c r="E994" s="13"/>
      <c r="F994" s="13"/>
      <c r="G994" s="2"/>
      <c r="H994" s="2"/>
      <c r="I994" s="2"/>
      <c r="J994" s="2"/>
      <c r="K994" s="13"/>
      <c r="L994" s="14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"/>
      <c r="B995" s="2"/>
      <c r="C995" s="4"/>
      <c r="D995" s="2"/>
      <c r="E995" s="13"/>
      <c r="F995" s="13"/>
      <c r="G995" s="2"/>
      <c r="H995" s="2"/>
      <c r="I995" s="2"/>
      <c r="J995" s="2"/>
      <c r="K995" s="13"/>
      <c r="L995" s="14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"/>
      <c r="B996" s="2"/>
      <c r="C996" s="4"/>
      <c r="D996" s="2"/>
      <c r="E996" s="13"/>
      <c r="F996" s="13"/>
      <c r="G996" s="2"/>
      <c r="H996" s="2"/>
      <c r="I996" s="2"/>
      <c r="J996" s="2"/>
      <c r="K996" s="13"/>
      <c r="L996" s="14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"/>
      <c r="B997" s="2"/>
      <c r="C997" s="4"/>
      <c r="D997" s="2"/>
      <c r="E997" s="13"/>
      <c r="F997" s="13"/>
      <c r="G997" s="2"/>
      <c r="H997" s="2"/>
      <c r="I997" s="2"/>
      <c r="J997" s="2"/>
      <c r="K997" s="13"/>
      <c r="L997" s="14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"/>
      <c r="B998" s="2"/>
      <c r="C998" s="4"/>
      <c r="D998" s="2"/>
      <c r="E998" s="13"/>
      <c r="F998" s="13"/>
      <c r="G998" s="2"/>
      <c r="H998" s="2"/>
      <c r="I998" s="2"/>
      <c r="J998" s="2"/>
      <c r="K998" s="13"/>
      <c r="L998" s="14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"/>
      <c r="B999" s="2"/>
      <c r="C999" s="4"/>
      <c r="D999" s="2"/>
      <c r="E999" s="13"/>
      <c r="F999" s="13"/>
      <c r="G999" s="2"/>
      <c r="H999" s="2"/>
      <c r="I999" s="2"/>
      <c r="J999" s="2"/>
      <c r="K999" s="13"/>
      <c r="L999" s="14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"/>
      <c r="B1000" s="2"/>
      <c r="C1000" s="4"/>
      <c r="D1000" s="2"/>
      <c r="E1000" s="13"/>
      <c r="F1000" s="13"/>
      <c r="G1000" s="2"/>
      <c r="H1000" s="2"/>
      <c r="I1000" s="2"/>
      <c r="J1000" s="2"/>
      <c r="K1000" s="13"/>
      <c r="L1000" s="14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"/>
      <c r="B1001" s="2"/>
      <c r="C1001" s="4"/>
      <c r="D1001" s="2"/>
      <c r="E1001" s="13"/>
      <c r="F1001" s="13"/>
      <c r="G1001" s="2"/>
      <c r="H1001" s="2"/>
      <c r="I1001" s="2"/>
      <c r="J1001" s="2"/>
      <c r="K1001" s="13"/>
      <c r="L1001" s="14"/>
      <c r="M1001" s="1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1"/>
      <c r="B1002" s="2"/>
      <c r="C1002" s="4"/>
      <c r="D1002" s="2"/>
      <c r="E1002" s="13"/>
      <c r="F1002" s="13"/>
      <c r="G1002" s="2"/>
      <c r="H1002" s="2"/>
      <c r="I1002" s="2"/>
      <c r="J1002" s="2"/>
      <c r="K1002" s="13"/>
      <c r="L1002" s="14"/>
      <c r="M1002" s="1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1"/>
      <c r="B1003" s="2"/>
      <c r="C1003" s="4"/>
      <c r="D1003" s="2"/>
      <c r="E1003" s="13"/>
      <c r="F1003" s="13"/>
      <c r="G1003" s="2"/>
      <c r="H1003" s="2"/>
      <c r="I1003" s="2"/>
      <c r="J1003" s="2"/>
      <c r="K1003" s="13"/>
      <c r="L1003" s="14"/>
      <c r="M1003" s="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"/>
      <c r="B1004" s="2"/>
      <c r="C1004" s="4"/>
      <c r="D1004" s="2"/>
      <c r="E1004" s="13"/>
      <c r="F1004" s="13"/>
      <c r="G1004" s="2"/>
      <c r="H1004" s="2"/>
      <c r="I1004" s="2"/>
      <c r="J1004" s="2"/>
      <c r="K1004" s="13"/>
      <c r="L1004" s="14"/>
      <c r="M1004" s="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"/>
      <c r="B1005" s="2"/>
      <c r="C1005" s="4"/>
      <c r="D1005" s="2"/>
      <c r="E1005" s="13"/>
      <c r="F1005" s="13"/>
      <c r="G1005" s="2"/>
      <c r="H1005" s="2"/>
      <c r="I1005" s="2"/>
      <c r="J1005" s="2"/>
      <c r="K1005" s="13"/>
      <c r="L1005" s="14"/>
      <c r="M1005" s="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"/>
      <c r="B1006" s="2"/>
      <c r="C1006" s="4"/>
      <c r="D1006" s="2"/>
      <c r="E1006" s="13"/>
      <c r="F1006" s="13"/>
      <c r="G1006" s="2"/>
      <c r="H1006" s="2"/>
      <c r="I1006" s="2"/>
      <c r="J1006" s="2"/>
      <c r="K1006" s="13"/>
      <c r="L1006" s="14"/>
      <c r="M1006" s="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"/>
      <c r="B1007" s="2"/>
      <c r="C1007" s="4"/>
      <c r="D1007" s="2"/>
      <c r="E1007" s="13"/>
      <c r="F1007" s="13"/>
      <c r="G1007" s="2"/>
      <c r="H1007" s="2"/>
      <c r="I1007" s="2"/>
      <c r="J1007" s="2"/>
      <c r="K1007" s="13"/>
      <c r="L1007" s="14"/>
      <c r="M1007" s="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"/>
      <c r="B1008" s="2"/>
      <c r="C1008" s="4"/>
      <c r="D1008" s="2"/>
      <c r="E1008" s="13"/>
      <c r="F1008" s="13"/>
      <c r="G1008" s="2"/>
      <c r="H1008" s="2"/>
      <c r="I1008" s="2"/>
      <c r="J1008" s="2"/>
      <c r="K1008" s="13"/>
      <c r="L1008" s="14"/>
      <c r="M1008" s="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1"/>
      <c r="B1009" s="2"/>
      <c r="C1009" s="4"/>
      <c r="D1009" s="2"/>
      <c r="E1009" s="13"/>
      <c r="F1009" s="13"/>
      <c r="G1009" s="2"/>
      <c r="H1009" s="2"/>
      <c r="I1009" s="2"/>
      <c r="J1009" s="2"/>
      <c r="K1009" s="13"/>
      <c r="L1009" s="14"/>
      <c r="M1009" s="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1"/>
      <c r="B1010" s="2"/>
      <c r="C1010" s="4"/>
      <c r="D1010" s="2"/>
      <c r="E1010" s="13"/>
      <c r="F1010" s="13"/>
      <c r="G1010" s="2"/>
      <c r="H1010" s="2"/>
      <c r="I1010" s="2"/>
      <c r="J1010" s="2"/>
      <c r="K1010" s="13"/>
      <c r="L1010" s="14"/>
      <c r="M1010" s="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"/>
      <c r="B1011" s="2"/>
      <c r="C1011" s="4"/>
      <c r="D1011" s="2"/>
      <c r="E1011" s="13"/>
      <c r="F1011" s="13"/>
      <c r="G1011" s="2"/>
      <c r="H1011" s="2"/>
      <c r="I1011" s="2"/>
      <c r="J1011" s="2"/>
      <c r="K1011" s="13"/>
      <c r="L1011" s="14"/>
      <c r="M1011" s="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"/>
      <c r="B1012" s="2"/>
      <c r="C1012" s="4"/>
      <c r="D1012" s="2"/>
      <c r="E1012" s="13"/>
      <c r="F1012" s="13"/>
      <c r="G1012" s="2"/>
      <c r="H1012" s="2"/>
      <c r="I1012" s="2"/>
      <c r="J1012" s="2"/>
      <c r="K1012" s="13"/>
      <c r="L1012" s="14"/>
      <c r="M1012" s="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"/>
      <c r="B1013" s="2"/>
      <c r="C1013" s="4"/>
      <c r="D1013" s="2"/>
      <c r="E1013" s="13"/>
      <c r="F1013" s="13"/>
      <c r="G1013" s="2"/>
      <c r="H1013" s="2"/>
      <c r="I1013" s="2"/>
      <c r="J1013" s="2"/>
      <c r="K1013" s="13"/>
      <c r="L1013" s="14"/>
      <c r="M1013" s="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"/>
      <c r="B1014" s="2"/>
      <c r="C1014" s="4"/>
      <c r="D1014" s="2"/>
      <c r="E1014" s="13"/>
      <c r="F1014" s="13"/>
      <c r="G1014" s="2"/>
      <c r="H1014" s="2"/>
      <c r="I1014" s="2"/>
      <c r="J1014" s="2"/>
      <c r="K1014" s="13"/>
      <c r="L1014" s="14"/>
      <c r="M1014" s="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"/>
      <c r="B1015" s="2"/>
      <c r="C1015" s="4"/>
      <c r="D1015" s="2"/>
      <c r="E1015" s="13"/>
      <c r="F1015" s="13"/>
      <c r="G1015" s="2"/>
      <c r="H1015" s="2"/>
      <c r="I1015" s="2"/>
      <c r="J1015" s="2"/>
      <c r="K1015" s="13"/>
      <c r="L1015" s="14"/>
      <c r="M1015" s="1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"/>
      <c r="B1016" s="2"/>
      <c r="C1016" s="4"/>
      <c r="D1016" s="2"/>
      <c r="E1016" s="13"/>
      <c r="F1016" s="13"/>
      <c r="G1016" s="2"/>
      <c r="H1016" s="2"/>
      <c r="I1016" s="2"/>
      <c r="J1016" s="2"/>
      <c r="K1016" s="13"/>
      <c r="L1016" s="14"/>
      <c r="M1016" s="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"/>
      <c r="B1017" s="2"/>
      <c r="C1017" s="4"/>
      <c r="D1017" s="2"/>
      <c r="E1017" s="13"/>
      <c r="F1017" s="13"/>
      <c r="G1017" s="2"/>
      <c r="H1017" s="2"/>
      <c r="I1017" s="2"/>
      <c r="J1017" s="2"/>
      <c r="K1017" s="13"/>
      <c r="L1017" s="14"/>
      <c r="M1017" s="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"/>
      <c r="B1018" s="2"/>
      <c r="C1018" s="4"/>
      <c r="D1018" s="2"/>
      <c r="E1018" s="13"/>
      <c r="F1018" s="13"/>
      <c r="G1018" s="2"/>
      <c r="H1018" s="2"/>
      <c r="I1018" s="2"/>
      <c r="J1018" s="2"/>
      <c r="K1018" s="13"/>
      <c r="L1018" s="14"/>
      <c r="M1018" s="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1"/>
      <c r="B1019" s="2"/>
      <c r="C1019" s="4"/>
      <c r="D1019" s="2"/>
      <c r="E1019" s="13"/>
      <c r="F1019" s="13"/>
      <c r="G1019" s="2"/>
      <c r="H1019" s="2"/>
      <c r="I1019" s="2"/>
      <c r="J1019" s="2"/>
      <c r="K1019" s="13"/>
      <c r="L1019" s="14"/>
      <c r="M1019" s="1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1"/>
      <c r="B1020" s="2"/>
      <c r="C1020" s="4"/>
      <c r="D1020" s="2"/>
      <c r="E1020" s="13"/>
      <c r="F1020" s="13"/>
      <c r="G1020" s="2"/>
      <c r="H1020" s="2"/>
      <c r="I1020" s="2"/>
      <c r="J1020" s="2"/>
      <c r="K1020" s="13"/>
      <c r="L1020" s="14"/>
      <c r="M1020" s="1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"/>
      <c r="B1021" s="2"/>
      <c r="C1021" s="4"/>
      <c r="D1021" s="2"/>
      <c r="E1021" s="13"/>
      <c r="F1021" s="13"/>
      <c r="G1021" s="2"/>
      <c r="H1021" s="2"/>
      <c r="I1021" s="2"/>
      <c r="J1021" s="2"/>
      <c r="K1021" s="13"/>
      <c r="L1021" s="14"/>
      <c r="M1021" s="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"/>
      <c r="B1022" s="2"/>
      <c r="C1022" s="4"/>
      <c r="D1022" s="2"/>
      <c r="E1022" s="13"/>
      <c r="F1022" s="13"/>
      <c r="G1022" s="2"/>
      <c r="H1022" s="2"/>
      <c r="I1022" s="2"/>
      <c r="J1022" s="2"/>
      <c r="K1022" s="13"/>
      <c r="L1022" s="14"/>
      <c r="M1022" s="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"/>
      <c r="B1023" s="2"/>
      <c r="C1023" s="4"/>
      <c r="D1023" s="2"/>
      <c r="E1023" s="13"/>
      <c r="F1023" s="13"/>
      <c r="G1023" s="2"/>
      <c r="H1023" s="2"/>
      <c r="I1023" s="2"/>
      <c r="J1023" s="2"/>
      <c r="K1023" s="13"/>
      <c r="L1023" s="14"/>
      <c r="M1023" s="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"/>
      <c r="B1024" s="2"/>
      <c r="C1024" s="4"/>
      <c r="D1024" s="2"/>
      <c r="E1024" s="13"/>
      <c r="F1024" s="13"/>
      <c r="G1024" s="2"/>
      <c r="H1024" s="2"/>
      <c r="I1024" s="2"/>
      <c r="J1024" s="2"/>
      <c r="K1024" s="13"/>
      <c r="L1024" s="14"/>
      <c r="M1024" s="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"/>
      <c r="B1025" s="2"/>
      <c r="C1025" s="4"/>
      <c r="D1025" s="2"/>
      <c r="E1025" s="13"/>
      <c r="F1025" s="13"/>
      <c r="G1025" s="2"/>
      <c r="H1025" s="2"/>
      <c r="I1025" s="2"/>
      <c r="J1025" s="2"/>
      <c r="K1025" s="13"/>
      <c r="L1025" s="14"/>
      <c r="M1025" s="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"/>
      <c r="B1026" s="2"/>
      <c r="C1026" s="4"/>
      <c r="D1026" s="2"/>
      <c r="E1026" s="13"/>
      <c r="F1026" s="13"/>
      <c r="G1026" s="2"/>
      <c r="H1026" s="2"/>
      <c r="I1026" s="2"/>
      <c r="J1026" s="2"/>
      <c r="K1026" s="13"/>
      <c r="L1026" s="14"/>
      <c r="M1026" s="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1"/>
      <c r="B1027" s="2"/>
      <c r="C1027" s="4"/>
      <c r="D1027" s="2"/>
      <c r="E1027" s="13"/>
      <c r="F1027" s="13"/>
      <c r="G1027" s="2"/>
      <c r="H1027" s="2"/>
      <c r="I1027" s="2"/>
      <c r="J1027" s="2"/>
      <c r="K1027" s="13"/>
      <c r="L1027" s="14"/>
      <c r="M1027" s="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1"/>
      <c r="B1028" s="2"/>
      <c r="C1028" s="4"/>
      <c r="D1028" s="2"/>
      <c r="E1028" s="13"/>
      <c r="F1028" s="13"/>
      <c r="G1028" s="2"/>
      <c r="H1028" s="2"/>
      <c r="I1028" s="2"/>
      <c r="J1028" s="2"/>
      <c r="K1028" s="13"/>
      <c r="L1028" s="14"/>
      <c r="M1028" s="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"/>
      <c r="B1029" s="2"/>
      <c r="C1029" s="4"/>
      <c r="D1029" s="2"/>
      <c r="E1029" s="13"/>
      <c r="F1029" s="13"/>
      <c r="G1029" s="2"/>
      <c r="H1029" s="2"/>
      <c r="I1029" s="2"/>
      <c r="J1029" s="2"/>
      <c r="K1029" s="13"/>
      <c r="L1029" s="14"/>
      <c r="M1029" s="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"/>
      <c r="B1030" s="2"/>
      <c r="C1030" s="4"/>
      <c r="D1030" s="2"/>
      <c r="E1030" s="13"/>
      <c r="F1030" s="13"/>
      <c r="G1030" s="2"/>
      <c r="H1030" s="2"/>
      <c r="I1030" s="2"/>
      <c r="J1030" s="2"/>
      <c r="K1030" s="13"/>
      <c r="L1030" s="14"/>
      <c r="M1030" s="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"/>
      <c r="B1031" s="2"/>
      <c r="C1031" s="4"/>
      <c r="D1031" s="2"/>
      <c r="E1031" s="13"/>
      <c r="F1031" s="13"/>
      <c r="G1031" s="2"/>
      <c r="H1031" s="2"/>
      <c r="I1031" s="2"/>
      <c r="J1031" s="2"/>
      <c r="K1031" s="13"/>
      <c r="L1031" s="14"/>
      <c r="M1031" s="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"/>
      <c r="B1032" s="2"/>
      <c r="C1032" s="4"/>
      <c r="D1032" s="2"/>
      <c r="E1032" s="13"/>
      <c r="F1032" s="13"/>
      <c r="G1032" s="2"/>
      <c r="H1032" s="2"/>
      <c r="I1032" s="2"/>
      <c r="J1032" s="2"/>
      <c r="K1032" s="13"/>
      <c r="L1032" s="14"/>
      <c r="M1032" s="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"/>
      <c r="B1033" s="2"/>
      <c r="C1033" s="4"/>
      <c r="D1033" s="2"/>
      <c r="E1033" s="13"/>
      <c r="F1033" s="13"/>
      <c r="G1033" s="2"/>
      <c r="H1033" s="2"/>
      <c r="I1033" s="2"/>
      <c r="J1033" s="2"/>
      <c r="K1033" s="13"/>
      <c r="L1033" s="14"/>
      <c r="M1033" s="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"/>
      <c r="B1034" s="2"/>
      <c r="C1034" s="4"/>
      <c r="D1034" s="2"/>
      <c r="E1034" s="13"/>
      <c r="F1034" s="13"/>
      <c r="G1034" s="2"/>
      <c r="H1034" s="2"/>
      <c r="I1034" s="2"/>
      <c r="J1034" s="2"/>
      <c r="K1034" s="13"/>
      <c r="L1034" s="14"/>
      <c r="M1034" s="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"/>
      <c r="B1035" s="2"/>
      <c r="C1035" s="4"/>
      <c r="D1035" s="2"/>
      <c r="E1035" s="13"/>
      <c r="F1035" s="13"/>
      <c r="G1035" s="2"/>
      <c r="H1035" s="2"/>
      <c r="I1035" s="2"/>
      <c r="J1035" s="2"/>
      <c r="K1035" s="13"/>
      <c r="L1035" s="14"/>
      <c r="M1035" s="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"/>
      <c r="B1036" s="2"/>
      <c r="C1036" s="4"/>
      <c r="D1036" s="2"/>
      <c r="E1036" s="13"/>
      <c r="F1036" s="13"/>
      <c r="G1036" s="2"/>
      <c r="H1036" s="2"/>
      <c r="I1036" s="2"/>
      <c r="J1036" s="2"/>
      <c r="K1036" s="13"/>
      <c r="L1036" s="14"/>
      <c r="M1036" s="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"/>
      <c r="B1037" s="2"/>
      <c r="C1037" s="4"/>
      <c r="D1037" s="2"/>
      <c r="E1037" s="13"/>
      <c r="F1037" s="13"/>
      <c r="G1037" s="2"/>
      <c r="H1037" s="2"/>
      <c r="I1037" s="2"/>
      <c r="J1037" s="2"/>
      <c r="K1037" s="13"/>
      <c r="L1037" s="14"/>
      <c r="M1037" s="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"/>
      <c r="B1038" s="2"/>
      <c r="C1038" s="4"/>
      <c r="D1038" s="2"/>
      <c r="E1038" s="13"/>
      <c r="F1038" s="13"/>
      <c r="G1038" s="2"/>
      <c r="H1038" s="2"/>
      <c r="I1038" s="2"/>
      <c r="J1038" s="2"/>
      <c r="K1038" s="13"/>
      <c r="L1038" s="14"/>
      <c r="M1038" s="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"/>
      <c r="B1039" s="2"/>
      <c r="C1039" s="4"/>
      <c r="D1039" s="2"/>
      <c r="E1039" s="13"/>
      <c r="F1039" s="13"/>
      <c r="G1039" s="2"/>
      <c r="H1039" s="2"/>
      <c r="I1039" s="2"/>
      <c r="J1039" s="2"/>
      <c r="K1039" s="13"/>
      <c r="L1039" s="14"/>
      <c r="M1039" s="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"/>
      <c r="B1040" s="2"/>
      <c r="C1040" s="4"/>
      <c r="D1040" s="2"/>
      <c r="E1040" s="13"/>
      <c r="F1040" s="13"/>
      <c r="G1040" s="2"/>
      <c r="H1040" s="2"/>
      <c r="I1040" s="2"/>
      <c r="J1040" s="2"/>
      <c r="K1040" s="13"/>
      <c r="L1040" s="14"/>
      <c r="M1040" s="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"/>
      <c r="B1041" s="2"/>
      <c r="C1041" s="4"/>
      <c r="D1041" s="2"/>
      <c r="E1041" s="13"/>
      <c r="F1041" s="13"/>
      <c r="G1041" s="2"/>
      <c r="H1041" s="2"/>
      <c r="I1041" s="2"/>
      <c r="J1041" s="2"/>
      <c r="K1041" s="13"/>
      <c r="L1041" s="14"/>
      <c r="M1041" s="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"/>
      <c r="B1042" s="2"/>
      <c r="C1042" s="4"/>
      <c r="D1042" s="2"/>
      <c r="E1042" s="13"/>
      <c r="F1042" s="13"/>
      <c r="G1042" s="2"/>
      <c r="H1042" s="2"/>
      <c r="I1042" s="2"/>
      <c r="J1042" s="2"/>
      <c r="K1042" s="13"/>
      <c r="L1042" s="14"/>
      <c r="M1042" s="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"/>
      <c r="B1043" s="2"/>
      <c r="C1043" s="4"/>
      <c r="D1043" s="2"/>
      <c r="E1043" s="13"/>
      <c r="F1043" s="13"/>
      <c r="G1043" s="2"/>
      <c r="H1043" s="2"/>
      <c r="I1043" s="2"/>
      <c r="J1043" s="2"/>
      <c r="K1043" s="13"/>
      <c r="L1043" s="14"/>
      <c r="M1043" s="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"/>
      <c r="B1044" s="2"/>
      <c r="C1044" s="4"/>
      <c r="D1044" s="2"/>
      <c r="E1044" s="13"/>
      <c r="F1044" s="13"/>
      <c r="G1044" s="2"/>
      <c r="H1044" s="2"/>
      <c r="I1044" s="2"/>
      <c r="J1044" s="2"/>
      <c r="K1044" s="13"/>
      <c r="L1044" s="14"/>
      <c r="M1044" s="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"/>
      <c r="B1045" s="2"/>
      <c r="C1045" s="4"/>
      <c r="D1045" s="2"/>
      <c r="E1045" s="13"/>
      <c r="F1045" s="13"/>
      <c r="G1045" s="2"/>
      <c r="H1045" s="2"/>
      <c r="I1045" s="2"/>
      <c r="J1045" s="2"/>
      <c r="K1045" s="13"/>
      <c r="L1045" s="14"/>
      <c r="M1045" s="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"/>
      <c r="B1046" s="2"/>
      <c r="C1046" s="4"/>
      <c r="D1046" s="2"/>
      <c r="E1046" s="13"/>
      <c r="F1046" s="13"/>
      <c r="G1046" s="2"/>
      <c r="H1046" s="2"/>
      <c r="I1046" s="2"/>
      <c r="J1046" s="2"/>
      <c r="K1046" s="13"/>
      <c r="L1046" s="14"/>
      <c r="M1046" s="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"/>
      <c r="B1047" s="2"/>
      <c r="C1047" s="4"/>
      <c r="D1047" s="2"/>
      <c r="E1047" s="13"/>
      <c r="F1047" s="13"/>
      <c r="G1047" s="2"/>
      <c r="H1047" s="2"/>
      <c r="I1047" s="2"/>
      <c r="J1047" s="2"/>
      <c r="K1047" s="13"/>
      <c r="L1047" s="14"/>
      <c r="M1047" s="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"/>
      <c r="B1048" s="2"/>
      <c r="C1048" s="4"/>
      <c r="D1048" s="2"/>
      <c r="E1048" s="13"/>
      <c r="F1048" s="13"/>
      <c r="G1048" s="2"/>
      <c r="H1048" s="2"/>
      <c r="I1048" s="2"/>
      <c r="J1048" s="2"/>
      <c r="K1048" s="13"/>
      <c r="L1048" s="14"/>
      <c r="M1048" s="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"/>
      <c r="B1049" s="2"/>
      <c r="C1049" s="4"/>
      <c r="D1049" s="2"/>
      <c r="E1049" s="13"/>
      <c r="F1049" s="13"/>
      <c r="G1049" s="2"/>
      <c r="H1049" s="2"/>
      <c r="I1049" s="2"/>
      <c r="J1049" s="2"/>
      <c r="K1049" s="13"/>
      <c r="L1049" s="14"/>
      <c r="M1049" s="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"/>
      <c r="B1050" s="2"/>
      <c r="C1050" s="4"/>
      <c r="D1050" s="2"/>
      <c r="E1050" s="13"/>
      <c r="F1050" s="13"/>
      <c r="G1050" s="2"/>
      <c r="H1050" s="2"/>
      <c r="I1050" s="2"/>
      <c r="J1050" s="2"/>
      <c r="K1050" s="13"/>
      <c r="L1050" s="14"/>
      <c r="M1050" s="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"/>
      <c r="B1051" s="2"/>
      <c r="C1051" s="4"/>
      <c r="D1051" s="2"/>
      <c r="E1051" s="13"/>
      <c r="F1051" s="13"/>
      <c r="G1051" s="2"/>
      <c r="H1051" s="2"/>
      <c r="I1051" s="2"/>
      <c r="J1051" s="2"/>
      <c r="K1051" s="13"/>
      <c r="L1051" s="14"/>
      <c r="M1051" s="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"/>
      <c r="B1052" s="2"/>
      <c r="C1052" s="4"/>
      <c r="D1052" s="2"/>
      <c r="E1052" s="13"/>
      <c r="F1052" s="13"/>
      <c r="G1052" s="2"/>
      <c r="H1052" s="2"/>
      <c r="I1052" s="2"/>
      <c r="J1052" s="2"/>
      <c r="K1052" s="13"/>
      <c r="L1052" s="14"/>
      <c r="M1052" s="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"/>
      <c r="B1053" s="2"/>
      <c r="C1053" s="4"/>
      <c r="D1053" s="2"/>
      <c r="E1053" s="13"/>
      <c r="F1053" s="13"/>
      <c r="G1053" s="2"/>
      <c r="H1053" s="2"/>
      <c r="I1053" s="2"/>
      <c r="J1053" s="2"/>
      <c r="K1053" s="13"/>
      <c r="L1053" s="14"/>
      <c r="M1053" s="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"/>
      <c r="B1054" s="2"/>
      <c r="C1054" s="4"/>
      <c r="D1054" s="2"/>
      <c r="E1054" s="13"/>
      <c r="F1054" s="13"/>
      <c r="G1054" s="2"/>
      <c r="H1054" s="2"/>
      <c r="I1054" s="2"/>
      <c r="J1054" s="2"/>
      <c r="K1054" s="13"/>
      <c r="L1054" s="14"/>
      <c r="M1054" s="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"/>
      <c r="B1055" s="2"/>
      <c r="C1055" s="4"/>
      <c r="D1055" s="2"/>
      <c r="E1055" s="13"/>
      <c r="F1055" s="13"/>
      <c r="G1055" s="2"/>
      <c r="H1055" s="2"/>
      <c r="I1055" s="2"/>
      <c r="J1055" s="2"/>
      <c r="K1055" s="13"/>
      <c r="L1055" s="14"/>
      <c r="M1055" s="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"/>
      <c r="B1056" s="2"/>
      <c r="C1056" s="4"/>
      <c r="D1056" s="2"/>
      <c r="E1056" s="13"/>
      <c r="F1056" s="13"/>
      <c r="G1056" s="2"/>
      <c r="H1056" s="2"/>
      <c r="I1056" s="2"/>
      <c r="J1056" s="2"/>
      <c r="K1056" s="13"/>
      <c r="L1056" s="14"/>
      <c r="M1056" s="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"/>
      <c r="B1057" s="2"/>
      <c r="C1057" s="4"/>
      <c r="D1057" s="2"/>
      <c r="E1057" s="13"/>
      <c r="F1057" s="13"/>
      <c r="G1057" s="2"/>
      <c r="H1057" s="2"/>
      <c r="I1057" s="2"/>
      <c r="J1057" s="2"/>
      <c r="K1057" s="13"/>
      <c r="L1057" s="14"/>
      <c r="M1057" s="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"/>
      <c r="B1058" s="2"/>
      <c r="C1058" s="4"/>
      <c r="D1058" s="2"/>
      <c r="E1058" s="13"/>
      <c r="F1058" s="13"/>
      <c r="G1058" s="2"/>
      <c r="H1058" s="2"/>
      <c r="I1058" s="2"/>
      <c r="J1058" s="2"/>
      <c r="K1058" s="13"/>
      <c r="L1058" s="14"/>
      <c r="M1058" s="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"/>
      <c r="B1059" s="2"/>
      <c r="C1059" s="4"/>
      <c r="D1059" s="2"/>
      <c r="E1059" s="13"/>
      <c r="F1059" s="13"/>
      <c r="G1059" s="2"/>
      <c r="H1059" s="2"/>
      <c r="I1059" s="2"/>
      <c r="J1059" s="2"/>
      <c r="K1059" s="13"/>
      <c r="L1059" s="14"/>
      <c r="M1059" s="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"/>
      <c r="B1060" s="2"/>
      <c r="C1060" s="4"/>
      <c r="D1060" s="2"/>
      <c r="E1060" s="13"/>
      <c r="F1060" s="13"/>
      <c r="G1060" s="2"/>
      <c r="H1060" s="2"/>
      <c r="I1060" s="2"/>
      <c r="J1060" s="2"/>
      <c r="K1060" s="13"/>
      <c r="L1060" s="14"/>
      <c r="M1060" s="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"/>
      <c r="B1061" s="2"/>
      <c r="C1061" s="4"/>
      <c r="D1061" s="2"/>
      <c r="E1061" s="13"/>
      <c r="F1061" s="13"/>
      <c r="G1061" s="2"/>
      <c r="H1061" s="2"/>
      <c r="I1061" s="2"/>
      <c r="J1061" s="2"/>
      <c r="K1061" s="13"/>
      <c r="L1061" s="14"/>
      <c r="M1061" s="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1"/>
      <c r="B1062" s="2"/>
      <c r="C1062" s="4"/>
      <c r="D1062" s="2"/>
      <c r="E1062" s="13"/>
      <c r="F1062" s="13"/>
      <c r="G1062" s="2"/>
      <c r="H1062" s="2"/>
      <c r="I1062" s="2"/>
      <c r="J1062" s="2"/>
      <c r="K1062" s="13"/>
      <c r="L1062" s="14"/>
      <c r="M1062" s="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">
      <c r="A1063" s="1"/>
      <c r="B1063" s="2"/>
      <c r="C1063" s="4"/>
      <c r="D1063" s="2"/>
      <c r="E1063" s="13"/>
      <c r="F1063" s="13"/>
      <c r="G1063" s="2"/>
      <c r="H1063" s="2"/>
      <c r="I1063" s="2"/>
      <c r="J1063" s="2"/>
      <c r="K1063" s="13"/>
      <c r="L1063" s="14"/>
      <c r="M1063" s="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"/>
      <c r="B1064" s="2"/>
      <c r="C1064" s="4"/>
      <c r="D1064" s="2"/>
      <c r="E1064" s="13"/>
      <c r="F1064" s="13"/>
      <c r="G1064" s="2"/>
      <c r="H1064" s="2"/>
      <c r="I1064" s="2"/>
      <c r="J1064" s="2"/>
      <c r="K1064" s="13"/>
      <c r="L1064" s="14"/>
      <c r="M1064" s="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"/>
      <c r="B1065" s="2"/>
      <c r="C1065" s="4"/>
      <c r="D1065" s="2"/>
      <c r="E1065" s="13"/>
      <c r="F1065" s="13"/>
      <c r="G1065" s="2"/>
      <c r="H1065" s="2"/>
      <c r="I1065" s="2"/>
      <c r="J1065" s="2"/>
      <c r="K1065" s="13"/>
      <c r="L1065" s="14"/>
      <c r="M1065" s="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"/>
      <c r="B1066" s="2"/>
      <c r="C1066" s="4"/>
      <c r="D1066" s="2"/>
      <c r="E1066" s="13"/>
      <c r="F1066" s="13"/>
      <c r="G1066" s="2"/>
      <c r="H1066" s="2"/>
      <c r="I1066" s="2"/>
      <c r="J1066" s="2"/>
      <c r="K1066" s="13"/>
      <c r="L1066" s="14"/>
      <c r="M1066" s="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"/>
      <c r="B1067" s="2"/>
      <c r="C1067" s="4"/>
      <c r="D1067" s="2"/>
      <c r="E1067" s="13"/>
      <c r="F1067" s="13"/>
      <c r="G1067" s="2"/>
      <c r="H1067" s="2"/>
      <c r="I1067" s="2"/>
      <c r="J1067" s="2"/>
      <c r="K1067" s="13"/>
      <c r="L1067" s="14"/>
      <c r="M1067" s="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"/>
      <c r="B1068" s="2"/>
      <c r="C1068" s="4"/>
      <c r="D1068" s="2"/>
      <c r="E1068" s="13"/>
      <c r="F1068" s="13"/>
      <c r="G1068" s="2"/>
      <c r="H1068" s="2"/>
      <c r="I1068" s="2"/>
      <c r="J1068" s="2"/>
      <c r="K1068" s="13"/>
      <c r="L1068" s="14"/>
      <c r="M1068" s="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"/>
      <c r="B1069" s="2"/>
      <c r="C1069" s="4"/>
      <c r="D1069" s="2"/>
      <c r="E1069" s="13"/>
      <c r="F1069" s="13"/>
      <c r="G1069" s="2"/>
      <c r="H1069" s="2"/>
      <c r="I1069" s="2"/>
      <c r="J1069" s="2"/>
      <c r="K1069" s="13"/>
      <c r="L1069" s="14"/>
      <c r="M1069" s="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"/>
      <c r="B1070" s="2"/>
      <c r="C1070" s="4"/>
      <c r="D1070" s="2"/>
      <c r="E1070" s="13"/>
      <c r="F1070" s="13"/>
      <c r="G1070" s="2"/>
      <c r="H1070" s="2"/>
      <c r="I1070" s="2"/>
      <c r="J1070" s="2"/>
      <c r="K1070" s="13"/>
      <c r="L1070" s="14"/>
      <c r="M1070" s="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"/>
      <c r="B1071" s="2"/>
      <c r="C1071" s="4"/>
      <c r="D1071" s="2"/>
      <c r="E1071" s="13"/>
      <c r="F1071" s="13"/>
      <c r="G1071" s="2"/>
      <c r="H1071" s="2"/>
      <c r="I1071" s="2"/>
      <c r="J1071" s="2"/>
      <c r="K1071" s="13"/>
      <c r="L1071" s="14"/>
      <c r="M1071" s="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"/>
      <c r="B1072" s="2"/>
      <c r="C1072" s="4"/>
      <c r="D1072" s="2"/>
      <c r="E1072" s="13"/>
      <c r="F1072" s="13"/>
      <c r="G1072" s="2"/>
      <c r="H1072" s="2"/>
      <c r="I1072" s="2"/>
      <c r="J1072" s="2"/>
      <c r="K1072" s="13"/>
      <c r="L1072" s="14"/>
      <c r="M1072" s="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"/>
      <c r="B1073" s="2"/>
      <c r="C1073" s="4"/>
      <c r="D1073" s="2"/>
      <c r="E1073" s="13"/>
      <c r="F1073" s="13"/>
      <c r="G1073" s="2"/>
      <c r="H1073" s="2"/>
      <c r="I1073" s="2"/>
      <c r="J1073" s="2"/>
      <c r="K1073" s="13"/>
      <c r="L1073" s="14"/>
      <c r="M1073" s="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"/>
      <c r="B1074" s="2"/>
      <c r="C1074" s="4"/>
      <c r="D1074" s="2"/>
      <c r="E1074" s="13"/>
      <c r="F1074" s="13"/>
      <c r="G1074" s="2"/>
      <c r="H1074" s="2"/>
      <c r="I1074" s="2"/>
      <c r="J1074" s="2"/>
      <c r="K1074" s="13"/>
      <c r="L1074" s="14"/>
      <c r="M1074" s="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"/>
      <c r="B1075" s="2"/>
      <c r="C1075" s="4"/>
      <c r="D1075" s="2"/>
      <c r="E1075" s="13"/>
      <c r="F1075" s="13"/>
      <c r="G1075" s="2"/>
      <c r="H1075" s="2"/>
      <c r="I1075" s="2"/>
      <c r="J1075" s="2"/>
      <c r="K1075" s="13"/>
      <c r="L1075" s="14"/>
      <c r="M1075" s="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"/>
      <c r="B1076" s="2"/>
      <c r="C1076" s="4"/>
      <c r="D1076" s="2"/>
      <c r="E1076" s="13"/>
      <c r="F1076" s="13"/>
      <c r="G1076" s="2"/>
      <c r="H1076" s="2"/>
      <c r="I1076" s="2"/>
      <c r="J1076" s="2"/>
      <c r="K1076" s="13"/>
      <c r="L1076" s="14"/>
      <c r="M1076" s="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"/>
      <c r="B1077" s="2"/>
      <c r="C1077" s="4"/>
      <c r="D1077" s="2"/>
      <c r="E1077" s="13"/>
      <c r="F1077" s="13"/>
      <c r="G1077" s="2"/>
      <c r="H1077" s="2"/>
      <c r="I1077" s="2"/>
      <c r="J1077" s="2"/>
      <c r="K1077" s="13"/>
      <c r="L1077" s="14"/>
      <c r="M1077" s="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"/>
      <c r="B1078" s="2"/>
      <c r="C1078" s="4"/>
      <c r="D1078" s="2"/>
      <c r="E1078" s="13"/>
      <c r="F1078" s="13"/>
      <c r="G1078" s="2"/>
      <c r="H1078" s="2"/>
      <c r="I1078" s="2"/>
      <c r="J1078" s="2"/>
      <c r="K1078" s="13"/>
      <c r="L1078" s="14"/>
      <c r="M1078" s="1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"/>
      <c r="B1079" s="2"/>
      <c r="C1079" s="4"/>
      <c r="D1079" s="2"/>
      <c r="E1079" s="13"/>
      <c r="F1079" s="13"/>
      <c r="G1079" s="2"/>
      <c r="H1079" s="2"/>
      <c r="I1079" s="2"/>
      <c r="J1079" s="2"/>
      <c r="K1079" s="13"/>
      <c r="L1079" s="14"/>
      <c r="M1079" s="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"/>
      <c r="B1080" s="2"/>
      <c r="C1080" s="4"/>
      <c r="D1080" s="2"/>
      <c r="E1080" s="13"/>
      <c r="F1080" s="13"/>
      <c r="G1080" s="2"/>
      <c r="H1080" s="2"/>
      <c r="I1080" s="2"/>
      <c r="J1080" s="2"/>
      <c r="K1080" s="13"/>
      <c r="L1080" s="14"/>
      <c r="M1080" s="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"/>
      <c r="B1081" s="2"/>
      <c r="C1081" s="4"/>
      <c r="D1081" s="2"/>
      <c r="E1081" s="13"/>
      <c r="F1081" s="13"/>
      <c r="G1081" s="2"/>
      <c r="H1081" s="2"/>
      <c r="I1081" s="2"/>
      <c r="J1081" s="2"/>
      <c r="K1081" s="13"/>
      <c r="L1081" s="14"/>
      <c r="M1081" s="1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1"/>
      <c r="B1082" s="2"/>
      <c r="C1082" s="4"/>
      <c r="D1082" s="2"/>
      <c r="E1082" s="13"/>
      <c r="F1082" s="13"/>
      <c r="G1082" s="2"/>
      <c r="H1082" s="2"/>
      <c r="I1082" s="2"/>
      <c r="J1082" s="2"/>
      <c r="K1082" s="13"/>
      <c r="L1082" s="14"/>
      <c r="M1082" s="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1"/>
      <c r="B1083" s="2"/>
      <c r="C1083" s="4"/>
      <c r="D1083" s="2"/>
      <c r="E1083" s="13"/>
      <c r="F1083" s="13"/>
      <c r="G1083" s="2"/>
      <c r="H1083" s="2"/>
      <c r="I1083" s="2"/>
      <c r="J1083" s="2"/>
      <c r="K1083" s="13"/>
      <c r="L1083" s="14"/>
      <c r="M1083" s="1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"/>
      <c r="B1084" s="2"/>
      <c r="C1084" s="4"/>
      <c r="D1084" s="2"/>
      <c r="E1084" s="13"/>
      <c r="F1084" s="13"/>
      <c r="G1084" s="2"/>
      <c r="H1084" s="2"/>
      <c r="I1084" s="2"/>
      <c r="J1084" s="2"/>
      <c r="K1084" s="13"/>
      <c r="L1084" s="14"/>
      <c r="M1084" s="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"/>
      <c r="B1085" s="2"/>
      <c r="C1085" s="4"/>
      <c r="D1085" s="2"/>
      <c r="E1085" s="13"/>
      <c r="F1085" s="13"/>
      <c r="G1085" s="2"/>
      <c r="H1085" s="2"/>
      <c r="I1085" s="2"/>
      <c r="J1085" s="2"/>
      <c r="K1085" s="13"/>
      <c r="L1085" s="14"/>
      <c r="M1085" s="1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"/>
      <c r="B1086" s="2"/>
      <c r="C1086" s="4"/>
      <c r="D1086" s="2"/>
      <c r="E1086" s="13"/>
      <c r="F1086" s="13"/>
      <c r="G1086" s="2"/>
      <c r="H1086" s="2"/>
      <c r="I1086" s="2"/>
      <c r="J1086" s="2"/>
      <c r="K1086" s="13"/>
      <c r="L1086" s="14"/>
      <c r="M1086" s="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"/>
      <c r="B1087" s="2"/>
      <c r="C1087" s="4"/>
      <c r="D1087" s="2"/>
      <c r="E1087" s="13"/>
      <c r="F1087" s="13"/>
      <c r="G1087" s="2"/>
      <c r="H1087" s="2"/>
      <c r="I1087" s="2"/>
      <c r="J1087" s="2"/>
      <c r="K1087" s="13"/>
      <c r="L1087" s="14"/>
      <c r="M1087" s="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"/>
      <c r="B1088" s="2"/>
      <c r="C1088" s="4"/>
      <c r="D1088" s="2"/>
      <c r="E1088" s="13"/>
      <c r="F1088" s="13"/>
      <c r="G1088" s="2"/>
      <c r="H1088" s="2"/>
      <c r="I1088" s="2"/>
      <c r="J1088" s="2"/>
      <c r="K1088" s="13"/>
      <c r="L1088" s="14"/>
      <c r="M1088" s="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"/>
      <c r="B1089" s="2"/>
      <c r="C1089" s="4"/>
      <c r="D1089" s="2"/>
      <c r="E1089" s="13"/>
      <c r="F1089" s="13"/>
      <c r="G1089" s="2"/>
      <c r="H1089" s="2"/>
      <c r="I1089" s="2"/>
      <c r="J1089" s="2"/>
      <c r="K1089" s="13"/>
      <c r="L1089" s="14"/>
      <c r="M1089" s="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"/>
      <c r="B1090" s="2"/>
      <c r="C1090" s="4"/>
      <c r="D1090" s="2"/>
      <c r="E1090" s="13"/>
      <c r="F1090" s="13"/>
      <c r="G1090" s="2"/>
      <c r="H1090" s="2"/>
      <c r="I1090" s="2"/>
      <c r="J1090" s="2"/>
      <c r="K1090" s="13"/>
      <c r="L1090" s="14"/>
      <c r="M1090" s="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"/>
      <c r="B1091" s="2"/>
      <c r="C1091" s="4"/>
      <c r="D1091" s="2"/>
      <c r="E1091" s="13"/>
      <c r="F1091" s="13"/>
      <c r="G1091" s="2"/>
      <c r="H1091" s="2"/>
      <c r="I1091" s="2"/>
      <c r="J1091" s="2"/>
      <c r="K1091" s="13"/>
      <c r="L1091" s="14"/>
      <c r="M1091" s="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"/>
      <c r="B1092" s="2"/>
      <c r="C1092" s="4"/>
      <c r="D1092" s="2"/>
      <c r="E1092" s="13"/>
      <c r="F1092" s="13"/>
      <c r="G1092" s="2"/>
      <c r="H1092" s="2"/>
      <c r="I1092" s="2"/>
      <c r="J1092" s="2"/>
      <c r="K1092" s="13"/>
      <c r="L1092" s="14"/>
      <c r="M1092" s="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"/>
      <c r="B1093" s="2"/>
      <c r="C1093" s="4"/>
      <c r="D1093" s="2"/>
      <c r="E1093" s="13"/>
      <c r="F1093" s="13"/>
      <c r="G1093" s="2"/>
      <c r="H1093" s="2"/>
      <c r="I1093" s="2"/>
      <c r="J1093" s="2"/>
      <c r="K1093" s="13"/>
      <c r="L1093" s="14"/>
      <c r="M1093" s="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"/>
      <c r="B1094" s="2"/>
      <c r="C1094" s="4"/>
      <c r="D1094" s="2"/>
      <c r="E1094" s="13"/>
      <c r="F1094" s="13"/>
      <c r="G1094" s="2"/>
      <c r="H1094" s="2"/>
      <c r="I1094" s="2"/>
      <c r="J1094" s="2"/>
      <c r="K1094" s="13"/>
      <c r="L1094" s="14"/>
      <c r="M1094" s="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"/>
      <c r="B1095" s="2"/>
      <c r="C1095" s="4"/>
      <c r="D1095" s="2"/>
      <c r="E1095" s="13"/>
      <c r="F1095" s="13"/>
      <c r="G1095" s="2"/>
      <c r="H1095" s="2"/>
      <c r="I1095" s="2"/>
      <c r="J1095" s="2"/>
      <c r="K1095" s="13"/>
      <c r="L1095" s="14"/>
      <c r="M1095" s="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"/>
      <c r="B1096" s="2"/>
      <c r="C1096" s="4"/>
      <c r="D1096" s="2"/>
      <c r="E1096" s="13"/>
      <c r="F1096" s="13"/>
      <c r="G1096" s="2"/>
      <c r="H1096" s="2"/>
      <c r="I1096" s="2"/>
      <c r="J1096" s="2"/>
      <c r="K1096" s="13"/>
      <c r="L1096" s="14"/>
      <c r="M1096" s="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"/>
      <c r="B1097" s="2"/>
      <c r="C1097" s="4"/>
      <c r="D1097" s="2"/>
      <c r="E1097" s="13"/>
      <c r="F1097" s="13"/>
      <c r="G1097" s="2"/>
      <c r="H1097" s="2"/>
      <c r="I1097" s="2"/>
      <c r="J1097" s="2"/>
      <c r="K1097" s="13"/>
      <c r="L1097" s="14"/>
      <c r="M1097" s="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1"/>
      <c r="B1098" s="2"/>
      <c r="C1098" s="4"/>
      <c r="D1098" s="2"/>
      <c r="E1098" s="13"/>
      <c r="F1098" s="13"/>
      <c r="G1098" s="2"/>
      <c r="H1098" s="2"/>
      <c r="I1098" s="2"/>
      <c r="J1098" s="2"/>
      <c r="K1098" s="13"/>
      <c r="L1098" s="14"/>
      <c r="M1098" s="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1"/>
      <c r="B1099" s="2"/>
      <c r="C1099" s="4"/>
      <c r="D1099" s="2"/>
      <c r="E1099" s="13"/>
      <c r="F1099" s="13"/>
      <c r="G1099" s="2"/>
      <c r="H1099" s="2"/>
      <c r="I1099" s="2"/>
      <c r="J1099" s="2"/>
      <c r="K1099" s="13"/>
      <c r="L1099" s="14"/>
      <c r="M1099" s="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"/>
      <c r="B1100" s="2"/>
      <c r="C1100" s="4"/>
      <c r="D1100" s="2"/>
      <c r="E1100" s="13"/>
      <c r="F1100" s="13"/>
      <c r="G1100" s="2"/>
      <c r="H1100" s="2"/>
      <c r="I1100" s="2"/>
      <c r="J1100" s="2"/>
      <c r="K1100" s="13"/>
      <c r="L1100" s="14"/>
      <c r="M1100" s="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"/>
      <c r="B1101" s="2"/>
      <c r="C1101" s="4"/>
      <c r="D1101" s="2"/>
      <c r="E1101" s="13"/>
      <c r="F1101" s="13"/>
      <c r="G1101" s="2"/>
      <c r="H1101" s="2"/>
      <c r="I1101" s="2"/>
      <c r="J1101" s="2"/>
      <c r="K1101" s="13"/>
      <c r="L1101" s="14"/>
      <c r="M1101" s="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"/>
      <c r="B1102" s="2"/>
      <c r="C1102" s="4"/>
      <c r="D1102" s="2"/>
      <c r="E1102" s="13"/>
      <c r="F1102" s="13"/>
      <c r="G1102" s="2"/>
      <c r="H1102" s="2"/>
      <c r="I1102" s="2"/>
      <c r="J1102" s="2"/>
      <c r="K1102" s="13"/>
      <c r="L1102" s="14"/>
      <c r="M1102" s="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"/>
      <c r="B1103" s="2"/>
      <c r="C1103" s="4"/>
      <c r="D1103" s="2"/>
      <c r="E1103" s="13"/>
      <c r="F1103" s="13"/>
      <c r="G1103" s="2"/>
      <c r="H1103" s="2"/>
      <c r="I1103" s="2"/>
      <c r="J1103" s="2"/>
      <c r="K1103" s="13"/>
      <c r="L1103" s="14"/>
      <c r="M1103" s="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"/>
      <c r="B1104" s="2"/>
      <c r="C1104" s="4"/>
      <c r="D1104" s="2"/>
      <c r="E1104" s="13"/>
      <c r="F1104" s="13"/>
      <c r="G1104" s="2"/>
      <c r="H1104" s="2"/>
      <c r="I1104" s="2"/>
      <c r="J1104" s="2"/>
      <c r="K1104" s="13"/>
      <c r="L1104" s="14"/>
      <c r="M1104" s="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"/>
      <c r="B1105" s="2"/>
      <c r="C1105" s="4"/>
      <c r="D1105" s="2"/>
      <c r="E1105" s="13"/>
      <c r="F1105" s="13"/>
      <c r="G1105" s="2"/>
      <c r="H1105" s="2"/>
      <c r="I1105" s="2"/>
      <c r="J1105" s="2"/>
      <c r="K1105" s="13"/>
      <c r="L1105" s="14"/>
      <c r="M1105" s="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"/>
      <c r="B1106" s="2"/>
      <c r="C1106" s="4"/>
      <c r="D1106" s="2"/>
      <c r="E1106" s="13"/>
      <c r="F1106" s="13"/>
      <c r="G1106" s="2"/>
      <c r="H1106" s="2"/>
      <c r="I1106" s="2"/>
      <c r="J1106" s="2"/>
      <c r="K1106" s="13"/>
      <c r="L1106" s="14"/>
      <c r="M1106" s="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1"/>
      <c r="B1107" s="2"/>
      <c r="C1107" s="4"/>
      <c r="D1107" s="2"/>
      <c r="E1107" s="13"/>
      <c r="F1107" s="13"/>
      <c r="G1107" s="2"/>
      <c r="H1107" s="2"/>
      <c r="I1107" s="2"/>
      <c r="J1107" s="2"/>
      <c r="K1107" s="13"/>
      <c r="L1107" s="14"/>
      <c r="M1107" s="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1"/>
      <c r="B1108" s="2"/>
      <c r="C1108" s="4"/>
      <c r="D1108" s="2"/>
      <c r="E1108" s="13"/>
      <c r="F1108" s="13"/>
      <c r="G1108" s="2"/>
      <c r="H1108" s="2"/>
      <c r="I1108" s="2"/>
      <c r="J1108" s="2"/>
      <c r="K1108" s="13"/>
      <c r="L1108" s="14"/>
      <c r="M1108" s="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"/>
      <c r="B1109" s="2"/>
      <c r="C1109" s="4"/>
      <c r="D1109" s="2"/>
      <c r="E1109" s="13"/>
      <c r="F1109" s="13"/>
      <c r="G1109" s="2"/>
      <c r="H1109" s="2"/>
      <c r="I1109" s="2"/>
      <c r="J1109" s="2"/>
      <c r="K1109" s="13"/>
      <c r="L1109" s="14"/>
      <c r="M1109" s="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"/>
      <c r="B1110" s="2"/>
      <c r="C1110" s="4"/>
      <c r="D1110" s="2"/>
      <c r="E1110" s="13"/>
      <c r="F1110" s="13"/>
      <c r="G1110" s="2"/>
      <c r="H1110" s="2"/>
      <c r="I1110" s="2"/>
      <c r="J1110" s="2"/>
      <c r="K1110" s="13"/>
      <c r="L1110" s="14"/>
      <c r="M1110" s="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"/>
      <c r="B1111" s="2"/>
      <c r="C1111" s="4"/>
      <c r="D1111" s="2"/>
      <c r="E1111" s="13"/>
      <c r="F1111" s="13"/>
      <c r="G1111" s="2"/>
      <c r="H1111" s="2"/>
      <c r="I1111" s="2"/>
      <c r="J1111" s="2"/>
      <c r="K1111" s="13"/>
      <c r="L1111" s="14"/>
      <c r="M1111" s="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"/>
      <c r="B1112" s="2"/>
      <c r="C1112" s="4"/>
      <c r="D1112" s="2"/>
      <c r="E1112" s="13"/>
      <c r="F1112" s="13"/>
      <c r="G1112" s="2"/>
      <c r="H1112" s="2"/>
      <c r="I1112" s="2"/>
      <c r="J1112" s="2"/>
      <c r="K1112" s="13"/>
      <c r="L1112" s="14"/>
      <c r="M1112" s="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"/>
      <c r="B1113" s="2"/>
      <c r="C1113" s="4"/>
      <c r="D1113" s="2"/>
      <c r="E1113" s="13"/>
      <c r="F1113" s="13"/>
      <c r="G1113" s="2"/>
      <c r="H1113" s="2"/>
      <c r="I1113" s="2"/>
      <c r="J1113" s="2"/>
      <c r="K1113" s="13"/>
      <c r="L1113" s="14"/>
      <c r="M1113" s="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"/>
      <c r="B1114" s="2"/>
      <c r="C1114" s="4"/>
      <c r="D1114" s="2"/>
      <c r="E1114" s="13"/>
      <c r="F1114" s="13"/>
      <c r="G1114" s="2"/>
      <c r="H1114" s="2"/>
      <c r="I1114" s="2"/>
      <c r="J1114" s="2"/>
      <c r="K1114" s="13"/>
      <c r="L1114" s="14"/>
      <c r="M1114" s="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"/>
      <c r="B1115" s="2"/>
      <c r="C1115" s="4"/>
      <c r="D1115" s="2"/>
      <c r="E1115" s="13"/>
      <c r="F1115" s="13"/>
      <c r="G1115" s="2"/>
      <c r="H1115" s="2"/>
      <c r="I1115" s="2"/>
      <c r="J1115" s="2"/>
      <c r="K1115" s="13"/>
      <c r="L1115" s="14"/>
      <c r="M1115" s="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"/>
      <c r="B1116" s="2"/>
      <c r="C1116" s="4"/>
      <c r="D1116" s="2"/>
      <c r="E1116" s="13"/>
      <c r="F1116" s="13"/>
      <c r="G1116" s="2"/>
      <c r="H1116" s="2"/>
      <c r="I1116" s="2"/>
      <c r="J1116" s="2"/>
      <c r="K1116" s="13"/>
      <c r="L1116" s="14"/>
      <c r="M1116" s="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"/>
      <c r="B1117" s="2"/>
      <c r="C1117" s="4"/>
      <c r="D1117" s="2"/>
      <c r="E1117" s="13"/>
      <c r="F1117" s="13"/>
      <c r="G1117" s="2"/>
      <c r="H1117" s="2"/>
      <c r="I1117" s="2"/>
      <c r="J1117" s="2"/>
      <c r="K1117" s="13"/>
      <c r="L1117" s="14"/>
      <c r="M1117" s="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"/>
      <c r="B1118" s="2"/>
      <c r="C1118" s="4"/>
      <c r="D1118" s="2"/>
      <c r="E1118" s="13"/>
      <c r="F1118" s="13"/>
      <c r="G1118" s="2"/>
      <c r="H1118" s="2"/>
      <c r="I1118" s="2"/>
      <c r="J1118" s="2"/>
      <c r="K1118" s="13"/>
      <c r="L1118" s="14"/>
      <c r="M1118" s="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"/>
      <c r="B1119" s="2"/>
      <c r="C1119" s="4"/>
      <c r="D1119" s="2"/>
      <c r="E1119" s="13"/>
      <c r="F1119" s="13"/>
      <c r="G1119" s="2"/>
      <c r="H1119" s="2"/>
      <c r="I1119" s="2"/>
      <c r="J1119" s="2"/>
      <c r="K1119" s="13"/>
      <c r="L1119" s="14"/>
      <c r="M1119" s="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"/>
      <c r="B1120" s="2"/>
      <c r="C1120" s="4"/>
      <c r="D1120" s="2"/>
      <c r="E1120" s="13"/>
      <c r="F1120" s="13"/>
      <c r="G1120" s="2"/>
      <c r="H1120" s="2"/>
      <c r="I1120" s="2"/>
      <c r="J1120" s="2"/>
      <c r="K1120" s="13"/>
      <c r="L1120" s="14"/>
      <c r="M1120" s="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"/>
      <c r="B1121" s="2"/>
      <c r="C1121" s="4"/>
      <c r="D1121" s="2"/>
      <c r="E1121" s="13"/>
      <c r="F1121" s="13"/>
      <c r="G1121" s="2"/>
      <c r="H1121" s="2"/>
      <c r="I1121" s="2"/>
      <c r="J1121" s="2"/>
      <c r="K1121" s="13"/>
      <c r="L1121" s="14"/>
      <c r="M1121" s="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1"/>
      <c r="B1122" s="2"/>
      <c r="C1122" s="4"/>
      <c r="D1122" s="2"/>
      <c r="E1122" s="13"/>
      <c r="F1122" s="13"/>
      <c r="G1122" s="2"/>
      <c r="H1122" s="2"/>
      <c r="I1122" s="2"/>
      <c r="J1122" s="2"/>
      <c r="K1122" s="13"/>
      <c r="L1122" s="14"/>
      <c r="M1122" s="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1"/>
      <c r="B1123" s="2"/>
      <c r="C1123" s="4"/>
      <c r="D1123" s="2"/>
      <c r="E1123" s="13"/>
      <c r="F1123" s="13"/>
      <c r="G1123" s="2"/>
      <c r="H1123" s="2"/>
      <c r="I1123" s="2"/>
      <c r="J1123" s="2"/>
      <c r="K1123" s="13"/>
      <c r="L1123" s="14"/>
      <c r="M1123" s="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"/>
      <c r="B1124" s="2"/>
      <c r="C1124" s="4"/>
      <c r="D1124" s="2"/>
      <c r="E1124" s="13"/>
      <c r="F1124" s="13"/>
      <c r="G1124" s="2"/>
      <c r="H1124" s="2"/>
      <c r="I1124" s="2"/>
      <c r="J1124" s="2"/>
      <c r="K1124" s="13"/>
      <c r="L1124" s="14"/>
      <c r="M1124" s="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"/>
      <c r="B1125" s="2"/>
      <c r="C1125" s="4"/>
      <c r="D1125" s="2"/>
      <c r="E1125" s="13"/>
      <c r="F1125" s="13"/>
      <c r="G1125" s="2"/>
      <c r="H1125" s="2"/>
      <c r="I1125" s="2"/>
      <c r="J1125" s="2"/>
      <c r="K1125" s="13"/>
      <c r="L1125" s="14"/>
      <c r="M1125" s="1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"/>
      <c r="B1126" s="2"/>
      <c r="C1126" s="4"/>
      <c r="D1126" s="2"/>
      <c r="E1126" s="13"/>
      <c r="F1126" s="13"/>
      <c r="G1126" s="2"/>
      <c r="H1126" s="2"/>
      <c r="I1126" s="2"/>
      <c r="J1126" s="2"/>
      <c r="K1126" s="13"/>
      <c r="L1126" s="14"/>
      <c r="M1126" s="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1"/>
      <c r="B1127" s="2"/>
      <c r="C1127" s="4"/>
      <c r="D1127" s="2"/>
      <c r="E1127" s="13"/>
      <c r="F1127" s="13"/>
      <c r="G1127" s="2"/>
      <c r="H1127" s="2"/>
      <c r="I1127" s="2"/>
      <c r="J1127" s="2"/>
      <c r="K1127" s="13"/>
      <c r="L1127" s="14"/>
      <c r="M1127" s="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1"/>
      <c r="B1128" s="2"/>
      <c r="C1128" s="4"/>
      <c r="D1128" s="2"/>
      <c r="E1128" s="13"/>
      <c r="F1128" s="13"/>
      <c r="G1128" s="2"/>
      <c r="H1128" s="2"/>
      <c r="I1128" s="2"/>
      <c r="J1128" s="2"/>
      <c r="K1128" s="13"/>
      <c r="L1128" s="14"/>
      <c r="M1128" s="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"/>
      <c r="B1129" s="2"/>
      <c r="C1129" s="4"/>
      <c r="D1129" s="2"/>
      <c r="E1129" s="13"/>
      <c r="F1129" s="13"/>
      <c r="G1129" s="2"/>
      <c r="H1129" s="2"/>
      <c r="I1129" s="2"/>
      <c r="J1129" s="2"/>
      <c r="K1129" s="13"/>
      <c r="L1129" s="14"/>
      <c r="M1129" s="1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1"/>
      <c r="B1130" s="2"/>
      <c r="C1130" s="4"/>
      <c r="D1130" s="2"/>
      <c r="E1130" s="13"/>
      <c r="F1130" s="13"/>
      <c r="G1130" s="2"/>
      <c r="H1130" s="2"/>
      <c r="I1130" s="2"/>
      <c r="J1130" s="2"/>
      <c r="K1130" s="13"/>
      <c r="L1130" s="14"/>
      <c r="M1130" s="1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1"/>
      <c r="B1131" s="2"/>
      <c r="C1131" s="4"/>
      <c r="D1131" s="2"/>
      <c r="E1131" s="13"/>
      <c r="F1131" s="13"/>
      <c r="G1131" s="2"/>
      <c r="H1131" s="2"/>
      <c r="I1131" s="2"/>
      <c r="J1131" s="2"/>
      <c r="K1131" s="13"/>
      <c r="L1131" s="14"/>
      <c r="M1131" s="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"/>
      <c r="B1132" s="2"/>
      <c r="C1132" s="4"/>
      <c r="D1132" s="2"/>
      <c r="E1132" s="13"/>
      <c r="F1132" s="13"/>
      <c r="G1132" s="2"/>
      <c r="H1132" s="2"/>
      <c r="I1132" s="2"/>
      <c r="J1132" s="2"/>
      <c r="K1132" s="13"/>
      <c r="L1132" s="14"/>
      <c r="M1132" s="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"/>
      <c r="B1133" s="2"/>
      <c r="C1133" s="4"/>
      <c r="D1133" s="2"/>
      <c r="E1133" s="13"/>
      <c r="F1133" s="13"/>
      <c r="G1133" s="2"/>
      <c r="H1133" s="2"/>
      <c r="I1133" s="2"/>
      <c r="J1133" s="2"/>
      <c r="K1133" s="13"/>
      <c r="L1133" s="14"/>
      <c r="M1133" s="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"/>
      <c r="B1134" s="2"/>
      <c r="C1134" s="4"/>
      <c r="D1134" s="2"/>
      <c r="E1134" s="13"/>
      <c r="F1134" s="13"/>
      <c r="G1134" s="2"/>
      <c r="H1134" s="2"/>
      <c r="I1134" s="2"/>
      <c r="J1134" s="2"/>
      <c r="K1134" s="13"/>
      <c r="L1134" s="14"/>
      <c r="M1134" s="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"/>
      <c r="B1135" s="2"/>
      <c r="C1135" s="4"/>
      <c r="D1135" s="2"/>
      <c r="E1135" s="13"/>
      <c r="F1135" s="13"/>
      <c r="G1135" s="2"/>
      <c r="H1135" s="2"/>
      <c r="I1135" s="2"/>
      <c r="J1135" s="2"/>
      <c r="K1135" s="13"/>
      <c r="L1135" s="14"/>
      <c r="M1135" s="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"/>
      <c r="B1136" s="2"/>
      <c r="C1136" s="4"/>
      <c r="D1136" s="2"/>
      <c r="E1136" s="13"/>
      <c r="F1136" s="13"/>
      <c r="G1136" s="2"/>
      <c r="H1136" s="2"/>
      <c r="I1136" s="2"/>
      <c r="J1136" s="2"/>
      <c r="K1136" s="13"/>
      <c r="L1136" s="14"/>
      <c r="M1136" s="1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"/>
      <c r="B1137" s="2"/>
      <c r="C1137" s="4"/>
      <c r="D1137" s="2"/>
      <c r="E1137" s="13"/>
      <c r="F1137" s="13"/>
      <c r="G1137" s="2"/>
      <c r="H1137" s="2"/>
      <c r="I1137" s="2"/>
      <c r="J1137" s="2"/>
      <c r="K1137" s="13"/>
      <c r="L1137" s="14"/>
      <c r="M1137" s="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1"/>
      <c r="B1138" s="2"/>
      <c r="C1138" s="4"/>
      <c r="D1138" s="2"/>
      <c r="E1138" s="13"/>
      <c r="F1138" s="13"/>
      <c r="G1138" s="2"/>
      <c r="H1138" s="2"/>
      <c r="I1138" s="2"/>
      <c r="J1138" s="2"/>
      <c r="K1138" s="13"/>
      <c r="L1138" s="14"/>
      <c r="M1138" s="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1"/>
      <c r="B1139" s="2"/>
      <c r="C1139" s="4"/>
      <c r="D1139" s="2"/>
      <c r="E1139" s="13"/>
      <c r="F1139" s="13"/>
      <c r="G1139" s="2"/>
      <c r="H1139" s="2"/>
      <c r="I1139" s="2"/>
      <c r="J1139" s="2"/>
      <c r="K1139" s="13"/>
      <c r="L1139" s="14"/>
      <c r="M1139" s="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"/>
      <c r="B1140" s="2"/>
      <c r="C1140" s="4"/>
      <c r="D1140" s="2"/>
      <c r="E1140" s="13"/>
      <c r="F1140" s="13"/>
      <c r="G1140" s="2"/>
      <c r="H1140" s="2"/>
      <c r="I1140" s="2"/>
      <c r="J1140" s="2"/>
      <c r="K1140" s="13"/>
      <c r="L1140" s="14"/>
      <c r="M1140" s="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"/>
      <c r="B1141" s="2"/>
      <c r="C1141" s="4"/>
      <c r="D1141" s="2"/>
      <c r="E1141" s="13"/>
      <c r="F1141" s="13"/>
      <c r="G1141" s="2"/>
      <c r="H1141" s="2"/>
      <c r="I1141" s="2"/>
      <c r="J1141" s="2"/>
      <c r="K1141" s="13"/>
      <c r="L1141" s="14"/>
      <c r="M1141" s="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"/>
      <c r="B1142" s="2"/>
      <c r="C1142" s="4"/>
      <c r="D1142" s="2"/>
      <c r="E1142" s="13"/>
      <c r="F1142" s="13"/>
      <c r="G1142" s="2"/>
      <c r="H1142" s="2"/>
      <c r="I1142" s="2"/>
      <c r="J1142" s="2"/>
      <c r="K1142" s="13"/>
      <c r="L1142" s="14"/>
      <c r="M1142" s="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"/>
      <c r="B1143" s="2"/>
      <c r="C1143" s="4"/>
      <c r="D1143" s="2"/>
      <c r="E1143" s="13"/>
      <c r="F1143" s="13"/>
      <c r="G1143" s="2"/>
      <c r="H1143" s="2"/>
      <c r="I1143" s="2"/>
      <c r="J1143" s="2"/>
      <c r="K1143" s="13"/>
      <c r="L1143" s="14"/>
      <c r="M1143" s="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"/>
      <c r="B1144" s="2"/>
      <c r="C1144" s="4"/>
      <c r="D1144" s="2"/>
      <c r="E1144" s="13"/>
      <c r="F1144" s="13"/>
      <c r="G1144" s="2"/>
      <c r="H1144" s="2"/>
      <c r="I1144" s="2"/>
      <c r="J1144" s="2"/>
      <c r="K1144" s="13"/>
      <c r="L1144" s="14"/>
      <c r="M1144" s="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"/>
      <c r="B1145" s="2"/>
      <c r="C1145" s="4"/>
      <c r="D1145" s="2"/>
      <c r="E1145" s="13"/>
      <c r="F1145" s="13"/>
      <c r="G1145" s="2"/>
      <c r="H1145" s="2"/>
      <c r="I1145" s="2"/>
      <c r="J1145" s="2"/>
      <c r="K1145" s="13"/>
      <c r="L1145" s="14"/>
      <c r="M1145" s="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"/>
      <c r="B1146" s="2"/>
      <c r="C1146" s="4"/>
      <c r="D1146" s="2"/>
      <c r="E1146" s="13"/>
      <c r="F1146" s="13"/>
      <c r="G1146" s="2"/>
      <c r="H1146" s="2"/>
      <c r="I1146" s="2"/>
      <c r="J1146" s="2"/>
      <c r="K1146" s="13"/>
      <c r="L1146" s="14"/>
      <c r="M1146" s="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"/>
      <c r="B1147" s="2"/>
      <c r="C1147" s="4"/>
      <c r="D1147" s="2"/>
      <c r="E1147" s="13"/>
      <c r="F1147" s="13"/>
      <c r="G1147" s="2"/>
      <c r="H1147" s="2"/>
      <c r="I1147" s="2"/>
      <c r="J1147" s="2"/>
      <c r="K1147" s="13"/>
      <c r="L1147" s="14"/>
      <c r="M1147" s="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"/>
      <c r="B1148" s="2"/>
      <c r="C1148" s="4"/>
      <c r="D1148" s="2"/>
      <c r="E1148" s="13"/>
      <c r="F1148" s="13"/>
      <c r="G1148" s="2"/>
      <c r="H1148" s="2"/>
      <c r="I1148" s="2"/>
      <c r="J1148" s="2"/>
      <c r="K1148" s="13"/>
      <c r="L1148" s="14"/>
      <c r="M1148" s="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"/>
      <c r="B1149" s="2"/>
      <c r="C1149" s="4"/>
      <c r="D1149" s="2"/>
      <c r="E1149" s="13"/>
      <c r="F1149" s="13"/>
      <c r="G1149" s="2"/>
      <c r="H1149" s="2"/>
      <c r="I1149" s="2"/>
      <c r="J1149" s="2"/>
      <c r="K1149" s="13"/>
      <c r="L1149" s="14"/>
      <c r="M1149" s="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1"/>
      <c r="B1150" s="2"/>
      <c r="C1150" s="4"/>
      <c r="D1150" s="2"/>
      <c r="E1150" s="13"/>
      <c r="F1150" s="13"/>
      <c r="G1150" s="2"/>
      <c r="H1150" s="2"/>
      <c r="I1150" s="2"/>
      <c r="J1150" s="2"/>
      <c r="K1150" s="13"/>
      <c r="L1150" s="14"/>
      <c r="M1150" s="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1"/>
      <c r="B1151" s="2"/>
      <c r="C1151" s="4"/>
      <c r="D1151" s="2"/>
      <c r="E1151" s="13"/>
      <c r="F1151" s="13"/>
      <c r="G1151" s="2"/>
      <c r="H1151" s="2"/>
      <c r="I1151" s="2"/>
      <c r="J1151" s="2"/>
      <c r="K1151" s="13"/>
      <c r="L1151" s="14"/>
      <c r="M1151" s="1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"/>
      <c r="B1152" s="2"/>
      <c r="C1152" s="4"/>
      <c r="D1152" s="2"/>
      <c r="E1152" s="13"/>
      <c r="F1152" s="13"/>
      <c r="G1152" s="2"/>
      <c r="H1152" s="2"/>
      <c r="I1152" s="2"/>
      <c r="J1152" s="2"/>
      <c r="K1152" s="13"/>
      <c r="L1152" s="14"/>
      <c r="M1152" s="1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"/>
      <c r="B1153" s="2"/>
      <c r="C1153" s="4"/>
      <c r="D1153" s="2"/>
      <c r="E1153" s="13"/>
      <c r="F1153" s="13"/>
      <c r="G1153" s="2"/>
      <c r="H1153" s="2"/>
      <c r="I1153" s="2"/>
      <c r="J1153" s="2"/>
      <c r="K1153" s="13"/>
      <c r="L1153" s="14"/>
      <c r="M1153" s="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"/>
      <c r="B1154" s="2"/>
      <c r="C1154" s="4"/>
      <c r="D1154" s="2"/>
      <c r="E1154" s="13"/>
      <c r="F1154" s="13"/>
      <c r="G1154" s="2"/>
      <c r="H1154" s="2"/>
      <c r="I1154" s="2"/>
      <c r="J1154" s="2"/>
      <c r="K1154" s="13"/>
      <c r="L1154" s="14"/>
      <c r="M1154" s="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"/>
      <c r="B1155" s="2"/>
      <c r="C1155" s="4"/>
      <c r="D1155" s="2"/>
      <c r="E1155" s="13"/>
      <c r="F1155" s="13"/>
      <c r="G1155" s="2"/>
      <c r="H1155" s="2"/>
      <c r="I1155" s="2"/>
      <c r="J1155" s="2"/>
      <c r="K1155" s="13"/>
      <c r="L1155" s="14"/>
      <c r="M1155" s="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"/>
      <c r="B1156" s="2"/>
      <c r="C1156" s="4"/>
      <c r="D1156" s="2"/>
      <c r="E1156" s="13"/>
      <c r="F1156" s="13"/>
      <c r="G1156" s="2"/>
      <c r="H1156" s="2"/>
      <c r="I1156" s="2"/>
      <c r="J1156" s="2"/>
      <c r="K1156" s="13"/>
      <c r="L1156" s="14"/>
      <c r="M1156" s="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"/>
      <c r="B1157" s="2"/>
      <c r="C1157" s="4"/>
      <c r="D1157" s="2"/>
      <c r="E1157" s="13"/>
      <c r="F1157" s="13"/>
      <c r="G1157" s="2"/>
      <c r="H1157" s="2"/>
      <c r="I1157" s="2"/>
      <c r="J1157" s="2"/>
      <c r="K1157" s="13"/>
      <c r="L1157" s="14"/>
      <c r="M1157" s="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"/>
      <c r="B1158" s="2"/>
      <c r="C1158" s="4"/>
      <c r="D1158" s="2"/>
      <c r="E1158" s="13"/>
      <c r="F1158" s="13"/>
      <c r="G1158" s="2"/>
      <c r="H1158" s="2"/>
      <c r="I1158" s="2"/>
      <c r="J1158" s="2"/>
      <c r="K1158" s="13"/>
      <c r="L1158" s="14"/>
      <c r="M1158" s="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"/>
      <c r="B1159" s="2"/>
      <c r="C1159" s="4"/>
      <c r="D1159" s="2"/>
      <c r="E1159" s="13"/>
      <c r="F1159" s="13"/>
      <c r="G1159" s="2"/>
      <c r="H1159" s="2"/>
      <c r="I1159" s="2"/>
      <c r="J1159" s="2"/>
      <c r="K1159" s="13"/>
      <c r="L1159" s="14"/>
      <c r="M1159" s="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"/>
      <c r="B1160" s="2"/>
      <c r="C1160" s="4"/>
      <c r="D1160" s="2"/>
      <c r="E1160" s="13"/>
      <c r="F1160" s="13"/>
      <c r="G1160" s="2"/>
      <c r="H1160" s="2"/>
      <c r="I1160" s="2"/>
      <c r="J1160" s="2"/>
      <c r="K1160" s="13"/>
      <c r="L1160" s="14"/>
      <c r="M1160" s="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"/>
      <c r="B1161" s="2"/>
      <c r="C1161" s="4"/>
      <c r="D1161" s="2"/>
      <c r="E1161" s="13"/>
      <c r="F1161" s="13"/>
      <c r="G1161" s="2"/>
      <c r="H1161" s="2"/>
      <c r="I1161" s="2"/>
      <c r="J1161" s="2"/>
      <c r="K1161" s="13"/>
      <c r="L1161" s="14"/>
      <c r="M1161" s="1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1"/>
      <c r="B1162" s="2"/>
      <c r="C1162" s="4"/>
      <c r="D1162" s="2"/>
      <c r="E1162" s="13"/>
      <c r="F1162" s="13"/>
      <c r="G1162" s="2"/>
      <c r="H1162" s="2"/>
      <c r="I1162" s="2"/>
      <c r="J1162" s="2"/>
      <c r="K1162" s="13"/>
      <c r="L1162" s="14"/>
      <c r="M1162" s="1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1"/>
      <c r="B1163" s="2"/>
      <c r="C1163" s="4"/>
      <c r="D1163" s="2"/>
      <c r="E1163" s="13"/>
      <c r="F1163" s="13"/>
      <c r="G1163" s="2"/>
      <c r="H1163" s="2"/>
      <c r="I1163" s="2"/>
      <c r="J1163" s="2"/>
      <c r="K1163" s="13"/>
      <c r="L1163" s="14"/>
      <c r="M1163" s="1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"/>
      <c r="B1164" s="2"/>
      <c r="C1164" s="4"/>
      <c r="D1164" s="2"/>
      <c r="E1164" s="13"/>
      <c r="F1164" s="13"/>
      <c r="G1164" s="2"/>
      <c r="H1164" s="2"/>
      <c r="I1164" s="2"/>
      <c r="J1164" s="2"/>
      <c r="K1164" s="13"/>
      <c r="L1164" s="14"/>
      <c r="M1164" s="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"/>
      <c r="B1165" s="2"/>
      <c r="C1165" s="4"/>
      <c r="D1165" s="2"/>
      <c r="E1165" s="13"/>
      <c r="F1165" s="13"/>
      <c r="G1165" s="2"/>
      <c r="H1165" s="2"/>
      <c r="I1165" s="2"/>
      <c r="J1165" s="2"/>
      <c r="K1165" s="13"/>
      <c r="L1165" s="14"/>
      <c r="M1165" s="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"/>
      <c r="B1166" s="2"/>
      <c r="C1166" s="4"/>
      <c r="D1166" s="2"/>
      <c r="E1166" s="13"/>
      <c r="F1166" s="13"/>
      <c r="G1166" s="2"/>
      <c r="H1166" s="2"/>
      <c r="I1166" s="2"/>
      <c r="J1166" s="2"/>
      <c r="K1166" s="13"/>
      <c r="L1166" s="14"/>
      <c r="M1166" s="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"/>
      <c r="B1167" s="2"/>
      <c r="C1167" s="4"/>
      <c r="D1167" s="2"/>
      <c r="E1167" s="13"/>
      <c r="F1167" s="13"/>
      <c r="G1167" s="2"/>
      <c r="H1167" s="2"/>
      <c r="I1167" s="2"/>
      <c r="J1167" s="2"/>
      <c r="K1167" s="13"/>
      <c r="L1167" s="14"/>
      <c r="M1167" s="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"/>
      <c r="B1168" s="2"/>
      <c r="C1168" s="4"/>
      <c r="D1168" s="2"/>
      <c r="E1168" s="13"/>
      <c r="F1168" s="13"/>
      <c r="G1168" s="2"/>
      <c r="H1168" s="2"/>
      <c r="I1168" s="2"/>
      <c r="J1168" s="2"/>
      <c r="K1168" s="13"/>
      <c r="L1168" s="14"/>
      <c r="M1168" s="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1"/>
      <c r="B1169" s="2"/>
      <c r="C1169" s="4"/>
      <c r="D1169" s="2"/>
      <c r="E1169" s="13"/>
      <c r="F1169" s="13"/>
      <c r="G1169" s="2"/>
      <c r="H1169" s="2"/>
      <c r="I1169" s="2"/>
      <c r="J1169" s="2"/>
      <c r="K1169" s="13"/>
      <c r="L1169" s="14"/>
      <c r="M1169" s="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1"/>
      <c r="B1170" s="2"/>
      <c r="C1170" s="4"/>
      <c r="D1170" s="2"/>
      <c r="E1170" s="13"/>
      <c r="F1170" s="13"/>
      <c r="G1170" s="2"/>
      <c r="H1170" s="2"/>
      <c r="I1170" s="2"/>
      <c r="J1170" s="2"/>
      <c r="K1170" s="13"/>
      <c r="L1170" s="14"/>
      <c r="M1170" s="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"/>
      <c r="B1171" s="2"/>
      <c r="C1171" s="4"/>
      <c r="D1171" s="2"/>
      <c r="E1171" s="13"/>
      <c r="F1171" s="13"/>
      <c r="G1171" s="2"/>
      <c r="H1171" s="2"/>
      <c r="I1171" s="2"/>
      <c r="J1171" s="2"/>
      <c r="K1171" s="13"/>
      <c r="L1171" s="14"/>
      <c r="M1171" s="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"/>
      <c r="B1172" s="2"/>
      <c r="C1172" s="4"/>
      <c r="D1172" s="2"/>
      <c r="E1172" s="13"/>
      <c r="F1172" s="13"/>
      <c r="G1172" s="2"/>
      <c r="H1172" s="2"/>
      <c r="I1172" s="2"/>
      <c r="J1172" s="2"/>
      <c r="K1172" s="13"/>
      <c r="L1172" s="14"/>
      <c r="M1172" s="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"/>
      <c r="B1173" s="2"/>
      <c r="C1173" s="4"/>
      <c r="D1173" s="2"/>
      <c r="E1173" s="13"/>
      <c r="F1173" s="13"/>
      <c r="G1173" s="2"/>
      <c r="H1173" s="2"/>
      <c r="I1173" s="2"/>
      <c r="J1173" s="2"/>
      <c r="K1173" s="13"/>
      <c r="L1173" s="14"/>
      <c r="M1173" s="1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"/>
      <c r="B1174" s="2"/>
      <c r="C1174" s="4"/>
      <c r="D1174" s="2"/>
      <c r="E1174" s="13"/>
      <c r="F1174" s="13"/>
      <c r="G1174" s="2"/>
      <c r="H1174" s="2"/>
      <c r="I1174" s="2"/>
      <c r="J1174" s="2"/>
      <c r="K1174" s="13"/>
      <c r="L1174" s="14"/>
      <c r="M1174" s="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"/>
      <c r="B1175" s="2"/>
      <c r="C1175" s="4"/>
      <c r="D1175" s="2"/>
      <c r="E1175" s="13"/>
      <c r="F1175" s="13"/>
      <c r="G1175" s="2"/>
      <c r="H1175" s="2"/>
      <c r="I1175" s="2"/>
      <c r="J1175" s="2"/>
      <c r="K1175" s="13"/>
      <c r="L1175" s="14"/>
      <c r="M1175" s="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"/>
      <c r="B1176" s="2"/>
      <c r="C1176" s="4"/>
      <c r="D1176" s="2"/>
      <c r="E1176" s="13"/>
      <c r="F1176" s="13"/>
      <c r="G1176" s="2"/>
      <c r="H1176" s="2"/>
      <c r="I1176" s="2"/>
      <c r="J1176" s="2"/>
      <c r="K1176" s="13"/>
      <c r="L1176" s="14"/>
      <c r="M1176" s="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">
      <c r="A1177" s="1"/>
      <c r="B1177" s="2"/>
      <c r="C1177" s="4"/>
      <c r="D1177" s="2"/>
      <c r="E1177" s="13"/>
      <c r="F1177" s="13"/>
      <c r="G1177" s="2"/>
      <c r="H1177" s="2"/>
      <c r="I1177" s="2"/>
      <c r="J1177" s="2"/>
      <c r="K1177" s="13"/>
      <c r="L1177" s="14"/>
      <c r="M1177" s="1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"/>
      <c r="B1178" s="2"/>
      <c r="C1178" s="4"/>
      <c r="D1178" s="2"/>
      <c r="E1178" s="13"/>
      <c r="F1178" s="13"/>
      <c r="G1178" s="2"/>
      <c r="H1178" s="2"/>
      <c r="I1178" s="2"/>
      <c r="J1178" s="2"/>
      <c r="K1178" s="13"/>
      <c r="L1178" s="14"/>
      <c r="M1178" s="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"/>
      <c r="B1179" s="2"/>
      <c r="C1179" s="4"/>
      <c r="D1179" s="2"/>
      <c r="E1179" s="13"/>
      <c r="F1179" s="13"/>
      <c r="G1179" s="2"/>
      <c r="H1179" s="2"/>
      <c r="I1179" s="2"/>
      <c r="J1179" s="2"/>
      <c r="K1179" s="13"/>
      <c r="L1179" s="14"/>
      <c r="M1179" s="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"/>
      <c r="B1180" s="2"/>
      <c r="C1180" s="4"/>
      <c r="D1180" s="2"/>
      <c r="E1180" s="13"/>
      <c r="F1180" s="13"/>
      <c r="G1180" s="2"/>
      <c r="H1180" s="2"/>
      <c r="I1180" s="2"/>
      <c r="J1180" s="2"/>
      <c r="K1180" s="13"/>
      <c r="L1180" s="14"/>
      <c r="M1180" s="1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"/>
      <c r="B1181" s="2"/>
      <c r="C1181" s="4"/>
      <c r="D1181" s="2"/>
      <c r="E1181" s="13"/>
      <c r="F1181" s="13"/>
      <c r="G1181" s="2"/>
      <c r="H1181" s="2"/>
      <c r="I1181" s="2"/>
      <c r="J1181" s="2"/>
      <c r="K1181" s="13"/>
      <c r="L1181" s="14"/>
      <c r="M1181" s="1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"/>
      <c r="B1182" s="2"/>
      <c r="C1182" s="4"/>
      <c r="D1182" s="2"/>
      <c r="E1182" s="13"/>
      <c r="F1182" s="13"/>
      <c r="G1182" s="2"/>
      <c r="H1182" s="2"/>
      <c r="I1182" s="2"/>
      <c r="J1182" s="2"/>
      <c r="K1182" s="13"/>
      <c r="L1182" s="14"/>
      <c r="M1182" s="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"/>
      <c r="B1183" s="2"/>
      <c r="C1183" s="4"/>
      <c r="D1183" s="2"/>
      <c r="E1183" s="13"/>
      <c r="F1183" s="13"/>
      <c r="G1183" s="2"/>
      <c r="H1183" s="2"/>
      <c r="I1183" s="2"/>
      <c r="J1183" s="2"/>
      <c r="K1183" s="13"/>
      <c r="L1183" s="14"/>
      <c r="M1183" s="1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"/>
      <c r="B1184" s="2"/>
      <c r="C1184" s="4"/>
      <c r="D1184" s="2"/>
      <c r="E1184" s="13"/>
      <c r="F1184" s="13"/>
      <c r="G1184" s="2"/>
      <c r="H1184" s="2"/>
      <c r="I1184" s="2"/>
      <c r="J1184" s="2"/>
      <c r="K1184" s="13"/>
      <c r="L1184" s="14"/>
      <c r="M1184" s="1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"/>
      <c r="B1185" s="2"/>
      <c r="C1185" s="4"/>
      <c r="D1185" s="2"/>
      <c r="E1185" s="13"/>
      <c r="F1185" s="13"/>
      <c r="G1185" s="2"/>
      <c r="H1185" s="2"/>
      <c r="I1185" s="2"/>
      <c r="J1185" s="2"/>
      <c r="K1185" s="13"/>
      <c r="L1185" s="14"/>
      <c r="M1185" s="1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"/>
      <c r="B1186" s="2"/>
      <c r="C1186" s="4"/>
      <c r="D1186" s="2"/>
      <c r="E1186" s="13"/>
      <c r="F1186" s="13"/>
      <c r="G1186" s="2"/>
      <c r="H1186" s="2"/>
      <c r="I1186" s="2"/>
      <c r="J1186" s="2"/>
      <c r="K1186" s="13"/>
      <c r="L1186" s="14"/>
      <c r="M1186" s="1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"/>
      <c r="B1187" s="2"/>
      <c r="C1187" s="4"/>
      <c r="D1187" s="2"/>
      <c r="E1187" s="13"/>
      <c r="F1187" s="13"/>
      <c r="G1187" s="2"/>
      <c r="H1187" s="2"/>
      <c r="I1187" s="2"/>
      <c r="J1187" s="2"/>
      <c r="K1187" s="13"/>
      <c r="L1187" s="14"/>
      <c r="M1187" s="1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"/>
      <c r="B1188" s="2"/>
      <c r="C1188" s="4"/>
      <c r="D1188" s="2"/>
      <c r="E1188" s="13"/>
      <c r="F1188" s="13"/>
      <c r="G1188" s="2"/>
      <c r="H1188" s="2"/>
      <c r="I1188" s="2"/>
      <c r="J1188" s="2"/>
      <c r="K1188" s="13"/>
      <c r="L1188" s="14"/>
      <c r="M1188" s="1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"/>
      <c r="B1189" s="2"/>
      <c r="C1189" s="4"/>
      <c r="D1189" s="2"/>
      <c r="E1189" s="13"/>
      <c r="F1189" s="13"/>
      <c r="G1189" s="2"/>
      <c r="H1189" s="2"/>
      <c r="I1189" s="2"/>
      <c r="J1189" s="2"/>
      <c r="K1189" s="13"/>
      <c r="L1189" s="14"/>
      <c r="M1189" s="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"/>
      <c r="B1190" s="2"/>
      <c r="C1190" s="4"/>
      <c r="D1190" s="2"/>
      <c r="E1190" s="13"/>
      <c r="F1190" s="13"/>
      <c r="G1190" s="2"/>
      <c r="H1190" s="2"/>
      <c r="I1190" s="2"/>
      <c r="J1190" s="2"/>
      <c r="K1190" s="13"/>
      <c r="L1190" s="14"/>
      <c r="M1190" s="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"/>
      <c r="B1191" s="2"/>
      <c r="C1191" s="4"/>
      <c r="D1191" s="2"/>
      <c r="E1191" s="13"/>
      <c r="F1191" s="13"/>
      <c r="G1191" s="2"/>
      <c r="H1191" s="2"/>
      <c r="I1191" s="2"/>
      <c r="J1191" s="2"/>
      <c r="K1191" s="13"/>
      <c r="L1191" s="14"/>
      <c r="M1191" s="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"/>
      <c r="B1192" s="2"/>
      <c r="C1192" s="4"/>
      <c r="D1192" s="2"/>
      <c r="E1192" s="13"/>
      <c r="F1192" s="13"/>
      <c r="G1192" s="2"/>
      <c r="H1192" s="2"/>
      <c r="I1192" s="2"/>
      <c r="J1192" s="2"/>
      <c r="K1192" s="13"/>
      <c r="L1192" s="14"/>
      <c r="M1192" s="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"/>
      <c r="B1193" s="2"/>
      <c r="C1193" s="4"/>
      <c r="D1193" s="2"/>
      <c r="E1193" s="13"/>
      <c r="F1193" s="13"/>
      <c r="G1193" s="2"/>
      <c r="H1193" s="2"/>
      <c r="I1193" s="2"/>
      <c r="J1193" s="2"/>
      <c r="K1193" s="13"/>
      <c r="L1193" s="14"/>
      <c r="M1193" s="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"/>
      <c r="B1194" s="2"/>
      <c r="C1194" s="4"/>
      <c r="D1194" s="2"/>
      <c r="E1194" s="13"/>
      <c r="F1194" s="13"/>
      <c r="G1194" s="2"/>
      <c r="H1194" s="2"/>
      <c r="I1194" s="2"/>
      <c r="J1194" s="2"/>
      <c r="K1194" s="13"/>
      <c r="L1194" s="14"/>
      <c r="M1194" s="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"/>
      <c r="B1195" s="2"/>
      <c r="C1195" s="4"/>
      <c r="D1195" s="2"/>
      <c r="E1195" s="13"/>
      <c r="F1195" s="13"/>
      <c r="G1195" s="2"/>
      <c r="H1195" s="2"/>
      <c r="I1195" s="2"/>
      <c r="J1195" s="2"/>
      <c r="K1195" s="13"/>
      <c r="L1195" s="14"/>
      <c r="M1195" s="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"/>
      <c r="B1196" s="2"/>
      <c r="C1196" s="4"/>
      <c r="D1196" s="2"/>
      <c r="E1196" s="13"/>
      <c r="F1196" s="13"/>
      <c r="G1196" s="2"/>
      <c r="H1196" s="2"/>
      <c r="I1196" s="2"/>
      <c r="J1196" s="2"/>
      <c r="K1196" s="13"/>
      <c r="L1196" s="14"/>
      <c r="M1196" s="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"/>
      <c r="B1197" s="2"/>
      <c r="C1197" s="4"/>
      <c r="D1197" s="2"/>
      <c r="E1197" s="13"/>
      <c r="F1197" s="13"/>
      <c r="G1197" s="2"/>
      <c r="H1197" s="2"/>
      <c r="I1197" s="2"/>
      <c r="J1197" s="2"/>
      <c r="K1197" s="13"/>
      <c r="L1197" s="14"/>
      <c r="M1197" s="1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"/>
      <c r="B1198" s="2"/>
      <c r="C1198" s="4"/>
      <c r="D1198" s="2"/>
      <c r="E1198" s="13"/>
      <c r="F1198" s="13"/>
      <c r="G1198" s="2"/>
      <c r="H1198" s="2"/>
      <c r="I1198" s="2"/>
      <c r="J1198" s="2"/>
      <c r="K1198" s="13"/>
      <c r="L1198" s="14"/>
      <c r="M1198" s="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"/>
      <c r="B1199" s="2"/>
      <c r="C1199" s="4"/>
      <c r="D1199" s="2"/>
      <c r="E1199" s="13"/>
      <c r="F1199" s="13"/>
      <c r="G1199" s="2"/>
      <c r="H1199" s="2"/>
      <c r="I1199" s="2"/>
      <c r="J1199" s="2"/>
      <c r="K1199" s="13"/>
      <c r="L1199" s="14"/>
      <c r="M1199" s="1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"/>
      <c r="B1200" s="2"/>
      <c r="C1200" s="4"/>
      <c r="D1200" s="2"/>
      <c r="E1200" s="13"/>
      <c r="F1200" s="13"/>
      <c r="G1200" s="2"/>
      <c r="H1200" s="2"/>
      <c r="I1200" s="2"/>
      <c r="J1200" s="2"/>
      <c r="K1200" s="13"/>
      <c r="L1200" s="14"/>
      <c r="M1200" s="1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"/>
      <c r="B1201" s="2"/>
      <c r="C1201" s="4"/>
      <c r="D1201" s="2"/>
      <c r="E1201" s="13"/>
      <c r="F1201" s="13"/>
      <c r="G1201" s="2"/>
      <c r="H1201" s="2"/>
      <c r="I1201" s="2"/>
      <c r="J1201" s="2"/>
      <c r="K1201" s="13"/>
      <c r="L1201" s="14"/>
      <c r="M1201" s="1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"/>
      <c r="B1202" s="2"/>
      <c r="C1202" s="4"/>
      <c r="D1202" s="2"/>
      <c r="E1202" s="13"/>
      <c r="F1202" s="13"/>
      <c r="G1202" s="2"/>
      <c r="H1202" s="2"/>
      <c r="I1202" s="2"/>
      <c r="J1202" s="2"/>
      <c r="K1202" s="13"/>
      <c r="L1202" s="14"/>
      <c r="M1202" s="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"/>
      <c r="B1203" s="2"/>
      <c r="C1203" s="4"/>
      <c r="D1203" s="2"/>
      <c r="E1203" s="13"/>
      <c r="F1203" s="13"/>
      <c r="G1203" s="2"/>
      <c r="H1203" s="2"/>
      <c r="I1203" s="2"/>
      <c r="J1203" s="2"/>
      <c r="K1203" s="13"/>
      <c r="L1203" s="14"/>
      <c r="M1203" s="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"/>
      <c r="B1204" s="2"/>
      <c r="C1204" s="4"/>
      <c r="D1204" s="2"/>
      <c r="E1204" s="13"/>
      <c r="F1204" s="13"/>
      <c r="G1204" s="2"/>
      <c r="H1204" s="2"/>
      <c r="I1204" s="2"/>
      <c r="J1204" s="2"/>
      <c r="K1204" s="13"/>
      <c r="L1204" s="14"/>
      <c r="M1204" s="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"/>
      <c r="B1205" s="2"/>
      <c r="C1205" s="4"/>
      <c r="D1205" s="2"/>
      <c r="E1205" s="13"/>
      <c r="F1205" s="13"/>
      <c r="G1205" s="2"/>
      <c r="H1205" s="2"/>
      <c r="I1205" s="2"/>
      <c r="J1205" s="2"/>
      <c r="K1205" s="13"/>
      <c r="L1205" s="14"/>
      <c r="M1205" s="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"/>
      <c r="B1206" s="2"/>
      <c r="C1206" s="4"/>
      <c r="D1206" s="2"/>
      <c r="E1206" s="13"/>
      <c r="F1206" s="13"/>
      <c r="G1206" s="2"/>
      <c r="H1206" s="2"/>
      <c r="I1206" s="2"/>
      <c r="J1206" s="2"/>
      <c r="K1206" s="13"/>
      <c r="L1206" s="14"/>
      <c r="M1206" s="1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"/>
      <c r="B1207" s="2"/>
      <c r="C1207" s="4"/>
      <c r="D1207" s="2"/>
      <c r="E1207" s="13"/>
      <c r="F1207" s="13"/>
      <c r="G1207" s="2"/>
      <c r="H1207" s="2"/>
      <c r="I1207" s="2"/>
      <c r="J1207" s="2"/>
      <c r="K1207" s="13"/>
      <c r="L1207" s="14"/>
      <c r="M1207" s="1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"/>
      <c r="B1208" s="2"/>
      <c r="C1208" s="4"/>
      <c r="D1208" s="2"/>
      <c r="E1208" s="13"/>
      <c r="F1208" s="13"/>
      <c r="G1208" s="2"/>
      <c r="H1208" s="2"/>
      <c r="I1208" s="2"/>
      <c r="J1208" s="2"/>
      <c r="K1208" s="13"/>
      <c r="L1208" s="14"/>
      <c r="M1208" s="1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"/>
      <c r="B1209" s="2"/>
      <c r="C1209" s="4"/>
      <c r="D1209" s="2"/>
      <c r="E1209" s="13"/>
      <c r="F1209" s="13"/>
      <c r="G1209" s="2"/>
      <c r="H1209" s="2"/>
      <c r="I1209" s="2"/>
      <c r="J1209" s="2"/>
      <c r="K1209" s="13"/>
      <c r="L1209" s="14"/>
      <c r="M1209" s="1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"/>
      <c r="B1210" s="2"/>
      <c r="C1210" s="4"/>
      <c r="D1210" s="2"/>
      <c r="E1210" s="13"/>
      <c r="F1210" s="13"/>
      <c r="G1210" s="2"/>
      <c r="H1210" s="2"/>
      <c r="I1210" s="2"/>
      <c r="J1210" s="2"/>
      <c r="K1210" s="13"/>
      <c r="L1210" s="14"/>
      <c r="M1210" s="1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"/>
      <c r="B1211" s="2"/>
      <c r="C1211" s="4"/>
      <c r="D1211" s="2"/>
      <c r="E1211" s="13"/>
      <c r="F1211" s="13"/>
      <c r="G1211" s="2"/>
      <c r="H1211" s="2"/>
      <c r="I1211" s="2"/>
      <c r="J1211" s="2"/>
      <c r="K1211" s="13"/>
      <c r="L1211" s="14"/>
      <c r="M1211" s="1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"/>
      <c r="B1212" s="2"/>
      <c r="C1212" s="4"/>
      <c r="D1212" s="2"/>
      <c r="E1212" s="13"/>
      <c r="F1212" s="13"/>
      <c r="G1212" s="2"/>
      <c r="H1212" s="2"/>
      <c r="I1212" s="2"/>
      <c r="J1212" s="2"/>
      <c r="K1212" s="13"/>
      <c r="L1212" s="14"/>
      <c r="M1212" s="1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">
      <c r="A1213" s="1"/>
      <c r="B1213" s="2"/>
      <c r="C1213" s="4"/>
      <c r="D1213" s="2"/>
      <c r="E1213" s="13"/>
      <c r="F1213" s="13"/>
      <c r="G1213" s="2"/>
      <c r="H1213" s="2"/>
      <c r="I1213" s="2"/>
      <c r="J1213" s="2"/>
      <c r="K1213" s="13"/>
      <c r="L1213" s="14"/>
      <c r="M1213" s="1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"/>
      <c r="B1214" s="2"/>
      <c r="C1214" s="4"/>
      <c r="D1214" s="2"/>
      <c r="E1214" s="13"/>
      <c r="F1214" s="13"/>
      <c r="G1214" s="2"/>
      <c r="H1214" s="2"/>
      <c r="I1214" s="2"/>
      <c r="J1214" s="2"/>
      <c r="K1214" s="13"/>
      <c r="L1214" s="14"/>
      <c r="M1214" s="1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"/>
      <c r="B1215" s="2"/>
      <c r="C1215" s="4"/>
      <c r="D1215" s="2"/>
      <c r="E1215" s="13"/>
      <c r="F1215" s="13"/>
      <c r="G1215" s="2"/>
      <c r="H1215" s="2"/>
      <c r="I1215" s="2"/>
      <c r="J1215" s="2"/>
      <c r="K1215" s="13"/>
      <c r="L1215" s="14"/>
      <c r="M1215" s="1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"/>
      <c r="B1216" s="2"/>
      <c r="C1216" s="4"/>
      <c r="D1216" s="2"/>
      <c r="E1216" s="13"/>
      <c r="F1216" s="13"/>
      <c r="G1216" s="2"/>
      <c r="H1216" s="2"/>
      <c r="I1216" s="2"/>
      <c r="J1216" s="2"/>
      <c r="K1216" s="13"/>
      <c r="L1216" s="14"/>
      <c r="M1216" s="1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"/>
      <c r="B1217" s="2"/>
      <c r="C1217" s="4"/>
      <c r="D1217" s="2"/>
      <c r="E1217" s="13"/>
      <c r="F1217" s="13"/>
      <c r="G1217" s="2"/>
      <c r="H1217" s="2"/>
      <c r="I1217" s="2"/>
      <c r="J1217" s="2"/>
      <c r="K1217" s="13"/>
      <c r="L1217" s="14"/>
      <c r="M1217" s="1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"/>
      <c r="B1218" s="2"/>
      <c r="C1218" s="4"/>
      <c r="D1218" s="2"/>
      <c r="E1218" s="13"/>
      <c r="F1218" s="13"/>
      <c r="G1218" s="2"/>
      <c r="H1218" s="2"/>
      <c r="I1218" s="2"/>
      <c r="J1218" s="2"/>
      <c r="K1218" s="13"/>
      <c r="L1218" s="14"/>
      <c r="M1218" s="1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"/>
      <c r="B1219" s="2"/>
      <c r="C1219" s="4"/>
      <c r="D1219" s="2"/>
      <c r="E1219" s="13"/>
      <c r="F1219" s="13"/>
      <c r="G1219" s="2"/>
      <c r="H1219" s="2"/>
      <c r="I1219" s="2"/>
      <c r="J1219" s="2"/>
      <c r="K1219" s="13"/>
      <c r="L1219" s="14"/>
      <c r="M1219" s="1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"/>
      <c r="B1220" s="2"/>
      <c r="C1220" s="4"/>
      <c r="D1220" s="2"/>
      <c r="E1220" s="13"/>
      <c r="F1220" s="13"/>
      <c r="G1220" s="2"/>
      <c r="H1220" s="2"/>
      <c r="I1220" s="2"/>
      <c r="J1220" s="2"/>
      <c r="K1220" s="13"/>
      <c r="L1220" s="14"/>
      <c r="M1220" s="1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"/>
      <c r="B1221" s="2"/>
      <c r="C1221" s="4"/>
      <c r="D1221" s="2"/>
      <c r="E1221" s="13"/>
      <c r="F1221" s="13"/>
      <c r="G1221" s="2"/>
      <c r="H1221" s="2"/>
      <c r="I1221" s="2"/>
      <c r="J1221" s="2"/>
      <c r="K1221" s="13"/>
      <c r="L1221" s="14"/>
      <c r="M1221" s="1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"/>
      <c r="B1222" s="2"/>
      <c r="C1222" s="4"/>
      <c r="D1222" s="2"/>
      <c r="E1222" s="13"/>
      <c r="F1222" s="13"/>
      <c r="G1222" s="2"/>
      <c r="H1222" s="2"/>
      <c r="I1222" s="2"/>
      <c r="J1222" s="2"/>
      <c r="K1222" s="13"/>
      <c r="L1222" s="14"/>
      <c r="M1222" s="1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"/>
      <c r="B1223" s="2"/>
      <c r="C1223" s="4"/>
      <c r="D1223" s="2"/>
      <c r="E1223" s="13"/>
      <c r="F1223" s="13"/>
      <c r="G1223" s="2"/>
      <c r="H1223" s="2"/>
      <c r="I1223" s="2"/>
      <c r="J1223" s="2"/>
      <c r="K1223" s="13"/>
      <c r="L1223" s="14"/>
      <c r="M1223" s="1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"/>
      <c r="B1224" s="2"/>
      <c r="C1224" s="4"/>
      <c r="D1224" s="2"/>
      <c r="E1224" s="13"/>
      <c r="F1224" s="13"/>
      <c r="G1224" s="2"/>
      <c r="H1224" s="2"/>
      <c r="I1224" s="2"/>
      <c r="J1224" s="2"/>
      <c r="K1224" s="13"/>
      <c r="L1224" s="14"/>
      <c r="M1224" s="1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">
      <c r="A1225" s="1"/>
      <c r="B1225" s="2"/>
      <c r="C1225" s="4"/>
      <c r="D1225" s="2"/>
      <c r="E1225" s="13"/>
      <c r="F1225" s="13"/>
      <c r="G1225" s="2"/>
      <c r="H1225" s="2"/>
      <c r="I1225" s="2"/>
      <c r="J1225" s="2"/>
      <c r="K1225" s="13"/>
      <c r="L1225" s="14"/>
      <c r="M1225" s="1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"/>
      <c r="B1226" s="2"/>
      <c r="C1226" s="4"/>
      <c r="D1226" s="2"/>
      <c r="E1226" s="13"/>
      <c r="F1226" s="13"/>
      <c r="G1226" s="2"/>
      <c r="H1226" s="2"/>
      <c r="I1226" s="2"/>
      <c r="J1226" s="2"/>
      <c r="K1226" s="13"/>
      <c r="L1226" s="14"/>
      <c r="M1226" s="1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"/>
      <c r="B1227" s="2"/>
      <c r="C1227" s="4"/>
      <c r="D1227" s="2"/>
      <c r="E1227" s="13"/>
      <c r="F1227" s="13"/>
      <c r="G1227" s="2"/>
      <c r="H1227" s="2"/>
      <c r="I1227" s="2"/>
      <c r="J1227" s="2"/>
      <c r="K1227" s="13"/>
      <c r="L1227" s="14"/>
      <c r="M1227" s="1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"/>
      <c r="B1228" s="2"/>
      <c r="C1228" s="4"/>
      <c r="D1228" s="2"/>
      <c r="E1228" s="13"/>
      <c r="F1228" s="13"/>
      <c r="G1228" s="2"/>
      <c r="H1228" s="2"/>
      <c r="I1228" s="2"/>
      <c r="J1228" s="2"/>
      <c r="K1228" s="13"/>
      <c r="L1228" s="14"/>
      <c r="M1228" s="1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"/>
      <c r="B1229" s="2"/>
      <c r="C1229" s="4"/>
      <c r="D1229" s="2"/>
      <c r="E1229" s="13"/>
      <c r="F1229" s="13"/>
      <c r="G1229" s="2"/>
      <c r="H1229" s="2"/>
      <c r="I1229" s="2"/>
      <c r="J1229" s="2"/>
      <c r="K1229" s="13"/>
      <c r="L1229" s="14"/>
      <c r="M1229" s="1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"/>
      <c r="B1230" s="2"/>
      <c r="C1230" s="4"/>
      <c r="D1230" s="2"/>
      <c r="E1230" s="13"/>
      <c r="F1230" s="13"/>
      <c r="G1230" s="2"/>
      <c r="H1230" s="2"/>
      <c r="I1230" s="2"/>
      <c r="J1230" s="2"/>
      <c r="K1230" s="13"/>
      <c r="L1230" s="14"/>
      <c r="M1230" s="1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"/>
      <c r="B1231" s="2"/>
      <c r="C1231" s="4"/>
      <c r="D1231" s="2"/>
      <c r="E1231" s="13"/>
      <c r="F1231" s="13"/>
      <c r="G1231" s="2"/>
      <c r="H1231" s="2"/>
      <c r="I1231" s="2"/>
      <c r="J1231" s="2"/>
      <c r="K1231" s="13"/>
      <c r="L1231" s="14"/>
      <c r="M1231" s="1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"/>
      <c r="B1232" s="2"/>
      <c r="C1232" s="4"/>
      <c r="D1232" s="2"/>
      <c r="E1232" s="13"/>
      <c r="F1232" s="13"/>
      <c r="G1232" s="2"/>
      <c r="H1232" s="2"/>
      <c r="I1232" s="2"/>
      <c r="J1232" s="2"/>
      <c r="K1232" s="13"/>
      <c r="L1232" s="14"/>
      <c r="M1232" s="1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"/>
      <c r="B1233" s="2"/>
      <c r="C1233" s="4"/>
      <c r="D1233" s="2"/>
      <c r="E1233" s="13"/>
      <c r="F1233" s="13"/>
      <c r="G1233" s="2"/>
      <c r="H1233" s="2"/>
      <c r="I1233" s="2"/>
      <c r="J1233" s="2"/>
      <c r="K1233" s="13"/>
      <c r="L1233" s="14"/>
      <c r="M1233" s="1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"/>
      <c r="B1234" s="2"/>
      <c r="C1234" s="4"/>
      <c r="D1234" s="2"/>
      <c r="E1234" s="13"/>
      <c r="F1234" s="13"/>
      <c r="G1234" s="2"/>
      <c r="H1234" s="2"/>
      <c r="I1234" s="2"/>
      <c r="J1234" s="2"/>
      <c r="K1234" s="13"/>
      <c r="L1234" s="14"/>
      <c r="M1234" s="1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"/>
      <c r="B1235" s="2"/>
      <c r="C1235" s="4"/>
      <c r="D1235" s="2"/>
      <c r="E1235" s="13"/>
      <c r="F1235" s="13"/>
      <c r="G1235" s="2"/>
      <c r="H1235" s="2"/>
      <c r="I1235" s="2"/>
      <c r="J1235" s="2"/>
      <c r="K1235" s="13"/>
      <c r="L1235" s="14"/>
      <c r="M1235" s="1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"/>
      <c r="B1236" s="2"/>
      <c r="C1236" s="4"/>
      <c r="D1236" s="2"/>
      <c r="E1236" s="13"/>
      <c r="F1236" s="13"/>
      <c r="G1236" s="2"/>
      <c r="H1236" s="2"/>
      <c r="I1236" s="2"/>
      <c r="J1236" s="2"/>
      <c r="K1236" s="13"/>
      <c r="L1236" s="14"/>
      <c r="M1236" s="1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"/>
      <c r="B1237" s="2"/>
      <c r="C1237" s="4"/>
      <c r="D1237" s="2"/>
      <c r="E1237" s="13"/>
      <c r="F1237" s="13"/>
      <c r="G1237" s="2"/>
      <c r="H1237" s="2"/>
      <c r="I1237" s="2"/>
      <c r="J1237" s="2"/>
      <c r="K1237" s="13"/>
      <c r="L1237" s="14"/>
      <c r="M1237" s="1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"/>
      <c r="B1238" s="2"/>
      <c r="C1238" s="4"/>
      <c r="D1238" s="2"/>
      <c r="E1238" s="13"/>
      <c r="F1238" s="13"/>
      <c r="G1238" s="2"/>
      <c r="H1238" s="2"/>
      <c r="I1238" s="2"/>
      <c r="J1238" s="2"/>
      <c r="K1238" s="13"/>
      <c r="L1238" s="14"/>
      <c r="M1238" s="1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"/>
      <c r="B1239" s="2"/>
      <c r="C1239" s="4"/>
      <c r="D1239" s="2"/>
      <c r="E1239" s="13"/>
      <c r="F1239" s="13"/>
      <c r="G1239" s="2"/>
      <c r="H1239" s="2"/>
      <c r="I1239" s="2"/>
      <c r="J1239" s="2"/>
      <c r="K1239" s="13"/>
      <c r="L1239" s="14"/>
      <c r="M1239" s="1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"/>
      <c r="B1240" s="2"/>
      <c r="C1240" s="4"/>
      <c r="D1240" s="2"/>
      <c r="E1240" s="13"/>
      <c r="F1240" s="13"/>
      <c r="G1240" s="2"/>
      <c r="H1240" s="2"/>
      <c r="I1240" s="2"/>
      <c r="J1240" s="2"/>
      <c r="K1240" s="13"/>
      <c r="L1240" s="14"/>
      <c r="M1240" s="1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"/>
      <c r="B1241" s="2"/>
      <c r="C1241" s="4"/>
      <c r="D1241" s="2"/>
      <c r="E1241" s="13"/>
      <c r="F1241" s="13"/>
      <c r="G1241" s="2"/>
      <c r="H1241" s="2"/>
      <c r="I1241" s="2"/>
      <c r="J1241" s="2"/>
      <c r="K1241" s="13"/>
      <c r="L1241" s="14"/>
      <c r="M1241" s="1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"/>
      <c r="B1242" s="2"/>
      <c r="C1242" s="4"/>
      <c r="D1242" s="2"/>
      <c r="E1242" s="13"/>
      <c r="F1242" s="13"/>
      <c r="G1242" s="2"/>
      <c r="H1242" s="2"/>
      <c r="I1242" s="2"/>
      <c r="J1242" s="2"/>
      <c r="K1242" s="13"/>
      <c r="L1242" s="14"/>
      <c r="M1242" s="1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"/>
      <c r="B1243" s="2"/>
      <c r="C1243" s="4"/>
      <c r="D1243" s="2"/>
      <c r="E1243" s="13"/>
      <c r="F1243" s="13"/>
      <c r="G1243" s="2"/>
      <c r="H1243" s="2"/>
      <c r="I1243" s="2"/>
      <c r="J1243" s="2"/>
      <c r="K1243" s="13"/>
      <c r="L1243" s="14"/>
      <c r="M1243" s="1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"/>
      <c r="B1244" s="2"/>
      <c r="C1244" s="4"/>
      <c r="D1244" s="2"/>
      <c r="E1244" s="13"/>
      <c r="F1244" s="13"/>
      <c r="G1244" s="2"/>
      <c r="H1244" s="2"/>
      <c r="I1244" s="2"/>
      <c r="J1244" s="2"/>
      <c r="K1244" s="13"/>
      <c r="L1244" s="14"/>
      <c r="M1244" s="1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"/>
      <c r="B1245" s="2"/>
      <c r="C1245" s="4"/>
      <c r="D1245" s="2"/>
      <c r="E1245" s="13"/>
      <c r="F1245" s="13"/>
      <c r="G1245" s="2"/>
      <c r="H1245" s="2"/>
      <c r="I1245" s="2"/>
      <c r="J1245" s="2"/>
      <c r="K1245" s="13"/>
      <c r="L1245" s="14"/>
      <c r="M1245" s="1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"/>
      <c r="B1246" s="2"/>
      <c r="C1246" s="4"/>
      <c r="D1246" s="2"/>
      <c r="E1246" s="13"/>
      <c r="F1246" s="13"/>
      <c r="G1246" s="2"/>
      <c r="H1246" s="2"/>
      <c r="I1246" s="2"/>
      <c r="J1246" s="2"/>
      <c r="K1246" s="13"/>
      <c r="L1246" s="14"/>
      <c r="M1246" s="1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"/>
      <c r="B1247" s="2"/>
      <c r="C1247" s="4"/>
      <c r="D1247" s="2"/>
      <c r="E1247" s="13"/>
      <c r="F1247" s="13"/>
      <c r="G1247" s="2"/>
      <c r="H1247" s="2"/>
      <c r="I1247" s="2"/>
      <c r="J1247" s="2"/>
      <c r="K1247" s="13"/>
      <c r="L1247" s="14"/>
      <c r="M1247" s="1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"/>
      <c r="B1248" s="2"/>
      <c r="C1248" s="4"/>
      <c r="D1248" s="2"/>
      <c r="E1248" s="13"/>
      <c r="F1248" s="13"/>
      <c r="G1248" s="2"/>
      <c r="H1248" s="2"/>
      <c r="I1248" s="2"/>
      <c r="J1248" s="2"/>
      <c r="K1248" s="13"/>
      <c r="L1248" s="14"/>
      <c r="M1248" s="1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"/>
      <c r="B1249" s="2"/>
      <c r="C1249" s="4"/>
      <c r="D1249" s="2"/>
      <c r="E1249" s="13"/>
      <c r="F1249" s="13"/>
      <c r="G1249" s="2"/>
      <c r="H1249" s="2"/>
      <c r="I1249" s="2"/>
      <c r="J1249" s="2"/>
      <c r="K1249" s="13"/>
      <c r="L1249" s="14"/>
      <c r="M1249" s="1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"/>
      <c r="B1250" s="2"/>
      <c r="C1250" s="4"/>
      <c r="D1250" s="2"/>
      <c r="E1250" s="13"/>
      <c r="F1250" s="13"/>
      <c r="G1250" s="2"/>
      <c r="H1250" s="2"/>
      <c r="I1250" s="2"/>
      <c r="J1250" s="2"/>
      <c r="K1250" s="13"/>
      <c r="L1250" s="14"/>
      <c r="M1250" s="1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"/>
      <c r="B1251" s="2"/>
      <c r="C1251" s="4"/>
      <c r="D1251" s="2"/>
      <c r="E1251" s="13"/>
      <c r="F1251" s="13"/>
      <c r="G1251" s="2"/>
      <c r="H1251" s="2"/>
      <c r="I1251" s="2"/>
      <c r="J1251" s="2"/>
      <c r="K1251" s="13"/>
      <c r="L1251" s="14"/>
      <c r="M1251" s="1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">
      <c r="A1252" s="1"/>
      <c r="B1252" s="2"/>
      <c r="C1252" s="4"/>
      <c r="D1252" s="2"/>
      <c r="E1252" s="13"/>
      <c r="F1252" s="13"/>
      <c r="G1252" s="2"/>
      <c r="H1252" s="2"/>
      <c r="I1252" s="2"/>
      <c r="J1252" s="2"/>
      <c r="K1252" s="13"/>
      <c r="L1252" s="14"/>
      <c r="M1252" s="1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"/>
      <c r="B1253" s="2"/>
      <c r="C1253" s="4"/>
      <c r="D1253" s="2"/>
      <c r="E1253" s="13"/>
      <c r="F1253" s="13"/>
      <c r="G1253" s="2"/>
      <c r="H1253" s="2"/>
      <c r="I1253" s="2"/>
      <c r="J1253" s="2"/>
      <c r="K1253" s="13"/>
      <c r="L1253" s="14"/>
      <c r="M1253" s="1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"/>
      <c r="B1254" s="2"/>
      <c r="C1254" s="4"/>
      <c r="D1254" s="2"/>
      <c r="E1254" s="13"/>
      <c r="F1254" s="13"/>
      <c r="G1254" s="2"/>
      <c r="H1254" s="2"/>
      <c r="I1254" s="2"/>
      <c r="J1254" s="2"/>
      <c r="K1254" s="13"/>
      <c r="L1254" s="14"/>
      <c r="M1254" s="1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"/>
      <c r="B1255" s="2"/>
      <c r="C1255" s="4"/>
      <c r="D1255" s="2"/>
      <c r="E1255" s="13"/>
      <c r="F1255" s="13"/>
      <c r="G1255" s="2"/>
      <c r="H1255" s="2"/>
      <c r="I1255" s="2"/>
      <c r="J1255" s="2"/>
      <c r="K1255" s="13"/>
      <c r="L1255" s="14"/>
      <c r="M1255" s="1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"/>
      <c r="B1256" s="2"/>
      <c r="C1256" s="4"/>
      <c r="D1256" s="2"/>
      <c r="E1256" s="13"/>
      <c r="F1256" s="13"/>
      <c r="G1256" s="2"/>
      <c r="H1256" s="2"/>
      <c r="I1256" s="2"/>
      <c r="J1256" s="2"/>
      <c r="K1256" s="13"/>
      <c r="L1256" s="14"/>
      <c r="M1256" s="1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"/>
      <c r="B1257" s="2"/>
      <c r="C1257" s="4"/>
      <c r="D1257" s="2"/>
      <c r="E1257" s="13"/>
      <c r="F1257" s="13"/>
      <c r="G1257" s="2"/>
      <c r="H1257" s="2"/>
      <c r="I1257" s="2"/>
      <c r="J1257" s="2"/>
      <c r="K1257" s="13"/>
      <c r="L1257" s="14"/>
      <c r="M1257" s="1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"/>
      <c r="B1258" s="2"/>
      <c r="C1258" s="4"/>
      <c r="D1258" s="2"/>
      <c r="E1258" s="13"/>
      <c r="F1258" s="13"/>
      <c r="G1258" s="2"/>
      <c r="H1258" s="2"/>
      <c r="I1258" s="2"/>
      <c r="J1258" s="2"/>
      <c r="K1258" s="13"/>
      <c r="L1258" s="14"/>
      <c r="M1258" s="1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"/>
      <c r="B1259" s="2"/>
      <c r="C1259" s="4"/>
      <c r="D1259" s="2"/>
      <c r="E1259" s="13"/>
      <c r="F1259" s="13"/>
      <c r="G1259" s="2"/>
      <c r="H1259" s="2"/>
      <c r="I1259" s="2"/>
      <c r="J1259" s="2"/>
      <c r="K1259" s="13"/>
      <c r="L1259" s="14"/>
      <c r="M1259" s="1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"/>
      <c r="B1260" s="2"/>
      <c r="C1260" s="4"/>
      <c r="D1260" s="2"/>
      <c r="E1260" s="13"/>
      <c r="F1260" s="13"/>
      <c r="G1260" s="2"/>
      <c r="H1260" s="2"/>
      <c r="I1260" s="2"/>
      <c r="J1260" s="2"/>
      <c r="K1260" s="13"/>
      <c r="L1260" s="14"/>
      <c r="M1260" s="1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"/>
      <c r="B1261" s="2"/>
      <c r="C1261" s="4"/>
      <c r="D1261" s="2"/>
      <c r="E1261" s="13"/>
      <c r="F1261" s="13"/>
      <c r="G1261" s="2"/>
      <c r="H1261" s="2"/>
      <c r="I1261" s="2"/>
      <c r="J1261" s="2"/>
      <c r="K1261" s="13"/>
      <c r="L1261" s="14"/>
      <c r="M1261" s="1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"/>
      <c r="B1262" s="2"/>
      <c r="C1262" s="4"/>
      <c r="D1262" s="2"/>
      <c r="E1262" s="13"/>
      <c r="F1262" s="13"/>
      <c r="G1262" s="2"/>
      <c r="H1262" s="2"/>
      <c r="I1262" s="2"/>
      <c r="J1262" s="2"/>
      <c r="K1262" s="13"/>
      <c r="L1262" s="14"/>
      <c r="M1262" s="1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"/>
      <c r="B1263" s="2"/>
      <c r="C1263" s="4"/>
      <c r="D1263" s="2"/>
      <c r="E1263" s="13"/>
      <c r="F1263" s="13"/>
      <c r="G1263" s="2"/>
      <c r="H1263" s="2"/>
      <c r="I1263" s="2"/>
      <c r="J1263" s="2"/>
      <c r="K1263" s="13"/>
      <c r="L1263" s="14"/>
      <c r="M1263" s="1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"/>
      <c r="B1264" s="2"/>
      <c r="C1264" s="4"/>
      <c r="D1264" s="2"/>
      <c r="E1264" s="13"/>
      <c r="F1264" s="13"/>
      <c r="G1264" s="2"/>
      <c r="H1264" s="2"/>
      <c r="I1264" s="2"/>
      <c r="J1264" s="2"/>
      <c r="K1264" s="13"/>
      <c r="L1264" s="14"/>
      <c r="M1264" s="1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"/>
      <c r="B1265" s="2"/>
      <c r="C1265" s="4"/>
      <c r="D1265" s="2"/>
      <c r="E1265" s="13"/>
      <c r="F1265" s="13"/>
      <c r="G1265" s="2"/>
      <c r="H1265" s="2"/>
      <c r="I1265" s="2"/>
      <c r="J1265" s="2"/>
      <c r="K1265" s="13"/>
      <c r="L1265" s="14"/>
      <c r="M1265" s="1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"/>
      <c r="B1266" s="2"/>
      <c r="C1266" s="4"/>
      <c r="D1266" s="2"/>
      <c r="E1266" s="13"/>
      <c r="F1266" s="13"/>
      <c r="G1266" s="2"/>
      <c r="H1266" s="2"/>
      <c r="I1266" s="2"/>
      <c r="J1266" s="2"/>
      <c r="K1266" s="13"/>
      <c r="L1266" s="14"/>
      <c r="M1266" s="1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"/>
      <c r="B1267" s="2"/>
      <c r="C1267" s="4"/>
      <c r="D1267" s="2"/>
      <c r="E1267" s="13"/>
      <c r="F1267" s="13"/>
      <c r="G1267" s="2"/>
      <c r="H1267" s="2"/>
      <c r="I1267" s="2"/>
      <c r="J1267" s="2"/>
      <c r="K1267" s="13"/>
      <c r="L1267" s="14"/>
      <c r="M1267" s="1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"/>
      <c r="B1268" s="2"/>
      <c r="C1268" s="4"/>
      <c r="D1268" s="2"/>
      <c r="E1268" s="13"/>
      <c r="F1268" s="13"/>
      <c r="G1268" s="2"/>
      <c r="H1268" s="2"/>
      <c r="I1268" s="2"/>
      <c r="J1268" s="2"/>
      <c r="K1268" s="13"/>
      <c r="L1268" s="14"/>
      <c r="M1268" s="1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"/>
      <c r="B1269" s="2"/>
      <c r="C1269" s="4"/>
      <c r="D1269" s="2"/>
      <c r="E1269" s="13"/>
      <c r="F1269" s="13"/>
      <c r="G1269" s="2"/>
      <c r="H1269" s="2"/>
      <c r="I1269" s="2"/>
      <c r="J1269" s="2"/>
      <c r="K1269" s="13"/>
      <c r="L1269" s="14"/>
      <c r="M1269" s="1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"/>
      <c r="B1270" s="2"/>
      <c r="C1270" s="4"/>
      <c r="D1270" s="2"/>
      <c r="E1270" s="13"/>
      <c r="F1270" s="13"/>
      <c r="G1270" s="2"/>
      <c r="H1270" s="2"/>
      <c r="I1270" s="2"/>
      <c r="J1270" s="2"/>
      <c r="K1270" s="13"/>
      <c r="L1270" s="14"/>
      <c r="M1270" s="1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"/>
      <c r="B1271" s="2"/>
      <c r="C1271" s="4"/>
      <c r="D1271" s="2"/>
      <c r="E1271" s="13"/>
      <c r="F1271" s="13"/>
      <c r="G1271" s="2"/>
      <c r="H1271" s="2"/>
      <c r="I1271" s="2"/>
      <c r="J1271" s="2"/>
      <c r="K1271" s="13"/>
      <c r="L1271" s="14"/>
      <c r="M1271" s="1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"/>
      <c r="B1272" s="2"/>
      <c r="C1272" s="4"/>
      <c r="D1272" s="2"/>
      <c r="E1272" s="13"/>
      <c r="F1272" s="13"/>
      <c r="G1272" s="2"/>
      <c r="H1272" s="2"/>
      <c r="I1272" s="2"/>
      <c r="J1272" s="2"/>
      <c r="K1272" s="13"/>
      <c r="L1272" s="14"/>
      <c r="M1272" s="1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"/>
      <c r="B1273" s="2"/>
      <c r="C1273" s="4"/>
      <c r="D1273" s="2"/>
      <c r="E1273" s="13"/>
      <c r="F1273" s="13"/>
      <c r="G1273" s="2"/>
      <c r="H1273" s="2"/>
      <c r="I1273" s="2"/>
      <c r="J1273" s="2"/>
      <c r="K1273" s="13"/>
      <c r="L1273" s="14"/>
      <c r="M1273" s="1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"/>
      <c r="B1274" s="2"/>
      <c r="C1274" s="4"/>
      <c r="D1274" s="2"/>
      <c r="E1274" s="13"/>
      <c r="F1274" s="13"/>
      <c r="G1274" s="2"/>
      <c r="H1274" s="2"/>
      <c r="I1274" s="2"/>
      <c r="J1274" s="2"/>
      <c r="K1274" s="13"/>
      <c r="L1274" s="14"/>
      <c r="M1274" s="1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"/>
      <c r="B1275" s="2"/>
      <c r="C1275" s="4"/>
      <c r="D1275" s="2"/>
      <c r="E1275" s="13"/>
      <c r="F1275" s="13"/>
      <c r="G1275" s="2"/>
      <c r="H1275" s="2"/>
      <c r="I1275" s="2"/>
      <c r="J1275" s="2"/>
      <c r="K1275" s="13"/>
      <c r="L1275" s="14"/>
      <c r="M1275" s="1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"/>
      <c r="B1276" s="2"/>
      <c r="C1276" s="4"/>
      <c r="D1276" s="2"/>
      <c r="E1276" s="13"/>
      <c r="F1276" s="13"/>
      <c r="G1276" s="2"/>
      <c r="H1276" s="2"/>
      <c r="I1276" s="2"/>
      <c r="J1276" s="2"/>
      <c r="K1276" s="13"/>
      <c r="L1276" s="14"/>
      <c r="M1276" s="1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"/>
      <c r="B1277" s="2"/>
      <c r="C1277" s="4"/>
      <c r="D1277" s="2"/>
      <c r="E1277" s="13"/>
      <c r="F1277" s="13"/>
      <c r="G1277" s="2"/>
      <c r="H1277" s="2"/>
      <c r="I1277" s="2"/>
      <c r="J1277" s="2"/>
      <c r="K1277" s="13"/>
      <c r="L1277" s="14"/>
      <c r="M1277" s="1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"/>
      <c r="B1278" s="2"/>
      <c r="C1278" s="4"/>
      <c r="D1278" s="2"/>
      <c r="E1278" s="13"/>
      <c r="F1278" s="13"/>
      <c r="G1278" s="2"/>
      <c r="H1278" s="2"/>
      <c r="I1278" s="2"/>
      <c r="J1278" s="2"/>
      <c r="K1278" s="13"/>
      <c r="L1278" s="14"/>
      <c r="M1278" s="1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"/>
      <c r="B1279" s="2"/>
      <c r="C1279" s="4"/>
      <c r="D1279" s="2"/>
      <c r="E1279" s="13"/>
      <c r="F1279" s="13"/>
      <c r="G1279" s="2"/>
      <c r="H1279" s="2"/>
      <c r="I1279" s="2"/>
      <c r="J1279" s="2"/>
      <c r="K1279" s="13"/>
      <c r="L1279" s="14"/>
      <c r="M1279" s="1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"/>
      <c r="B1280" s="2"/>
      <c r="C1280" s="4"/>
      <c r="D1280" s="2"/>
      <c r="E1280" s="13"/>
      <c r="F1280" s="13"/>
      <c r="G1280" s="2"/>
      <c r="H1280" s="2"/>
      <c r="I1280" s="2"/>
      <c r="J1280" s="2"/>
      <c r="K1280" s="13"/>
      <c r="L1280" s="14"/>
      <c r="M1280" s="1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"/>
      <c r="B1281" s="2"/>
      <c r="C1281" s="4"/>
      <c r="D1281" s="2"/>
      <c r="E1281" s="13"/>
      <c r="F1281" s="13"/>
      <c r="G1281" s="2"/>
      <c r="H1281" s="2"/>
      <c r="I1281" s="2"/>
      <c r="J1281" s="2"/>
      <c r="K1281" s="13"/>
      <c r="L1281" s="14"/>
      <c r="M1281" s="1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"/>
      <c r="B1282" s="2"/>
      <c r="C1282" s="4"/>
      <c r="D1282" s="2"/>
      <c r="E1282" s="13"/>
      <c r="F1282" s="13"/>
      <c r="G1282" s="2"/>
      <c r="H1282" s="2"/>
      <c r="I1282" s="2"/>
      <c r="J1282" s="2"/>
      <c r="K1282" s="13"/>
      <c r="L1282" s="14"/>
      <c r="M1282" s="1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"/>
      <c r="B1283" s="2"/>
      <c r="C1283" s="4"/>
      <c r="D1283" s="2"/>
      <c r="E1283" s="13"/>
      <c r="F1283" s="13"/>
      <c r="G1283" s="2"/>
      <c r="H1283" s="2"/>
      <c r="I1283" s="2"/>
      <c r="J1283" s="2"/>
      <c r="K1283" s="13"/>
      <c r="L1283" s="14"/>
      <c r="M1283" s="1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"/>
      <c r="B1284" s="2"/>
      <c r="C1284" s="4"/>
      <c r="D1284" s="2"/>
      <c r="E1284" s="13"/>
      <c r="F1284" s="13"/>
      <c r="G1284" s="2"/>
      <c r="H1284" s="2"/>
      <c r="I1284" s="2"/>
      <c r="J1284" s="2"/>
      <c r="K1284" s="13"/>
      <c r="L1284" s="14"/>
      <c r="M1284" s="1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"/>
      <c r="B1285" s="2"/>
      <c r="C1285" s="4"/>
      <c r="D1285" s="2"/>
      <c r="E1285" s="13"/>
      <c r="F1285" s="13"/>
      <c r="G1285" s="2"/>
      <c r="H1285" s="2"/>
      <c r="I1285" s="2"/>
      <c r="J1285" s="2"/>
      <c r="K1285" s="13"/>
      <c r="L1285" s="14"/>
      <c r="M1285" s="1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"/>
      <c r="B1286" s="2"/>
      <c r="C1286" s="4"/>
      <c r="D1286" s="2"/>
      <c r="E1286" s="13"/>
      <c r="F1286" s="13"/>
      <c r="G1286" s="2"/>
      <c r="H1286" s="2"/>
      <c r="I1286" s="2"/>
      <c r="J1286" s="2"/>
      <c r="K1286" s="13"/>
      <c r="L1286" s="14"/>
      <c r="M1286" s="1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"/>
      <c r="B1287" s="2"/>
      <c r="C1287" s="4"/>
      <c r="D1287" s="2"/>
      <c r="E1287" s="13"/>
      <c r="F1287" s="13"/>
      <c r="G1287" s="2"/>
      <c r="H1287" s="2"/>
      <c r="I1287" s="2"/>
      <c r="J1287" s="2"/>
      <c r="K1287" s="13"/>
      <c r="L1287" s="14"/>
      <c r="M1287" s="1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"/>
      <c r="B1288" s="2"/>
      <c r="C1288" s="4"/>
      <c r="D1288" s="2"/>
      <c r="E1288" s="13"/>
      <c r="F1288" s="13"/>
      <c r="G1288" s="2"/>
      <c r="H1288" s="2"/>
      <c r="I1288" s="2"/>
      <c r="J1288" s="2"/>
      <c r="K1288" s="13"/>
      <c r="L1288" s="14"/>
      <c r="M1288" s="1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"/>
      <c r="B1289" s="2"/>
      <c r="C1289" s="4"/>
      <c r="D1289" s="2"/>
      <c r="E1289" s="13"/>
      <c r="F1289" s="13"/>
      <c r="G1289" s="2"/>
      <c r="H1289" s="2"/>
      <c r="I1289" s="2"/>
      <c r="J1289" s="2"/>
      <c r="K1289" s="13"/>
      <c r="L1289" s="14"/>
      <c r="M1289" s="1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"/>
      <c r="B1290" s="2"/>
      <c r="C1290" s="4"/>
      <c r="D1290" s="2"/>
      <c r="E1290" s="13"/>
      <c r="F1290" s="13"/>
      <c r="G1290" s="2"/>
      <c r="H1290" s="2"/>
      <c r="I1290" s="2"/>
      <c r="J1290" s="2"/>
      <c r="K1290" s="13"/>
      <c r="L1290" s="14"/>
      <c r="M1290" s="1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"/>
      <c r="B1291" s="2"/>
      <c r="C1291" s="4"/>
      <c r="D1291" s="2"/>
      <c r="E1291" s="13"/>
      <c r="F1291" s="13"/>
      <c r="G1291" s="2"/>
      <c r="H1291" s="2"/>
      <c r="I1291" s="2"/>
      <c r="J1291" s="2"/>
      <c r="K1291" s="13"/>
      <c r="L1291" s="14"/>
      <c r="M1291" s="1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"/>
      <c r="B1292" s="2"/>
      <c r="C1292" s="4"/>
      <c r="D1292" s="2"/>
      <c r="E1292" s="13"/>
      <c r="F1292" s="13"/>
      <c r="G1292" s="2"/>
      <c r="H1292" s="2"/>
      <c r="I1292" s="2"/>
      <c r="J1292" s="2"/>
      <c r="K1292" s="13"/>
      <c r="L1292" s="14"/>
      <c r="M1292" s="1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"/>
      <c r="B1293" s="2"/>
      <c r="C1293" s="4"/>
      <c r="D1293" s="2"/>
      <c r="E1293" s="13"/>
      <c r="F1293" s="13"/>
      <c r="G1293" s="2"/>
      <c r="H1293" s="2"/>
      <c r="I1293" s="2"/>
      <c r="J1293" s="2"/>
      <c r="K1293" s="13"/>
      <c r="L1293" s="14"/>
      <c r="M1293" s="1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"/>
      <c r="B1294" s="2"/>
      <c r="C1294" s="4"/>
      <c r="D1294" s="2"/>
      <c r="E1294" s="13"/>
      <c r="F1294" s="13"/>
      <c r="G1294" s="2"/>
      <c r="H1294" s="2"/>
      <c r="I1294" s="2"/>
      <c r="J1294" s="2"/>
      <c r="K1294" s="13"/>
      <c r="L1294" s="14"/>
      <c r="M1294" s="1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"/>
      <c r="B1295" s="2"/>
      <c r="C1295" s="4"/>
      <c r="D1295" s="2"/>
      <c r="E1295" s="13"/>
      <c r="F1295" s="13"/>
      <c r="G1295" s="2"/>
      <c r="H1295" s="2"/>
      <c r="I1295" s="2"/>
      <c r="J1295" s="2"/>
      <c r="K1295" s="13"/>
      <c r="L1295" s="14"/>
      <c r="M1295" s="1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"/>
      <c r="B1296" s="2"/>
      <c r="C1296" s="4"/>
      <c r="D1296" s="2"/>
      <c r="E1296" s="13"/>
      <c r="F1296" s="13"/>
      <c r="G1296" s="2"/>
      <c r="H1296" s="2"/>
      <c r="I1296" s="2"/>
      <c r="J1296" s="2"/>
      <c r="K1296" s="13"/>
      <c r="L1296" s="14"/>
      <c r="M1296" s="1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"/>
      <c r="B1297" s="2"/>
      <c r="C1297" s="4"/>
      <c r="D1297" s="2"/>
      <c r="E1297" s="13"/>
      <c r="F1297" s="13"/>
      <c r="G1297" s="2"/>
      <c r="H1297" s="2"/>
      <c r="I1297" s="2"/>
      <c r="J1297" s="2"/>
      <c r="K1297" s="13"/>
      <c r="L1297" s="14"/>
      <c r="M1297" s="1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"/>
      <c r="B1298" s="2"/>
      <c r="C1298" s="4"/>
      <c r="D1298" s="2"/>
      <c r="E1298" s="13"/>
      <c r="F1298" s="13"/>
      <c r="G1298" s="2"/>
      <c r="H1298" s="2"/>
      <c r="I1298" s="2"/>
      <c r="J1298" s="2"/>
      <c r="K1298" s="13"/>
      <c r="L1298" s="14"/>
      <c r="M1298" s="1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"/>
      <c r="B1299" s="2"/>
      <c r="C1299" s="4"/>
      <c r="D1299" s="2"/>
      <c r="E1299" s="13"/>
      <c r="F1299" s="13"/>
      <c r="G1299" s="2"/>
      <c r="H1299" s="2"/>
      <c r="I1299" s="2"/>
      <c r="J1299" s="2"/>
      <c r="K1299" s="13"/>
      <c r="L1299" s="14"/>
      <c r="M1299" s="1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"/>
      <c r="B1300" s="2"/>
      <c r="C1300" s="4"/>
      <c r="D1300" s="2"/>
      <c r="E1300" s="13"/>
      <c r="F1300" s="13"/>
      <c r="G1300" s="2"/>
      <c r="H1300" s="2"/>
      <c r="I1300" s="2"/>
      <c r="J1300" s="2"/>
      <c r="K1300" s="13"/>
      <c r="L1300" s="14"/>
      <c r="M1300" s="1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"/>
      <c r="B1301" s="2"/>
      <c r="C1301" s="4"/>
      <c r="D1301" s="2"/>
      <c r="E1301" s="13"/>
      <c r="F1301" s="13"/>
      <c r="G1301" s="2"/>
      <c r="H1301" s="2"/>
      <c r="I1301" s="2"/>
      <c r="J1301" s="2"/>
      <c r="K1301" s="13"/>
      <c r="L1301" s="14"/>
      <c r="M1301" s="1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">
      <c r="A1302" s="1"/>
      <c r="B1302" s="2"/>
      <c r="C1302" s="4"/>
      <c r="D1302" s="2"/>
      <c r="E1302" s="13"/>
      <c r="F1302" s="13"/>
      <c r="G1302" s="2"/>
      <c r="H1302" s="2"/>
      <c r="I1302" s="2"/>
      <c r="J1302" s="2"/>
      <c r="K1302" s="13"/>
      <c r="L1302" s="14"/>
      <c r="M1302" s="1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"/>
      <c r="B1303" s="2"/>
      <c r="C1303" s="4"/>
      <c r="D1303" s="2"/>
      <c r="E1303" s="13"/>
      <c r="F1303" s="13"/>
      <c r="G1303" s="2"/>
      <c r="H1303" s="2"/>
      <c r="I1303" s="2"/>
      <c r="J1303" s="2"/>
      <c r="K1303" s="13"/>
      <c r="L1303" s="14"/>
      <c r="M1303" s="1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"/>
      <c r="B1304" s="2"/>
      <c r="C1304" s="4"/>
      <c r="D1304" s="2"/>
      <c r="E1304" s="13"/>
      <c r="F1304" s="13"/>
      <c r="G1304" s="2"/>
      <c r="H1304" s="2"/>
      <c r="I1304" s="2"/>
      <c r="J1304" s="2"/>
      <c r="K1304" s="13"/>
      <c r="L1304" s="14"/>
      <c r="M1304" s="1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"/>
      <c r="B1305" s="2"/>
      <c r="C1305" s="4"/>
      <c r="D1305" s="2"/>
      <c r="E1305" s="13"/>
      <c r="F1305" s="13"/>
      <c r="G1305" s="2"/>
      <c r="H1305" s="2"/>
      <c r="I1305" s="2"/>
      <c r="J1305" s="2"/>
      <c r="K1305" s="13"/>
      <c r="L1305" s="14"/>
      <c r="M1305" s="1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</sheetData>
  <mergeCells count="13">
    <mergeCell ref="A315:B315"/>
    <mergeCell ref="A130:C130"/>
    <mergeCell ref="I130:K130"/>
    <mergeCell ref="A172:C172"/>
    <mergeCell ref="I172:K172"/>
    <mergeCell ref="A232:C232"/>
    <mergeCell ref="A271:C271"/>
    <mergeCell ref="A3:C3"/>
    <mergeCell ref="I3:K3"/>
    <mergeCell ref="A45:C45"/>
    <mergeCell ref="I45:K45"/>
    <mergeCell ref="A91:C91"/>
    <mergeCell ref="I91:K91"/>
  </mergeCells>
  <conditionalFormatting sqref="L1:L1305">
    <cfRule type="cellIs" dxfId="64" priority="2" operator="greaterThanOrEqual">
      <formula>"30%"</formula>
    </cfRule>
    <cfRule type="cellIs" dxfId="63" priority="3" operator="between">
      <formula>"25%"</formula>
      <formula>"30%"</formula>
    </cfRule>
    <cfRule type="cellIs" dxfId="62" priority="4" operator="lessThan">
      <formula>"25%"</formula>
    </cfRule>
  </conditionalFormatting>
  <conditionalFormatting sqref="L308:L315">
    <cfRule type="cellIs" dxfId="61" priority="1" operator="greaterThanOrEqual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D1E2-5749-2E47-9C7A-52F0454D8234}">
  <sheetPr>
    <outlinePr summaryBelow="0" summaryRight="0"/>
  </sheetPr>
  <dimension ref="A1:Z1298"/>
  <sheetViews>
    <sheetView topLeftCell="A289"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53</v>
      </c>
      <c r="B3" s="89"/>
      <c r="C3" s="89"/>
      <c r="D3" s="2"/>
      <c r="E3" s="7" t="s">
        <v>1</v>
      </c>
      <c r="F3" s="8">
        <v>46127</v>
      </c>
      <c r="G3" s="7" t="s">
        <v>106</v>
      </c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1</v>
      </c>
      <c r="B6" s="10" t="s">
        <v>23</v>
      </c>
      <c r="C6" s="11" t="s">
        <v>39</v>
      </c>
      <c r="D6" s="13">
        <v>22000</v>
      </c>
      <c r="E6" s="13">
        <f t="shared" ref="E6:E32" si="0">A6*D6</f>
        <v>22000</v>
      </c>
      <c r="F6" s="13">
        <f t="shared" ref="F6:F31" si="1">E6*1.105</f>
        <v>24310</v>
      </c>
      <c r="G6" s="2"/>
      <c r="H6" s="2"/>
      <c r="I6" s="13">
        <v>12000</v>
      </c>
      <c r="J6" s="13">
        <f t="shared" ref="J6:J32" si="2">I6*A6</f>
        <v>12000</v>
      </c>
      <c r="K6" s="13">
        <f t="shared" ref="K6:K32" si="3">F6-J6</f>
        <v>12310</v>
      </c>
      <c r="L6" s="14">
        <f t="shared" ref="L6:L32" si="4">IFERROR(K6/E6, 0)</f>
        <v>0.55954545454545457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23</v>
      </c>
      <c r="C7" s="11" t="s">
        <v>43</v>
      </c>
      <c r="D7" s="13">
        <v>24000</v>
      </c>
      <c r="E7" s="13">
        <f t="shared" si="0"/>
        <v>24000</v>
      </c>
      <c r="F7" s="13">
        <f t="shared" si="1"/>
        <v>26520</v>
      </c>
      <c r="G7" s="2"/>
      <c r="H7" s="2"/>
      <c r="I7" s="13">
        <v>17000</v>
      </c>
      <c r="J7" s="13">
        <f t="shared" si="2"/>
        <v>17000</v>
      </c>
      <c r="K7" s="13">
        <f t="shared" si="3"/>
        <v>9520</v>
      </c>
      <c r="L7" s="14">
        <f t="shared" si="4"/>
        <v>0.39666666666666667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2</v>
      </c>
      <c r="B8" s="10" t="s">
        <v>23</v>
      </c>
      <c r="C8" s="11" t="s">
        <v>46</v>
      </c>
      <c r="D8" s="13">
        <v>13000</v>
      </c>
      <c r="E8" s="13">
        <f t="shared" si="0"/>
        <v>26000</v>
      </c>
      <c r="F8" s="13">
        <f t="shared" si="1"/>
        <v>28730</v>
      </c>
      <c r="G8" s="2"/>
      <c r="H8" s="2"/>
      <c r="I8" s="13">
        <v>9000</v>
      </c>
      <c r="J8" s="13">
        <f t="shared" si="2"/>
        <v>18000</v>
      </c>
      <c r="K8" s="13">
        <f t="shared" si="3"/>
        <v>10730</v>
      </c>
      <c r="L8" s="14">
        <f t="shared" si="4"/>
        <v>0.41269230769230769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5</v>
      </c>
      <c r="B9" s="10" t="s">
        <v>15</v>
      </c>
      <c r="C9" s="11" t="s">
        <v>27</v>
      </c>
      <c r="D9" s="13">
        <v>25000</v>
      </c>
      <c r="E9" s="13">
        <f t="shared" si="0"/>
        <v>125000</v>
      </c>
      <c r="F9" s="13">
        <f t="shared" si="1"/>
        <v>138125</v>
      </c>
      <c r="G9" s="2"/>
      <c r="H9" s="2"/>
      <c r="I9" s="13">
        <v>18000</v>
      </c>
      <c r="J9" s="13">
        <f t="shared" si="2"/>
        <v>90000</v>
      </c>
      <c r="K9" s="13">
        <f t="shared" si="3"/>
        <v>48125</v>
      </c>
      <c r="L9" s="14">
        <f t="shared" si="4"/>
        <v>0.38500000000000001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2</v>
      </c>
      <c r="B10" s="10" t="s">
        <v>15</v>
      </c>
      <c r="C10" s="11" t="s">
        <v>16</v>
      </c>
      <c r="D10" s="13">
        <v>13000</v>
      </c>
      <c r="E10" s="13">
        <f t="shared" si="0"/>
        <v>26000</v>
      </c>
      <c r="F10" s="13">
        <f t="shared" si="1"/>
        <v>28730</v>
      </c>
      <c r="G10" s="2"/>
      <c r="H10" s="2"/>
      <c r="I10" s="13">
        <v>8000</v>
      </c>
      <c r="J10" s="13">
        <f t="shared" si="2"/>
        <v>16000</v>
      </c>
      <c r="K10" s="13">
        <f t="shared" si="3"/>
        <v>12730</v>
      </c>
      <c r="L10" s="14">
        <f t="shared" si="4"/>
        <v>0.48961538461538462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1</v>
      </c>
      <c r="B11" s="10" t="s">
        <v>15</v>
      </c>
      <c r="C11" s="11" t="s">
        <v>129</v>
      </c>
      <c r="D11" s="13">
        <v>16000</v>
      </c>
      <c r="E11" s="13">
        <f t="shared" si="0"/>
        <v>16000</v>
      </c>
      <c r="F11" s="13">
        <f t="shared" si="1"/>
        <v>17680</v>
      </c>
      <c r="G11" s="2"/>
      <c r="H11" s="2"/>
      <c r="I11" s="13">
        <v>12000</v>
      </c>
      <c r="J11" s="13">
        <f t="shared" si="2"/>
        <v>12000</v>
      </c>
      <c r="K11" s="13">
        <f t="shared" si="3"/>
        <v>5680</v>
      </c>
      <c r="L11" s="14">
        <f t="shared" si="4"/>
        <v>0.35499999999999998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6.8</v>
      </c>
      <c r="B12" s="10" t="s">
        <v>17</v>
      </c>
      <c r="C12" s="11" t="s">
        <v>36</v>
      </c>
      <c r="D12" s="13">
        <v>1800</v>
      </c>
      <c r="E12" s="13">
        <f t="shared" si="0"/>
        <v>12240</v>
      </c>
      <c r="F12" s="13">
        <f t="shared" si="1"/>
        <v>13525.199999999999</v>
      </c>
      <c r="G12" s="2"/>
      <c r="H12" s="2"/>
      <c r="I12" s="13">
        <v>800</v>
      </c>
      <c r="J12" s="13">
        <f t="shared" si="2"/>
        <v>5440</v>
      </c>
      <c r="K12" s="13">
        <f t="shared" si="3"/>
        <v>8085.1999999999989</v>
      </c>
      <c r="L12" s="14">
        <f t="shared" si="4"/>
        <v>0.66055555555555545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4.2</v>
      </c>
      <c r="B13" s="10" t="s">
        <v>17</v>
      </c>
      <c r="C13" s="11" t="s">
        <v>38</v>
      </c>
      <c r="D13" s="13">
        <v>1800</v>
      </c>
      <c r="E13" s="13">
        <f t="shared" si="0"/>
        <v>7560</v>
      </c>
      <c r="F13" s="13">
        <f t="shared" si="1"/>
        <v>8353.7999999999993</v>
      </c>
      <c r="G13" s="2"/>
      <c r="H13" s="2"/>
      <c r="I13" s="13">
        <v>800</v>
      </c>
      <c r="J13" s="13">
        <f t="shared" si="2"/>
        <v>3360</v>
      </c>
      <c r="K13" s="13">
        <f t="shared" si="3"/>
        <v>4993.7999999999993</v>
      </c>
      <c r="L13" s="14">
        <f t="shared" si="4"/>
        <v>0.66055555555555545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2</v>
      </c>
      <c r="B14" s="10" t="s">
        <v>17</v>
      </c>
      <c r="C14" s="11" t="s">
        <v>31</v>
      </c>
      <c r="D14" s="13">
        <v>3200</v>
      </c>
      <c r="E14" s="13">
        <f t="shared" si="0"/>
        <v>6400</v>
      </c>
      <c r="F14" s="13">
        <f t="shared" si="1"/>
        <v>7072</v>
      </c>
      <c r="G14" s="2"/>
      <c r="H14" s="2"/>
      <c r="I14" s="13">
        <f>15000/7</f>
        <v>2142.8571428571427</v>
      </c>
      <c r="J14" s="13">
        <f t="shared" si="2"/>
        <v>4285.7142857142853</v>
      </c>
      <c r="K14" s="13">
        <f t="shared" si="3"/>
        <v>2786.2857142857147</v>
      </c>
      <c r="L14" s="14">
        <f t="shared" si="4"/>
        <v>0.43535714285714294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2</v>
      </c>
      <c r="B15" s="10" t="s">
        <v>17</v>
      </c>
      <c r="C15" s="34" t="s">
        <v>32</v>
      </c>
      <c r="D15" s="13">
        <v>2400</v>
      </c>
      <c r="E15" s="13">
        <f t="shared" si="0"/>
        <v>4800</v>
      </c>
      <c r="F15" s="13">
        <f t="shared" si="1"/>
        <v>5304</v>
      </c>
      <c r="G15" s="2"/>
      <c r="H15" s="2"/>
      <c r="I15" s="13">
        <f>14000/7</f>
        <v>2000</v>
      </c>
      <c r="J15" s="13">
        <f t="shared" si="2"/>
        <v>4000</v>
      </c>
      <c r="K15" s="13">
        <f t="shared" si="3"/>
        <v>1304</v>
      </c>
      <c r="L15" s="14">
        <f t="shared" si="4"/>
        <v>0.27166666666666667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2</v>
      </c>
      <c r="B16" s="10" t="s">
        <v>17</v>
      </c>
      <c r="C16" s="11" t="s">
        <v>33</v>
      </c>
      <c r="D16" s="13">
        <v>2800</v>
      </c>
      <c r="E16" s="13">
        <f t="shared" si="0"/>
        <v>5600</v>
      </c>
      <c r="F16" s="13">
        <f t="shared" si="1"/>
        <v>6188</v>
      </c>
      <c r="G16" s="2"/>
      <c r="H16" s="2"/>
      <c r="I16" s="13">
        <v>2142.86</v>
      </c>
      <c r="J16" s="13">
        <f t="shared" si="2"/>
        <v>4285.72</v>
      </c>
      <c r="K16" s="13">
        <f t="shared" si="3"/>
        <v>1902.2799999999997</v>
      </c>
      <c r="L16" s="14">
        <f t="shared" si="4"/>
        <v>0.33969285714285707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2</v>
      </c>
      <c r="B17" s="10" t="s">
        <v>4</v>
      </c>
      <c r="C17" s="11" t="s">
        <v>14</v>
      </c>
      <c r="D17" s="13">
        <v>3200</v>
      </c>
      <c r="E17" s="13">
        <f t="shared" si="0"/>
        <v>6400</v>
      </c>
      <c r="F17" s="13">
        <f t="shared" si="1"/>
        <v>7072</v>
      </c>
      <c r="G17" s="2"/>
      <c r="H17" s="2"/>
      <c r="I17" s="13">
        <f>25000/9</f>
        <v>2777.7777777777778</v>
      </c>
      <c r="J17" s="13">
        <f t="shared" si="2"/>
        <v>5555.5555555555557</v>
      </c>
      <c r="K17" s="13">
        <f t="shared" si="3"/>
        <v>1516.4444444444443</v>
      </c>
      <c r="L17" s="14">
        <f t="shared" si="4"/>
        <v>0.23694444444444443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1</v>
      </c>
      <c r="B18" s="10" t="s">
        <v>21</v>
      </c>
      <c r="C18" s="11" t="s">
        <v>34</v>
      </c>
      <c r="D18" s="13">
        <v>5000</v>
      </c>
      <c r="E18" s="13">
        <f t="shared" si="0"/>
        <v>5000</v>
      </c>
      <c r="F18" s="13">
        <f t="shared" si="1"/>
        <v>5525</v>
      </c>
      <c r="G18" s="2"/>
      <c r="H18" s="2"/>
      <c r="I18" s="13">
        <v>2000</v>
      </c>
      <c r="J18" s="13">
        <f t="shared" si="2"/>
        <v>2000</v>
      </c>
      <c r="K18" s="13">
        <f t="shared" si="3"/>
        <v>3525</v>
      </c>
      <c r="L18" s="14">
        <f t="shared" si="4"/>
        <v>0.70499999999999996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1</v>
      </c>
      <c r="B19" s="10" t="s">
        <v>17</v>
      </c>
      <c r="C19" s="11" t="s">
        <v>42</v>
      </c>
      <c r="D19" s="13">
        <v>4500</v>
      </c>
      <c r="E19" s="13">
        <f t="shared" si="0"/>
        <v>4500</v>
      </c>
      <c r="F19" s="13">
        <f t="shared" si="1"/>
        <v>4972.5</v>
      </c>
      <c r="G19" s="2"/>
      <c r="H19" s="2"/>
      <c r="I19" s="13">
        <v>1400</v>
      </c>
      <c r="J19" s="13">
        <f t="shared" si="2"/>
        <v>1400</v>
      </c>
      <c r="K19" s="13">
        <f t="shared" si="3"/>
        <v>3572.5</v>
      </c>
      <c r="L19" s="14">
        <f t="shared" si="4"/>
        <v>0.79388888888888887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4</v>
      </c>
      <c r="B20" s="10" t="s">
        <v>17</v>
      </c>
      <c r="C20" s="11" t="s">
        <v>82</v>
      </c>
      <c r="D20" s="13">
        <v>2600</v>
      </c>
      <c r="E20" s="13">
        <f t="shared" si="0"/>
        <v>10400</v>
      </c>
      <c r="F20" s="13">
        <f t="shared" si="1"/>
        <v>11492</v>
      </c>
      <c r="G20" s="2"/>
      <c r="H20" s="2"/>
      <c r="I20" s="13">
        <f>28000/14</f>
        <v>2000</v>
      </c>
      <c r="J20" s="13">
        <f t="shared" si="2"/>
        <v>8000</v>
      </c>
      <c r="K20" s="13">
        <f t="shared" si="3"/>
        <v>3492</v>
      </c>
      <c r="L20" s="14">
        <f t="shared" si="4"/>
        <v>0.33576923076923076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1</v>
      </c>
      <c r="B21" s="10" t="s">
        <v>4</v>
      </c>
      <c r="C21" s="11" t="s">
        <v>64</v>
      </c>
      <c r="D21" s="13">
        <v>2500</v>
      </c>
      <c r="E21" s="13">
        <f t="shared" si="0"/>
        <v>2500</v>
      </c>
      <c r="F21" s="13">
        <f t="shared" si="1"/>
        <v>2762.5</v>
      </c>
      <c r="G21" s="2"/>
      <c r="H21" s="7" t="s">
        <v>107</v>
      </c>
      <c r="I21" s="13"/>
      <c r="J21" s="13">
        <f t="shared" si="2"/>
        <v>0</v>
      </c>
      <c r="K21" s="13">
        <f t="shared" si="3"/>
        <v>2762.5</v>
      </c>
      <c r="L21" s="14">
        <f t="shared" si="4"/>
        <v>1.105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2</v>
      </c>
      <c r="B22" s="10" t="s">
        <v>21</v>
      </c>
      <c r="C22" s="11" t="s">
        <v>52</v>
      </c>
      <c r="D22" s="13">
        <v>2000</v>
      </c>
      <c r="E22" s="13">
        <f t="shared" si="0"/>
        <v>4000</v>
      </c>
      <c r="F22" s="13">
        <f t="shared" si="1"/>
        <v>4420</v>
      </c>
      <c r="G22" s="2"/>
      <c r="H22" s="2"/>
      <c r="I22" s="13">
        <v>1000</v>
      </c>
      <c r="J22" s="13">
        <f t="shared" si="2"/>
        <v>2000</v>
      </c>
      <c r="K22" s="13">
        <f t="shared" si="3"/>
        <v>2420</v>
      </c>
      <c r="L22" s="14">
        <f t="shared" si="4"/>
        <v>0.60499999999999998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1</v>
      </c>
      <c r="B23" s="10" t="s">
        <v>21</v>
      </c>
      <c r="C23" s="34" t="s">
        <v>133</v>
      </c>
      <c r="D23" s="13">
        <v>3000</v>
      </c>
      <c r="E23" s="13">
        <f t="shared" si="0"/>
        <v>3000</v>
      </c>
      <c r="F23" s="13">
        <f t="shared" si="1"/>
        <v>3315</v>
      </c>
      <c r="G23" s="2"/>
      <c r="H23" s="2"/>
      <c r="I23" s="13">
        <f>2500/6</f>
        <v>416.66666666666669</v>
      </c>
      <c r="J23" s="13">
        <f t="shared" si="2"/>
        <v>416.66666666666669</v>
      </c>
      <c r="K23" s="13">
        <f t="shared" si="3"/>
        <v>2898.3333333333335</v>
      </c>
      <c r="L23" s="14">
        <f t="shared" si="4"/>
        <v>0.96611111111111114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1</v>
      </c>
      <c r="B24" s="10" t="s">
        <v>21</v>
      </c>
      <c r="C24" s="11" t="s">
        <v>28</v>
      </c>
      <c r="D24" s="13">
        <v>3000</v>
      </c>
      <c r="E24" s="13">
        <f t="shared" si="0"/>
        <v>3000</v>
      </c>
      <c r="F24" s="13">
        <f t="shared" si="1"/>
        <v>3315</v>
      </c>
      <c r="G24" s="2"/>
      <c r="H24" s="2"/>
      <c r="I24" s="13">
        <v>2000</v>
      </c>
      <c r="J24" s="13">
        <f t="shared" si="2"/>
        <v>2000</v>
      </c>
      <c r="K24" s="13">
        <f t="shared" si="3"/>
        <v>1315</v>
      </c>
      <c r="L24" s="14">
        <f t="shared" si="4"/>
        <v>0.43833333333333335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2</v>
      </c>
      <c r="B25" s="10" t="s">
        <v>4</v>
      </c>
      <c r="C25" s="11" t="s">
        <v>13</v>
      </c>
      <c r="D25" s="13">
        <v>900</v>
      </c>
      <c r="E25" s="13">
        <f t="shared" si="0"/>
        <v>1800</v>
      </c>
      <c r="F25" s="13">
        <f t="shared" si="1"/>
        <v>1989</v>
      </c>
      <c r="G25" s="2"/>
      <c r="H25" s="2"/>
      <c r="I25" s="13">
        <v>460</v>
      </c>
      <c r="J25" s="13">
        <f t="shared" si="2"/>
        <v>920</v>
      </c>
      <c r="K25" s="13">
        <f t="shared" si="3"/>
        <v>1069</v>
      </c>
      <c r="L25" s="14">
        <f t="shared" si="4"/>
        <v>0.59388888888888891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5</v>
      </c>
      <c r="B26" s="10" t="s">
        <v>17</v>
      </c>
      <c r="C26" s="11" t="s">
        <v>56</v>
      </c>
      <c r="D26" s="13">
        <v>1200</v>
      </c>
      <c r="E26" s="13">
        <f t="shared" si="0"/>
        <v>6000</v>
      </c>
      <c r="F26" s="13">
        <f t="shared" si="1"/>
        <v>6630</v>
      </c>
      <c r="G26" s="2"/>
      <c r="H26" s="2"/>
      <c r="I26" s="13">
        <f>13000/16</f>
        <v>812.5</v>
      </c>
      <c r="J26" s="13">
        <f t="shared" si="2"/>
        <v>4062.5</v>
      </c>
      <c r="K26" s="13">
        <f t="shared" si="3"/>
        <v>2567.5</v>
      </c>
      <c r="L26" s="14">
        <f t="shared" si="4"/>
        <v>0.42791666666666667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1</v>
      </c>
      <c r="B27" s="10" t="s">
        <v>21</v>
      </c>
      <c r="C27" s="11" t="s">
        <v>51</v>
      </c>
      <c r="D27" s="13">
        <v>1500</v>
      </c>
      <c r="E27" s="13">
        <f t="shared" si="0"/>
        <v>1500</v>
      </c>
      <c r="F27" s="13">
        <f t="shared" si="1"/>
        <v>1657.5</v>
      </c>
      <c r="G27" s="2"/>
      <c r="H27" s="2"/>
      <c r="I27" s="13">
        <f>15000/18</f>
        <v>833.33333333333337</v>
      </c>
      <c r="J27" s="13">
        <f t="shared" si="2"/>
        <v>833.33333333333337</v>
      </c>
      <c r="K27" s="13">
        <f t="shared" si="3"/>
        <v>824.16666666666663</v>
      </c>
      <c r="L27" s="14">
        <f t="shared" si="4"/>
        <v>0.5494444444444444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1</v>
      </c>
      <c r="B28" s="10" t="s">
        <v>23</v>
      </c>
      <c r="C28" s="11" t="s">
        <v>25</v>
      </c>
      <c r="D28" s="13">
        <v>72000</v>
      </c>
      <c r="E28" s="13">
        <f t="shared" si="0"/>
        <v>72000</v>
      </c>
      <c r="F28" s="13">
        <f t="shared" si="1"/>
        <v>79560</v>
      </c>
      <c r="G28" s="2"/>
      <c r="H28" s="2"/>
      <c r="I28" s="13">
        <v>60000</v>
      </c>
      <c r="J28" s="13">
        <f t="shared" si="2"/>
        <v>60000</v>
      </c>
      <c r="K28" s="13">
        <f t="shared" si="3"/>
        <v>19560</v>
      </c>
      <c r="L28" s="14">
        <f t="shared" si="4"/>
        <v>0.27166666666666667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2</v>
      </c>
      <c r="B29" s="10" t="s">
        <v>23</v>
      </c>
      <c r="C29" s="11" t="s">
        <v>26</v>
      </c>
      <c r="D29" s="13">
        <v>22000</v>
      </c>
      <c r="E29" s="13">
        <f t="shared" si="0"/>
        <v>44000</v>
      </c>
      <c r="F29" s="13">
        <f t="shared" si="1"/>
        <v>48620</v>
      </c>
      <c r="G29" s="2"/>
      <c r="H29" s="2"/>
      <c r="I29" s="13">
        <v>14000</v>
      </c>
      <c r="J29" s="13">
        <f t="shared" si="2"/>
        <v>28000</v>
      </c>
      <c r="K29" s="13">
        <f t="shared" si="3"/>
        <v>20620</v>
      </c>
      <c r="L29" s="14">
        <f t="shared" si="4"/>
        <v>0.46863636363636363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5</v>
      </c>
      <c r="B30" s="10" t="s">
        <v>17</v>
      </c>
      <c r="C30" s="11" t="s">
        <v>123</v>
      </c>
      <c r="D30" s="13">
        <v>3000</v>
      </c>
      <c r="E30" s="13">
        <f t="shared" si="0"/>
        <v>15000</v>
      </c>
      <c r="F30" s="13">
        <f t="shared" si="1"/>
        <v>16575</v>
      </c>
      <c r="G30" s="2"/>
      <c r="H30" s="2"/>
      <c r="I30" s="13">
        <f>32000/15</f>
        <v>2133.3333333333335</v>
      </c>
      <c r="J30" s="13">
        <f t="shared" si="2"/>
        <v>10666.666666666668</v>
      </c>
      <c r="K30" s="13">
        <f t="shared" si="3"/>
        <v>5908.3333333333321</v>
      </c>
      <c r="L30" s="14">
        <f t="shared" si="4"/>
        <v>0.39388888888888879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10.7</v>
      </c>
      <c r="B31" s="10" t="s">
        <v>17</v>
      </c>
      <c r="C31" s="11" t="s">
        <v>62</v>
      </c>
      <c r="D31" s="13">
        <v>3000</v>
      </c>
      <c r="E31" s="13">
        <f t="shared" si="0"/>
        <v>32099.999999999996</v>
      </c>
      <c r="F31" s="13">
        <f t="shared" si="1"/>
        <v>35470.499999999993</v>
      </c>
      <c r="G31" s="2"/>
      <c r="H31" s="2"/>
      <c r="I31" s="13">
        <f>28000/17</f>
        <v>1647.0588235294117</v>
      </c>
      <c r="J31" s="13">
        <f t="shared" si="2"/>
        <v>17623.529411764703</v>
      </c>
      <c r="K31" s="13">
        <f t="shared" si="3"/>
        <v>17846.97058823529</v>
      </c>
      <c r="L31" s="14">
        <f t="shared" si="4"/>
        <v>0.55598039215686268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0.5</v>
      </c>
      <c r="B32" s="10" t="s">
        <v>23</v>
      </c>
      <c r="C32" s="34" t="s">
        <v>12</v>
      </c>
      <c r="D32" s="13">
        <v>54000</v>
      </c>
      <c r="E32" s="13">
        <f t="shared" si="0"/>
        <v>27000</v>
      </c>
      <c r="F32" s="13">
        <f>E32*1.21</f>
        <v>32670</v>
      </c>
      <c r="G32" s="2"/>
      <c r="H32" s="2"/>
      <c r="I32" s="13">
        <v>54000</v>
      </c>
      <c r="J32" s="13">
        <f t="shared" si="2"/>
        <v>27000</v>
      </c>
      <c r="K32" s="13">
        <f t="shared" si="3"/>
        <v>5670</v>
      </c>
      <c r="L32" s="14">
        <f t="shared" si="4"/>
        <v>0.21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5"/>
      <c r="B33" s="2"/>
      <c r="C33" s="4"/>
      <c r="D33" s="2"/>
      <c r="E33" s="2"/>
      <c r="F33" s="2"/>
      <c r="G33" s="2"/>
      <c r="H33" s="2"/>
      <c r="I33" s="2"/>
      <c r="J33" s="2"/>
      <c r="K33" s="2"/>
      <c r="L33" s="3"/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"/>
      <c r="B34" s="2"/>
      <c r="C34" s="4"/>
      <c r="D34" s="2"/>
      <c r="E34" s="13">
        <f t="shared" ref="E34:F34" si="5">SUM(E6:E32)</f>
        <v>513800</v>
      </c>
      <c r="F34" s="13">
        <f t="shared" si="5"/>
        <v>570584</v>
      </c>
      <c r="G34" s="2"/>
      <c r="H34" s="2"/>
      <c r="I34" s="2"/>
      <c r="J34" s="2"/>
      <c r="K34" s="13">
        <f>SUM(K6:K32)</f>
        <v>213734.31408029879</v>
      </c>
      <c r="L34" s="14">
        <f>K34/F34</f>
        <v>0.37458869172689524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"/>
      <c r="B35" s="2"/>
      <c r="C35" s="4"/>
      <c r="D35" s="2"/>
      <c r="E35" s="2"/>
      <c r="F35" s="2"/>
      <c r="G35" s="2"/>
      <c r="H35" s="2"/>
      <c r="I35" s="2"/>
      <c r="J35" s="2"/>
      <c r="K35" s="2"/>
      <c r="L35" s="3"/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"/>
      <c r="B36" s="2"/>
      <c r="C36" s="4"/>
      <c r="D36" s="2"/>
      <c r="E36" s="2"/>
      <c r="F36" s="2"/>
      <c r="G36" s="2"/>
      <c r="H36" s="2"/>
      <c r="I36" s="2"/>
      <c r="J36" s="2"/>
      <c r="K36" s="2"/>
      <c r="L36" s="3"/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"/>
      <c r="B37" s="2"/>
      <c r="C37" s="4"/>
      <c r="D37" s="2"/>
      <c r="E37" s="2"/>
      <c r="F37" s="2"/>
      <c r="G37" s="2"/>
      <c r="H37" s="2"/>
      <c r="I37" s="2"/>
      <c r="J37" s="2"/>
      <c r="K37" s="2"/>
      <c r="L37" s="3"/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88" t="s">
        <v>59</v>
      </c>
      <c r="B40" s="89"/>
      <c r="C40" s="89"/>
      <c r="D40" s="2"/>
      <c r="E40" s="7" t="s">
        <v>45</v>
      </c>
      <c r="F40" s="8">
        <v>46127</v>
      </c>
      <c r="G40" s="2"/>
      <c r="H40" s="2"/>
      <c r="I40" s="91" t="s">
        <v>2</v>
      </c>
      <c r="J40" s="89"/>
      <c r="K40" s="89"/>
      <c r="L40" s="3"/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"/>
      <c r="B41" s="2"/>
      <c r="C41" s="5"/>
      <c r="D41" s="2"/>
      <c r="E41" s="2"/>
      <c r="F41" s="2"/>
      <c r="G41" s="2"/>
      <c r="H41" s="2"/>
      <c r="I41" s="2"/>
      <c r="J41" s="2"/>
      <c r="K41" s="2"/>
      <c r="L41" s="3"/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6" t="s">
        <v>3</v>
      </c>
      <c r="B42" s="10" t="s">
        <v>4</v>
      </c>
      <c r="C42" s="11" t="s">
        <v>5</v>
      </c>
      <c r="D42" s="10" t="s">
        <v>6</v>
      </c>
      <c r="E42" s="10" t="s">
        <v>7</v>
      </c>
      <c r="F42" s="10" t="s">
        <v>8</v>
      </c>
      <c r="G42" s="2"/>
      <c r="H42" s="2"/>
      <c r="I42" s="10" t="s">
        <v>9</v>
      </c>
      <c r="J42" s="10" t="s">
        <v>7</v>
      </c>
      <c r="K42" s="10" t="s">
        <v>10</v>
      </c>
      <c r="L42" s="3"/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5.7</v>
      </c>
      <c r="B43" s="10" t="s">
        <v>17</v>
      </c>
      <c r="C43" s="11" t="s">
        <v>36</v>
      </c>
      <c r="D43" s="13">
        <v>1800</v>
      </c>
      <c r="E43" s="13">
        <f t="shared" ref="E43:E66" si="6">A43*D43</f>
        <v>10260</v>
      </c>
      <c r="F43" s="13">
        <f t="shared" ref="F43:F60" si="7">E43*1.105</f>
        <v>11337.3</v>
      </c>
      <c r="G43" s="2"/>
      <c r="H43" s="2"/>
      <c r="I43" s="13">
        <v>800</v>
      </c>
      <c r="J43" s="13">
        <f t="shared" ref="J43:J66" si="8">I43*A43</f>
        <v>4560</v>
      </c>
      <c r="K43" s="13">
        <f t="shared" ref="K43:K66" si="9">F43-J43</f>
        <v>6777.2999999999993</v>
      </c>
      <c r="L43" s="14">
        <f t="shared" ref="L43:L66" si="10">IFERROR(K43/E43, 0)</f>
        <v>0.66055555555555545</v>
      </c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2.8</v>
      </c>
      <c r="B44" s="10" t="s">
        <v>17</v>
      </c>
      <c r="C44" s="11" t="s">
        <v>38</v>
      </c>
      <c r="D44" s="13">
        <v>1800</v>
      </c>
      <c r="E44" s="13">
        <f t="shared" si="6"/>
        <v>5040</v>
      </c>
      <c r="F44" s="13">
        <f t="shared" si="7"/>
        <v>5569.2</v>
      </c>
      <c r="G44" s="2"/>
      <c r="H44" s="2"/>
      <c r="I44" s="13">
        <v>800</v>
      </c>
      <c r="J44" s="13">
        <f t="shared" si="8"/>
        <v>2240</v>
      </c>
      <c r="K44" s="13">
        <f t="shared" si="9"/>
        <v>3329.2</v>
      </c>
      <c r="L44" s="14">
        <f t="shared" si="10"/>
        <v>0.66055555555555556</v>
      </c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17</v>
      </c>
      <c r="B45" s="10" t="s">
        <v>17</v>
      </c>
      <c r="C45" s="11" t="s">
        <v>39</v>
      </c>
      <c r="D45" s="13">
        <v>1600</v>
      </c>
      <c r="E45" s="13">
        <f t="shared" si="6"/>
        <v>27200</v>
      </c>
      <c r="F45" s="13">
        <f t="shared" si="7"/>
        <v>30056</v>
      </c>
      <c r="G45" s="2"/>
      <c r="H45" s="2"/>
      <c r="I45" s="13">
        <f>12000/15</f>
        <v>800</v>
      </c>
      <c r="J45" s="13">
        <f t="shared" si="8"/>
        <v>13600</v>
      </c>
      <c r="K45" s="13">
        <f t="shared" si="9"/>
        <v>16456</v>
      </c>
      <c r="L45" s="14">
        <f t="shared" si="10"/>
        <v>0.60499999999999998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4</v>
      </c>
      <c r="B46" s="10" t="s">
        <v>17</v>
      </c>
      <c r="C46" s="11" t="s">
        <v>43</v>
      </c>
      <c r="D46" s="13">
        <v>6000</v>
      </c>
      <c r="E46" s="13">
        <f t="shared" si="6"/>
        <v>24000</v>
      </c>
      <c r="F46" s="13">
        <f t="shared" si="7"/>
        <v>26520</v>
      </c>
      <c r="G46" s="2"/>
      <c r="H46" s="2"/>
      <c r="I46" s="13">
        <f>17000/5</f>
        <v>3400</v>
      </c>
      <c r="J46" s="13">
        <f t="shared" si="8"/>
        <v>13600</v>
      </c>
      <c r="K46" s="13">
        <f t="shared" si="9"/>
        <v>12920</v>
      </c>
      <c r="L46" s="14">
        <f t="shared" si="10"/>
        <v>0.53833333333333333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12</v>
      </c>
      <c r="B47" s="10" t="s">
        <v>21</v>
      </c>
      <c r="C47" s="11" t="s">
        <v>46</v>
      </c>
      <c r="D47" s="13">
        <v>600</v>
      </c>
      <c r="E47" s="13">
        <f t="shared" si="6"/>
        <v>7200</v>
      </c>
      <c r="F47" s="13">
        <f t="shared" si="7"/>
        <v>7956</v>
      </c>
      <c r="G47" s="2"/>
      <c r="H47" s="2"/>
      <c r="I47" s="13">
        <f>9000/24</f>
        <v>375</v>
      </c>
      <c r="J47" s="13">
        <f t="shared" si="8"/>
        <v>4500</v>
      </c>
      <c r="K47" s="13">
        <f t="shared" si="9"/>
        <v>3456</v>
      </c>
      <c r="L47" s="14">
        <f t="shared" si="10"/>
        <v>0.48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3</v>
      </c>
      <c r="B48" s="10" t="s">
        <v>4</v>
      </c>
      <c r="C48" s="11" t="s">
        <v>14</v>
      </c>
      <c r="D48" s="13">
        <v>3200</v>
      </c>
      <c r="E48" s="13">
        <f t="shared" si="6"/>
        <v>9600</v>
      </c>
      <c r="F48" s="13">
        <f t="shared" si="7"/>
        <v>10608</v>
      </c>
      <c r="G48" s="2"/>
      <c r="H48" s="2"/>
      <c r="I48" s="13">
        <f>25000/9</f>
        <v>2777.7777777777778</v>
      </c>
      <c r="J48" s="13">
        <f t="shared" si="8"/>
        <v>8333.3333333333339</v>
      </c>
      <c r="K48" s="13">
        <f t="shared" si="9"/>
        <v>2274.6666666666661</v>
      </c>
      <c r="L48" s="14">
        <f t="shared" si="10"/>
        <v>0.23694444444444437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5</v>
      </c>
      <c r="B49" s="10" t="s">
        <v>17</v>
      </c>
      <c r="C49" s="11" t="s">
        <v>18</v>
      </c>
      <c r="D49" s="13">
        <v>1600</v>
      </c>
      <c r="E49" s="13">
        <f t="shared" si="6"/>
        <v>8000</v>
      </c>
      <c r="F49" s="13">
        <f t="shared" si="7"/>
        <v>8840</v>
      </c>
      <c r="G49" s="2"/>
      <c r="H49" s="2"/>
      <c r="I49" s="13">
        <f>1000</f>
        <v>1000</v>
      </c>
      <c r="J49" s="13">
        <f t="shared" si="8"/>
        <v>5000</v>
      </c>
      <c r="K49" s="13">
        <f t="shared" si="9"/>
        <v>3840</v>
      </c>
      <c r="L49" s="14">
        <f t="shared" si="10"/>
        <v>0.48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2</v>
      </c>
      <c r="B50" s="10" t="s">
        <v>17</v>
      </c>
      <c r="C50" s="11" t="s">
        <v>56</v>
      </c>
      <c r="D50" s="13">
        <v>1200</v>
      </c>
      <c r="E50" s="13">
        <f t="shared" si="6"/>
        <v>2400</v>
      </c>
      <c r="F50" s="13">
        <f t="shared" si="7"/>
        <v>2652</v>
      </c>
      <c r="G50" s="2"/>
      <c r="H50" s="2"/>
      <c r="I50" s="13">
        <f>13000/16</f>
        <v>812.5</v>
      </c>
      <c r="J50" s="13">
        <f t="shared" si="8"/>
        <v>1625</v>
      </c>
      <c r="K50" s="13">
        <f t="shared" si="9"/>
        <v>1027</v>
      </c>
      <c r="L50" s="14">
        <f t="shared" si="10"/>
        <v>0.42791666666666667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6</v>
      </c>
      <c r="B51" s="10" t="s">
        <v>17</v>
      </c>
      <c r="C51" s="11" t="s">
        <v>31</v>
      </c>
      <c r="D51" s="13">
        <v>3200</v>
      </c>
      <c r="E51" s="13">
        <f t="shared" si="6"/>
        <v>19200</v>
      </c>
      <c r="F51" s="13">
        <f t="shared" si="7"/>
        <v>21216</v>
      </c>
      <c r="G51" s="2"/>
      <c r="H51" s="2"/>
      <c r="I51" s="13">
        <f>15000/7</f>
        <v>2142.8571428571427</v>
      </c>
      <c r="J51" s="13">
        <f t="shared" si="8"/>
        <v>12857.142857142855</v>
      </c>
      <c r="K51" s="13">
        <f t="shared" si="9"/>
        <v>8358.8571428571449</v>
      </c>
      <c r="L51" s="14">
        <f t="shared" si="10"/>
        <v>0.43535714285714294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6</v>
      </c>
      <c r="B52" s="10" t="s">
        <v>17</v>
      </c>
      <c r="C52" s="11" t="s">
        <v>32</v>
      </c>
      <c r="D52" s="13">
        <v>2400</v>
      </c>
      <c r="E52" s="13">
        <f t="shared" si="6"/>
        <v>14400</v>
      </c>
      <c r="F52" s="13">
        <f t="shared" si="7"/>
        <v>15912</v>
      </c>
      <c r="G52" s="2"/>
      <c r="H52" s="2"/>
      <c r="I52" s="13">
        <f>14000/7</f>
        <v>2000</v>
      </c>
      <c r="J52" s="13">
        <f t="shared" si="8"/>
        <v>12000</v>
      </c>
      <c r="K52" s="13">
        <f t="shared" si="9"/>
        <v>3912</v>
      </c>
      <c r="L52" s="14">
        <f t="shared" si="10"/>
        <v>0.27166666666666667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5</v>
      </c>
      <c r="B53" s="10" t="s">
        <v>17</v>
      </c>
      <c r="C53" s="11" t="s">
        <v>33</v>
      </c>
      <c r="D53" s="13">
        <v>2800</v>
      </c>
      <c r="E53" s="13">
        <f t="shared" si="6"/>
        <v>14000</v>
      </c>
      <c r="F53" s="13">
        <f t="shared" si="7"/>
        <v>15470</v>
      </c>
      <c r="G53" s="2"/>
      <c r="H53" s="2"/>
      <c r="I53" s="17">
        <v>2142.86</v>
      </c>
      <c r="J53" s="13">
        <f t="shared" si="8"/>
        <v>10714.300000000001</v>
      </c>
      <c r="K53" s="13">
        <f t="shared" si="9"/>
        <v>4755.6999999999989</v>
      </c>
      <c r="L53" s="14">
        <f t="shared" si="10"/>
        <v>0.33969285714285707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1</v>
      </c>
      <c r="B54" s="10" t="s">
        <v>17</v>
      </c>
      <c r="C54" s="11" t="s">
        <v>42</v>
      </c>
      <c r="D54" s="13">
        <v>4500</v>
      </c>
      <c r="E54" s="13">
        <f t="shared" si="6"/>
        <v>4500</v>
      </c>
      <c r="F54" s="13">
        <f t="shared" si="7"/>
        <v>4972.5</v>
      </c>
      <c r="G54" s="2"/>
      <c r="H54" s="2"/>
      <c r="I54" s="13">
        <v>1400</v>
      </c>
      <c r="J54" s="13">
        <f t="shared" si="8"/>
        <v>1400</v>
      </c>
      <c r="K54" s="13">
        <f t="shared" si="9"/>
        <v>3572.5</v>
      </c>
      <c r="L54" s="14">
        <f t="shared" si="10"/>
        <v>0.79388888888888887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</v>
      </c>
      <c r="B55" s="10" t="s">
        <v>21</v>
      </c>
      <c r="C55" s="11" t="s">
        <v>51</v>
      </c>
      <c r="D55" s="13">
        <v>1500</v>
      </c>
      <c r="E55" s="13">
        <f t="shared" si="6"/>
        <v>1500</v>
      </c>
      <c r="F55" s="13">
        <f t="shared" si="7"/>
        <v>1657.5</v>
      </c>
      <c r="G55" s="2"/>
      <c r="H55" s="2"/>
      <c r="I55" s="13">
        <f>15000/18</f>
        <v>833.33333333333337</v>
      </c>
      <c r="J55" s="13">
        <f t="shared" si="8"/>
        <v>833.33333333333337</v>
      </c>
      <c r="K55" s="13">
        <f t="shared" si="9"/>
        <v>824.16666666666663</v>
      </c>
      <c r="L55" s="14">
        <f t="shared" si="10"/>
        <v>0.5494444444444444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1</v>
      </c>
      <c r="B56" s="10" t="s">
        <v>21</v>
      </c>
      <c r="C56" s="11" t="s">
        <v>22</v>
      </c>
      <c r="D56" s="13">
        <v>1700</v>
      </c>
      <c r="E56" s="13">
        <f t="shared" si="6"/>
        <v>1700</v>
      </c>
      <c r="F56" s="13">
        <f t="shared" si="7"/>
        <v>1878.5</v>
      </c>
      <c r="G56" s="2"/>
      <c r="H56" s="2"/>
      <c r="I56" s="13">
        <f>1500</f>
        <v>1500</v>
      </c>
      <c r="J56" s="13">
        <f t="shared" si="8"/>
        <v>1500</v>
      </c>
      <c r="K56" s="13">
        <f t="shared" si="9"/>
        <v>378.5</v>
      </c>
      <c r="L56" s="14">
        <f t="shared" si="10"/>
        <v>0.22264705882352942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1.4</v>
      </c>
      <c r="B57" s="10" t="s">
        <v>17</v>
      </c>
      <c r="C57" s="11" t="s">
        <v>34</v>
      </c>
      <c r="D57" s="13">
        <v>5000</v>
      </c>
      <c r="E57" s="13">
        <f t="shared" si="6"/>
        <v>7000</v>
      </c>
      <c r="F57" s="13">
        <f t="shared" si="7"/>
        <v>7735</v>
      </c>
      <c r="G57" s="2"/>
      <c r="H57" s="2"/>
      <c r="I57" s="13">
        <v>2000</v>
      </c>
      <c r="J57" s="13">
        <f t="shared" si="8"/>
        <v>2800</v>
      </c>
      <c r="K57" s="13">
        <f t="shared" si="9"/>
        <v>4935</v>
      </c>
      <c r="L57" s="14">
        <f t="shared" si="10"/>
        <v>0.70499999999999996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2</v>
      </c>
      <c r="B58" s="10" t="s">
        <v>4</v>
      </c>
      <c r="C58" s="11" t="s">
        <v>64</v>
      </c>
      <c r="D58" s="13">
        <v>2500</v>
      </c>
      <c r="E58" s="13">
        <f t="shared" si="6"/>
        <v>5000</v>
      </c>
      <c r="F58" s="13">
        <f t="shared" si="7"/>
        <v>5525</v>
      </c>
      <c r="G58" s="2"/>
      <c r="H58" s="7" t="s">
        <v>107</v>
      </c>
      <c r="I58" s="13"/>
      <c r="J58" s="13">
        <f t="shared" si="8"/>
        <v>0</v>
      </c>
      <c r="K58" s="13">
        <f t="shared" si="9"/>
        <v>5525</v>
      </c>
      <c r="L58" s="14">
        <f t="shared" si="10"/>
        <v>1.105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4</v>
      </c>
      <c r="B59" s="10" t="s">
        <v>15</v>
      </c>
      <c r="C59" s="11" t="s">
        <v>27</v>
      </c>
      <c r="D59" s="13">
        <v>25000</v>
      </c>
      <c r="E59" s="13">
        <f t="shared" si="6"/>
        <v>100000</v>
      </c>
      <c r="F59" s="13">
        <f t="shared" si="7"/>
        <v>110500</v>
      </c>
      <c r="G59" s="2"/>
      <c r="H59" s="2"/>
      <c r="I59" s="13">
        <v>18000</v>
      </c>
      <c r="J59" s="13">
        <f t="shared" si="8"/>
        <v>72000</v>
      </c>
      <c r="K59" s="13">
        <f t="shared" si="9"/>
        <v>38500</v>
      </c>
      <c r="L59" s="14">
        <f t="shared" si="10"/>
        <v>0.38500000000000001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1</v>
      </c>
      <c r="B60" s="10" t="s">
        <v>15</v>
      </c>
      <c r="C60" s="11" t="s">
        <v>48</v>
      </c>
      <c r="D60" s="13">
        <v>13000</v>
      </c>
      <c r="E60" s="13">
        <f t="shared" si="6"/>
        <v>13000</v>
      </c>
      <c r="F60" s="13">
        <f t="shared" si="7"/>
        <v>14365</v>
      </c>
      <c r="G60" s="2"/>
      <c r="H60" s="2"/>
      <c r="I60" s="13">
        <v>8000</v>
      </c>
      <c r="J60" s="13">
        <f t="shared" si="8"/>
        <v>8000</v>
      </c>
      <c r="K60" s="13">
        <f t="shared" si="9"/>
        <v>6365</v>
      </c>
      <c r="L60" s="14">
        <f t="shared" si="10"/>
        <v>0.48961538461538462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0.5</v>
      </c>
      <c r="B61" s="10" t="s">
        <v>23</v>
      </c>
      <c r="C61" s="11" t="s">
        <v>12</v>
      </c>
      <c r="D61" s="13">
        <v>54000</v>
      </c>
      <c r="E61" s="13">
        <f t="shared" si="6"/>
        <v>27000</v>
      </c>
      <c r="F61" s="13">
        <f>E61*1.21</f>
        <v>32670</v>
      </c>
      <c r="G61" s="2"/>
      <c r="H61" s="2"/>
      <c r="I61" s="13">
        <v>54000</v>
      </c>
      <c r="J61" s="13">
        <f t="shared" si="8"/>
        <v>27000</v>
      </c>
      <c r="K61" s="13">
        <f t="shared" si="9"/>
        <v>5670</v>
      </c>
      <c r="L61" s="14">
        <f t="shared" si="10"/>
        <v>0.21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1</v>
      </c>
      <c r="B62" s="10" t="s">
        <v>23</v>
      </c>
      <c r="C62" s="11" t="s">
        <v>26</v>
      </c>
      <c r="D62" s="13">
        <v>22000</v>
      </c>
      <c r="E62" s="13">
        <f t="shared" si="6"/>
        <v>22000</v>
      </c>
      <c r="F62" s="13">
        <f t="shared" ref="F62:F66" si="11">E62*1.105</f>
        <v>24310</v>
      </c>
      <c r="G62" s="2"/>
      <c r="H62" s="2"/>
      <c r="I62" s="13">
        <v>14000</v>
      </c>
      <c r="J62" s="13">
        <f t="shared" si="8"/>
        <v>14000</v>
      </c>
      <c r="K62" s="13">
        <f t="shared" si="9"/>
        <v>10310</v>
      </c>
      <c r="L62" s="14">
        <f t="shared" si="10"/>
        <v>0.46863636363636363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5</v>
      </c>
      <c r="B63" s="10" t="s">
        <v>17</v>
      </c>
      <c r="C63" s="11" t="s">
        <v>24</v>
      </c>
      <c r="D63" s="13">
        <v>3600</v>
      </c>
      <c r="E63" s="13">
        <f t="shared" si="6"/>
        <v>18000</v>
      </c>
      <c r="F63" s="13">
        <f t="shared" si="11"/>
        <v>19890</v>
      </c>
      <c r="G63" s="2"/>
      <c r="H63" s="2"/>
      <c r="I63" s="13">
        <f>50000/17</f>
        <v>2941.1764705882351</v>
      </c>
      <c r="J63" s="13">
        <f t="shared" si="8"/>
        <v>14705.882352941175</v>
      </c>
      <c r="K63" s="13">
        <f t="shared" si="9"/>
        <v>5184.1176470588252</v>
      </c>
      <c r="L63" s="14">
        <f t="shared" si="10"/>
        <v>0.28800653594771253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5</v>
      </c>
      <c r="B64" s="10" t="s">
        <v>17</v>
      </c>
      <c r="C64" s="11" t="s">
        <v>25</v>
      </c>
      <c r="D64" s="13">
        <v>4500</v>
      </c>
      <c r="E64" s="13">
        <f t="shared" si="6"/>
        <v>22500</v>
      </c>
      <c r="F64" s="13">
        <f t="shared" si="11"/>
        <v>24862.5</v>
      </c>
      <c r="G64" s="2"/>
      <c r="H64" s="2"/>
      <c r="I64" s="17">
        <f>60000/17</f>
        <v>3529.4117647058824</v>
      </c>
      <c r="J64" s="13">
        <f t="shared" si="8"/>
        <v>17647.058823529413</v>
      </c>
      <c r="K64" s="13">
        <f t="shared" si="9"/>
        <v>7215.4411764705874</v>
      </c>
      <c r="L64" s="14">
        <f t="shared" si="10"/>
        <v>0.32068627450980386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5</v>
      </c>
      <c r="B65" s="10" t="s">
        <v>17</v>
      </c>
      <c r="C65" s="11" t="s">
        <v>123</v>
      </c>
      <c r="D65" s="13">
        <v>3000</v>
      </c>
      <c r="E65" s="13">
        <f t="shared" si="6"/>
        <v>15000</v>
      </c>
      <c r="F65" s="13">
        <f t="shared" si="11"/>
        <v>16575</v>
      </c>
      <c r="G65" s="2"/>
      <c r="H65" s="2"/>
      <c r="I65" s="13">
        <f>32000/15</f>
        <v>2133.3333333333335</v>
      </c>
      <c r="J65" s="13">
        <f t="shared" si="8"/>
        <v>10666.666666666668</v>
      </c>
      <c r="K65" s="13">
        <f t="shared" si="9"/>
        <v>5908.3333333333321</v>
      </c>
      <c r="L65" s="14">
        <f t="shared" si="10"/>
        <v>0.39388888888888879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5</v>
      </c>
      <c r="B66" s="10" t="s">
        <v>17</v>
      </c>
      <c r="C66" s="11" t="s">
        <v>62</v>
      </c>
      <c r="D66" s="13">
        <v>3000</v>
      </c>
      <c r="E66" s="13">
        <f t="shared" si="6"/>
        <v>15000</v>
      </c>
      <c r="F66" s="13">
        <f t="shared" si="11"/>
        <v>16575</v>
      </c>
      <c r="G66" s="2"/>
      <c r="H66" s="2"/>
      <c r="I66" s="13">
        <f>28000/17</f>
        <v>1647.0588235294117</v>
      </c>
      <c r="J66" s="13">
        <f t="shared" si="8"/>
        <v>8235.2941176470595</v>
      </c>
      <c r="K66" s="13">
        <f t="shared" si="9"/>
        <v>8339.7058823529405</v>
      </c>
      <c r="L66" s="14">
        <f t="shared" si="10"/>
        <v>0.55598039215686268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5"/>
      <c r="B67" s="2"/>
      <c r="C67" s="4"/>
      <c r="D67" s="2"/>
      <c r="E67" s="2"/>
      <c r="F67" s="2"/>
      <c r="G67" s="2"/>
      <c r="H67" s="2"/>
      <c r="I67" s="2"/>
      <c r="J67" s="2"/>
      <c r="K67" s="2"/>
      <c r="L67" s="3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"/>
      <c r="B68" s="2"/>
      <c r="C68" s="4"/>
      <c r="D68" s="2"/>
      <c r="E68" s="13">
        <f t="shared" ref="E68:F68" si="12">SUM(E43:E66)</f>
        <v>393500</v>
      </c>
      <c r="F68" s="13">
        <f t="shared" si="12"/>
        <v>437652.5</v>
      </c>
      <c r="G68" s="2"/>
      <c r="H68" s="2"/>
      <c r="I68" s="2"/>
      <c r="J68" s="2"/>
      <c r="K68" s="13">
        <f>SUM(K54:K66)</f>
        <v>102727.76470588235</v>
      </c>
      <c r="L68" s="14">
        <f>K68/F68</f>
        <v>0.23472450107307133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0"/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"/>
      <c r="B72" s="1"/>
      <c r="C72" s="1"/>
      <c r="D72" s="1"/>
      <c r="E72" s="1"/>
      <c r="F72" s="8"/>
      <c r="G72" s="1"/>
      <c r="H72" s="1"/>
      <c r="I72" s="1"/>
      <c r="J72" s="1"/>
      <c r="K72" s="1"/>
      <c r="L72" s="20"/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88" t="s">
        <v>66</v>
      </c>
      <c r="B73" s="89"/>
      <c r="C73" s="89"/>
      <c r="D73" s="2"/>
      <c r="E73" s="7" t="s">
        <v>58</v>
      </c>
      <c r="F73" s="8">
        <v>46127</v>
      </c>
      <c r="G73" s="2"/>
      <c r="H73" s="2"/>
      <c r="I73" s="91" t="s">
        <v>2</v>
      </c>
      <c r="J73" s="89"/>
      <c r="K73" s="89"/>
      <c r="L73" s="3"/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"/>
      <c r="B74" s="2"/>
      <c r="C74" s="5"/>
      <c r="D74" s="2"/>
      <c r="E74" s="2"/>
      <c r="F74" s="8"/>
      <c r="G74" s="2"/>
      <c r="H74" s="2"/>
      <c r="I74" s="2"/>
      <c r="J74" s="2"/>
      <c r="K74" s="2"/>
      <c r="L74" s="3"/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6" t="s">
        <v>3</v>
      </c>
      <c r="B75" s="10" t="s">
        <v>4</v>
      </c>
      <c r="C75" s="11" t="s">
        <v>5</v>
      </c>
      <c r="D75" s="10" t="s">
        <v>6</v>
      </c>
      <c r="E75" s="10" t="s">
        <v>7</v>
      </c>
      <c r="F75" s="10" t="s">
        <v>8</v>
      </c>
      <c r="G75" s="2"/>
      <c r="H75" s="2"/>
      <c r="I75" s="10" t="s">
        <v>9</v>
      </c>
      <c r="J75" s="10" t="s">
        <v>7</v>
      </c>
      <c r="K75" s="10" t="s">
        <v>10</v>
      </c>
      <c r="L75" s="3"/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0.5</v>
      </c>
      <c r="B76" s="10" t="s">
        <v>23</v>
      </c>
      <c r="C76" s="11" t="s">
        <v>12</v>
      </c>
      <c r="D76" s="13">
        <v>54000</v>
      </c>
      <c r="E76" s="13">
        <f t="shared" ref="E76:E108" si="13">A76*D76</f>
        <v>27000</v>
      </c>
      <c r="F76" s="13">
        <f>E76*1.21</f>
        <v>32670</v>
      </c>
      <c r="G76" s="2"/>
      <c r="H76" s="2"/>
      <c r="I76" s="13">
        <v>54000</v>
      </c>
      <c r="J76" s="13">
        <f t="shared" ref="J76:J108" si="14">I76*A76</f>
        <v>27000</v>
      </c>
      <c r="K76" s="13">
        <f t="shared" ref="K76:K108" si="15">F76-J76</f>
        <v>5670</v>
      </c>
      <c r="L76" s="14">
        <f t="shared" ref="L76:L108" si="16">IFERROR(K76/E76, 0)</f>
        <v>0.21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5</v>
      </c>
      <c r="B77" s="10" t="s">
        <v>15</v>
      </c>
      <c r="C77" s="11" t="s">
        <v>27</v>
      </c>
      <c r="D77" s="13">
        <v>25000</v>
      </c>
      <c r="E77" s="13">
        <f t="shared" si="13"/>
        <v>125000</v>
      </c>
      <c r="F77" s="13">
        <f t="shared" ref="F77:F108" si="17">E77*1.105</f>
        <v>138125</v>
      </c>
      <c r="G77" s="2"/>
      <c r="H77" s="2"/>
      <c r="I77" s="13">
        <v>18000</v>
      </c>
      <c r="J77" s="13">
        <f t="shared" si="14"/>
        <v>90000</v>
      </c>
      <c r="K77" s="13">
        <f t="shared" si="15"/>
        <v>48125</v>
      </c>
      <c r="L77" s="14">
        <f t="shared" si="16"/>
        <v>0.38500000000000001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1</v>
      </c>
      <c r="B78" s="10" t="s">
        <v>15</v>
      </c>
      <c r="C78" s="11" t="s">
        <v>48</v>
      </c>
      <c r="D78" s="13">
        <v>13000</v>
      </c>
      <c r="E78" s="13">
        <f t="shared" si="13"/>
        <v>13000</v>
      </c>
      <c r="F78" s="13">
        <f t="shared" si="17"/>
        <v>14365</v>
      </c>
      <c r="G78" s="2"/>
      <c r="H78" s="7" t="s">
        <v>37</v>
      </c>
      <c r="I78" s="13">
        <v>8000</v>
      </c>
      <c r="J78" s="13">
        <f t="shared" si="14"/>
        <v>8000</v>
      </c>
      <c r="K78" s="13">
        <f t="shared" si="15"/>
        <v>6365</v>
      </c>
      <c r="L78" s="14">
        <f t="shared" si="16"/>
        <v>0.48961538461538462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1</v>
      </c>
      <c r="B79" s="10" t="s">
        <v>15</v>
      </c>
      <c r="C79" s="11" t="s">
        <v>129</v>
      </c>
      <c r="D79" s="13">
        <v>16000</v>
      </c>
      <c r="E79" s="13">
        <f t="shared" si="13"/>
        <v>16000</v>
      </c>
      <c r="F79" s="13">
        <f t="shared" si="17"/>
        <v>17680</v>
      </c>
      <c r="G79" s="2"/>
      <c r="H79" s="2"/>
      <c r="I79" s="13">
        <v>12000</v>
      </c>
      <c r="J79" s="13">
        <f t="shared" si="14"/>
        <v>12000</v>
      </c>
      <c r="K79" s="13">
        <f t="shared" si="15"/>
        <v>5680</v>
      </c>
      <c r="L79" s="14">
        <f t="shared" si="16"/>
        <v>0.35499999999999998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5</v>
      </c>
      <c r="B80" s="10" t="s">
        <v>17</v>
      </c>
      <c r="C80" s="11" t="s">
        <v>56</v>
      </c>
      <c r="D80" s="13">
        <v>1200</v>
      </c>
      <c r="E80" s="13">
        <f t="shared" si="13"/>
        <v>6000</v>
      </c>
      <c r="F80" s="13">
        <f t="shared" si="17"/>
        <v>6630</v>
      </c>
      <c r="G80" s="2"/>
      <c r="H80" s="2"/>
      <c r="I80" s="13">
        <f>13000/16</f>
        <v>812.5</v>
      </c>
      <c r="J80" s="13">
        <f t="shared" si="14"/>
        <v>4062.5</v>
      </c>
      <c r="K80" s="13">
        <f t="shared" si="15"/>
        <v>2567.5</v>
      </c>
      <c r="L80" s="14">
        <f t="shared" si="16"/>
        <v>0.42791666666666667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3</v>
      </c>
      <c r="B81" s="10" t="s">
        <v>17</v>
      </c>
      <c r="C81" s="11" t="s">
        <v>18</v>
      </c>
      <c r="D81" s="13">
        <v>1600</v>
      </c>
      <c r="E81" s="13">
        <f t="shared" si="13"/>
        <v>4800</v>
      </c>
      <c r="F81" s="13">
        <f t="shared" si="17"/>
        <v>5304</v>
      </c>
      <c r="G81" s="2"/>
      <c r="H81" s="2"/>
      <c r="I81" s="13">
        <v>1000</v>
      </c>
      <c r="J81" s="13">
        <f t="shared" si="14"/>
        <v>3000</v>
      </c>
      <c r="K81" s="13">
        <f t="shared" si="15"/>
        <v>2304</v>
      </c>
      <c r="L81" s="14">
        <f t="shared" si="16"/>
        <v>0.48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4</v>
      </c>
      <c r="B82" s="10" t="s">
        <v>17</v>
      </c>
      <c r="C82" s="11" t="s">
        <v>31</v>
      </c>
      <c r="D82" s="13">
        <v>3200</v>
      </c>
      <c r="E82" s="13">
        <f t="shared" si="13"/>
        <v>12800</v>
      </c>
      <c r="F82" s="13">
        <f t="shared" si="17"/>
        <v>14144</v>
      </c>
      <c r="G82" s="2"/>
      <c r="H82" s="2"/>
      <c r="I82" s="13">
        <f>15000/7</f>
        <v>2142.8571428571427</v>
      </c>
      <c r="J82" s="13">
        <f t="shared" si="14"/>
        <v>8571.4285714285706</v>
      </c>
      <c r="K82" s="13">
        <f t="shared" si="15"/>
        <v>5572.5714285714294</v>
      </c>
      <c r="L82" s="14">
        <f t="shared" si="16"/>
        <v>0.43535714285714294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4</v>
      </c>
      <c r="B83" s="10" t="s">
        <v>17</v>
      </c>
      <c r="C83" s="11" t="s">
        <v>32</v>
      </c>
      <c r="D83" s="13">
        <v>2400</v>
      </c>
      <c r="E83" s="13">
        <f t="shared" si="13"/>
        <v>9600</v>
      </c>
      <c r="F83" s="13">
        <f t="shared" si="17"/>
        <v>10608</v>
      </c>
      <c r="G83" s="2"/>
      <c r="H83" s="2"/>
      <c r="I83" s="13">
        <v>2000</v>
      </c>
      <c r="J83" s="13">
        <f t="shared" si="14"/>
        <v>8000</v>
      </c>
      <c r="K83" s="13">
        <f t="shared" si="15"/>
        <v>2608</v>
      </c>
      <c r="L83" s="14">
        <f t="shared" si="16"/>
        <v>0.27166666666666667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3</v>
      </c>
      <c r="B84" s="10" t="s">
        <v>17</v>
      </c>
      <c r="C84" s="11" t="s">
        <v>33</v>
      </c>
      <c r="D84" s="13">
        <v>2800</v>
      </c>
      <c r="E84" s="13">
        <f t="shared" si="13"/>
        <v>8400</v>
      </c>
      <c r="F84" s="13">
        <f t="shared" si="17"/>
        <v>9282</v>
      </c>
      <c r="G84" s="2"/>
      <c r="H84" s="2"/>
      <c r="I84" s="13">
        <v>2142.86</v>
      </c>
      <c r="J84" s="13">
        <f t="shared" si="14"/>
        <v>6428.58</v>
      </c>
      <c r="K84" s="13">
        <f t="shared" si="15"/>
        <v>2853.42</v>
      </c>
      <c r="L84" s="14">
        <f t="shared" si="16"/>
        <v>0.33969285714285713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</v>
      </c>
      <c r="B85" s="10" t="s">
        <v>17</v>
      </c>
      <c r="C85" s="11" t="s">
        <v>38</v>
      </c>
      <c r="D85" s="13">
        <v>1800</v>
      </c>
      <c r="E85" s="13">
        <f t="shared" si="13"/>
        <v>1800</v>
      </c>
      <c r="F85" s="13">
        <f t="shared" si="17"/>
        <v>1989</v>
      </c>
      <c r="G85" s="2"/>
      <c r="H85" s="2"/>
      <c r="I85" s="17">
        <v>800</v>
      </c>
      <c r="J85" s="13">
        <f t="shared" si="14"/>
        <v>800</v>
      </c>
      <c r="K85" s="13">
        <f t="shared" si="15"/>
        <v>1189</v>
      </c>
      <c r="L85" s="14">
        <f t="shared" si="16"/>
        <v>0.66055555555555556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2</v>
      </c>
      <c r="B86" s="10" t="s">
        <v>15</v>
      </c>
      <c r="C86" s="11" t="s">
        <v>40</v>
      </c>
      <c r="D86" s="13">
        <v>12000</v>
      </c>
      <c r="E86" s="13">
        <f t="shared" si="13"/>
        <v>24000</v>
      </c>
      <c r="F86" s="13">
        <f t="shared" si="17"/>
        <v>26520</v>
      </c>
      <c r="G86" s="2"/>
      <c r="H86" s="2"/>
      <c r="I86" s="13">
        <v>7000</v>
      </c>
      <c r="J86" s="13">
        <f t="shared" si="14"/>
        <v>14000</v>
      </c>
      <c r="K86" s="13">
        <f t="shared" si="15"/>
        <v>12520</v>
      </c>
      <c r="L86" s="14">
        <f t="shared" si="16"/>
        <v>0.52166666666666661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0.5</v>
      </c>
      <c r="B87" s="10" t="s">
        <v>17</v>
      </c>
      <c r="C87" s="11" t="s">
        <v>34</v>
      </c>
      <c r="D87" s="13">
        <v>5000</v>
      </c>
      <c r="E87" s="13">
        <f t="shared" si="13"/>
        <v>2500</v>
      </c>
      <c r="F87" s="13">
        <f t="shared" si="17"/>
        <v>2762.5</v>
      </c>
      <c r="G87" s="2"/>
      <c r="H87" s="2"/>
      <c r="I87" s="13">
        <v>2000</v>
      </c>
      <c r="J87" s="13">
        <f t="shared" si="14"/>
        <v>1000</v>
      </c>
      <c r="K87" s="13">
        <f t="shared" si="15"/>
        <v>1762.5</v>
      </c>
      <c r="L87" s="14">
        <f t="shared" si="16"/>
        <v>0.70499999999999996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0.25</v>
      </c>
      <c r="B88" s="10" t="s">
        <v>21</v>
      </c>
      <c r="C88" s="11" t="s">
        <v>29</v>
      </c>
      <c r="D88" s="13">
        <v>3500</v>
      </c>
      <c r="E88" s="13">
        <f t="shared" si="13"/>
        <v>875</v>
      </c>
      <c r="F88" s="13">
        <f t="shared" si="17"/>
        <v>966.875</v>
      </c>
      <c r="G88" s="2"/>
      <c r="H88" s="2"/>
      <c r="I88" s="13">
        <v>1500</v>
      </c>
      <c r="J88" s="13">
        <f t="shared" si="14"/>
        <v>375</v>
      </c>
      <c r="K88" s="13">
        <f t="shared" si="15"/>
        <v>591.875</v>
      </c>
      <c r="L88" s="14">
        <f t="shared" si="16"/>
        <v>0.67642857142857138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1</v>
      </c>
      <c r="B89" s="10" t="s">
        <v>21</v>
      </c>
      <c r="C89" s="11" t="s">
        <v>133</v>
      </c>
      <c r="D89" s="13">
        <v>3000</v>
      </c>
      <c r="E89" s="13">
        <f t="shared" si="13"/>
        <v>3000</v>
      </c>
      <c r="F89" s="13">
        <f t="shared" si="17"/>
        <v>3315</v>
      </c>
      <c r="G89" s="2"/>
      <c r="H89" s="2"/>
      <c r="I89" s="13">
        <f>2500/6</f>
        <v>416.66666666666669</v>
      </c>
      <c r="J89" s="13">
        <f t="shared" si="14"/>
        <v>416.66666666666669</v>
      </c>
      <c r="K89" s="13">
        <f t="shared" si="15"/>
        <v>2898.3333333333335</v>
      </c>
      <c r="L89" s="14">
        <f t="shared" si="16"/>
        <v>0.96611111111111114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21</v>
      </c>
      <c r="C90" s="11" t="s">
        <v>28</v>
      </c>
      <c r="D90" s="13">
        <v>3000</v>
      </c>
      <c r="E90" s="13">
        <f t="shared" si="13"/>
        <v>3000</v>
      </c>
      <c r="F90" s="13">
        <f t="shared" si="17"/>
        <v>3315</v>
      </c>
      <c r="G90" s="2"/>
      <c r="H90" s="2"/>
      <c r="I90" s="13">
        <v>2000</v>
      </c>
      <c r="J90" s="13">
        <f t="shared" si="14"/>
        <v>2000</v>
      </c>
      <c r="K90" s="13">
        <f t="shared" si="15"/>
        <v>1315</v>
      </c>
      <c r="L90" s="14">
        <f t="shared" si="16"/>
        <v>0.43833333333333335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0.5</v>
      </c>
      <c r="B91" s="10" t="s">
        <v>17</v>
      </c>
      <c r="C91" s="11" t="s">
        <v>99</v>
      </c>
      <c r="D91" s="13">
        <v>1500</v>
      </c>
      <c r="E91" s="13">
        <f t="shared" si="13"/>
        <v>750</v>
      </c>
      <c r="F91" s="13">
        <f t="shared" si="17"/>
        <v>828.75</v>
      </c>
      <c r="G91" s="2"/>
      <c r="H91" s="13"/>
      <c r="I91" s="13">
        <f>7000/7</f>
        <v>1000</v>
      </c>
      <c r="J91" s="13">
        <f t="shared" si="14"/>
        <v>500</v>
      </c>
      <c r="K91" s="13">
        <f t="shared" si="15"/>
        <v>328.75</v>
      </c>
      <c r="L91" s="14">
        <f t="shared" si="16"/>
        <v>0.43833333333333335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2</v>
      </c>
      <c r="B92" s="10" t="s">
        <v>17</v>
      </c>
      <c r="C92" s="11" t="s">
        <v>42</v>
      </c>
      <c r="D92" s="13">
        <v>4500</v>
      </c>
      <c r="E92" s="13">
        <f t="shared" si="13"/>
        <v>9000</v>
      </c>
      <c r="F92" s="13">
        <f t="shared" si="17"/>
        <v>9945</v>
      </c>
      <c r="G92" s="2"/>
      <c r="H92" s="2"/>
      <c r="I92" s="13">
        <v>1400</v>
      </c>
      <c r="J92" s="13">
        <f t="shared" si="14"/>
        <v>2800</v>
      </c>
      <c r="K92" s="13">
        <f t="shared" si="15"/>
        <v>7145</v>
      </c>
      <c r="L92" s="14">
        <f t="shared" si="16"/>
        <v>0.79388888888888887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7</v>
      </c>
      <c r="B93" s="10" t="s">
        <v>17</v>
      </c>
      <c r="C93" s="11" t="s">
        <v>39</v>
      </c>
      <c r="D93" s="13">
        <v>1600</v>
      </c>
      <c r="E93" s="13">
        <f t="shared" si="13"/>
        <v>11200</v>
      </c>
      <c r="F93" s="13">
        <f t="shared" si="17"/>
        <v>12376</v>
      </c>
      <c r="G93" s="2"/>
      <c r="H93" s="2"/>
      <c r="I93" s="13">
        <f>12000/15</f>
        <v>800</v>
      </c>
      <c r="J93" s="13">
        <f t="shared" si="14"/>
        <v>5600</v>
      </c>
      <c r="K93" s="13">
        <f t="shared" si="15"/>
        <v>6776</v>
      </c>
      <c r="L93" s="14">
        <f t="shared" si="16"/>
        <v>0.60499999999999998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5</v>
      </c>
      <c r="B94" s="10" t="s">
        <v>17</v>
      </c>
      <c r="C94" s="11" t="s">
        <v>43</v>
      </c>
      <c r="D94" s="13">
        <v>6000</v>
      </c>
      <c r="E94" s="13">
        <f t="shared" si="13"/>
        <v>30000</v>
      </c>
      <c r="F94" s="13">
        <f t="shared" si="17"/>
        <v>33150</v>
      </c>
      <c r="G94" s="2"/>
      <c r="H94" s="2"/>
      <c r="I94" s="13">
        <f>17000/5</f>
        <v>3400</v>
      </c>
      <c r="J94" s="13">
        <f t="shared" si="14"/>
        <v>17000</v>
      </c>
      <c r="K94" s="13">
        <f t="shared" si="15"/>
        <v>16150</v>
      </c>
      <c r="L94" s="14">
        <f t="shared" si="16"/>
        <v>0.53833333333333333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16</v>
      </c>
      <c r="B95" s="10" t="s">
        <v>21</v>
      </c>
      <c r="C95" s="11" t="s">
        <v>46</v>
      </c>
      <c r="D95" s="13">
        <v>600</v>
      </c>
      <c r="E95" s="13">
        <f t="shared" si="13"/>
        <v>9600</v>
      </c>
      <c r="F95" s="13">
        <f t="shared" si="17"/>
        <v>10608</v>
      </c>
      <c r="G95" s="2"/>
      <c r="H95" s="2"/>
      <c r="I95" s="13">
        <f>9000/24</f>
        <v>375</v>
      </c>
      <c r="J95" s="13">
        <f t="shared" si="14"/>
        <v>6000</v>
      </c>
      <c r="K95" s="13">
        <f t="shared" si="15"/>
        <v>4608</v>
      </c>
      <c r="L95" s="14">
        <f t="shared" si="16"/>
        <v>0.48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0.5</v>
      </c>
      <c r="B96" s="10" t="s">
        <v>17</v>
      </c>
      <c r="C96" s="11" t="s">
        <v>93</v>
      </c>
      <c r="D96" s="13">
        <v>3000</v>
      </c>
      <c r="E96" s="13">
        <f t="shared" si="13"/>
        <v>1500</v>
      </c>
      <c r="F96" s="13">
        <f t="shared" si="17"/>
        <v>1657.5</v>
      </c>
      <c r="G96" s="2"/>
      <c r="H96" s="13"/>
      <c r="I96" s="13">
        <f>7000/7</f>
        <v>1000</v>
      </c>
      <c r="J96" s="13">
        <f t="shared" si="14"/>
        <v>500</v>
      </c>
      <c r="K96" s="13">
        <f t="shared" si="15"/>
        <v>1157.5</v>
      </c>
      <c r="L96" s="14">
        <f t="shared" si="16"/>
        <v>0.77166666666666661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0.5</v>
      </c>
      <c r="B97" s="10" t="s">
        <v>17</v>
      </c>
      <c r="C97" s="11" t="s">
        <v>35</v>
      </c>
      <c r="D97" s="13">
        <v>2500</v>
      </c>
      <c r="E97" s="13">
        <f t="shared" si="13"/>
        <v>1250</v>
      </c>
      <c r="F97" s="13">
        <f t="shared" si="17"/>
        <v>1381.25</v>
      </c>
      <c r="G97" s="2"/>
      <c r="H97" s="13"/>
      <c r="I97" s="13">
        <f>14000/9</f>
        <v>1555.5555555555557</v>
      </c>
      <c r="J97" s="13">
        <f t="shared" si="14"/>
        <v>777.77777777777783</v>
      </c>
      <c r="K97" s="13">
        <f t="shared" si="15"/>
        <v>603.47222222222217</v>
      </c>
      <c r="L97" s="14">
        <f t="shared" si="16"/>
        <v>0.48277777777777775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17</v>
      </c>
      <c r="C98" s="11" t="s">
        <v>82</v>
      </c>
      <c r="D98" s="13">
        <v>2600</v>
      </c>
      <c r="E98" s="13">
        <f t="shared" si="13"/>
        <v>5200</v>
      </c>
      <c r="F98" s="13">
        <f t="shared" si="17"/>
        <v>5746</v>
      </c>
      <c r="G98" s="2"/>
      <c r="H98" s="2"/>
      <c r="I98" s="13">
        <f>28000/14</f>
        <v>2000</v>
      </c>
      <c r="J98" s="13">
        <f t="shared" si="14"/>
        <v>4000</v>
      </c>
      <c r="K98" s="13">
        <f t="shared" si="15"/>
        <v>1746</v>
      </c>
      <c r="L98" s="14">
        <f t="shared" si="16"/>
        <v>0.33576923076923076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1</v>
      </c>
      <c r="B99" s="10" t="s">
        <v>4</v>
      </c>
      <c r="C99" s="11" t="s">
        <v>14</v>
      </c>
      <c r="D99" s="13">
        <v>3200</v>
      </c>
      <c r="E99" s="13">
        <f t="shared" si="13"/>
        <v>3200</v>
      </c>
      <c r="F99" s="13">
        <f t="shared" si="17"/>
        <v>3536</v>
      </c>
      <c r="G99" s="2"/>
      <c r="H99" s="2"/>
      <c r="I99" s="13">
        <f>25000/9</f>
        <v>2777.7777777777778</v>
      </c>
      <c r="J99" s="13">
        <f t="shared" si="14"/>
        <v>2777.7777777777778</v>
      </c>
      <c r="K99" s="13">
        <f t="shared" si="15"/>
        <v>758.22222222222217</v>
      </c>
      <c r="L99" s="14">
        <f t="shared" si="16"/>
        <v>0.23694444444444443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1.5</v>
      </c>
      <c r="B100" s="10" t="s">
        <v>23</v>
      </c>
      <c r="C100" s="11" t="s">
        <v>26</v>
      </c>
      <c r="D100" s="13">
        <v>22000</v>
      </c>
      <c r="E100" s="13">
        <f t="shared" si="13"/>
        <v>33000</v>
      </c>
      <c r="F100" s="13">
        <f t="shared" si="17"/>
        <v>36465</v>
      </c>
      <c r="G100" s="2"/>
      <c r="H100" s="13"/>
      <c r="I100" s="13">
        <v>14000</v>
      </c>
      <c r="J100" s="13">
        <f t="shared" si="14"/>
        <v>21000</v>
      </c>
      <c r="K100" s="13">
        <f t="shared" si="15"/>
        <v>15465</v>
      </c>
      <c r="L100" s="14">
        <f t="shared" si="16"/>
        <v>0.46863636363636363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12</v>
      </c>
      <c r="B101" s="10" t="s">
        <v>17</v>
      </c>
      <c r="C101" s="11" t="s">
        <v>24</v>
      </c>
      <c r="D101" s="13">
        <v>3600</v>
      </c>
      <c r="E101" s="13">
        <f t="shared" si="13"/>
        <v>43200</v>
      </c>
      <c r="F101" s="13">
        <f t="shared" si="17"/>
        <v>47736</v>
      </c>
      <c r="G101" s="2"/>
      <c r="H101" s="13"/>
      <c r="I101" s="13">
        <f>50000/17</f>
        <v>2941.1764705882351</v>
      </c>
      <c r="J101" s="13">
        <f t="shared" si="14"/>
        <v>35294.117647058825</v>
      </c>
      <c r="K101" s="13">
        <f t="shared" si="15"/>
        <v>12441.882352941175</v>
      </c>
      <c r="L101" s="14">
        <f t="shared" si="16"/>
        <v>0.28800653594771236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10</v>
      </c>
      <c r="B102" s="10" t="s">
        <v>17</v>
      </c>
      <c r="C102" s="11" t="s">
        <v>25</v>
      </c>
      <c r="D102" s="13">
        <v>4500</v>
      </c>
      <c r="E102" s="13">
        <f t="shared" si="13"/>
        <v>45000</v>
      </c>
      <c r="F102" s="13">
        <f t="shared" si="17"/>
        <v>49725</v>
      </c>
      <c r="G102" s="2"/>
      <c r="H102" s="2"/>
      <c r="I102" s="13">
        <f>60000/17</f>
        <v>3529.4117647058824</v>
      </c>
      <c r="J102" s="13">
        <f t="shared" si="14"/>
        <v>35294.117647058825</v>
      </c>
      <c r="K102" s="13">
        <f t="shared" si="15"/>
        <v>14430.882352941175</v>
      </c>
      <c r="L102" s="14">
        <f t="shared" si="16"/>
        <v>0.32068627450980386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3</v>
      </c>
      <c r="B103" s="10" t="s">
        <v>17</v>
      </c>
      <c r="C103" s="11" t="s">
        <v>67</v>
      </c>
      <c r="D103" s="13">
        <v>1200</v>
      </c>
      <c r="E103" s="13">
        <f t="shared" si="13"/>
        <v>3600</v>
      </c>
      <c r="F103" s="13">
        <f t="shared" si="17"/>
        <v>3978</v>
      </c>
      <c r="G103" s="2"/>
      <c r="H103" s="2"/>
      <c r="I103" s="13">
        <f>8000/14</f>
        <v>571.42857142857144</v>
      </c>
      <c r="J103" s="13">
        <f t="shared" si="14"/>
        <v>1714.2857142857142</v>
      </c>
      <c r="K103" s="13">
        <f t="shared" si="15"/>
        <v>2263.7142857142858</v>
      </c>
      <c r="L103" s="14">
        <f t="shared" si="16"/>
        <v>0.62880952380952382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3</v>
      </c>
      <c r="B104" s="10" t="s">
        <v>17</v>
      </c>
      <c r="C104" s="11" t="s">
        <v>62</v>
      </c>
      <c r="D104" s="13">
        <v>3000</v>
      </c>
      <c r="E104" s="13">
        <f t="shared" si="13"/>
        <v>9000</v>
      </c>
      <c r="F104" s="13">
        <f t="shared" si="17"/>
        <v>9945</v>
      </c>
      <c r="G104" s="2"/>
      <c r="H104" s="2"/>
      <c r="I104" s="13">
        <f>28000/17</f>
        <v>1647.0588235294117</v>
      </c>
      <c r="J104" s="13">
        <f t="shared" si="14"/>
        <v>4941.1764705882351</v>
      </c>
      <c r="K104" s="13">
        <f t="shared" si="15"/>
        <v>5003.8235294117649</v>
      </c>
      <c r="L104" s="14">
        <f t="shared" si="16"/>
        <v>0.55598039215686279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3</v>
      </c>
      <c r="B105" s="10" t="s">
        <v>17</v>
      </c>
      <c r="C105" s="11" t="s">
        <v>123</v>
      </c>
      <c r="D105" s="13">
        <v>3000</v>
      </c>
      <c r="E105" s="13">
        <f t="shared" si="13"/>
        <v>9000</v>
      </c>
      <c r="F105" s="13">
        <f t="shared" si="17"/>
        <v>9945</v>
      </c>
      <c r="G105" s="2"/>
      <c r="H105" s="2"/>
      <c r="I105" s="13">
        <f>32000/15</f>
        <v>2133.3333333333335</v>
      </c>
      <c r="J105" s="13">
        <f t="shared" si="14"/>
        <v>6400</v>
      </c>
      <c r="K105" s="13">
        <f t="shared" si="15"/>
        <v>3545</v>
      </c>
      <c r="L105" s="14">
        <f t="shared" si="16"/>
        <v>0.3938888888888889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0.5</v>
      </c>
      <c r="B106" s="10" t="s">
        <v>17</v>
      </c>
      <c r="C106" s="11" t="s">
        <v>30</v>
      </c>
      <c r="D106" s="13">
        <v>1500</v>
      </c>
      <c r="E106" s="13">
        <f t="shared" si="13"/>
        <v>750</v>
      </c>
      <c r="F106" s="13">
        <f t="shared" si="17"/>
        <v>828.75</v>
      </c>
      <c r="G106" s="2"/>
      <c r="H106" s="2"/>
      <c r="I106" s="13">
        <f>12000/14</f>
        <v>857.14285714285711</v>
      </c>
      <c r="J106" s="13">
        <f t="shared" si="14"/>
        <v>428.57142857142856</v>
      </c>
      <c r="K106" s="13">
        <f t="shared" si="15"/>
        <v>400.17857142857144</v>
      </c>
      <c r="L106" s="14">
        <f t="shared" si="16"/>
        <v>0.53357142857142859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1</v>
      </c>
      <c r="B107" s="10" t="s">
        <v>21</v>
      </c>
      <c r="C107" s="11" t="s">
        <v>51</v>
      </c>
      <c r="D107" s="13">
        <v>1500</v>
      </c>
      <c r="E107" s="13">
        <f t="shared" si="13"/>
        <v>1500</v>
      </c>
      <c r="F107" s="13">
        <f t="shared" si="17"/>
        <v>1657.5</v>
      </c>
      <c r="G107" s="2"/>
      <c r="H107" s="2"/>
      <c r="I107" s="13">
        <f>15000/18</f>
        <v>833.33333333333337</v>
      </c>
      <c r="J107" s="13">
        <f t="shared" si="14"/>
        <v>833.33333333333337</v>
      </c>
      <c r="K107" s="13">
        <f t="shared" si="15"/>
        <v>824.16666666666663</v>
      </c>
      <c r="L107" s="14">
        <f t="shared" si="16"/>
        <v>0.5494444444444444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</v>
      </c>
      <c r="B108" s="10" t="s">
        <v>4</v>
      </c>
      <c r="C108" s="11" t="s">
        <v>13</v>
      </c>
      <c r="D108" s="13">
        <v>900</v>
      </c>
      <c r="E108" s="13">
        <f t="shared" si="13"/>
        <v>1800</v>
      </c>
      <c r="F108" s="13">
        <f t="shared" si="17"/>
        <v>1989</v>
      </c>
      <c r="G108" s="2"/>
      <c r="H108" s="2"/>
      <c r="I108" s="13">
        <v>460</v>
      </c>
      <c r="J108" s="13">
        <f t="shared" si="14"/>
        <v>920</v>
      </c>
      <c r="K108" s="13">
        <f t="shared" si="15"/>
        <v>1069</v>
      </c>
      <c r="L108" s="14">
        <f t="shared" si="16"/>
        <v>0.59388888888888891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"/>
      <c r="B109" s="2"/>
      <c r="C109" s="4"/>
      <c r="D109" s="2"/>
      <c r="E109" s="2"/>
      <c r="F109" s="2"/>
      <c r="G109" s="2"/>
      <c r="H109" s="2"/>
      <c r="I109" s="2"/>
      <c r="J109" s="2"/>
      <c r="K109" s="2"/>
      <c r="L109" s="3"/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"/>
      <c r="B110" s="2"/>
      <c r="C110" s="4"/>
      <c r="D110" s="2"/>
      <c r="E110" s="13">
        <f t="shared" ref="E110:F110" si="18">SUM(E76:E108)</f>
        <v>476325</v>
      </c>
      <c r="F110" s="13">
        <f t="shared" si="18"/>
        <v>529174.125</v>
      </c>
      <c r="G110" s="2"/>
      <c r="H110" s="2"/>
      <c r="I110" s="2"/>
      <c r="J110" s="2"/>
      <c r="K110" s="13">
        <f>SUM(K76:K108)</f>
        <v>196738.79196545287</v>
      </c>
      <c r="L110" s="14">
        <f>K110/F110</f>
        <v>0.37178460297062499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0"/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0"/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0"/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88" t="s">
        <v>171</v>
      </c>
      <c r="B114" s="89"/>
      <c r="C114" s="89"/>
      <c r="D114" s="2"/>
      <c r="E114" s="7"/>
      <c r="F114" s="8">
        <v>46127</v>
      </c>
      <c r="G114" s="2"/>
      <c r="H114" s="2"/>
      <c r="I114" s="91" t="s">
        <v>2</v>
      </c>
      <c r="J114" s="89"/>
      <c r="K114" s="89"/>
      <c r="L114" s="3"/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3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6" t="s">
        <v>3</v>
      </c>
      <c r="B116" s="10" t="s">
        <v>4</v>
      </c>
      <c r="C116" s="11" t="s">
        <v>5</v>
      </c>
      <c r="D116" s="10" t="s">
        <v>6</v>
      </c>
      <c r="E116" s="10" t="s">
        <v>7</v>
      </c>
      <c r="F116" s="10" t="s">
        <v>8</v>
      </c>
      <c r="G116" s="2"/>
      <c r="H116" s="2"/>
      <c r="I116" s="10" t="s">
        <v>9</v>
      </c>
      <c r="J116" s="10" t="s">
        <v>7</v>
      </c>
      <c r="K116" s="10" t="s">
        <v>10</v>
      </c>
      <c r="L116" s="3"/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0.5</v>
      </c>
      <c r="B117" s="10" t="s">
        <v>17</v>
      </c>
      <c r="C117" s="11" t="s">
        <v>118</v>
      </c>
      <c r="D117" s="13">
        <v>4500</v>
      </c>
      <c r="E117" s="13">
        <f t="shared" ref="E117:E123" si="19">A117*D117</f>
        <v>2250</v>
      </c>
      <c r="F117" s="13">
        <f t="shared" ref="F117:F122" si="20">E117*1.105</f>
        <v>2486.25</v>
      </c>
      <c r="G117" s="2"/>
      <c r="H117" s="7" t="s">
        <v>107</v>
      </c>
      <c r="I117" s="13"/>
      <c r="J117" s="13">
        <f t="shared" ref="J117:J123" si="21">I117*A117</f>
        <v>0</v>
      </c>
      <c r="K117" s="13">
        <f t="shared" ref="K117:K123" si="22">F117-J117</f>
        <v>2486.25</v>
      </c>
      <c r="L117" s="14">
        <f t="shared" ref="L117:L123" si="23">IFERROR(K117/E117, 0)</f>
        <v>1.105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2</v>
      </c>
      <c r="B118" s="10" t="s">
        <v>17</v>
      </c>
      <c r="C118" s="11" t="s">
        <v>93</v>
      </c>
      <c r="D118" s="13">
        <v>3000</v>
      </c>
      <c r="E118" s="13">
        <f t="shared" si="19"/>
        <v>6000</v>
      </c>
      <c r="F118" s="13">
        <f t="shared" si="20"/>
        <v>6630</v>
      </c>
      <c r="G118" s="2"/>
      <c r="H118" s="2"/>
      <c r="I118" s="13">
        <v>1000</v>
      </c>
      <c r="J118" s="13">
        <f t="shared" si="21"/>
        <v>2000</v>
      </c>
      <c r="K118" s="13">
        <f t="shared" si="22"/>
        <v>4630</v>
      </c>
      <c r="L118" s="14">
        <f t="shared" si="23"/>
        <v>0.77166666666666661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2</v>
      </c>
      <c r="B119" s="10" t="s">
        <v>17</v>
      </c>
      <c r="C119" s="11" t="s">
        <v>62</v>
      </c>
      <c r="D119" s="13">
        <v>3000</v>
      </c>
      <c r="E119" s="13">
        <f t="shared" si="19"/>
        <v>6000</v>
      </c>
      <c r="F119" s="13">
        <f t="shared" si="20"/>
        <v>6630</v>
      </c>
      <c r="G119" s="2"/>
      <c r="H119" s="2"/>
      <c r="I119" s="13">
        <f>28000/17</f>
        <v>1647.0588235294117</v>
      </c>
      <c r="J119" s="13">
        <f t="shared" si="21"/>
        <v>3294.1176470588234</v>
      </c>
      <c r="K119" s="13">
        <f t="shared" si="22"/>
        <v>3335.8823529411766</v>
      </c>
      <c r="L119" s="14">
        <f t="shared" si="23"/>
        <v>0.55598039215686279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0.5</v>
      </c>
      <c r="B120" s="10" t="s">
        <v>23</v>
      </c>
      <c r="C120" s="11" t="s">
        <v>88</v>
      </c>
      <c r="D120" s="13">
        <v>24000</v>
      </c>
      <c r="E120" s="13">
        <f t="shared" si="19"/>
        <v>12000</v>
      </c>
      <c r="F120" s="13">
        <f t="shared" si="20"/>
        <v>13260</v>
      </c>
      <c r="G120" s="2"/>
      <c r="H120" s="2"/>
      <c r="I120" s="13">
        <v>14000</v>
      </c>
      <c r="J120" s="13">
        <f t="shared" si="21"/>
        <v>7000</v>
      </c>
      <c r="K120" s="13">
        <f t="shared" si="22"/>
        <v>6260</v>
      </c>
      <c r="L120" s="14">
        <f t="shared" si="23"/>
        <v>0.52166666666666661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1</v>
      </c>
      <c r="B121" s="10" t="s">
        <v>21</v>
      </c>
      <c r="C121" s="11" t="s">
        <v>112</v>
      </c>
      <c r="D121" s="13">
        <v>3000</v>
      </c>
      <c r="E121" s="13">
        <f t="shared" si="19"/>
        <v>3000</v>
      </c>
      <c r="F121" s="13">
        <f t="shared" si="20"/>
        <v>3315</v>
      </c>
      <c r="G121" s="2"/>
      <c r="H121" s="2"/>
      <c r="I121" s="13">
        <v>2000</v>
      </c>
      <c r="J121" s="13">
        <f t="shared" si="21"/>
        <v>2000</v>
      </c>
      <c r="K121" s="13">
        <f t="shared" si="22"/>
        <v>1315</v>
      </c>
      <c r="L121" s="14">
        <f t="shared" si="23"/>
        <v>0.43833333333333335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0.3</v>
      </c>
      <c r="B122" s="10" t="s">
        <v>17</v>
      </c>
      <c r="C122" s="11" t="s">
        <v>111</v>
      </c>
      <c r="D122" s="13">
        <v>11000</v>
      </c>
      <c r="E122" s="13">
        <f t="shared" si="19"/>
        <v>3300</v>
      </c>
      <c r="F122" s="13">
        <f t="shared" si="20"/>
        <v>3646.5</v>
      </c>
      <c r="G122" s="2"/>
      <c r="H122" s="2"/>
      <c r="I122" s="13">
        <v>7000</v>
      </c>
      <c r="J122" s="13">
        <f t="shared" si="21"/>
        <v>2100</v>
      </c>
      <c r="K122" s="13">
        <f t="shared" si="22"/>
        <v>1546.5</v>
      </c>
      <c r="L122" s="14">
        <f t="shared" si="23"/>
        <v>0.46863636363636363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1</v>
      </c>
      <c r="B123" s="10" t="s">
        <v>11</v>
      </c>
      <c r="C123" s="11" t="s">
        <v>85</v>
      </c>
      <c r="D123" s="13">
        <v>4800</v>
      </c>
      <c r="E123" s="13">
        <f t="shared" si="19"/>
        <v>4800</v>
      </c>
      <c r="F123" s="13">
        <f>E123*1.21</f>
        <v>5808</v>
      </c>
      <c r="G123" s="2"/>
      <c r="H123" s="2"/>
      <c r="I123" s="13">
        <f>54000/12</f>
        <v>4500</v>
      </c>
      <c r="J123" s="13">
        <f t="shared" si="21"/>
        <v>4500</v>
      </c>
      <c r="K123" s="13">
        <f t="shared" si="22"/>
        <v>1308</v>
      </c>
      <c r="L123" s="14">
        <f t="shared" si="23"/>
        <v>0.27250000000000002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"/>
      <c r="B124" s="2"/>
      <c r="C124" s="4"/>
      <c r="D124" s="2"/>
      <c r="E124" s="2"/>
      <c r="F124" s="2"/>
      <c r="G124" s="2"/>
      <c r="H124" s="2"/>
      <c r="I124" s="2"/>
      <c r="J124" s="2"/>
      <c r="K124" s="2"/>
      <c r="L124" s="3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"/>
      <c r="B125" s="2"/>
      <c r="C125" s="4"/>
      <c r="D125" s="2"/>
      <c r="E125" s="13">
        <f t="shared" ref="E125:F125" si="24">SUM(E117:E123)</f>
        <v>37350</v>
      </c>
      <c r="F125" s="13">
        <f t="shared" si="24"/>
        <v>41775.75</v>
      </c>
      <c r="G125" s="2"/>
      <c r="H125" s="2"/>
      <c r="I125" s="2"/>
      <c r="J125" s="2"/>
      <c r="K125" s="13">
        <f>SUM(K117:K123)</f>
        <v>20881.632352941175</v>
      </c>
      <c r="L125" s="14">
        <f>K125/F125</f>
        <v>0.49985056768439046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0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0"/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0"/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88" t="s">
        <v>68</v>
      </c>
      <c r="B129" s="89"/>
      <c r="C129" s="89"/>
      <c r="D129" s="2"/>
      <c r="E129" s="7" t="s">
        <v>143</v>
      </c>
      <c r="F129" s="8">
        <v>46127</v>
      </c>
      <c r="G129" s="2"/>
      <c r="H129" s="2"/>
      <c r="I129" s="91" t="s">
        <v>2</v>
      </c>
      <c r="J129" s="89"/>
      <c r="K129" s="89"/>
      <c r="L129" s="3"/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3"/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6" t="s">
        <v>3</v>
      </c>
      <c r="B131" s="10" t="s">
        <v>4</v>
      </c>
      <c r="C131" s="11" t="s">
        <v>5</v>
      </c>
      <c r="D131" s="10" t="s">
        <v>6</v>
      </c>
      <c r="E131" s="10" t="s">
        <v>7</v>
      </c>
      <c r="F131" s="10" t="s">
        <v>8</v>
      </c>
      <c r="G131" s="2"/>
      <c r="H131" s="2"/>
      <c r="I131" s="10" t="s">
        <v>9</v>
      </c>
      <c r="J131" s="10" t="s">
        <v>7</v>
      </c>
      <c r="K131" s="10" t="s">
        <v>10</v>
      </c>
      <c r="L131" s="3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2</v>
      </c>
      <c r="B132" s="10" t="s">
        <v>15</v>
      </c>
      <c r="C132" s="11" t="s">
        <v>27</v>
      </c>
      <c r="D132" s="13">
        <v>25000</v>
      </c>
      <c r="E132" s="13">
        <f t="shared" ref="E132:E156" si="25">A132*D132</f>
        <v>50000</v>
      </c>
      <c r="F132" s="13">
        <f t="shared" ref="F132:F155" si="26">E132*1.105</f>
        <v>55250</v>
      </c>
      <c r="G132" s="2"/>
      <c r="H132" s="2"/>
      <c r="I132" s="13">
        <v>18000</v>
      </c>
      <c r="J132" s="13">
        <f t="shared" ref="J132:J156" si="27">I132*A132</f>
        <v>36000</v>
      </c>
      <c r="K132" s="13">
        <f t="shared" ref="K132:K156" si="28">F132-J132</f>
        <v>19250</v>
      </c>
      <c r="L132" s="14">
        <f t="shared" ref="L132:L156" si="29">IFERROR(K132/E132, 0)</f>
        <v>0.38500000000000001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1</v>
      </c>
      <c r="B133" s="10" t="s">
        <v>15</v>
      </c>
      <c r="C133" s="11" t="s">
        <v>40</v>
      </c>
      <c r="D133" s="13">
        <v>12000</v>
      </c>
      <c r="E133" s="13">
        <f t="shared" si="25"/>
        <v>12000</v>
      </c>
      <c r="F133" s="13">
        <f t="shared" si="26"/>
        <v>13260</v>
      </c>
      <c r="G133" s="2"/>
      <c r="H133" s="2"/>
      <c r="I133" s="13">
        <v>7000</v>
      </c>
      <c r="J133" s="13">
        <f t="shared" si="27"/>
        <v>7000</v>
      </c>
      <c r="K133" s="13">
        <f t="shared" si="28"/>
        <v>6260</v>
      </c>
      <c r="L133" s="14">
        <f t="shared" si="29"/>
        <v>0.52166666666666661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1</v>
      </c>
      <c r="B134" s="10" t="s">
        <v>15</v>
      </c>
      <c r="C134" s="11" t="s">
        <v>129</v>
      </c>
      <c r="D134" s="13">
        <v>16000</v>
      </c>
      <c r="E134" s="13">
        <f t="shared" si="25"/>
        <v>16000</v>
      </c>
      <c r="F134" s="13">
        <f t="shared" si="26"/>
        <v>17680</v>
      </c>
      <c r="G134" s="2"/>
      <c r="H134" s="2"/>
      <c r="I134" s="13">
        <v>12000</v>
      </c>
      <c r="J134" s="13">
        <f t="shared" si="27"/>
        <v>12000</v>
      </c>
      <c r="K134" s="13">
        <f t="shared" si="28"/>
        <v>5680</v>
      </c>
      <c r="L134" s="14">
        <f t="shared" si="29"/>
        <v>0.35499999999999998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1</v>
      </c>
      <c r="B135" s="10" t="s">
        <v>15</v>
      </c>
      <c r="C135" s="11" t="s">
        <v>48</v>
      </c>
      <c r="D135" s="13">
        <v>13000</v>
      </c>
      <c r="E135" s="13">
        <f t="shared" si="25"/>
        <v>13000</v>
      </c>
      <c r="F135" s="13">
        <f t="shared" si="26"/>
        <v>14365</v>
      </c>
      <c r="G135" s="2"/>
      <c r="H135" s="2"/>
      <c r="I135" s="13">
        <v>8000</v>
      </c>
      <c r="J135" s="13">
        <f t="shared" si="27"/>
        <v>8000</v>
      </c>
      <c r="K135" s="13">
        <f t="shared" si="28"/>
        <v>6365</v>
      </c>
      <c r="L135" s="14">
        <f t="shared" si="29"/>
        <v>0.48961538461538462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2.8</v>
      </c>
      <c r="B136" s="10" t="s">
        <v>17</v>
      </c>
      <c r="C136" s="11" t="s">
        <v>36</v>
      </c>
      <c r="D136" s="13">
        <v>1800</v>
      </c>
      <c r="E136" s="13">
        <f t="shared" si="25"/>
        <v>5040</v>
      </c>
      <c r="F136" s="13">
        <f t="shared" si="26"/>
        <v>5569.2</v>
      </c>
      <c r="G136" s="2"/>
      <c r="H136" s="2"/>
      <c r="I136" s="13">
        <v>800</v>
      </c>
      <c r="J136" s="13">
        <f t="shared" si="27"/>
        <v>2240</v>
      </c>
      <c r="K136" s="13">
        <f t="shared" si="28"/>
        <v>3329.2</v>
      </c>
      <c r="L136" s="14">
        <f t="shared" si="29"/>
        <v>0.66055555555555556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1</v>
      </c>
      <c r="B137" s="10" t="s">
        <v>21</v>
      </c>
      <c r="C137" s="11" t="s">
        <v>29</v>
      </c>
      <c r="D137" s="13">
        <v>3500</v>
      </c>
      <c r="E137" s="13">
        <f t="shared" si="25"/>
        <v>3500</v>
      </c>
      <c r="F137" s="13">
        <f t="shared" si="26"/>
        <v>3867.5</v>
      </c>
      <c r="G137" s="2"/>
      <c r="H137" s="2"/>
      <c r="I137" s="13">
        <v>1500</v>
      </c>
      <c r="J137" s="13">
        <f t="shared" si="27"/>
        <v>1500</v>
      </c>
      <c r="K137" s="13">
        <f t="shared" si="28"/>
        <v>2367.5</v>
      </c>
      <c r="L137" s="14">
        <f t="shared" si="29"/>
        <v>0.67642857142857138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15</v>
      </c>
      <c r="B138" s="10" t="s">
        <v>21</v>
      </c>
      <c r="C138" s="11" t="s">
        <v>46</v>
      </c>
      <c r="D138" s="13">
        <v>600</v>
      </c>
      <c r="E138" s="13">
        <f t="shared" si="25"/>
        <v>9000</v>
      </c>
      <c r="F138" s="13">
        <f t="shared" si="26"/>
        <v>9945</v>
      </c>
      <c r="G138" s="2"/>
      <c r="H138" s="2"/>
      <c r="I138" s="13">
        <f>9000/24</f>
        <v>375</v>
      </c>
      <c r="J138" s="13">
        <f t="shared" si="27"/>
        <v>5625</v>
      </c>
      <c r="K138" s="13">
        <f t="shared" si="28"/>
        <v>4320</v>
      </c>
      <c r="L138" s="14">
        <f t="shared" si="29"/>
        <v>0.48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1</v>
      </c>
      <c r="B139" s="10" t="s">
        <v>17</v>
      </c>
      <c r="C139" s="11" t="s">
        <v>43</v>
      </c>
      <c r="D139" s="13">
        <v>6000</v>
      </c>
      <c r="E139" s="13">
        <f t="shared" si="25"/>
        <v>6000</v>
      </c>
      <c r="F139" s="13">
        <f t="shared" si="26"/>
        <v>6630</v>
      </c>
      <c r="G139" s="2"/>
      <c r="H139" s="2"/>
      <c r="I139" s="13">
        <f>17000/5</f>
        <v>3400</v>
      </c>
      <c r="J139" s="13">
        <f t="shared" si="27"/>
        <v>3400</v>
      </c>
      <c r="K139" s="13">
        <f t="shared" si="28"/>
        <v>3230</v>
      </c>
      <c r="L139" s="14">
        <f t="shared" si="29"/>
        <v>0.53833333333333333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1</v>
      </c>
      <c r="B140" s="10" t="s">
        <v>17</v>
      </c>
      <c r="C140" s="11" t="s">
        <v>35</v>
      </c>
      <c r="D140" s="13">
        <v>2500</v>
      </c>
      <c r="E140" s="13">
        <f t="shared" si="25"/>
        <v>2500</v>
      </c>
      <c r="F140" s="13">
        <f t="shared" si="26"/>
        <v>2762.5</v>
      </c>
      <c r="G140" s="2"/>
      <c r="H140" s="2"/>
      <c r="I140" s="13">
        <f>14000/9</f>
        <v>1555.5555555555557</v>
      </c>
      <c r="J140" s="13">
        <f t="shared" si="27"/>
        <v>1555.5555555555557</v>
      </c>
      <c r="K140" s="13">
        <f t="shared" si="28"/>
        <v>1206.9444444444443</v>
      </c>
      <c r="L140" s="14">
        <f t="shared" si="29"/>
        <v>0.48277777777777775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3</v>
      </c>
      <c r="B141" s="10" t="s">
        <v>4</v>
      </c>
      <c r="C141" s="11" t="s">
        <v>14</v>
      </c>
      <c r="D141" s="13">
        <v>3200</v>
      </c>
      <c r="E141" s="13">
        <f t="shared" si="25"/>
        <v>9600</v>
      </c>
      <c r="F141" s="13">
        <f t="shared" si="26"/>
        <v>10608</v>
      </c>
      <c r="G141" s="2"/>
      <c r="H141" s="2"/>
      <c r="I141" s="13">
        <f>25000/9</f>
        <v>2777.7777777777778</v>
      </c>
      <c r="J141" s="13">
        <f t="shared" si="27"/>
        <v>8333.3333333333339</v>
      </c>
      <c r="K141" s="13">
        <f t="shared" si="28"/>
        <v>2274.6666666666661</v>
      </c>
      <c r="L141" s="14">
        <f t="shared" si="29"/>
        <v>0.23694444444444437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2</v>
      </c>
      <c r="B142" s="10" t="s">
        <v>17</v>
      </c>
      <c r="C142" s="11" t="s">
        <v>82</v>
      </c>
      <c r="D142" s="13">
        <v>2600</v>
      </c>
      <c r="E142" s="13">
        <f t="shared" si="25"/>
        <v>5200</v>
      </c>
      <c r="F142" s="13">
        <f t="shared" si="26"/>
        <v>5746</v>
      </c>
      <c r="G142" s="2"/>
      <c r="H142" s="2"/>
      <c r="I142" s="13">
        <f>28000/14</f>
        <v>2000</v>
      </c>
      <c r="J142" s="13">
        <f t="shared" si="27"/>
        <v>4000</v>
      </c>
      <c r="K142" s="13">
        <f t="shared" si="28"/>
        <v>1746</v>
      </c>
      <c r="L142" s="14">
        <f t="shared" si="29"/>
        <v>0.33576923076923076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10</v>
      </c>
      <c r="B143" s="10" t="s">
        <v>17</v>
      </c>
      <c r="C143" s="11" t="s">
        <v>39</v>
      </c>
      <c r="D143" s="13">
        <v>1600</v>
      </c>
      <c r="E143" s="13">
        <f t="shared" si="25"/>
        <v>16000</v>
      </c>
      <c r="F143" s="13">
        <f t="shared" si="26"/>
        <v>17680</v>
      </c>
      <c r="G143" s="2"/>
      <c r="H143" s="2"/>
      <c r="I143" s="13">
        <f>12000/15</f>
        <v>800</v>
      </c>
      <c r="J143" s="13">
        <f t="shared" si="27"/>
        <v>8000</v>
      </c>
      <c r="K143" s="13">
        <f t="shared" si="28"/>
        <v>9680</v>
      </c>
      <c r="L143" s="14">
        <f t="shared" si="29"/>
        <v>0.60499999999999998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0.5</v>
      </c>
      <c r="B144" s="10" t="s">
        <v>17</v>
      </c>
      <c r="C144" s="11" t="s">
        <v>93</v>
      </c>
      <c r="D144" s="13">
        <v>3000</v>
      </c>
      <c r="E144" s="13">
        <f t="shared" si="25"/>
        <v>1500</v>
      </c>
      <c r="F144" s="13">
        <f t="shared" si="26"/>
        <v>1657.5</v>
      </c>
      <c r="G144" s="2"/>
      <c r="H144" s="2"/>
      <c r="I144" s="13">
        <v>1000</v>
      </c>
      <c r="J144" s="13">
        <f t="shared" si="27"/>
        <v>500</v>
      </c>
      <c r="K144" s="13">
        <f t="shared" si="28"/>
        <v>1157.5</v>
      </c>
      <c r="L144" s="14">
        <f t="shared" si="29"/>
        <v>0.77166666666666661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3</v>
      </c>
      <c r="B145" s="10" t="s">
        <v>17</v>
      </c>
      <c r="C145" s="11" t="s">
        <v>31</v>
      </c>
      <c r="D145" s="13">
        <v>3200</v>
      </c>
      <c r="E145" s="13">
        <f t="shared" si="25"/>
        <v>9600</v>
      </c>
      <c r="F145" s="13">
        <f t="shared" si="26"/>
        <v>10608</v>
      </c>
      <c r="G145" s="2"/>
      <c r="H145" s="2"/>
      <c r="I145" s="13">
        <f>15000/7</f>
        <v>2142.8571428571427</v>
      </c>
      <c r="J145" s="13">
        <f t="shared" si="27"/>
        <v>6428.5714285714275</v>
      </c>
      <c r="K145" s="13">
        <f t="shared" si="28"/>
        <v>4179.4285714285725</v>
      </c>
      <c r="L145" s="14">
        <f t="shared" si="29"/>
        <v>0.43535714285714294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2</v>
      </c>
      <c r="B146" s="10" t="s">
        <v>17</v>
      </c>
      <c r="C146" s="11" t="s">
        <v>32</v>
      </c>
      <c r="D146" s="13">
        <v>2400</v>
      </c>
      <c r="E146" s="13">
        <f t="shared" si="25"/>
        <v>4800</v>
      </c>
      <c r="F146" s="13">
        <f t="shared" si="26"/>
        <v>5304</v>
      </c>
      <c r="G146" s="2"/>
      <c r="H146" s="2"/>
      <c r="I146" s="13">
        <v>2000</v>
      </c>
      <c r="J146" s="13">
        <f t="shared" si="27"/>
        <v>4000</v>
      </c>
      <c r="K146" s="13">
        <f t="shared" si="28"/>
        <v>1304</v>
      </c>
      <c r="L146" s="14">
        <f t="shared" si="29"/>
        <v>0.27166666666666667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2</v>
      </c>
      <c r="B147" s="10" t="s">
        <v>17</v>
      </c>
      <c r="C147" s="11" t="s">
        <v>33</v>
      </c>
      <c r="D147" s="13">
        <v>2800</v>
      </c>
      <c r="E147" s="13">
        <f t="shared" si="25"/>
        <v>5600</v>
      </c>
      <c r="F147" s="13">
        <f t="shared" si="26"/>
        <v>6188</v>
      </c>
      <c r="G147" s="2"/>
      <c r="H147" s="2"/>
      <c r="I147" s="13">
        <v>2142.86</v>
      </c>
      <c r="J147" s="13">
        <f t="shared" si="27"/>
        <v>4285.72</v>
      </c>
      <c r="K147" s="13">
        <f t="shared" si="28"/>
        <v>1902.2799999999997</v>
      </c>
      <c r="L147" s="14">
        <f t="shared" si="29"/>
        <v>0.33969285714285707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3</v>
      </c>
      <c r="B148" s="10" t="s">
        <v>17</v>
      </c>
      <c r="C148" s="11" t="s">
        <v>18</v>
      </c>
      <c r="D148" s="13">
        <v>1600</v>
      </c>
      <c r="E148" s="13">
        <f t="shared" si="25"/>
        <v>4800</v>
      </c>
      <c r="F148" s="13">
        <f t="shared" si="26"/>
        <v>5304</v>
      </c>
      <c r="G148" s="2"/>
      <c r="H148" s="2"/>
      <c r="I148" s="13">
        <v>1000</v>
      </c>
      <c r="J148" s="13">
        <f t="shared" si="27"/>
        <v>3000</v>
      </c>
      <c r="K148" s="13">
        <f t="shared" si="28"/>
        <v>2304</v>
      </c>
      <c r="L148" s="14">
        <f t="shared" si="29"/>
        <v>0.48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2</v>
      </c>
      <c r="B149" s="10" t="s">
        <v>17</v>
      </c>
      <c r="C149" s="11" t="s">
        <v>56</v>
      </c>
      <c r="D149" s="13">
        <v>1200</v>
      </c>
      <c r="E149" s="13">
        <f t="shared" si="25"/>
        <v>2400</v>
      </c>
      <c r="F149" s="13">
        <f t="shared" si="26"/>
        <v>2652</v>
      </c>
      <c r="G149" s="2"/>
      <c r="H149" s="2"/>
      <c r="I149" s="13">
        <f>13000/16</f>
        <v>812.5</v>
      </c>
      <c r="J149" s="13">
        <f t="shared" si="27"/>
        <v>1625</v>
      </c>
      <c r="K149" s="13">
        <f t="shared" si="28"/>
        <v>1027</v>
      </c>
      <c r="L149" s="14">
        <f t="shared" si="29"/>
        <v>0.42791666666666667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21</v>
      </c>
      <c r="C150" s="11" t="s">
        <v>28</v>
      </c>
      <c r="D150" s="13">
        <v>3000</v>
      </c>
      <c r="E150" s="13">
        <f t="shared" si="25"/>
        <v>3000</v>
      </c>
      <c r="F150" s="13">
        <f t="shared" si="26"/>
        <v>3315</v>
      </c>
      <c r="G150" s="2"/>
      <c r="H150" s="2"/>
      <c r="I150" s="13">
        <v>2000</v>
      </c>
      <c r="J150" s="13">
        <f t="shared" si="27"/>
        <v>2000</v>
      </c>
      <c r="K150" s="13">
        <f t="shared" si="28"/>
        <v>1315</v>
      </c>
      <c r="L150" s="14">
        <f t="shared" si="29"/>
        <v>0.43833333333333335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</v>
      </c>
      <c r="B151" s="10" t="s">
        <v>21</v>
      </c>
      <c r="C151" s="11" t="s">
        <v>51</v>
      </c>
      <c r="D151" s="13">
        <v>1500</v>
      </c>
      <c r="E151" s="13">
        <f t="shared" si="25"/>
        <v>1500</v>
      </c>
      <c r="F151" s="13">
        <f t="shared" si="26"/>
        <v>1657.5</v>
      </c>
      <c r="G151" s="2"/>
      <c r="H151" s="2"/>
      <c r="I151" s="13">
        <f>15000/18</f>
        <v>833.33333333333337</v>
      </c>
      <c r="J151" s="13">
        <f t="shared" si="27"/>
        <v>833.33333333333337</v>
      </c>
      <c r="K151" s="13">
        <f t="shared" si="28"/>
        <v>824.16666666666663</v>
      </c>
      <c r="L151" s="14">
        <f t="shared" si="29"/>
        <v>0.5494444444444444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1</v>
      </c>
      <c r="B152" s="10" t="s">
        <v>17</v>
      </c>
      <c r="C152" s="11" t="s">
        <v>42</v>
      </c>
      <c r="D152" s="13">
        <v>4500</v>
      </c>
      <c r="E152" s="13">
        <f t="shared" si="25"/>
        <v>4500</v>
      </c>
      <c r="F152" s="13">
        <f t="shared" si="26"/>
        <v>4972.5</v>
      </c>
      <c r="G152" s="2"/>
      <c r="H152" s="2"/>
      <c r="I152" s="13">
        <v>1400</v>
      </c>
      <c r="J152" s="13">
        <f t="shared" si="27"/>
        <v>1400</v>
      </c>
      <c r="K152" s="13">
        <f t="shared" si="28"/>
        <v>3572.5</v>
      </c>
      <c r="L152" s="14">
        <f t="shared" si="29"/>
        <v>0.79388888888888887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</v>
      </c>
      <c r="B153" s="10" t="s">
        <v>23</v>
      </c>
      <c r="C153" s="11" t="s">
        <v>26</v>
      </c>
      <c r="D153" s="13">
        <v>22000</v>
      </c>
      <c r="E153" s="13">
        <f t="shared" si="25"/>
        <v>22000</v>
      </c>
      <c r="F153" s="13">
        <f t="shared" si="26"/>
        <v>24310</v>
      </c>
      <c r="G153" s="2"/>
      <c r="H153" s="2"/>
      <c r="I153" s="13">
        <v>14000</v>
      </c>
      <c r="J153" s="13">
        <f t="shared" si="27"/>
        <v>14000</v>
      </c>
      <c r="K153" s="13">
        <f t="shared" si="28"/>
        <v>10310</v>
      </c>
      <c r="L153" s="14">
        <f t="shared" si="29"/>
        <v>0.46863636363636363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6</v>
      </c>
      <c r="B154" s="10" t="s">
        <v>17</v>
      </c>
      <c r="C154" s="11" t="s">
        <v>123</v>
      </c>
      <c r="D154" s="13">
        <v>3000</v>
      </c>
      <c r="E154" s="13">
        <f t="shared" si="25"/>
        <v>18000</v>
      </c>
      <c r="F154" s="13">
        <f t="shared" si="26"/>
        <v>19890</v>
      </c>
      <c r="G154" s="2"/>
      <c r="H154" s="2"/>
      <c r="I154" s="13">
        <f>32000/15</f>
        <v>2133.3333333333335</v>
      </c>
      <c r="J154" s="13">
        <f t="shared" si="27"/>
        <v>12800</v>
      </c>
      <c r="K154" s="13">
        <f t="shared" si="28"/>
        <v>7090</v>
      </c>
      <c r="L154" s="14">
        <f t="shared" si="29"/>
        <v>0.3938888888888889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3</v>
      </c>
      <c r="B155" s="10" t="s">
        <v>17</v>
      </c>
      <c r="C155" s="11" t="s">
        <v>49</v>
      </c>
      <c r="D155" s="13">
        <v>3000</v>
      </c>
      <c r="E155" s="13">
        <f t="shared" si="25"/>
        <v>9000</v>
      </c>
      <c r="F155" s="13">
        <f t="shared" si="26"/>
        <v>9945</v>
      </c>
      <c r="G155" s="2"/>
      <c r="H155" s="2"/>
      <c r="I155" s="13">
        <f>36000/18</f>
        <v>2000</v>
      </c>
      <c r="J155" s="13">
        <f t="shared" si="27"/>
        <v>6000</v>
      </c>
      <c r="K155" s="13">
        <f t="shared" si="28"/>
        <v>3945</v>
      </c>
      <c r="L155" s="14">
        <f t="shared" si="29"/>
        <v>0.43833333333333335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0.5</v>
      </c>
      <c r="B156" s="10" t="s">
        <v>23</v>
      </c>
      <c r="C156" s="11" t="s">
        <v>12</v>
      </c>
      <c r="D156" s="13">
        <v>54000</v>
      </c>
      <c r="E156" s="13">
        <f t="shared" si="25"/>
        <v>27000</v>
      </c>
      <c r="F156" s="13">
        <f>E156*1.21</f>
        <v>32670</v>
      </c>
      <c r="G156" s="2"/>
      <c r="H156" s="2"/>
      <c r="I156" s="13">
        <v>54000</v>
      </c>
      <c r="J156" s="13">
        <f t="shared" si="27"/>
        <v>27000</v>
      </c>
      <c r="K156" s="13">
        <f t="shared" si="28"/>
        <v>5670</v>
      </c>
      <c r="L156" s="14">
        <f t="shared" si="29"/>
        <v>0.21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"/>
      <c r="B157" s="2"/>
      <c r="C157" s="4"/>
      <c r="D157" s="2"/>
      <c r="E157" s="2"/>
      <c r="F157" s="2"/>
      <c r="G157" s="2"/>
      <c r="H157" s="2"/>
      <c r="I157" s="2"/>
      <c r="J157" s="2"/>
      <c r="K157" s="2"/>
      <c r="L157" s="3"/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"/>
      <c r="B158" s="2"/>
      <c r="C158" s="4"/>
      <c r="D158" s="2"/>
      <c r="E158" s="13">
        <f t="shared" ref="E158:F158" si="30">SUM(E132:E156)</f>
        <v>261540</v>
      </c>
      <c r="F158" s="13">
        <f t="shared" si="30"/>
        <v>291836.7</v>
      </c>
      <c r="G158" s="2"/>
      <c r="H158" s="2"/>
      <c r="I158" s="2"/>
      <c r="J158" s="2"/>
      <c r="K158" s="13">
        <f>SUM(K132:K156)</f>
        <v>110310.18634920636</v>
      </c>
      <c r="L158" s="14">
        <f>K158/F158</f>
        <v>0.3779859981599516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0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0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0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6" t="s">
        <v>96</v>
      </c>
      <c r="B162" s="1"/>
      <c r="C162" s="1"/>
      <c r="D162" s="22" t="s">
        <v>95</v>
      </c>
      <c r="E162" s="8">
        <v>46127</v>
      </c>
      <c r="F162" s="24" t="s">
        <v>37</v>
      </c>
      <c r="G162" s="2"/>
      <c r="H162" s="2"/>
      <c r="I162" s="2"/>
      <c r="J162" s="2"/>
      <c r="K162" s="2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2"/>
      <c r="C163" s="4"/>
      <c r="D163" s="2"/>
      <c r="E163" s="2"/>
      <c r="F163" s="2"/>
      <c r="G163" s="2"/>
      <c r="H163" s="2"/>
      <c r="I163" s="2"/>
      <c r="J163" s="2"/>
      <c r="K163" s="2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6" t="s">
        <v>3</v>
      </c>
      <c r="B164" s="10" t="s">
        <v>4</v>
      </c>
      <c r="C164" s="11" t="s">
        <v>5</v>
      </c>
      <c r="D164" s="10" t="s">
        <v>6</v>
      </c>
      <c r="E164" s="10" t="s">
        <v>7</v>
      </c>
      <c r="F164" s="2"/>
      <c r="G164" s="2"/>
      <c r="H164" s="2"/>
      <c r="I164" s="10" t="s">
        <v>6</v>
      </c>
      <c r="J164" s="10" t="s">
        <v>7</v>
      </c>
      <c r="K164" s="10" t="s">
        <v>10</v>
      </c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2">
        <v>1</v>
      </c>
      <c r="B165" s="10" t="s">
        <v>23</v>
      </c>
      <c r="C165" s="11" t="s">
        <v>82</v>
      </c>
      <c r="D165" s="13">
        <v>30000</v>
      </c>
      <c r="E165" s="13">
        <f t="shared" ref="E165:E177" si="31">A165*D165</f>
        <v>30000</v>
      </c>
      <c r="F165" s="2"/>
      <c r="G165" s="2"/>
      <c r="H165" s="2"/>
      <c r="I165" s="13">
        <v>25000</v>
      </c>
      <c r="J165" s="13">
        <f t="shared" ref="J165:J177" si="32">I165*A165</f>
        <v>25000</v>
      </c>
      <c r="K165" s="13">
        <f t="shared" ref="K165:K177" si="33">E165-J165</f>
        <v>5000</v>
      </c>
      <c r="L165" s="14">
        <f t="shared" ref="L165:L177" si="34">K165/E165</f>
        <v>0.16666666666666666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2</v>
      </c>
      <c r="B166" s="10" t="s">
        <v>23</v>
      </c>
      <c r="C166" s="11" t="s">
        <v>99</v>
      </c>
      <c r="D166" s="13">
        <v>12000</v>
      </c>
      <c r="E166" s="13">
        <f t="shared" si="31"/>
        <v>24000</v>
      </c>
      <c r="F166" s="2"/>
      <c r="G166" s="2"/>
      <c r="H166" s="2"/>
      <c r="I166" s="13">
        <v>7000</v>
      </c>
      <c r="J166" s="13">
        <f t="shared" si="32"/>
        <v>14000</v>
      </c>
      <c r="K166" s="13">
        <f t="shared" si="33"/>
        <v>10000</v>
      </c>
      <c r="L166" s="14">
        <f t="shared" si="34"/>
        <v>0.41666666666666669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3</v>
      </c>
      <c r="B167" s="10" t="s">
        <v>21</v>
      </c>
      <c r="C167" s="11" t="s">
        <v>34</v>
      </c>
      <c r="D167" s="13">
        <v>4000</v>
      </c>
      <c r="E167" s="13">
        <f t="shared" si="31"/>
        <v>12000</v>
      </c>
      <c r="F167" s="2"/>
      <c r="G167" s="2"/>
      <c r="H167" s="2"/>
      <c r="I167" s="13">
        <v>2000</v>
      </c>
      <c r="J167" s="13">
        <f t="shared" si="32"/>
        <v>6000</v>
      </c>
      <c r="K167" s="13">
        <f t="shared" si="33"/>
        <v>6000</v>
      </c>
      <c r="L167" s="14">
        <f t="shared" si="34"/>
        <v>0.5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2</v>
      </c>
      <c r="B168" s="10" t="s">
        <v>15</v>
      </c>
      <c r="C168" s="11" t="s">
        <v>56</v>
      </c>
      <c r="D168" s="13">
        <v>16000</v>
      </c>
      <c r="E168" s="13">
        <f t="shared" si="31"/>
        <v>32000</v>
      </c>
      <c r="F168" s="2"/>
      <c r="G168" s="2"/>
      <c r="H168" s="2"/>
      <c r="I168" s="13">
        <v>13000</v>
      </c>
      <c r="J168" s="13">
        <f t="shared" si="32"/>
        <v>26000</v>
      </c>
      <c r="K168" s="13">
        <f t="shared" si="33"/>
        <v>6000</v>
      </c>
      <c r="L168" s="14">
        <f t="shared" si="34"/>
        <v>0.1875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1</v>
      </c>
      <c r="B169" s="10" t="s">
        <v>15</v>
      </c>
      <c r="C169" s="11" t="s">
        <v>167</v>
      </c>
      <c r="D169" s="13">
        <v>16000</v>
      </c>
      <c r="E169" s="13">
        <f t="shared" si="31"/>
        <v>16000</v>
      </c>
      <c r="F169" s="2"/>
      <c r="G169" s="2"/>
      <c r="H169" s="2"/>
      <c r="I169" s="13">
        <v>10000</v>
      </c>
      <c r="J169" s="13">
        <f t="shared" si="32"/>
        <v>10000</v>
      </c>
      <c r="K169" s="13">
        <f t="shared" si="33"/>
        <v>6000</v>
      </c>
      <c r="L169" s="14">
        <f t="shared" si="34"/>
        <v>0.375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3</v>
      </c>
      <c r="B170" s="10" t="s">
        <v>15</v>
      </c>
      <c r="C170" s="11" t="s">
        <v>84</v>
      </c>
      <c r="D170" s="13">
        <v>17000</v>
      </c>
      <c r="E170" s="13">
        <f t="shared" si="31"/>
        <v>51000</v>
      </c>
      <c r="F170" s="2"/>
      <c r="G170" s="2"/>
      <c r="H170" s="2"/>
      <c r="I170" s="13">
        <v>12000</v>
      </c>
      <c r="J170" s="13">
        <f t="shared" si="32"/>
        <v>36000</v>
      </c>
      <c r="K170" s="13">
        <f t="shared" si="33"/>
        <v>15000</v>
      </c>
      <c r="L170" s="14">
        <f t="shared" si="34"/>
        <v>0.29411764705882354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3</v>
      </c>
      <c r="B171" s="10" t="s">
        <v>15</v>
      </c>
      <c r="C171" s="11" t="s">
        <v>16</v>
      </c>
      <c r="D171" s="13">
        <v>13000</v>
      </c>
      <c r="E171" s="13">
        <f t="shared" si="31"/>
        <v>39000</v>
      </c>
      <c r="F171" s="2"/>
      <c r="G171" s="2"/>
      <c r="H171" s="2"/>
      <c r="I171" s="13">
        <v>8000</v>
      </c>
      <c r="J171" s="13">
        <f t="shared" si="32"/>
        <v>24000</v>
      </c>
      <c r="K171" s="13">
        <f t="shared" si="33"/>
        <v>15000</v>
      </c>
      <c r="L171" s="14">
        <f t="shared" si="34"/>
        <v>0.38461538461538464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3</v>
      </c>
      <c r="B172" s="10" t="s">
        <v>23</v>
      </c>
      <c r="C172" s="11" t="s">
        <v>130</v>
      </c>
      <c r="D172" s="13">
        <v>11000</v>
      </c>
      <c r="E172" s="13">
        <f t="shared" si="31"/>
        <v>33000</v>
      </c>
      <c r="F172" s="2"/>
      <c r="G172" s="2"/>
      <c r="H172" s="2"/>
      <c r="I172" s="13">
        <v>6500</v>
      </c>
      <c r="J172" s="13">
        <f t="shared" si="32"/>
        <v>19500</v>
      </c>
      <c r="K172" s="13">
        <f t="shared" si="33"/>
        <v>13500</v>
      </c>
      <c r="L172" s="14">
        <f t="shared" si="34"/>
        <v>0.40909090909090912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0.5</v>
      </c>
      <c r="B173" s="10" t="s">
        <v>23</v>
      </c>
      <c r="C173" s="11" t="s">
        <v>31</v>
      </c>
      <c r="D173" s="13">
        <v>20000</v>
      </c>
      <c r="E173" s="13">
        <f t="shared" si="31"/>
        <v>10000</v>
      </c>
      <c r="F173" s="2"/>
      <c r="G173" s="2"/>
      <c r="H173" s="2"/>
      <c r="I173" s="13">
        <v>15000</v>
      </c>
      <c r="J173" s="13">
        <f t="shared" si="32"/>
        <v>7500</v>
      </c>
      <c r="K173" s="13">
        <f t="shared" si="33"/>
        <v>2500</v>
      </c>
      <c r="L173" s="14">
        <f t="shared" si="34"/>
        <v>0.25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2">
        <v>0.5</v>
      </c>
      <c r="B174" s="10" t="s">
        <v>23</v>
      </c>
      <c r="C174" s="11" t="s">
        <v>39</v>
      </c>
      <c r="D174" s="13">
        <v>18000</v>
      </c>
      <c r="E174" s="13">
        <f t="shared" si="31"/>
        <v>9000</v>
      </c>
      <c r="F174" s="2"/>
      <c r="G174" s="2"/>
      <c r="H174" s="2"/>
      <c r="I174" s="13">
        <v>12000</v>
      </c>
      <c r="J174" s="13">
        <f t="shared" si="32"/>
        <v>6000</v>
      </c>
      <c r="K174" s="13">
        <f t="shared" si="33"/>
        <v>3000</v>
      </c>
      <c r="L174" s="14">
        <f t="shared" si="34"/>
        <v>0.33333333333333331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1</v>
      </c>
      <c r="B175" s="10" t="s">
        <v>23</v>
      </c>
      <c r="C175" s="11" t="s">
        <v>118</v>
      </c>
      <c r="D175" s="13">
        <v>12000</v>
      </c>
      <c r="E175" s="13">
        <f t="shared" si="31"/>
        <v>12000</v>
      </c>
      <c r="F175" s="2"/>
      <c r="G175" s="2"/>
      <c r="H175" s="2"/>
      <c r="I175" s="13">
        <v>8000</v>
      </c>
      <c r="J175" s="13">
        <f t="shared" si="32"/>
        <v>8000</v>
      </c>
      <c r="K175" s="13">
        <f t="shared" si="33"/>
        <v>4000</v>
      </c>
      <c r="L175" s="14">
        <f t="shared" si="34"/>
        <v>0.33333333333333331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6</v>
      </c>
      <c r="B176" s="10" t="s">
        <v>21</v>
      </c>
      <c r="C176" s="11" t="s">
        <v>46</v>
      </c>
      <c r="D176" s="13">
        <v>500</v>
      </c>
      <c r="E176" s="13">
        <f t="shared" si="31"/>
        <v>3000</v>
      </c>
      <c r="F176" s="2"/>
      <c r="G176" s="2"/>
      <c r="H176" s="2"/>
      <c r="I176" s="13">
        <f>9000/24</f>
        <v>375</v>
      </c>
      <c r="J176" s="13">
        <f t="shared" si="32"/>
        <v>2250</v>
      </c>
      <c r="K176" s="13">
        <f t="shared" si="33"/>
        <v>750</v>
      </c>
      <c r="L176" s="14">
        <f t="shared" si="34"/>
        <v>0.25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2">
        <v>3</v>
      </c>
      <c r="B177" s="10" t="s">
        <v>21</v>
      </c>
      <c r="C177" s="11" t="s">
        <v>51</v>
      </c>
      <c r="D177" s="13">
        <v>1500</v>
      </c>
      <c r="E177" s="13">
        <f t="shared" si="31"/>
        <v>4500</v>
      </c>
      <c r="F177" s="2"/>
      <c r="G177" s="2"/>
      <c r="H177" s="2"/>
      <c r="I177" s="13">
        <f>15000/18</f>
        <v>833.33333333333337</v>
      </c>
      <c r="J177" s="13">
        <f t="shared" si="32"/>
        <v>2500</v>
      </c>
      <c r="K177" s="13">
        <f t="shared" si="33"/>
        <v>2000</v>
      </c>
      <c r="L177" s="14">
        <f t="shared" si="34"/>
        <v>0.44444444444444442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"/>
      <c r="B178" s="2"/>
      <c r="C178" s="4"/>
      <c r="D178" s="2"/>
      <c r="E178" s="2"/>
      <c r="F178" s="2"/>
      <c r="G178" s="4"/>
      <c r="H178" s="2"/>
      <c r="I178" s="2"/>
      <c r="J178" s="2"/>
      <c r="K178" s="2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2"/>
      <c r="C179" s="4"/>
      <c r="D179" s="2"/>
      <c r="E179" s="13">
        <f>SUM(E165:E177)</f>
        <v>275500</v>
      </c>
      <c r="F179" s="2"/>
      <c r="G179" s="2"/>
      <c r="H179" s="2"/>
      <c r="I179" s="2"/>
      <c r="J179" s="2"/>
      <c r="K179" s="13">
        <f>SUM(K165:K177)</f>
        <v>88750</v>
      </c>
      <c r="L179" s="14">
        <f>K179/E179</f>
        <v>0.32214156079854811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0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0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0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6" t="s">
        <v>184</v>
      </c>
      <c r="B183" s="1"/>
      <c r="C183" s="1"/>
      <c r="D183" s="22" t="s">
        <v>176</v>
      </c>
      <c r="E183" s="8">
        <v>46127</v>
      </c>
      <c r="F183" s="24" t="s">
        <v>37</v>
      </c>
      <c r="G183" s="2"/>
      <c r="H183" s="2"/>
      <c r="I183" s="2"/>
      <c r="J183" s="2"/>
      <c r="K183" s="2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2"/>
      <c r="C184" s="4"/>
      <c r="D184" s="2"/>
      <c r="E184" s="2"/>
      <c r="F184" s="2"/>
      <c r="G184" s="2"/>
      <c r="H184" s="2"/>
      <c r="I184" s="2"/>
      <c r="J184" s="2"/>
      <c r="K184" s="2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6" t="s">
        <v>3</v>
      </c>
      <c r="B185" s="10" t="s">
        <v>4</v>
      </c>
      <c r="C185" s="11" t="s">
        <v>5</v>
      </c>
      <c r="D185" s="10" t="s">
        <v>6</v>
      </c>
      <c r="E185" s="10" t="s">
        <v>7</v>
      </c>
      <c r="F185" s="2"/>
      <c r="G185" s="2"/>
      <c r="H185" s="2"/>
      <c r="I185" s="10" t="s">
        <v>6</v>
      </c>
      <c r="J185" s="10" t="s">
        <v>7</v>
      </c>
      <c r="K185" s="10" t="s">
        <v>10</v>
      </c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3</v>
      </c>
      <c r="B186" s="10" t="s">
        <v>15</v>
      </c>
      <c r="C186" s="11" t="s">
        <v>56</v>
      </c>
      <c r="D186" s="13">
        <v>16000</v>
      </c>
      <c r="E186" s="13">
        <f t="shared" ref="E186:E189" si="35">A186*D186</f>
        <v>48000</v>
      </c>
      <c r="F186" s="2"/>
      <c r="G186" s="2"/>
      <c r="H186" s="2"/>
      <c r="I186" s="13">
        <v>13000</v>
      </c>
      <c r="J186" s="13">
        <f t="shared" ref="J186:J189" si="36">I186*A186</f>
        <v>39000</v>
      </c>
      <c r="K186" s="13">
        <f t="shared" ref="K186:K189" si="37">E186-J186</f>
        <v>9000</v>
      </c>
      <c r="L186" s="14">
        <f t="shared" ref="L186:L189" si="38">K186/E186</f>
        <v>0.1875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4</v>
      </c>
      <c r="B187" s="10" t="s">
        <v>1095</v>
      </c>
      <c r="C187" s="11" t="s">
        <v>64</v>
      </c>
      <c r="D187" s="13">
        <v>14000</v>
      </c>
      <c r="E187" s="13">
        <f t="shared" si="35"/>
        <v>56000</v>
      </c>
      <c r="F187" s="2"/>
      <c r="G187" s="2"/>
      <c r="H187" s="2"/>
      <c r="I187" s="13">
        <v>10000</v>
      </c>
      <c r="J187" s="13">
        <f t="shared" si="36"/>
        <v>40000</v>
      </c>
      <c r="K187" s="13">
        <f t="shared" si="37"/>
        <v>16000</v>
      </c>
      <c r="L187" s="14">
        <f t="shared" si="38"/>
        <v>0.2857142857142857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2</v>
      </c>
      <c r="B188" s="10" t="s">
        <v>15</v>
      </c>
      <c r="C188" s="11" t="s">
        <v>40</v>
      </c>
      <c r="D188" s="13">
        <v>12000</v>
      </c>
      <c r="E188" s="13">
        <f t="shared" si="35"/>
        <v>24000</v>
      </c>
      <c r="F188" s="2"/>
      <c r="G188" s="2"/>
      <c r="H188" s="2"/>
      <c r="I188" s="13">
        <v>7000</v>
      </c>
      <c r="J188" s="13">
        <f t="shared" si="36"/>
        <v>14000</v>
      </c>
      <c r="K188" s="13">
        <f t="shared" si="37"/>
        <v>10000</v>
      </c>
      <c r="L188" s="14">
        <f t="shared" si="38"/>
        <v>0.41666666666666669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7</v>
      </c>
      <c r="B189" s="10" t="s">
        <v>4</v>
      </c>
      <c r="C189" s="11" t="s">
        <v>13</v>
      </c>
      <c r="D189" s="13">
        <v>900</v>
      </c>
      <c r="E189" s="13">
        <f t="shared" si="35"/>
        <v>6300</v>
      </c>
      <c r="F189" s="2"/>
      <c r="G189" s="2"/>
      <c r="H189" s="2"/>
      <c r="I189" s="13">
        <f>460</f>
        <v>460</v>
      </c>
      <c r="J189" s="13">
        <f t="shared" si="36"/>
        <v>3220</v>
      </c>
      <c r="K189" s="13">
        <f t="shared" si="37"/>
        <v>3080</v>
      </c>
      <c r="L189" s="14">
        <f t="shared" si="38"/>
        <v>0.48888888888888887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"/>
      <c r="B190" s="2"/>
      <c r="C190" s="4"/>
      <c r="D190" s="2"/>
      <c r="E190" s="2"/>
      <c r="F190" s="2"/>
      <c r="G190" s="4"/>
      <c r="H190" s="2"/>
      <c r="I190" s="2"/>
      <c r="J190" s="2"/>
      <c r="K190" s="2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"/>
      <c r="B191" s="2"/>
      <c r="C191" s="4"/>
      <c r="D191" s="2"/>
      <c r="E191" s="13">
        <f>SUM(E186:E189)</f>
        <v>134300</v>
      </c>
      <c r="F191" s="2"/>
      <c r="G191" s="2"/>
      <c r="H191" s="2"/>
      <c r="I191" s="2"/>
      <c r="J191" s="2"/>
      <c r="K191" s="13">
        <f>SUM(K186:K189)</f>
        <v>38080</v>
      </c>
      <c r="L191" s="14">
        <f>K191/E191</f>
        <v>0.28354430379746837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0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0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6" t="s">
        <v>75</v>
      </c>
      <c r="B194" s="6"/>
      <c r="C194" s="6"/>
      <c r="D194" s="22" t="s">
        <v>1</v>
      </c>
      <c r="E194" s="8">
        <v>46127</v>
      </c>
      <c r="F194" s="24"/>
      <c r="G194" s="2"/>
      <c r="H194" s="2"/>
      <c r="I194" s="13"/>
      <c r="J194" s="13"/>
      <c r="K194" s="13"/>
      <c r="L194" s="14"/>
      <c r="M194" s="4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ht="15.75" customHeight="1" x14ac:dyDescent="0.2">
      <c r="B195" s="2"/>
      <c r="C195" s="4"/>
      <c r="D195" s="2"/>
      <c r="E195" s="2"/>
      <c r="F195" s="2"/>
      <c r="G195" s="2"/>
      <c r="H195" s="2"/>
      <c r="I195" s="13"/>
      <c r="J195" s="13"/>
      <c r="K195" s="13"/>
      <c r="L195" s="14"/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A196" s="6" t="s">
        <v>3</v>
      </c>
      <c r="B196" s="10" t="s">
        <v>4</v>
      </c>
      <c r="C196" s="11" t="s">
        <v>5</v>
      </c>
      <c r="D196" s="10" t="s">
        <v>6</v>
      </c>
      <c r="E196" s="10" t="s">
        <v>7</v>
      </c>
      <c r="F196" s="10"/>
      <c r="G196" s="2"/>
      <c r="H196" s="2"/>
      <c r="I196" s="10" t="s">
        <v>6</v>
      </c>
      <c r="J196" s="10" t="s">
        <v>7</v>
      </c>
      <c r="K196" s="10" t="s">
        <v>10</v>
      </c>
      <c r="L196" s="14"/>
      <c r="M196" s="4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ht="15.75" customHeight="1" x14ac:dyDescent="0.2">
      <c r="A197" s="12">
        <v>2</v>
      </c>
      <c r="B197" s="10" t="s">
        <v>21</v>
      </c>
      <c r="C197" s="11" t="s">
        <v>130</v>
      </c>
      <c r="D197" s="13">
        <v>1300</v>
      </c>
      <c r="E197" s="13">
        <f t="shared" ref="E197:E218" si="39">A197*D197</f>
        <v>2600</v>
      </c>
      <c r="F197" s="13"/>
      <c r="G197" s="2"/>
      <c r="H197" s="7" t="s">
        <v>107</v>
      </c>
      <c r="I197" s="13"/>
      <c r="J197" s="13">
        <f t="shared" ref="J197:J218" si="40">I197*A197</f>
        <v>0</v>
      </c>
      <c r="K197" s="13">
        <f t="shared" ref="K197:K218" si="41">E197-J197</f>
        <v>2600</v>
      </c>
      <c r="L197" s="14">
        <f t="shared" ref="L197:L218" si="42">K197/E197</f>
        <v>1</v>
      </c>
      <c r="M197" s="4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ht="15.75" customHeight="1" x14ac:dyDescent="0.2">
      <c r="A198" s="12">
        <v>1</v>
      </c>
      <c r="B198" s="10" t="s">
        <v>4</v>
      </c>
      <c r="C198" s="11" t="s">
        <v>64</v>
      </c>
      <c r="D198" s="13">
        <v>2500</v>
      </c>
      <c r="E198" s="13">
        <f t="shared" si="39"/>
        <v>2500</v>
      </c>
      <c r="F198" s="13"/>
      <c r="G198" s="2"/>
      <c r="H198" s="7" t="s">
        <v>107</v>
      </c>
      <c r="I198" s="13"/>
      <c r="J198" s="13">
        <f t="shared" si="40"/>
        <v>0</v>
      </c>
      <c r="K198" s="13">
        <f t="shared" si="41"/>
        <v>2500</v>
      </c>
      <c r="L198" s="14">
        <f t="shared" si="42"/>
        <v>1</v>
      </c>
      <c r="M198" s="4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ht="15.75" customHeight="1" x14ac:dyDescent="0.2">
      <c r="A199" s="12">
        <v>3</v>
      </c>
      <c r="B199" s="10" t="s">
        <v>4</v>
      </c>
      <c r="C199" s="11" t="s">
        <v>13</v>
      </c>
      <c r="D199" s="13">
        <v>900</v>
      </c>
      <c r="E199" s="13">
        <f t="shared" si="39"/>
        <v>2700</v>
      </c>
      <c r="F199" s="13"/>
      <c r="G199" s="2"/>
      <c r="H199" s="7"/>
      <c r="I199" s="13">
        <v>460</v>
      </c>
      <c r="J199" s="13">
        <f t="shared" si="40"/>
        <v>1380</v>
      </c>
      <c r="K199" s="13">
        <f t="shared" si="41"/>
        <v>1320</v>
      </c>
      <c r="L199" s="14">
        <f t="shared" si="42"/>
        <v>0.48888888888888887</v>
      </c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ht="15.75" customHeight="1" x14ac:dyDescent="0.2">
      <c r="A200" s="12">
        <v>3</v>
      </c>
      <c r="B200" s="10" t="s">
        <v>17</v>
      </c>
      <c r="C200" s="11" t="s">
        <v>77</v>
      </c>
      <c r="D200" s="13">
        <v>2400</v>
      </c>
      <c r="E200" s="13">
        <f t="shared" si="39"/>
        <v>7200</v>
      </c>
      <c r="F200" s="13"/>
      <c r="G200" s="2"/>
      <c r="H200" s="7"/>
      <c r="I200" s="13">
        <f>23000/11</f>
        <v>2090.909090909091</v>
      </c>
      <c r="J200" s="13">
        <f t="shared" si="40"/>
        <v>6272.727272727273</v>
      </c>
      <c r="K200" s="13">
        <f t="shared" si="41"/>
        <v>927.27272727272702</v>
      </c>
      <c r="L200" s="14">
        <f t="shared" si="42"/>
        <v>0.12878787878787876</v>
      </c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2">
        <v>1</v>
      </c>
      <c r="B201" s="10" t="s">
        <v>17</v>
      </c>
      <c r="C201" s="11" t="s">
        <v>78</v>
      </c>
      <c r="D201" s="13">
        <v>4000</v>
      </c>
      <c r="E201" s="13">
        <f t="shared" si="39"/>
        <v>4000</v>
      </c>
      <c r="F201" s="13"/>
      <c r="G201" s="2"/>
      <c r="H201" s="7"/>
      <c r="I201" s="13">
        <f>18000/6</f>
        <v>3000</v>
      </c>
      <c r="J201" s="13">
        <f t="shared" si="40"/>
        <v>3000</v>
      </c>
      <c r="K201" s="13">
        <f t="shared" si="41"/>
        <v>1000</v>
      </c>
      <c r="L201" s="14">
        <f t="shared" si="42"/>
        <v>0.25</v>
      </c>
      <c r="M201" s="4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ht="15.75" customHeight="1" x14ac:dyDescent="0.2">
      <c r="A202" s="12">
        <v>2</v>
      </c>
      <c r="B202" s="10" t="s">
        <v>17</v>
      </c>
      <c r="C202" s="11" t="s">
        <v>31</v>
      </c>
      <c r="D202" s="13">
        <v>3000</v>
      </c>
      <c r="E202" s="13">
        <f t="shared" si="39"/>
        <v>6000</v>
      </c>
      <c r="F202" s="13"/>
      <c r="G202" s="2"/>
      <c r="H202" s="7"/>
      <c r="I202" s="13">
        <f>15000/7</f>
        <v>2142.8571428571427</v>
      </c>
      <c r="J202" s="13">
        <f t="shared" si="40"/>
        <v>4285.7142857142853</v>
      </c>
      <c r="K202" s="13">
        <f t="shared" si="41"/>
        <v>1714.2857142857147</v>
      </c>
      <c r="L202" s="14">
        <f t="shared" si="42"/>
        <v>0.28571428571428575</v>
      </c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A203" s="12">
        <v>2</v>
      </c>
      <c r="B203" s="10" t="s">
        <v>17</v>
      </c>
      <c r="C203" s="11" t="s">
        <v>79</v>
      </c>
      <c r="D203" s="13">
        <v>6000</v>
      </c>
      <c r="E203" s="13">
        <f t="shared" si="39"/>
        <v>12000</v>
      </c>
      <c r="F203" s="13"/>
      <c r="G203" s="2"/>
      <c r="H203" s="7"/>
      <c r="I203" s="13">
        <f>17000/5</f>
        <v>3400</v>
      </c>
      <c r="J203" s="13">
        <f t="shared" si="40"/>
        <v>6800</v>
      </c>
      <c r="K203" s="13">
        <f t="shared" si="41"/>
        <v>5200</v>
      </c>
      <c r="L203" s="14">
        <f t="shared" si="42"/>
        <v>0.43333333333333335</v>
      </c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12">
        <v>1</v>
      </c>
      <c r="B204" s="10" t="s">
        <v>21</v>
      </c>
      <c r="C204" s="11" t="s">
        <v>29</v>
      </c>
      <c r="D204" s="13">
        <v>3500</v>
      </c>
      <c r="E204" s="13">
        <f t="shared" si="39"/>
        <v>3500</v>
      </c>
      <c r="F204" s="13"/>
      <c r="G204" s="2"/>
      <c r="H204" s="7"/>
      <c r="I204" s="13">
        <v>1500</v>
      </c>
      <c r="J204" s="13">
        <f t="shared" si="40"/>
        <v>1500</v>
      </c>
      <c r="K204" s="13">
        <f t="shared" si="41"/>
        <v>2000</v>
      </c>
      <c r="L204" s="14">
        <f t="shared" si="42"/>
        <v>0.5714285714285714</v>
      </c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2">
        <v>6</v>
      </c>
      <c r="B205" s="10" t="s">
        <v>17</v>
      </c>
      <c r="C205" s="11" t="s">
        <v>81</v>
      </c>
      <c r="D205" s="13">
        <v>2000</v>
      </c>
      <c r="E205" s="13">
        <f t="shared" si="39"/>
        <v>12000</v>
      </c>
      <c r="F205" s="13"/>
      <c r="G205" s="2"/>
      <c r="H205" s="7"/>
      <c r="I205" s="13">
        <f>8000/15</f>
        <v>533.33333333333337</v>
      </c>
      <c r="J205" s="13">
        <f t="shared" si="40"/>
        <v>3200</v>
      </c>
      <c r="K205" s="13">
        <f t="shared" si="41"/>
        <v>8800</v>
      </c>
      <c r="L205" s="14">
        <f t="shared" si="42"/>
        <v>0.73333333333333328</v>
      </c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>
        <v>1</v>
      </c>
      <c r="B206" s="10" t="s">
        <v>21</v>
      </c>
      <c r="C206" s="11" t="s">
        <v>42</v>
      </c>
      <c r="D206" s="13">
        <v>4000</v>
      </c>
      <c r="E206" s="13">
        <f t="shared" si="39"/>
        <v>4000</v>
      </c>
      <c r="F206" s="13"/>
      <c r="G206" s="2"/>
      <c r="H206" s="7"/>
      <c r="I206" s="13">
        <v>1400</v>
      </c>
      <c r="J206" s="13">
        <f t="shared" si="40"/>
        <v>1400</v>
      </c>
      <c r="K206" s="13">
        <f t="shared" si="41"/>
        <v>2600</v>
      </c>
      <c r="L206" s="14">
        <f t="shared" si="42"/>
        <v>0.65</v>
      </c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>
        <v>3</v>
      </c>
      <c r="B207" s="10" t="s">
        <v>17</v>
      </c>
      <c r="C207" s="11" t="s">
        <v>82</v>
      </c>
      <c r="D207" s="13">
        <v>1800</v>
      </c>
      <c r="E207" s="13">
        <f t="shared" si="39"/>
        <v>5400</v>
      </c>
      <c r="F207" s="13"/>
      <c r="G207" s="2"/>
      <c r="H207" s="7"/>
      <c r="I207" s="13">
        <f>28000/14</f>
        <v>2000</v>
      </c>
      <c r="J207" s="13">
        <f t="shared" si="40"/>
        <v>6000</v>
      </c>
      <c r="K207" s="13">
        <f t="shared" si="41"/>
        <v>-600</v>
      </c>
      <c r="L207" s="14">
        <f t="shared" si="42"/>
        <v>-0.1111111111111111</v>
      </c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2">
        <v>1</v>
      </c>
      <c r="B208" s="10" t="s">
        <v>15</v>
      </c>
      <c r="C208" s="11" t="s">
        <v>83</v>
      </c>
      <c r="D208" s="13">
        <v>14000</v>
      </c>
      <c r="E208" s="13">
        <f t="shared" si="39"/>
        <v>14000</v>
      </c>
      <c r="F208" s="13"/>
      <c r="G208" s="2"/>
      <c r="H208" s="7"/>
      <c r="I208" s="13">
        <v>10000</v>
      </c>
      <c r="J208" s="13">
        <f t="shared" si="40"/>
        <v>10000</v>
      </c>
      <c r="K208" s="13">
        <f t="shared" si="41"/>
        <v>4000</v>
      </c>
      <c r="L208" s="14">
        <f t="shared" si="42"/>
        <v>0.2857142857142857</v>
      </c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2">
        <v>0.5</v>
      </c>
      <c r="B209" s="10" t="s">
        <v>15</v>
      </c>
      <c r="C209" s="11" t="s">
        <v>56</v>
      </c>
      <c r="D209" s="13">
        <v>16000</v>
      </c>
      <c r="E209" s="13">
        <f t="shared" si="39"/>
        <v>8000</v>
      </c>
      <c r="F209" s="13"/>
      <c r="G209" s="2"/>
      <c r="H209" s="7"/>
      <c r="I209" s="13">
        <v>13000</v>
      </c>
      <c r="J209" s="13">
        <f t="shared" si="40"/>
        <v>6500</v>
      </c>
      <c r="K209" s="13">
        <f t="shared" si="41"/>
        <v>1500</v>
      </c>
      <c r="L209" s="14">
        <f t="shared" si="42"/>
        <v>0.1875</v>
      </c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2">
        <v>1</v>
      </c>
      <c r="B210" s="10" t="s">
        <v>15</v>
      </c>
      <c r="C210" s="11" t="s">
        <v>84</v>
      </c>
      <c r="D210" s="13">
        <v>18000</v>
      </c>
      <c r="E210" s="13">
        <f t="shared" si="39"/>
        <v>18000</v>
      </c>
      <c r="F210" s="13"/>
      <c r="G210" s="2"/>
      <c r="H210" s="7"/>
      <c r="I210" s="13">
        <v>12000</v>
      </c>
      <c r="J210" s="13">
        <f t="shared" si="40"/>
        <v>12000</v>
      </c>
      <c r="K210" s="13">
        <f t="shared" si="41"/>
        <v>6000</v>
      </c>
      <c r="L210" s="14">
        <f t="shared" si="42"/>
        <v>0.33333333333333331</v>
      </c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2">
        <v>1</v>
      </c>
      <c r="B211" s="10" t="s">
        <v>15</v>
      </c>
      <c r="C211" s="11" t="s">
        <v>40</v>
      </c>
      <c r="D211" s="13">
        <v>12000</v>
      </c>
      <c r="E211" s="13">
        <f t="shared" si="39"/>
        <v>12000</v>
      </c>
      <c r="F211" s="13"/>
      <c r="G211" s="2"/>
      <c r="H211" s="7"/>
      <c r="I211" s="13">
        <v>7000</v>
      </c>
      <c r="J211" s="13">
        <f t="shared" si="40"/>
        <v>7000</v>
      </c>
      <c r="K211" s="13">
        <f t="shared" si="41"/>
        <v>5000</v>
      </c>
      <c r="L211" s="14">
        <f t="shared" si="42"/>
        <v>0.41666666666666669</v>
      </c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15.75" customHeight="1" x14ac:dyDescent="0.2">
      <c r="A212" s="12">
        <v>1</v>
      </c>
      <c r="B212" s="10" t="s">
        <v>23</v>
      </c>
      <c r="C212" s="11" t="s">
        <v>12</v>
      </c>
      <c r="D212" s="13">
        <v>59000</v>
      </c>
      <c r="E212" s="13">
        <f t="shared" si="39"/>
        <v>59000</v>
      </c>
      <c r="F212" s="13"/>
      <c r="G212" s="2"/>
      <c r="H212" s="7"/>
      <c r="I212" s="13">
        <v>54000</v>
      </c>
      <c r="J212" s="13">
        <f t="shared" si="40"/>
        <v>54000</v>
      </c>
      <c r="K212" s="13">
        <f t="shared" si="41"/>
        <v>5000</v>
      </c>
      <c r="L212" s="14">
        <f t="shared" si="42"/>
        <v>8.4745762711864403E-2</v>
      </c>
      <c r="M212" s="4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ht="15.75" customHeight="1" x14ac:dyDescent="0.2">
      <c r="A213" s="12">
        <v>0.5</v>
      </c>
      <c r="B213" s="10" t="s">
        <v>86</v>
      </c>
      <c r="C213" s="11" t="s">
        <v>87</v>
      </c>
      <c r="D213" s="13">
        <v>40000</v>
      </c>
      <c r="E213" s="13">
        <f t="shared" si="39"/>
        <v>20000</v>
      </c>
      <c r="F213" s="13"/>
      <c r="G213" s="2"/>
      <c r="H213" s="7"/>
      <c r="I213" s="13">
        <v>28000</v>
      </c>
      <c r="J213" s="13">
        <f t="shared" si="40"/>
        <v>14000</v>
      </c>
      <c r="K213" s="13">
        <f t="shared" si="41"/>
        <v>6000</v>
      </c>
      <c r="L213" s="14">
        <f t="shared" si="42"/>
        <v>0.3</v>
      </c>
      <c r="M213" s="4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ht="15.75" customHeight="1" x14ac:dyDescent="0.2">
      <c r="A214" s="12">
        <v>1</v>
      </c>
      <c r="B214" s="10" t="s">
        <v>17</v>
      </c>
      <c r="C214" s="11" t="s">
        <v>88</v>
      </c>
      <c r="D214" s="13">
        <v>2600</v>
      </c>
      <c r="E214" s="13">
        <f t="shared" si="39"/>
        <v>2600</v>
      </c>
      <c r="F214" s="13"/>
      <c r="G214" s="2"/>
      <c r="H214" s="7"/>
      <c r="I214" s="13">
        <f>14000/14</f>
        <v>1000</v>
      </c>
      <c r="J214" s="13">
        <f t="shared" si="40"/>
        <v>1000</v>
      </c>
      <c r="K214" s="13">
        <f t="shared" si="41"/>
        <v>1600</v>
      </c>
      <c r="L214" s="14">
        <f t="shared" si="42"/>
        <v>0.61538461538461542</v>
      </c>
      <c r="M214" s="4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ht="15.75" customHeight="1" x14ac:dyDescent="0.2">
      <c r="A215" s="12">
        <v>0.5</v>
      </c>
      <c r="B215" s="10" t="s">
        <v>86</v>
      </c>
      <c r="C215" s="11" t="s">
        <v>24</v>
      </c>
      <c r="D215" s="13">
        <v>58000</v>
      </c>
      <c r="E215" s="13">
        <f t="shared" si="39"/>
        <v>29000</v>
      </c>
      <c r="F215" s="13"/>
      <c r="G215" s="2"/>
      <c r="H215" s="7"/>
      <c r="I215" s="13">
        <v>50000</v>
      </c>
      <c r="J215" s="13">
        <f t="shared" si="40"/>
        <v>25000</v>
      </c>
      <c r="K215" s="13">
        <f t="shared" si="41"/>
        <v>4000</v>
      </c>
      <c r="L215" s="14">
        <f t="shared" si="42"/>
        <v>0.13793103448275862</v>
      </c>
      <c r="M215" s="4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ht="15.75" customHeight="1" x14ac:dyDescent="0.2">
      <c r="A216" s="12">
        <v>1</v>
      </c>
      <c r="B216" s="10" t="s">
        <v>17</v>
      </c>
      <c r="C216" s="11" t="s">
        <v>25</v>
      </c>
      <c r="D216" s="13">
        <v>4500</v>
      </c>
      <c r="E216" s="13">
        <f t="shared" si="39"/>
        <v>4500</v>
      </c>
      <c r="F216" s="13"/>
      <c r="G216" s="2"/>
      <c r="H216" s="7"/>
      <c r="I216" s="13">
        <f>60000/17</f>
        <v>3529.4117647058824</v>
      </c>
      <c r="J216" s="13">
        <f t="shared" si="40"/>
        <v>3529.4117647058824</v>
      </c>
      <c r="K216" s="13">
        <f t="shared" si="41"/>
        <v>970.58823529411757</v>
      </c>
      <c r="L216" s="14">
        <f t="shared" si="42"/>
        <v>0.2156862745098039</v>
      </c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ht="15.75" customHeight="1" x14ac:dyDescent="0.2">
      <c r="A217" s="12">
        <v>4</v>
      </c>
      <c r="B217" s="10" t="s">
        <v>17</v>
      </c>
      <c r="C217" s="11" t="s">
        <v>26</v>
      </c>
      <c r="D217" s="13">
        <v>2200</v>
      </c>
      <c r="E217" s="13">
        <f t="shared" si="39"/>
        <v>8800</v>
      </c>
      <c r="F217" s="13"/>
      <c r="G217" s="2"/>
      <c r="H217" s="7"/>
      <c r="I217" s="13">
        <f>14000/15</f>
        <v>933.33333333333337</v>
      </c>
      <c r="J217" s="13">
        <f t="shared" si="40"/>
        <v>3733.3333333333335</v>
      </c>
      <c r="K217" s="13">
        <f t="shared" si="41"/>
        <v>5066.6666666666661</v>
      </c>
      <c r="L217" s="14">
        <f t="shared" si="42"/>
        <v>0.57575757575757569</v>
      </c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2">
        <v>0.5</v>
      </c>
      <c r="B218" s="10" t="s">
        <v>86</v>
      </c>
      <c r="C218" s="11" t="s">
        <v>49</v>
      </c>
      <c r="D218" s="13">
        <v>44000</v>
      </c>
      <c r="E218" s="13">
        <f t="shared" si="39"/>
        <v>22000</v>
      </c>
      <c r="F218" s="13"/>
      <c r="G218" s="2"/>
      <c r="H218" s="7"/>
      <c r="I218" s="13">
        <v>36000</v>
      </c>
      <c r="J218" s="13">
        <f t="shared" si="40"/>
        <v>18000</v>
      </c>
      <c r="K218" s="13">
        <f t="shared" si="41"/>
        <v>4000</v>
      </c>
      <c r="L218" s="14">
        <f t="shared" si="42"/>
        <v>0.18181818181818182</v>
      </c>
      <c r="M218" s="4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ht="15.75" customHeight="1" x14ac:dyDescent="0.2">
      <c r="A219" s="12"/>
      <c r="B219" s="10"/>
      <c r="C219" s="11"/>
      <c r="D219" s="13"/>
      <c r="E219" s="13"/>
      <c r="F219" s="13"/>
      <c r="H219" s="2"/>
      <c r="I219" s="13"/>
      <c r="J219" s="13"/>
      <c r="K219" s="13"/>
      <c r="L219" s="14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ht="15.75" customHeight="1" x14ac:dyDescent="0.2">
      <c r="A220" s="12"/>
      <c r="B220" s="10"/>
      <c r="C220" s="11"/>
      <c r="D220" s="13"/>
      <c r="E220" s="13">
        <f>SUM(E197:E219)</f>
        <v>259800</v>
      </c>
      <c r="F220" s="13"/>
      <c r="G220" s="2"/>
      <c r="H220" s="2"/>
      <c r="I220" s="13"/>
      <c r="J220" s="13"/>
      <c r="K220" s="13">
        <f>SUM(K197:K218)</f>
        <v>71198.813343519229</v>
      </c>
      <c r="L220" s="14">
        <f>K220/E220</f>
        <v>0.27405239932070524</v>
      </c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2"/>
      <c r="B221" s="10"/>
      <c r="C221" s="11"/>
      <c r="D221" s="13"/>
      <c r="E221" s="13"/>
      <c r="F221" s="13"/>
      <c r="G221" s="2"/>
      <c r="H221" s="2"/>
      <c r="I221" s="13"/>
      <c r="J221" s="13"/>
      <c r="K221" s="13"/>
      <c r="L221" s="14"/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2"/>
      <c r="B222" s="10"/>
      <c r="C222" s="11"/>
      <c r="D222" s="13"/>
      <c r="E222" s="13"/>
      <c r="F222" s="13"/>
      <c r="G222" s="2"/>
      <c r="H222" s="2"/>
      <c r="I222" s="13"/>
      <c r="J222" s="13"/>
      <c r="K222" s="13"/>
      <c r="L222" s="14"/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88" t="s">
        <v>128</v>
      </c>
      <c r="B223" s="89"/>
      <c r="C223" s="89"/>
      <c r="D223" s="2"/>
      <c r="E223" s="7" t="s">
        <v>143</v>
      </c>
      <c r="F223" s="8">
        <v>46127</v>
      </c>
      <c r="G223" s="2"/>
      <c r="H223" s="2"/>
      <c r="I223" s="91" t="s">
        <v>2</v>
      </c>
      <c r="J223" s="89"/>
      <c r="K223" s="89"/>
      <c r="L223" s="3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3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6" t="s">
        <v>3</v>
      </c>
      <c r="B225" s="10" t="s">
        <v>4</v>
      </c>
      <c r="C225" s="11" t="s">
        <v>5</v>
      </c>
      <c r="D225" s="10" t="s">
        <v>6</v>
      </c>
      <c r="E225" s="10" t="s">
        <v>7</v>
      </c>
      <c r="F225" s="10" t="s">
        <v>8</v>
      </c>
      <c r="G225" s="2"/>
      <c r="H225" s="2"/>
      <c r="I225" s="10" t="s">
        <v>9</v>
      </c>
      <c r="J225" s="10" t="s">
        <v>7</v>
      </c>
      <c r="K225" s="10" t="s">
        <v>10</v>
      </c>
      <c r="L225" s="3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2">
        <v>2</v>
      </c>
      <c r="B226" s="10" t="s">
        <v>15</v>
      </c>
      <c r="C226" s="11" t="s">
        <v>16</v>
      </c>
      <c r="D226" s="13">
        <v>13000</v>
      </c>
      <c r="E226" s="13">
        <f t="shared" ref="E226:E237" si="43">A226*D226</f>
        <v>26000</v>
      </c>
      <c r="F226" s="13">
        <f t="shared" ref="F226:F237" si="44">E226*1.105</f>
        <v>28730</v>
      </c>
      <c r="G226" s="2"/>
      <c r="H226" s="2"/>
      <c r="I226" s="13">
        <v>8000</v>
      </c>
      <c r="J226" s="13">
        <f t="shared" ref="J226:J237" si="45">I226*A226</f>
        <v>16000</v>
      </c>
      <c r="K226" s="13">
        <f t="shared" ref="K226:K237" si="46">F226-J226</f>
        <v>12730</v>
      </c>
      <c r="L226" s="14">
        <f t="shared" ref="L226:L237" si="47">IFERROR(K226/E226, 0)</f>
        <v>0.48961538461538462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2">
        <v>3</v>
      </c>
      <c r="B227" s="10" t="s">
        <v>15</v>
      </c>
      <c r="C227" s="11" t="s">
        <v>135</v>
      </c>
      <c r="D227" s="13">
        <v>16000</v>
      </c>
      <c r="E227" s="13">
        <f t="shared" si="43"/>
        <v>48000</v>
      </c>
      <c r="F227" s="13">
        <f t="shared" si="44"/>
        <v>53040</v>
      </c>
      <c r="G227" s="2"/>
      <c r="H227" s="2"/>
      <c r="I227" s="13">
        <v>12000</v>
      </c>
      <c r="J227" s="13">
        <f t="shared" si="45"/>
        <v>36000</v>
      </c>
      <c r="K227" s="13">
        <f t="shared" si="46"/>
        <v>17040</v>
      </c>
      <c r="L227" s="14">
        <f t="shared" si="47"/>
        <v>0.35499999999999998</v>
      </c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1</v>
      </c>
      <c r="B228" s="10" t="s">
        <v>23</v>
      </c>
      <c r="C228" s="11" t="s">
        <v>35</v>
      </c>
      <c r="D228" s="13">
        <v>17000</v>
      </c>
      <c r="E228" s="13">
        <f t="shared" si="43"/>
        <v>17000</v>
      </c>
      <c r="F228" s="13">
        <f t="shared" si="44"/>
        <v>18785</v>
      </c>
      <c r="G228" s="2"/>
      <c r="H228" s="2"/>
      <c r="I228" s="13">
        <v>14000</v>
      </c>
      <c r="J228" s="13">
        <f t="shared" si="45"/>
        <v>14000</v>
      </c>
      <c r="K228" s="13">
        <f t="shared" si="46"/>
        <v>4785</v>
      </c>
      <c r="L228" s="14">
        <f t="shared" si="47"/>
        <v>0.28147058823529414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2</v>
      </c>
      <c r="B229" s="10" t="s">
        <v>15</v>
      </c>
      <c r="C229" s="11" t="s">
        <v>56</v>
      </c>
      <c r="D229" s="13">
        <v>16000</v>
      </c>
      <c r="E229" s="13">
        <f t="shared" si="43"/>
        <v>32000</v>
      </c>
      <c r="F229" s="13">
        <f t="shared" si="44"/>
        <v>35360</v>
      </c>
      <c r="G229" s="2"/>
      <c r="H229" s="2"/>
      <c r="I229" s="13">
        <v>13000</v>
      </c>
      <c r="J229" s="13">
        <f t="shared" si="45"/>
        <v>26000</v>
      </c>
      <c r="K229" s="13">
        <f t="shared" si="46"/>
        <v>9360</v>
      </c>
      <c r="L229" s="14">
        <f t="shared" si="47"/>
        <v>0.29249999999999998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2</v>
      </c>
      <c r="B230" s="10" t="s">
        <v>15</v>
      </c>
      <c r="C230" s="11" t="s">
        <v>129</v>
      </c>
      <c r="D230" s="13">
        <v>16000</v>
      </c>
      <c r="E230" s="13">
        <f t="shared" si="43"/>
        <v>32000</v>
      </c>
      <c r="F230" s="13">
        <f t="shared" si="44"/>
        <v>35360</v>
      </c>
      <c r="G230" s="7" t="s">
        <v>37</v>
      </c>
      <c r="H230" s="2"/>
      <c r="I230" s="13">
        <v>12000</v>
      </c>
      <c r="J230" s="13">
        <f t="shared" si="45"/>
        <v>24000</v>
      </c>
      <c r="K230" s="13">
        <f t="shared" si="46"/>
        <v>11360</v>
      </c>
      <c r="L230" s="14">
        <f t="shared" si="47"/>
        <v>0.35499999999999998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1</v>
      </c>
      <c r="B231" s="10" t="s">
        <v>23</v>
      </c>
      <c r="C231" s="11" t="s">
        <v>20</v>
      </c>
      <c r="D231" s="13">
        <v>22000</v>
      </c>
      <c r="E231" s="13">
        <f t="shared" si="43"/>
        <v>22000</v>
      </c>
      <c r="F231" s="13">
        <f t="shared" si="44"/>
        <v>24310</v>
      </c>
      <c r="G231" s="2"/>
      <c r="H231" s="2"/>
      <c r="I231" s="13">
        <v>18000</v>
      </c>
      <c r="J231" s="13">
        <f t="shared" si="45"/>
        <v>18000</v>
      </c>
      <c r="K231" s="13">
        <f t="shared" si="46"/>
        <v>6310</v>
      </c>
      <c r="L231" s="14">
        <f t="shared" si="47"/>
        <v>0.28681818181818181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2</v>
      </c>
      <c r="B232" s="10" t="s">
        <v>23</v>
      </c>
      <c r="C232" s="11" t="s">
        <v>31</v>
      </c>
      <c r="D232" s="13">
        <v>20000</v>
      </c>
      <c r="E232" s="13">
        <f t="shared" si="43"/>
        <v>40000</v>
      </c>
      <c r="F232" s="13">
        <f t="shared" si="44"/>
        <v>44200</v>
      </c>
      <c r="G232" s="2"/>
      <c r="H232" s="2"/>
      <c r="I232" s="13">
        <v>15000</v>
      </c>
      <c r="J232" s="13">
        <f t="shared" si="45"/>
        <v>30000</v>
      </c>
      <c r="K232" s="13">
        <f t="shared" si="46"/>
        <v>14200</v>
      </c>
      <c r="L232" s="14">
        <f t="shared" si="47"/>
        <v>0.35499999999999998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5</v>
      </c>
      <c r="B233" s="10" t="s">
        <v>23</v>
      </c>
      <c r="C233" s="11" t="s">
        <v>130</v>
      </c>
      <c r="D233" s="13">
        <v>12000</v>
      </c>
      <c r="E233" s="13">
        <f t="shared" si="43"/>
        <v>60000</v>
      </c>
      <c r="F233" s="13">
        <f t="shared" si="44"/>
        <v>66300</v>
      </c>
      <c r="G233" s="2"/>
      <c r="H233" s="2"/>
      <c r="I233" s="13">
        <v>6500</v>
      </c>
      <c r="J233" s="13">
        <f t="shared" si="45"/>
        <v>32500</v>
      </c>
      <c r="K233" s="13">
        <f t="shared" si="46"/>
        <v>33800</v>
      </c>
      <c r="L233" s="14">
        <f t="shared" si="47"/>
        <v>0.56333333333333335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1</v>
      </c>
      <c r="B234" s="10" t="s">
        <v>23</v>
      </c>
      <c r="C234" s="11" t="s">
        <v>1096</v>
      </c>
      <c r="D234" s="13">
        <v>10000</v>
      </c>
      <c r="E234" s="13">
        <f t="shared" si="43"/>
        <v>10000</v>
      </c>
      <c r="F234" s="13">
        <f t="shared" si="44"/>
        <v>11050</v>
      </c>
      <c r="G234" s="2"/>
      <c r="H234" s="2"/>
      <c r="I234" s="13">
        <v>6500</v>
      </c>
      <c r="J234" s="13">
        <f t="shared" si="45"/>
        <v>6500</v>
      </c>
      <c r="K234" s="13">
        <f t="shared" si="46"/>
        <v>4550</v>
      </c>
      <c r="L234" s="14">
        <f t="shared" si="47"/>
        <v>0.45500000000000002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1</v>
      </c>
      <c r="B235" s="10" t="s">
        <v>23</v>
      </c>
      <c r="C235" s="11" t="s">
        <v>73</v>
      </c>
      <c r="D235" s="13">
        <v>15000</v>
      </c>
      <c r="E235" s="13">
        <f t="shared" si="43"/>
        <v>15000</v>
      </c>
      <c r="F235" s="13">
        <f t="shared" si="44"/>
        <v>16575</v>
      </c>
      <c r="G235" s="2"/>
      <c r="H235" s="2"/>
      <c r="I235" s="13">
        <v>8000</v>
      </c>
      <c r="J235" s="13">
        <f t="shared" si="45"/>
        <v>8000</v>
      </c>
      <c r="K235" s="13">
        <f t="shared" si="46"/>
        <v>8575</v>
      </c>
      <c r="L235" s="14">
        <f t="shared" si="47"/>
        <v>0.57166666666666666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2</v>
      </c>
      <c r="B236" s="10" t="s">
        <v>23</v>
      </c>
      <c r="C236" s="34" t="s">
        <v>67</v>
      </c>
      <c r="D236" s="13">
        <v>15000</v>
      </c>
      <c r="E236" s="13">
        <f t="shared" si="43"/>
        <v>30000</v>
      </c>
      <c r="F236" s="13">
        <f t="shared" si="44"/>
        <v>33150</v>
      </c>
      <c r="G236" s="2"/>
      <c r="H236" s="2"/>
      <c r="I236" s="13">
        <v>8000</v>
      </c>
      <c r="J236" s="13">
        <f t="shared" si="45"/>
        <v>16000</v>
      </c>
      <c r="K236" s="13">
        <f t="shared" si="46"/>
        <v>17150</v>
      </c>
      <c r="L236" s="14">
        <f t="shared" si="47"/>
        <v>0.57166666666666666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2</v>
      </c>
      <c r="B237" s="10" t="s">
        <v>23</v>
      </c>
      <c r="C237" s="11" t="s">
        <v>26</v>
      </c>
      <c r="D237" s="13">
        <v>18000</v>
      </c>
      <c r="E237" s="13">
        <f t="shared" si="43"/>
        <v>36000</v>
      </c>
      <c r="F237" s="13">
        <f t="shared" si="44"/>
        <v>39780</v>
      </c>
      <c r="G237" s="2"/>
      <c r="H237" s="2"/>
      <c r="I237" s="13">
        <v>14000</v>
      </c>
      <c r="J237" s="13">
        <f t="shared" si="45"/>
        <v>28000</v>
      </c>
      <c r="K237" s="13">
        <f t="shared" si="46"/>
        <v>11780</v>
      </c>
      <c r="L237" s="14">
        <f t="shared" si="47"/>
        <v>0.32722222222222225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5"/>
      <c r="B238" s="2"/>
      <c r="C238" s="4"/>
      <c r="D238" s="2"/>
      <c r="E238" s="2"/>
      <c r="F238" s="2"/>
      <c r="G238" s="2"/>
      <c r="H238" s="2"/>
      <c r="I238" s="2"/>
      <c r="J238" s="2"/>
      <c r="K238" s="2"/>
      <c r="L238" s="3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2"/>
      <c r="C239" s="4"/>
      <c r="D239" s="2"/>
      <c r="E239" s="13">
        <f t="shared" ref="E239:F239" si="48">SUM(E226:E237)</f>
        <v>368000</v>
      </c>
      <c r="F239" s="13">
        <f t="shared" si="48"/>
        <v>406640</v>
      </c>
      <c r="G239" s="2"/>
      <c r="H239" s="2"/>
      <c r="I239" s="2"/>
      <c r="J239" s="2"/>
      <c r="K239" s="13">
        <f>SUM(K226:K237)</f>
        <v>151640</v>
      </c>
      <c r="L239" s="14">
        <f>K239/F239</f>
        <v>0.37290969899665549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2"/>
      <c r="B240" s="10"/>
      <c r="C240" s="11"/>
      <c r="D240" s="13"/>
      <c r="E240" s="13"/>
      <c r="F240" s="13"/>
      <c r="G240" s="2"/>
      <c r="H240" s="2"/>
      <c r="I240" s="13"/>
      <c r="J240" s="13"/>
      <c r="K240" s="13"/>
      <c r="L240" s="14"/>
      <c r="M240" s="4"/>
      <c r="N240" s="2"/>
      <c r="O240" s="4"/>
      <c r="P240" s="2"/>
      <c r="Q240" s="2"/>
      <c r="R240" s="4"/>
      <c r="S240" s="2"/>
      <c r="T240" s="2"/>
      <c r="U240" s="1"/>
      <c r="V240" s="2"/>
      <c r="W240" s="2"/>
      <c r="X240" s="2"/>
      <c r="Y240" s="2"/>
      <c r="Z240" s="2"/>
    </row>
    <row r="241" spans="1:26" ht="15.75" customHeight="1" x14ac:dyDescent="0.2">
      <c r="A241" s="12"/>
      <c r="B241" s="10"/>
      <c r="C241" s="11"/>
      <c r="D241" s="13"/>
      <c r="E241" s="13"/>
      <c r="F241" s="13"/>
      <c r="G241" s="2"/>
      <c r="H241" s="2"/>
      <c r="I241" s="13"/>
      <c r="J241" s="13"/>
      <c r="K241" s="13"/>
      <c r="L241" s="14"/>
      <c r="M241" s="4"/>
      <c r="N241" s="2"/>
      <c r="O241" s="4"/>
      <c r="P241" s="2"/>
      <c r="Q241" s="2"/>
      <c r="R241" s="4"/>
      <c r="S241" s="2"/>
      <c r="T241" s="2"/>
      <c r="U241" s="1"/>
      <c r="V241" s="2"/>
      <c r="W241" s="2"/>
      <c r="X241" s="2"/>
      <c r="Y241" s="2"/>
      <c r="Z241" s="2"/>
    </row>
    <row r="242" spans="1:26" ht="15.75" customHeight="1" x14ac:dyDescent="0.2">
      <c r="A242" s="6" t="s">
        <v>108</v>
      </c>
      <c r="B242" s="1"/>
      <c r="C242" s="1"/>
      <c r="D242" s="22" t="s">
        <v>1097</v>
      </c>
      <c r="E242" s="8">
        <v>46127</v>
      </c>
      <c r="F242" s="24" t="s">
        <v>37</v>
      </c>
      <c r="G242" s="2"/>
      <c r="H242" s="2"/>
      <c r="I242" s="2"/>
      <c r="J242" s="2"/>
      <c r="K242" s="2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2"/>
      <c r="C243" s="4"/>
      <c r="D243" s="2"/>
      <c r="E243" s="2"/>
      <c r="F243" s="2"/>
      <c r="G243" s="2"/>
      <c r="H243" s="2"/>
      <c r="I243" s="2"/>
      <c r="J243" s="2"/>
      <c r="K243" s="2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6" t="s">
        <v>3</v>
      </c>
      <c r="B244" s="10" t="s">
        <v>4</v>
      </c>
      <c r="C244" s="11" t="s">
        <v>5</v>
      </c>
      <c r="D244" s="10" t="s">
        <v>6</v>
      </c>
      <c r="E244" s="10" t="s">
        <v>7</v>
      </c>
      <c r="F244" s="2"/>
      <c r="G244" s="2"/>
      <c r="H244" s="2"/>
      <c r="I244" s="10" t="s">
        <v>6</v>
      </c>
      <c r="J244" s="10" t="s">
        <v>7</v>
      </c>
      <c r="K244" s="10" t="s">
        <v>10</v>
      </c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1</v>
      </c>
      <c r="B245" s="10" t="s">
        <v>23</v>
      </c>
      <c r="C245" s="11" t="s">
        <v>31</v>
      </c>
      <c r="D245" s="13">
        <v>20000</v>
      </c>
      <c r="E245" s="13">
        <f t="shared" ref="E245:E250" si="49">A245*D245</f>
        <v>20000</v>
      </c>
      <c r="F245" s="2"/>
      <c r="G245" s="2"/>
      <c r="H245" s="2"/>
      <c r="I245" s="13">
        <v>15000</v>
      </c>
      <c r="J245" s="13">
        <f t="shared" ref="J245:J250" si="50">I245*A245</f>
        <v>15000</v>
      </c>
      <c r="K245" s="13">
        <f t="shared" ref="K245:K250" si="51">E245-J245</f>
        <v>5000</v>
      </c>
      <c r="L245" s="14">
        <f t="shared" ref="L245:L250" si="52">K245/E245</f>
        <v>0.25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4</v>
      </c>
      <c r="B246" s="10" t="s">
        <v>21</v>
      </c>
      <c r="C246" s="11" t="s">
        <v>133</v>
      </c>
      <c r="D246" s="13">
        <v>3000</v>
      </c>
      <c r="E246" s="13">
        <f t="shared" si="49"/>
        <v>12000</v>
      </c>
      <c r="F246" s="2"/>
      <c r="G246" s="2"/>
      <c r="H246" s="2"/>
      <c r="I246" s="13">
        <f>2500/6</f>
        <v>416.66666666666669</v>
      </c>
      <c r="J246" s="13">
        <f t="shared" si="50"/>
        <v>1666.6666666666667</v>
      </c>
      <c r="K246" s="13">
        <f t="shared" si="51"/>
        <v>10333.333333333334</v>
      </c>
      <c r="L246" s="14">
        <f t="shared" si="52"/>
        <v>0.86111111111111116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3</v>
      </c>
      <c r="B247" s="10" t="s">
        <v>17</v>
      </c>
      <c r="C247" s="11" t="s">
        <v>113</v>
      </c>
      <c r="D247" s="13">
        <v>4000</v>
      </c>
      <c r="E247" s="13">
        <f t="shared" si="49"/>
        <v>12000</v>
      </c>
      <c r="F247" s="2"/>
      <c r="G247" s="2"/>
      <c r="H247" s="2"/>
      <c r="I247" s="13">
        <v>2000</v>
      </c>
      <c r="J247" s="13">
        <f t="shared" si="50"/>
        <v>6000</v>
      </c>
      <c r="K247" s="13">
        <f t="shared" si="51"/>
        <v>6000</v>
      </c>
      <c r="L247" s="14">
        <f t="shared" si="52"/>
        <v>0.5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2</v>
      </c>
      <c r="B248" s="10" t="s">
        <v>21</v>
      </c>
      <c r="C248" s="11" t="s">
        <v>42</v>
      </c>
      <c r="D248" s="13">
        <v>4000</v>
      </c>
      <c r="E248" s="13">
        <f t="shared" si="49"/>
        <v>8000</v>
      </c>
      <c r="F248" s="2"/>
      <c r="G248" s="2"/>
      <c r="H248" s="2"/>
      <c r="I248" s="13">
        <v>1400</v>
      </c>
      <c r="J248" s="13">
        <f t="shared" si="50"/>
        <v>2800</v>
      </c>
      <c r="K248" s="13">
        <f t="shared" si="51"/>
        <v>5200</v>
      </c>
      <c r="L248" s="14">
        <f t="shared" si="52"/>
        <v>0.65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</v>
      </c>
      <c r="B249" s="10" t="s">
        <v>100</v>
      </c>
      <c r="C249" s="11" t="s">
        <v>93</v>
      </c>
      <c r="D249" s="13">
        <v>11000</v>
      </c>
      <c r="E249" s="13">
        <f t="shared" si="49"/>
        <v>11000</v>
      </c>
      <c r="F249" s="2"/>
      <c r="G249" s="2"/>
      <c r="H249" s="2"/>
      <c r="I249" s="13">
        <v>5000</v>
      </c>
      <c r="J249" s="13">
        <f t="shared" si="50"/>
        <v>5000</v>
      </c>
      <c r="K249" s="13">
        <f t="shared" si="51"/>
        <v>6000</v>
      </c>
      <c r="L249" s="14">
        <f t="shared" si="52"/>
        <v>0.54545454545454541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6</v>
      </c>
      <c r="B250" s="10" t="s">
        <v>4</v>
      </c>
      <c r="C250" s="11" t="s">
        <v>114</v>
      </c>
      <c r="D250" s="13">
        <v>3000</v>
      </c>
      <c r="E250" s="13">
        <f t="shared" si="49"/>
        <v>18000</v>
      </c>
      <c r="F250" s="2"/>
      <c r="G250" s="2"/>
      <c r="H250" s="2"/>
      <c r="I250" s="13">
        <f>14000/12</f>
        <v>1166.6666666666667</v>
      </c>
      <c r="J250" s="13">
        <f t="shared" si="50"/>
        <v>7000</v>
      </c>
      <c r="K250" s="13">
        <f t="shared" si="51"/>
        <v>11000</v>
      </c>
      <c r="L250" s="14">
        <f t="shared" si="52"/>
        <v>0.61111111111111116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"/>
      <c r="B251" s="2"/>
      <c r="C251" s="4"/>
      <c r="D251" s="2"/>
      <c r="E251" s="2"/>
      <c r="F251" s="2"/>
      <c r="G251" s="4"/>
      <c r="H251" s="2"/>
      <c r="I251" s="2"/>
      <c r="J251" s="2"/>
      <c r="K251" s="2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"/>
      <c r="B252" s="2"/>
      <c r="C252" s="4"/>
      <c r="D252" s="2"/>
      <c r="E252" s="13">
        <f>SUM(E245:E250)</f>
        <v>81000</v>
      </c>
      <c r="F252" s="2"/>
      <c r="G252" s="2"/>
      <c r="H252" s="2"/>
      <c r="I252" s="2"/>
      <c r="J252" s="2"/>
      <c r="K252" s="13">
        <f>SUM(K245:K250)</f>
        <v>43533.333333333336</v>
      </c>
      <c r="L252" s="14">
        <f>K252/E252</f>
        <v>0.53744855967078198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/>
      <c r="B253" s="10"/>
      <c r="C253" s="11"/>
      <c r="D253" s="13"/>
      <c r="E253" s="13"/>
      <c r="F253" s="13"/>
      <c r="G253" s="2"/>
      <c r="H253" s="2"/>
      <c r="I253" s="13"/>
      <c r="J253" s="13"/>
      <c r="K253" s="13"/>
      <c r="L253" s="14"/>
      <c r="M253" s="4"/>
      <c r="N253" s="2"/>
      <c r="O253" s="4"/>
      <c r="P253" s="2"/>
      <c r="Q253" s="2"/>
      <c r="R253" s="4"/>
      <c r="S253" s="2"/>
      <c r="T253" s="2"/>
      <c r="U253" s="1"/>
      <c r="V253" s="2"/>
      <c r="W253" s="2"/>
      <c r="X253" s="2"/>
      <c r="Y253" s="2"/>
      <c r="Z253" s="2"/>
    </row>
    <row r="254" spans="1:26" ht="15.75" customHeight="1" x14ac:dyDescent="0.2">
      <c r="A254" s="12"/>
      <c r="B254" s="10"/>
      <c r="C254" s="11"/>
      <c r="D254" s="13"/>
      <c r="E254" s="13"/>
      <c r="F254" s="13"/>
      <c r="G254" s="2"/>
      <c r="H254" s="2"/>
      <c r="I254" s="13"/>
      <c r="J254" s="13"/>
      <c r="K254" s="13"/>
      <c r="L254" s="14"/>
      <c r="M254" s="4"/>
      <c r="N254" s="2"/>
      <c r="O254" s="4"/>
      <c r="P254" s="2"/>
      <c r="Q254" s="2"/>
      <c r="R254" s="4"/>
      <c r="S254" s="2"/>
      <c r="T254" s="2"/>
      <c r="U254" s="1"/>
      <c r="V254" s="2"/>
      <c r="W254" s="2"/>
      <c r="X254" s="2"/>
      <c r="Y254" s="2"/>
      <c r="Z254" s="2"/>
    </row>
    <row r="255" spans="1:26" ht="15.75" customHeight="1" x14ac:dyDescent="0.2">
      <c r="A255" s="6" t="s">
        <v>174</v>
      </c>
      <c r="B255" s="25"/>
      <c r="C255" s="1"/>
      <c r="D255" s="12" t="s">
        <v>1098</v>
      </c>
      <c r="E255" s="8">
        <v>46127</v>
      </c>
      <c r="F255" s="15" t="s">
        <v>37</v>
      </c>
      <c r="G255" s="2"/>
      <c r="H255" s="2"/>
      <c r="I255" s="2"/>
      <c r="J255" s="2"/>
      <c r="K255" s="2"/>
      <c r="L255" s="3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3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6" t="s">
        <v>3</v>
      </c>
      <c r="B257" s="10" t="s">
        <v>4</v>
      </c>
      <c r="C257" s="6" t="s">
        <v>5</v>
      </c>
      <c r="D257" s="10" t="s">
        <v>6</v>
      </c>
      <c r="E257" s="10" t="s">
        <v>7</v>
      </c>
      <c r="F257" s="2"/>
      <c r="G257" s="2"/>
      <c r="H257" s="2"/>
      <c r="I257" s="10" t="s">
        <v>6</v>
      </c>
      <c r="J257" s="10" t="s">
        <v>7</v>
      </c>
      <c r="K257" s="10" t="s">
        <v>10</v>
      </c>
      <c r="L257" s="3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1</v>
      </c>
      <c r="B258" s="10" t="s">
        <v>23</v>
      </c>
      <c r="C258" s="6" t="s">
        <v>93</v>
      </c>
      <c r="D258" s="13">
        <v>12000</v>
      </c>
      <c r="E258" s="13">
        <f t="shared" ref="E258:E275" si="53">A258*D258</f>
        <v>12000</v>
      </c>
      <c r="F258" s="2"/>
      <c r="G258" s="2"/>
      <c r="H258" s="2"/>
      <c r="I258" s="13">
        <v>7000</v>
      </c>
      <c r="J258" s="13">
        <f t="shared" ref="J258:J275" si="54">I258*A258</f>
        <v>7000</v>
      </c>
      <c r="K258" s="13">
        <f t="shared" ref="K258:K275" si="55">E258-J258</f>
        <v>5000</v>
      </c>
      <c r="L258" s="14">
        <f t="shared" ref="L258:L275" si="56">K258/E258</f>
        <v>0.41666666666666669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1</v>
      </c>
      <c r="B259" s="10" t="s">
        <v>23</v>
      </c>
      <c r="C259" s="6" t="s">
        <v>39</v>
      </c>
      <c r="D259" s="13">
        <v>18000</v>
      </c>
      <c r="E259" s="13">
        <f t="shared" si="53"/>
        <v>18000</v>
      </c>
      <c r="F259" s="2"/>
      <c r="G259" s="2"/>
      <c r="H259" s="2"/>
      <c r="I259" s="13">
        <v>12000</v>
      </c>
      <c r="J259" s="13">
        <f t="shared" si="54"/>
        <v>12000</v>
      </c>
      <c r="K259" s="13">
        <f t="shared" si="55"/>
        <v>6000</v>
      </c>
      <c r="L259" s="14">
        <f t="shared" si="56"/>
        <v>0.33333333333333331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3</v>
      </c>
      <c r="B260" s="10" t="s">
        <v>23</v>
      </c>
      <c r="C260" s="6" t="s">
        <v>22</v>
      </c>
      <c r="D260" s="13">
        <v>18000</v>
      </c>
      <c r="E260" s="13">
        <f t="shared" si="53"/>
        <v>54000</v>
      </c>
      <c r="F260" s="2"/>
      <c r="G260" s="2"/>
      <c r="H260" s="2"/>
      <c r="I260" s="13">
        <v>15000</v>
      </c>
      <c r="J260" s="13">
        <f t="shared" si="54"/>
        <v>45000</v>
      </c>
      <c r="K260" s="13">
        <f t="shared" si="55"/>
        <v>9000</v>
      </c>
      <c r="L260" s="14">
        <f t="shared" si="56"/>
        <v>0.16666666666666666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3</v>
      </c>
      <c r="B261" s="10" t="s">
        <v>23</v>
      </c>
      <c r="C261" s="6" t="s">
        <v>79</v>
      </c>
      <c r="D261" s="13">
        <v>11000</v>
      </c>
      <c r="E261" s="13">
        <f t="shared" si="53"/>
        <v>33000</v>
      </c>
      <c r="F261" s="2"/>
      <c r="G261" s="2"/>
      <c r="H261" s="2"/>
      <c r="I261" s="13">
        <f>17000/3</f>
        <v>5666.666666666667</v>
      </c>
      <c r="J261" s="13">
        <f t="shared" si="54"/>
        <v>17000</v>
      </c>
      <c r="K261" s="13">
        <f t="shared" si="55"/>
        <v>16000</v>
      </c>
      <c r="L261" s="14">
        <f t="shared" si="56"/>
        <v>0.48484848484848486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2</v>
      </c>
      <c r="B262" s="10" t="s">
        <v>23</v>
      </c>
      <c r="C262" s="6" t="s">
        <v>118</v>
      </c>
      <c r="D262" s="13">
        <v>11000</v>
      </c>
      <c r="E262" s="13">
        <f t="shared" si="53"/>
        <v>22000</v>
      </c>
      <c r="F262" s="2"/>
      <c r="G262" s="2"/>
      <c r="H262" s="2"/>
      <c r="I262" s="13">
        <v>8000</v>
      </c>
      <c r="J262" s="13">
        <f t="shared" si="54"/>
        <v>16000</v>
      </c>
      <c r="K262" s="13">
        <f t="shared" si="55"/>
        <v>6000</v>
      </c>
      <c r="L262" s="14">
        <f t="shared" si="56"/>
        <v>0.27272727272727271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3</v>
      </c>
      <c r="B263" s="10" t="s">
        <v>23</v>
      </c>
      <c r="C263" s="6" t="s">
        <v>46</v>
      </c>
      <c r="D263" s="13">
        <v>12000</v>
      </c>
      <c r="E263" s="13">
        <f t="shared" si="53"/>
        <v>36000</v>
      </c>
      <c r="F263" s="2"/>
      <c r="G263" s="2"/>
      <c r="H263" s="2"/>
      <c r="I263" s="13">
        <v>9000</v>
      </c>
      <c r="J263" s="13">
        <f t="shared" si="54"/>
        <v>27000</v>
      </c>
      <c r="K263" s="13">
        <f t="shared" si="55"/>
        <v>9000</v>
      </c>
      <c r="L263" s="14">
        <f t="shared" si="56"/>
        <v>0.25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0.5</v>
      </c>
      <c r="B264" s="10" t="s">
        <v>23</v>
      </c>
      <c r="C264" s="6" t="s">
        <v>51</v>
      </c>
      <c r="D264" s="13">
        <v>13000</v>
      </c>
      <c r="E264" s="13">
        <f t="shared" si="53"/>
        <v>6500</v>
      </c>
      <c r="F264" s="2"/>
      <c r="G264" s="2"/>
      <c r="H264" s="2"/>
      <c r="I264" s="13">
        <v>10000</v>
      </c>
      <c r="J264" s="13">
        <f t="shared" si="54"/>
        <v>5000</v>
      </c>
      <c r="K264" s="13">
        <f t="shared" si="55"/>
        <v>1500</v>
      </c>
      <c r="L264" s="14">
        <f t="shared" si="56"/>
        <v>0.23076923076923078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4</v>
      </c>
      <c r="B265" s="10" t="s">
        <v>15</v>
      </c>
      <c r="C265" s="6" t="s">
        <v>77</v>
      </c>
      <c r="D265" s="13">
        <v>29000</v>
      </c>
      <c r="E265" s="13">
        <f t="shared" si="53"/>
        <v>116000</v>
      </c>
      <c r="F265" s="2"/>
      <c r="G265" s="2"/>
      <c r="H265" s="2"/>
      <c r="I265" s="13">
        <v>23000</v>
      </c>
      <c r="J265" s="13">
        <f t="shared" si="54"/>
        <v>92000</v>
      </c>
      <c r="K265" s="13">
        <f t="shared" si="55"/>
        <v>24000</v>
      </c>
      <c r="L265" s="14">
        <f t="shared" si="56"/>
        <v>0.20689655172413793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4</v>
      </c>
      <c r="B266" s="10" t="s">
        <v>21</v>
      </c>
      <c r="C266" s="6" t="s">
        <v>34</v>
      </c>
      <c r="D266" s="13">
        <v>3000</v>
      </c>
      <c r="E266" s="13">
        <f t="shared" si="53"/>
        <v>12000</v>
      </c>
      <c r="F266" s="2"/>
      <c r="G266" s="2"/>
      <c r="H266" s="2"/>
      <c r="I266" s="13">
        <v>2000</v>
      </c>
      <c r="J266" s="13">
        <f t="shared" si="54"/>
        <v>8000</v>
      </c>
      <c r="K266" s="13">
        <f t="shared" si="55"/>
        <v>4000</v>
      </c>
      <c r="L266" s="14">
        <f t="shared" si="56"/>
        <v>0.33333333333333331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4</v>
      </c>
      <c r="B267" s="10" t="s">
        <v>21</v>
      </c>
      <c r="C267" s="6" t="s">
        <v>42</v>
      </c>
      <c r="D267" s="13">
        <v>3500</v>
      </c>
      <c r="E267" s="13">
        <f t="shared" si="53"/>
        <v>14000</v>
      </c>
      <c r="F267" s="2"/>
      <c r="G267" s="2"/>
      <c r="H267" s="2"/>
      <c r="I267" s="13">
        <v>1400</v>
      </c>
      <c r="J267" s="13">
        <f t="shared" si="54"/>
        <v>5600</v>
      </c>
      <c r="K267" s="13">
        <f t="shared" si="55"/>
        <v>8400</v>
      </c>
      <c r="L267" s="14">
        <f t="shared" si="56"/>
        <v>0.6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1</v>
      </c>
      <c r="B268" s="10" t="s">
        <v>86</v>
      </c>
      <c r="C268" s="6" t="s">
        <v>55</v>
      </c>
      <c r="D268" s="13">
        <v>95000</v>
      </c>
      <c r="E268" s="13">
        <f t="shared" si="53"/>
        <v>95000</v>
      </c>
      <c r="F268" s="2"/>
      <c r="G268" s="2"/>
      <c r="H268" s="2"/>
      <c r="I268" s="13">
        <v>85000</v>
      </c>
      <c r="J268" s="13">
        <f t="shared" si="54"/>
        <v>85000</v>
      </c>
      <c r="K268" s="13">
        <f t="shared" si="55"/>
        <v>10000</v>
      </c>
      <c r="L268" s="14">
        <f t="shared" si="56"/>
        <v>0.10526315789473684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4</v>
      </c>
      <c r="B269" s="10" t="s">
        <v>15</v>
      </c>
      <c r="C269" s="6" t="s">
        <v>167</v>
      </c>
      <c r="D269" s="13">
        <v>16000</v>
      </c>
      <c r="E269" s="13">
        <f t="shared" si="53"/>
        <v>64000</v>
      </c>
      <c r="F269" s="2"/>
      <c r="G269" s="2"/>
      <c r="H269" s="2"/>
      <c r="I269" s="13">
        <v>10000</v>
      </c>
      <c r="J269" s="13">
        <f t="shared" si="54"/>
        <v>40000</v>
      </c>
      <c r="K269" s="13">
        <f t="shared" si="55"/>
        <v>24000</v>
      </c>
      <c r="L269" s="14">
        <f t="shared" si="56"/>
        <v>0.375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0.5</v>
      </c>
      <c r="B270" s="10" t="s">
        <v>23</v>
      </c>
      <c r="C270" s="6" t="s">
        <v>90</v>
      </c>
      <c r="D270" s="13">
        <v>42000</v>
      </c>
      <c r="E270" s="13">
        <f t="shared" si="53"/>
        <v>21000</v>
      </c>
      <c r="F270" s="2"/>
      <c r="G270" s="2"/>
      <c r="H270" s="2"/>
      <c r="I270" s="13">
        <v>35000</v>
      </c>
      <c r="J270" s="13">
        <f t="shared" si="54"/>
        <v>17500</v>
      </c>
      <c r="K270" s="13">
        <f t="shared" si="55"/>
        <v>3500</v>
      </c>
      <c r="L270" s="14">
        <f t="shared" si="56"/>
        <v>0.16666666666666666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1</v>
      </c>
      <c r="B271" s="10" t="s">
        <v>86</v>
      </c>
      <c r="C271" s="6" t="s">
        <v>89</v>
      </c>
      <c r="D271" s="13">
        <v>55000</v>
      </c>
      <c r="E271" s="13">
        <f t="shared" si="53"/>
        <v>55000</v>
      </c>
      <c r="F271" s="2"/>
      <c r="G271" s="2"/>
      <c r="H271" s="2"/>
      <c r="I271" s="13">
        <v>50000</v>
      </c>
      <c r="J271" s="13">
        <f t="shared" si="54"/>
        <v>50000</v>
      </c>
      <c r="K271" s="13">
        <f t="shared" si="55"/>
        <v>5000</v>
      </c>
      <c r="L271" s="14">
        <f t="shared" si="56"/>
        <v>9.0909090909090912E-2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1</v>
      </c>
      <c r="B272" s="10" t="s">
        <v>23</v>
      </c>
      <c r="C272" s="6" t="s">
        <v>1089</v>
      </c>
      <c r="D272" s="13">
        <v>28000</v>
      </c>
      <c r="E272" s="13">
        <f t="shared" si="53"/>
        <v>28000</v>
      </c>
      <c r="F272" s="2"/>
      <c r="G272" s="2"/>
      <c r="H272" s="2"/>
      <c r="I272" s="13">
        <v>18000</v>
      </c>
      <c r="J272" s="13">
        <f t="shared" si="54"/>
        <v>18000</v>
      </c>
      <c r="K272" s="13">
        <f t="shared" si="55"/>
        <v>10000</v>
      </c>
      <c r="L272" s="14">
        <f t="shared" si="56"/>
        <v>0.35714285714285715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0.5</v>
      </c>
      <c r="B273" s="10" t="s">
        <v>86</v>
      </c>
      <c r="C273" s="6" t="s">
        <v>67</v>
      </c>
      <c r="D273" s="13">
        <v>15000</v>
      </c>
      <c r="E273" s="13">
        <f t="shared" si="53"/>
        <v>7500</v>
      </c>
      <c r="F273" s="2"/>
      <c r="G273" s="2"/>
      <c r="H273" s="2"/>
      <c r="I273" s="13">
        <v>9000</v>
      </c>
      <c r="J273" s="13">
        <f t="shared" si="54"/>
        <v>4500</v>
      </c>
      <c r="K273" s="13">
        <f t="shared" si="55"/>
        <v>3000</v>
      </c>
      <c r="L273" s="14">
        <f t="shared" si="56"/>
        <v>0.4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1</v>
      </c>
      <c r="B274" s="10" t="s">
        <v>86</v>
      </c>
      <c r="C274" s="6" t="s">
        <v>88</v>
      </c>
      <c r="D274" s="13">
        <v>23000</v>
      </c>
      <c r="E274" s="13">
        <f t="shared" si="53"/>
        <v>23000</v>
      </c>
      <c r="F274" s="2"/>
      <c r="G274" s="2"/>
      <c r="H274" s="2"/>
      <c r="I274" s="13">
        <v>14000</v>
      </c>
      <c r="J274" s="13">
        <f t="shared" si="54"/>
        <v>14000</v>
      </c>
      <c r="K274" s="13">
        <f t="shared" si="55"/>
        <v>9000</v>
      </c>
      <c r="L274" s="14">
        <f t="shared" si="56"/>
        <v>0.39130434782608697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1</v>
      </c>
      <c r="B275" s="10" t="s">
        <v>86</v>
      </c>
      <c r="C275" s="6" t="s">
        <v>114</v>
      </c>
      <c r="D275" s="13">
        <v>22000</v>
      </c>
      <c r="E275" s="13">
        <f t="shared" si="53"/>
        <v>22000</v>
      </c>
      <c r="F275" s="2"/>
      <c r="G275" s="2"/>
      <c r="H275" s="2"/>
      <c r="I275" s="13">
        <v>15000</v>
      </c>
      <c r="J275" s="13">
        <f t="shared" si="54"/>
        <v>15000</v>
      </c>
      <c r="K275" s="13">
        <f t="shared" si="55"/>
        <v>7000</v>
      </c>
      <c r="L275" s="14">
        <f t="shared" si="56"/>
        <v>0.31818181818181818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2"/>
      <c r="C276" s="1"/>
      <c r="D276" s="2"/>
      <c r="E276" s="2"/>
      <c r="F276" s="2"/>
      <c r="G276" s="1"/>
      <c r="H276" s="2"/>
      <c r="I276" s="2"/>
      <c r="J276" s="2"/>
      <c r="K276" s="2"/>
      <c r="L276" s="3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"/>
      <c r="B277" s="2"/>
      <c r="C277" s="1"/>
      <c r="D277" s="2"/>
      <c r="E277" s="13">
        <f>SUM(E258:E275)</f>
        <v>639000</v>
      </c>
      <c r="F277" s="2"/>
      <c r="G277" s="2"/>
      <c r="H277" s="2"/>
      <c r="I277" s="2"/>
      <c r="J277" s="2"/>
      <c r="K277" s="13">
        <f>SUM(K258:K275)</f>
        <v>160400</v>
      </c>
      <c r="L277" s="14">
        <f>K277/E277</f>
        <v>0.25101721439749608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/>
      <c r="B278" s="10"/>
      <c r="C278" s="11"/>
      <c r="D278" s="13"/>
      <c r="E278" s="13"/>
      <c r="F278" s="13"/>
      <c r="G278" s="2"/>
      <c r="H278" s="2"/>
      <c r="I278" s="13"/>
      <c r="J278" s="13"/>
      <c r="K278" s="13"/>
      <c r="L278" s="14"/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2"/>
      <c r="B279" s="10"/>
      <c r="C279" s="11"/>
      <c r="D279" s="13"/>
      <c r="E279" s="13"/>
      <c r="F279" s="13"/>
      <c r="G279" s="2"/>
      <c r="H279" s="2"/>
      <c r="I279" s="13"/>
      <c r="J279" s="13"/>
      <c r="K279" s="13"/>
      <c r="L279" s="14"/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12"/>
      <c r="B280" s="10"/>
      <c r="C280" s="11"/>
      <c r="D280" s="13"/>
      <c r="E280" s="13"/>
      <c r="F280" s="13"/>
      <c r="G280" s="2"/>
      <c r="H280" s="2"/>
      <c r="I280" s="13"/>
      <c r="J280" s="13"/>
      <c r="K280" s="13"/>
      <c r="L280" s="14"/>
      <c r="M280" s="4"/>
      <c r="N280" s="2"/>
      <c r="O280" s="4"/>
      <c r="P280" s="2"/>
      <c r="Q280" s="2"/>
      <c r="R280" s="4"/>
      <c r="S280" s="2"/>
      <c r="T280" s="2"/>
      <c r="U280" s="1"/>
      <c r="V280" s="2"/>
      <c r="W280" s="2"/>
      <c r="X280" s="2"/>
      <c r="Y280" s="2"/>
      <c r="Z280" s="2"/>
    </row>
    <row r="281" spans="1:26" ht="15.75" customHeight="1" x14ac:dyDescent="0.2">
      <c r="A281" s="88" t="s">
        <v>160</v>
      </c>
      <c r="B281" s="89"/>
      <c r="C281" s="89"/>
      <c r="D281" s="2"/>
      <c r="E281" s="7" t="s">
        <v>1099</v>
      </c>
      <c r="F281" s="8">
        <v>46127</v>
      </c>
      <c r="G281" s="2"/>
      <c r="H281" s="2"/>
      <c r="I281" s="9" t="s">
        <v>2</v>
      </c>
      <c r="J281" s="9"/>
      <c r="K281" s="9"/>
      <c r="L281" s="3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"/>
      <c r="B282" s="2"/>
      <c r="C282" s="5"/>
      <c r="D282" s="2"/>
      <c r="E282" s="2"/>
      <c r="F282" s="8"/>
      <c r="G282" s="2"/>
      <c r="H282" s="2"/>
      <c r="I282" s="2"/>
      <c r="J282" s="2"/>
      <c r="K282" s="2"/>
      <c r="L282" s="3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6" t="s">
        <v>3</v>
      </c>
      <c r="B283" s="10" t="s">
        <v>4</v>
      </c>
      <c r="C283" s="11" t="s">
        <v>5</v>
      </c>
      <c r="D283" s="10" t="s">
        <v>6</v>
      </c>
      <c r="E283" s="10" t="s">
        <v>7</v>
      </c>
      <c r="F283" s="10" t="s">
        <v>8</v>
      </c>
      <c r="G283" s="2"/>
      <c r="H283" s="2"/>
      <c r="I283" s="10" t="s">
        <v>9</v>
      </c>
      <c r="J283" s="10" t="s">
        <v>7</v>
      </c>
      <c r="K283" s="10" t="s">
        <v>10</v>
      </c>
      <c r="L283" s="3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5</v>
      </c>
      <c r="B284" s="10" t="s">
        <v>23</v>
      </c>
      <c r="C284" s="11" t="s">
        <v>62</v>
      </c>
      <c r="D284" s="13">
        <v>38000</v>
      </c>
      <c r="E284" s="13">
        <f t="shared" ref="E284:E293" si="57">A284*D284</f>
        <v>190000</v>
      </c>
      <c r="F284" s="13">
        <f t="shared" ref="F284:F293" si="58">E284*1.105</f>
        <v>209950</v>
      </c>
      <c r="G284" s="7"/>
      <c r="H284" s="2"/>
      <c r="I284" s="13">
        <v>28000</v>
      </c>
      <c r="J284" s="13">
        <f t="shared" ref="J284:J293" si="59">I284*A284</f>
        <v>140000</v>
      </c>
      <c r="K284" s="13">
        <f t="shared" ref="K284:K293" si="60">F284-J284</f>
        <v>69950</v>
      </c>
      <c r="L284" s="14">
        <f t="shared" ref="L284:L293" si="61">IFERROR(K284/E284, 0)</f>
        <v>0.36815789473684213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5</v>
      </c>
      <c r="B285" s="10" t="s">
        <v>23</v>
      </c>
      <c r="C285" s="11" t="s">
        <v>49</v>
      </c>
      <c r="D285" s="13">
        <v>28000</v>
      </c>
      <c r="E285" s="13">
        <f t="shared" si="57"/>
        <v>140000</v>
      </c>
      <c r="F285" s="13">
        <f t="shared" si="58"/>
        <v>154700</v>
      </c>
      <c r="G285" s="7"/>
      <c r="H285" s="2"/>
      <c r="I285" s="13">
        <f>96000/5</f>
        <v>19200</v>
      </c>
      <c r="J285" s="13">
        <f t="shared" si="59"/>
        <v>96000</v>
      </c>
      <c r="K285" s="13">
        <f t="shared" si="60"/>
        <v>58700</v>
      </c>
      <c r="L285" s="14">
        <f t="shared" si="61"/>
        <v>0.41928571428571426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5</v>
      </c>
      <c r="B286" s="10" t="s">
        <v>23</v>
      </c>
      <c r="C286" s="11" t="s">
        <v>127</v>
      </c>
      <c r="D286" s="13">
        <v>27000</v>
      </c>
      <c r="E286" s="13">
        <f t="shared" si="57"/>
        <v>135000</v>
      </c>
      <c r="F286" s="13">
        <f t="shared" si="58"/>
        <v>149175</v>
      </c>
      <c r="G286" s="7"/>
      <c r="H286" s="2"/>
      <c r="I286" s="13">
        <v>14000</v>
      </c>
      <c r="J286" s="13">
        <f t="shared" si="59"/>
        <v>70000</v>
      </c>
      <c r="K286" s="13">
        <f t="shared" si="60"/>
        <v>79175</v>
      </c>
      <c r="L286" s="14">
        <f t="shared" si="61"/>
        <v>0.58648148148148149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3</v>
      </c>
      <c r="B287" s="10" t="s">
        <v>23</v>
      </c>
      <c r="C287" s="11" t="s">
        <v>67</v>
      </c>
      <c r="D287" s="13">
        <v>17000</v>
      </c>
      <c r="E287" s="13">
        <f t="shared" si="57"/>
        <v>51000</v>
      </c>
      <c r="F287" s="13">
        <f t="shared" si="58"/>
        <v>56355</v>
      </c>
      <c r="G287" s="7"/>
      <c r="H287" s="2"/>
      <c r="I287" s="13">
        <v>8000</v>
      </c>
      <c r="J287" s="13">
        <f t="shared" si="59"/>
        <v>24000</v>
      </c>
      <c r="K287" s="13">
        <f t="shared" si="60"/>
        <v>32355</v>
      </c>
      <c r="L287" s="14">
        <f t="shared" si="61"/>
        <v>0.63441176470588234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3</v>
      </c>
      <c r="B288" s="10" t="s">
        <v>23</v>
      </c>
      <c r="C288" s="11" t="s">
        <v>190</v>
      </c>
      <c r="D288" s="13">
        <v>52000</v>
      </c>
      <c r="E288" s="13">
        <f t="shared" si="57"/>
        <v>156000</v>
      </c>
      <c r="F288" s="13">
        <f t="shared" si="58"/>
        <v>172380</v>
      </c>
      <c r="G288" s="7"/>
      <c r="H288" s="2"/>
      <c r="I288" s="13">
        <v>20000</v>
      </c>
      <c r="J288" s="13">
        <f t="shared" si="59"/>
        <v>60000</v>
      </c>
      <c r="K288" s="13">
        <f t="shared" si="60"/>
        <v>112380</v>
      </c>
      <c r="L288" s="14">
        <f t="shared" si="61"/>
        <v>0.7203846153846154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2</v>
      </c>
      <c r="B289" s="10" t="s">
        <v>23</v>
      </c>
      <c r="C289" s="11" t="s">
        <v>62</v>
      </c>
      <c r="D289" s="13">
        <v>38000</v>
      </c>
      <c r="E289" s="13">
        <f t="shared" si="57"/>
        <v>76000</v>
      </c>
      <c r="F289" s="13">
        <f t="shared" si="58"/>
        <v>83980</v>
      </c>
      <c r="G289" s="7" t="s">
        <v>15</v>
      </c>
      <c r="H289" s="2"/>
      <c r="I289" s="13"/>
      <c r="J289" s="13">
        <f t="shared" si="59"/>
        <v>0</v>
      </c>
      <c r="K289" s="13">
        <f t="shared" si="60"/>
        <v>83980</v>
      </c>
      <c r="L289" s="14">
        <f t="shared" si="61"/>
        <v>1.105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1</v>
      </c>
      <c r="B290" s="10" t="s">
        <v>23</v>
      </c>
      <c r="C290" s="11" t="s">
        <v>49</v>
      </c>
      <c r="D290" s="13">
        <v>28000</v>
      </c>
      <c r="E290" s="13">
        <f t="shared" si="57"/>
        <v>28000</v>
      </c>
      <c r="F290" s="13">
        <f t="shared" si="58"/>
        <v>30940</v>
      </c>
      <c r="G290" s="7" t="s">
        <v>15</v>
      </c>
      <c r="H290" s="2"/>
      <c r="I290" s="13"/>
      <c r="J290" s="13">
        <f t="shared" si="59"/>
        <v>0</v>
      </c>
      <c r="K290" s="13">
        <f t="shared" si="60"/>
        <v>30940</v>
      </c>
      <c r="L290" s="18">
        <f t="shared" si="61"/>
        <v>1.105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1</v>
      </c>
      <c r="B291" s="10" t="s">
        <v>23</v>
      </c>
      <c r="C291" s="11" t="s">
        <v>127</v>
      </c>
      <c r="D291" s="13">
        <v>27000</v>
      </c>
      <c r="E291" s="13">
        <f t="shared" si="57"/>
        <v>27000</v>
      </c>
      <c r="F291" s="13">
        <f t="shared" si="58"/>
        <v>29835</v>
      </c>
      <c r="G291" s="7" t="s">
        <v>15</v>
      </c>
      <c r="H291" s="2"/>
      <c r="I291" s="13"/>
      <c r="J291" s="13">
        <f t="shared" si="59"/>
        <v>0</v>
      </c>
      <c r="K291" s="13">
        <f t="shared" si="60"/>
        <v>29835</v>
      </c>
      <c r="L291" s="18">
        <f t="shared" si="61"/>
        <v>1.105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1</v>
      </c>
      <c r="B292" s="10" t="s">
        <v>23</v>
      </c>
      <c r="C292" s="11" t="s">
        <v>190</v>
      </c>
      <c r="D292" s="13">
        <v>52000</v>
      </c>
      <c r="E292" s="13">
        <f t="shared" si="57"/>
        <v>52000</v>
      </c>
      <c r="F292" s="13">
        <f t="shared" si="58"/>
        <v>57460</v>
      </c>
      <c r="G292" s="7" t="s">
        <v>15</v>
      </c>
      <c r="H292" s="2"/>
      <c r="I292" s="13"/>
      <c r="J292" s="13">
        <f t="shared" si="59"/>
        <v>0</v>
      </c>
      <c r="K292" s="13">
        <f t="shared" si="60"/>
        <v>57460</v>
      </c>
      <c r="L292" s="14">
        <f t="shared" si="61"/>
        <v>1.105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1</v>
      </c>
      <c r="B293" s="10" t="s">
        <v>23</v>
      </c>
      <c r="C293" s="11" t="s">
        <v>67</v>
      </c>
      <c r="D293" s="13">
        <v>17000</v>
      </c>
      <c r="E293" s="13">
        <f t="shared" si="57"/>
        <v>17000</v>
      </c>
      <c r="F293" s="13">
        <f t="shared" si="58"/>
        <v>18785</v>
      </c>
      <c r="G293" s="7" t="s">
        <v>164</v>
      </c>
      <c r="H293" s="2"/>
      <c r="I293" s="13"/>
      <c r="J293" s="13">
        <f t="shared" si="59"/>
        <v>0</v>
      </c>
      <c r="K293" s="13">
        <f t="shared" si="60"/>
        <v>18785</v>
      </c>
      <c r="L293" s="18">
        <f t="shared" si="61"/>
        <v>1.105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"/>
      <c r="B294" s="2"/>
      <c r="C294" s="4"/>
      <c r="D294" s="2"/>
      <c r="E294" s="2"/>
      <c r="F294" s="13"/>
      <c r="G294" s="2"/>
      <c r="H294" s="2"/>
      <c r="I294" s="2"/>
      <c r="J294" s="2"/>
      <c r="K294" s="2"/>
      <c r="L294" s="3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"/>
      <c r="B295" s="2"/>
      <c r="C295" s="4"/>
      <c r="D295" s="2"/>
      <c r="E295" s="13">
        <f t="shared" ref="E295:F295" si="62">SUM(E284:E293)</f>
        <v>872000</v>
      </c>
      <c r="F295" s="13">
        <f t="shared" si="62"/>
        <v>963560</v>
      </c>
      <c r="G295" s="2"/>
      <c r="H295" s="2"/>
      <c r="I295" s="2"/>
      <c r="J295" s="2"/>
      <c r="K295" s="13">
        <f>SUM(K284:K293)</f>
        <v>573560</v>
      </c>
      <c r="L295" s="14">
        <f>K295/F295</f>
        <v>0.59525094441446302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/>
      <c r="B296" s="10"/>
      <c r="C296" s="11"/>
      <c r="D296" s="13"/>
      <c r="E296" s="13"/>
      <c r="F296" s="13"/>
      <c r="G296" s="2"/>
      <c r="H296" s="2"/>
      <c r="I296" s="13"/>
      <c r="J296" s="13"/>
      <c r="K296" s="13"/>
      <c r="L296" s="14"/>
      <c r="M296" s="4"/>
      <c r="N296" s="2"/>
      <c r="O296" s="4"/>
      <c r="P296" s="2"/>
      <c r="Q296" s="2"/>
      <c r="R296" s="4"/>
      <c r="S296" s="2"/>
      <c r="T296" s="2"/>
      <c r="U296" s="1"/>
      <c r="V296" s="2"/>
      <c r="W296" s="2"/>
      <c r="X296" s="2"/>
      <c r="Y296" s="2"/>
      <c r="Z296" s="2"/>
    </row>
    <row r="297" spans="1:26" ht="15.75" customHeight="1" x14ac:dyDescent="0.2">
      <c r="A297" s="12"/>
      <c r="B297" s="10"/>
      <c r="C297" s="11"/>
      <c r="D297" s="13"/>
      <c r="E297" s="13"/>
      <c r="F297" s="13"/>
      <c r="G297" s="2"/>
      <c r="H297" s="2"/>
      <c r="I297" s="13"/>
      <c r="J297" s="13"/>
      <c r="K297" s="13"/>
      <c r="L297" s="14"/>
      <c r="M297" s="4"/>
      <c r="N297" s="2"/>
      <c r="O297" s="4"/>
      <c r="P297" s="2"/>
      <c r="Q297" s="2"/>
      <c r="R297" s="4"/>
      <c r="S297" s="2"/>
      <c r="T297" s="2"/>
      <c r="U297" s="1"/>
      <c r="V297" s="2"/>
      <c r="W297" s="2"/>
      <c r="X297" s="2"/>
      <c r="Y297" s="2"/>
      <c r="Z297" s="2"/>
    </row>
    <row r="298" spans="1:26" ht="15.75" customHeight="1" x14ac:dyDescent="0.2">
      <c r="A298" s="12"/>
      <c r="B298" s="10"/>
      <c r="C298" s="11"/>
      <c r="D298" s="13"/>
      <c r="E298" s="13"/>
      <c r="F298" s="13"/>
      <c r="G298" s="2"/>
      <c r="H298" s="2"/>
      <c r="I298" s="13"/>
      <c r="J298" s="13"/>
      <c r="K298" s="13"/>
      <c r="L298" s="14"/>
      <c r="M298" s="4"/>
      <c r="N298" s="2"/>
      <c r="O298" s="4"/>
      <c r="P298" s="2"/>
      <c r="Q298" s="2"/>
      <c r="R298" s="4"/>
      <c r="S298" s="2"/>
      <c r="T298" s="2"/>
      <c r="U298" s="1"/>
      <c r="V298" s="2"/>
      <c r="W298" s="2"/>
      <c r="X298" s="2"/>
      <c r="Y298" s="2"/>
      <c r="Z298" s="2"/>
    </row>
    <row r="299" spans="1:26" ht="15.75" customHeight="1" x14ac:dyDescent="0.2">
      <c r="A299" s="12"/>
      <c r="B299" s="10"/>
      <c r="C299" s="11"/>
      <c r="D299" s="13"/>
      <c r="E299" s="13"/>
      <c r="F299" s="13"/>
      <c r="G299" s="2"/>
      <c r="H299" s="2"/>
      <c r="I299" s="13"/>
      <c r="J299" s="13"/>
      <c r="K299" s="13"/>
      <c r="L299" s="14"/>
      <c r="M299" s="4"/>
      <c r="N299" s="2"/>
      <c r="O299" s="4"/>
      <c r="P299" s="2"/>
      <c r="Q299" s="2"/>
      <c r="R299" s="4"/>
      <c r="S299" s="2"/>
      <c r="T299" s="2"/>
      <c r="U299" s="1"/>
      <c r="V299" s="2"/>
      <c r="W299" s="2"/>
      <c r="X299" s="2"/>
      <c r="Y299" s="2"/>
      <c r="Z299" s="2"/>
    </row>
    <row r="300" spans="1:26" ht="15.75" customHeight="1" x14ac:dyDescent="0.2">
      <c r="A300" s="12"/>
      <c r="B300" s="10"/>
      <c r="C300" s="11"/>
      <c r="D300" s="13"/>
      <c r="E300" s="13"/>
      <c r="F300" s="13"/>
      <c r="G300" s="2"/>
      <c r="H300" s="2"/>
      <c r="I300" s="13"/>
      <c r="J300" s="13"/>
      <c r="K300" s="13"/>
      <c r="L300" s="14"/>
      <c r="M300" s="4"/>
      <c r="N300" s="2"/>
      <c r="O300" s="4"/>
      <c r="P300" s="2"/>
      <c r="Q300" s="2"/>
      <c r="R300" s="4"/>
      <c r="S300" s="2"/>
      <c r="T300" s="2"/>
      <c r="U300" s="1"/>
      <c r="V300" s="2"/>
      <c r="W300" s="2"/>
      <c r="X300" s="2"/>
      <c r="Y300" s="2"/>
      <c r="Z300" s="2"/>
    </row>
    <row r="301" spans="1:26" ht="15.75" customHeight="1" x14ac:dyDescent="0.2">
      <c r="A301" s="12"/>
      <c r="B301" s="10"/>
      <c r="C301" s="11"/>
      <c r="D301" s="13"/>
      <c r="E301" s="13"/>
      <c r="F301" s="13"/>
      <c r="G301" s="2"/>
      <c r="H301" s="2"/>
      <c r="I301" s="13"/>
      <c r="J301" s="13"/>
      <c r="K301" s="13"/>
      <c r="L301" s="14"/>
      <c r="M301" s="4"/>
      <c r="N301" s="2"/>
      <c r="O301" s="4"/>
      <c r="P301" s="2"/>
      <c r="Q301" s="2"/>
      <c r="R301" s="4"/>
      <c r="S301" s="2"/>
      <c r="T301" s="2"/>
      <c r="U301" s="1"/>
      <c r="V301" s="2"/>
      <c r="W301" s="2"/>
      <c r="X301" s="2"/>
      <c r="Y301" s="2"/>
      <c r="Z301" s="2"/>
    </row>
    <row r="302" spans="1:26" ht="15.75" customHeight="1" x14ac:dyDescent="0.2">
      <c r="A302" s="12"/>
      <c r="B302" s="10"/>
      <c r="C302" s="11"/>
      <c r="D302" s="13"/>
      <c r="E302" s="13"/>
      <c r="F302" s="13"/>
      <c r="G302" s="2"/>
      <c r="H302" s="2"/>
      <c r="I302" s="13"/>
      <c r="J302" s="13"/>
      <c r="K302" s="13"/>
      <c r="L302" s="14"/>
      <c r="M302" s="4"/>
      <c r="N302" s="2"/>
      <c r="O302" s="4"/>
      <c r="P302" s="2"/>
      <c r="Q302" s="2"/>
      <c r="R302" s="4"/>
      <c r="S302" s="2"/>
      <c r="T302" s="2"/>
      <c r="U302" s="1"/>
      <c r="V302" s="2"/>
      <c r="W302" s="2"/>
      <c r="X302" s="2"/>
      <c r="Y302" s="2"/>
      <c r="Z302" s="2"/>
    </row>
    <row r="303" spans="1:26" ht="25.5" customHeight="1" x14ac:dyDescent="0.25">
      <c r="A303" s="26" t="s">
        <v>101</v>
      </c>
      <c r="B303" s="27">
        <f>F295+E277+E252+F239+E220+E191+E179+F158+F125+F110+F68+F34</f>
        <v>4630823.0750000002</v>
      </c>
      <c r="C303" s="4"/>
      <c r="D303" s="4"/>
      <c r="E303" s="4"/>
      <c r="F303" s="4"/>
      <c r="G303" s="4"/>
      <c r="H303" s="4"/>
      <c r="I303" s="4"/>
      <c r="J303" s="4"/>
      <c r="K303" s="4"/>
      <c r="L303" s="28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8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7" customHeight="1" x14ac:dyDescent="0.25">
      <c r="A305" s="26" t="s">
        <v>102</v>
      </c>
      <c r="B305" s="27">
        <f>K295+K277+K252+K239+K220+K191+K179+K158+K125+K110+K68+K34</f>
        <v>1771554.8361306344</v>
      </c>
      <c r="C305" s="4"/>
      <c r="D305" s="4"/>
      <c r="E305" s="4"/>
      <c r="F305" s="4"/>
      <c r="G305" s="4"/>
      <c r="H305" s="4"/>
      <c r="I305" s="4"/>
      <c r="J305" s="4"/>
      <c r="K305" s="4"/>
      <c r="L305" s="28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8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8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6.25" customHeight="1" x14ac:dyDescent="0.25">
      <c r="A308" s="26" t="s">
        <v>103</v>
      </c>
      <c r="B308" s="29">
        <f>B305/B303</f>
        <v>0.38255722739539866</v>
      </c>
      <c r="C308" s="4"/>
      <c r="D308" s="4"/>
      <c r="E308" s="4"/>
      <c r="F308" s="4"/>
      <c r="G308" s="4"/>
      <c r="H308" s="4"/>
      <c r="I308" s="4"/>
      <c r="J308" s="4"/>
      <c r="K308" s="4"/>
      <c r="L308" s="28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8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90" t="s">
        <v>104</v>
      </c>
      <c r="B310" s="89"/>
      <c r="C310" s="4"/>
      <c r="D310" s="4"/>
      <c r="E310" s="4"/>
      <c r="F310" s="4"/>
      <c r="G310" s="4"/>
      <c r="H310" s="4"/>
      <c r="I310" s="4"/>
      <c r="J310" s="4"/>
      <c r="K310" s="4"/>
      <c r="L310" s="2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2"/>
      <c r="B311" s="10"/>
      <c r="C311" s="11"/>
      <c r="D311" s="13"/>
      <c r="E311" s="13"/>
      <c r="F311" s="13"/>
      <c r="G311" s="2"/>
      <c r="H311" s="2"/>
      <c r="I311" s="13"/>
      <c r="J311" s="13"/>
      <c r="K311" s="13"/>
      <c r="L311" s="14"/>
      <c r="M311" s="4"/>
      <c r="N311" s="2"/>
      <c r="O311" s="4"/>
      <c r="P311" s="2"/>
      <c r="Q311" s="2"/>
      <c r="R311" s="4"/>
      <c r="S311" s="2"/>
      <c r="T311" s="2"/>
      <c r="U311" s="1"/>
      <c r="V311" s="2"/>
      <c r="W311" s="2"/>
      <c r="X311" s="2"/>
      <c r="Y311" s="2"/>
      <c r="Z311" s="2"/>
    </row>
    <row r="312" spans="1:26" ht="15.75" customHeight="1" x14ac:dyDescent="0.2">
      <c r="A312" s="12"/>
      <c r="B312" s="10"/>
      <c r="C312" s="11"/>
      <c r="D312" s="13"/>
      <c r="E312" s="13"/>
      <c r="F312" s="13"/>
      <c r="G312" s="2"/>
      <c r="H312" s="2"/>
      <c r="I312" s="13"/>
      <c r="J312" s="13"/>
      <c r="K312" s="13"/>
      <c r="L312" s="14"/>
      <c r="M312" s="4"/>
      <c r="N312" s="2"/>
      <c r="O312" s="4"/>
      <c r="P312" s="2"/>
      <c r="Q312" s="2"/>
      <c r="R312" s="4"/>
      <c r="S312" s="2"/>
      <c r="T312" s="2"/>
      <c r="U312" s="1"/>
      <c r="V312" s="2"/>
      <c r="W312" s="2"/>
      <c r="X312" s="2"/>
      <c r="Y312" s="2"/>
      <c r="Z312" s="2"/>
    </row>
    <row r="313" spans="1:26" ht="15.75" customHeight="1" x14ac:dyDescent="0.2">
      <c r="A313" s="12"/>
      <c r="B313" s="10"/>
      <c r="C313" s="11"/>
      <c r="D313" s="13"/>
      <c r="E313" s="13"/>
      <c r="F313" s="13"/>
      <c r="G313" s="2"/>
      <c r="H313" s="2"/>
      <c r="I313" s="13"/>
      <c r="J313" s="13"/>
      <c r="K313" s="13"/>
      <c r="L313" s="14"/>
      <c r="M313" s="4"/>
      <c r="N313" s="2"/>
      <c r="O313" s="4"/>
      <c r="P313" s="2"/>
      <c r="Q313" s="2"/>
      <c r="R313" s="4"/>
      <c r="S313" s="2"/>
      <c r="T313" s="2"/>
      <c r="U313" s="1"/>
      <c r="V313" s="2"/>
      <c r="W313" s="2"/>
      <c r="X313" s="2"/>
      <c r="Y313" s="2"/>
      <c r="Z313" s="2"/>
    </row>
    <row r="314" spans="1:26" ht="15.75" customHeight="1" x14ac:dyDescent="0.2">
      <c r="A314" s="12"/>
      <c r="B314" s="10"/>
      <c r="C314" s="11"/>
      <c r="D314" s="13"/>
      <c r="E314" s="13"/>
      <c r="F314" s="13"/>
      <c r="G314" s="2"/>
      <c r="H314" s="2"/>
      <c r="I314" s="13"/>
      <c r="J314" s="13"/>
      <c r="K314" s="13"/>
      <c r="L314" s="14"/>
      <c r="M314" s="4"/>
      <c r="N314" s="2"/>
      <c r="O314" s="4"/>
      <c r="P314" s="2"/>
      <c r="Q314" s="2"/>
      <c r="R314" s="4"/>
      <c r="S314" s="2"/>
      <c r="T314" s="2"/>
      <c r="U314" s="1"/>
      <c r="V314" s="2"/>
      <c r="W314" s="2"/>
      <c r="X314" s="2"/>
      <c r="Y314" s="2"/>
      <c r="Z314" s="2"/>
    </row>
    <row r="315" spans="1:26" ht="15.75" customHeight="1" x14ac:dyDescent="0.2">
      <c r="A315" s="12"/>
      <c r="B315" s="10"/>
      <c r="C315" s="11"/>
      <c r="D315" s="13"/>
      <c r="E315" s="13"/>
      <c r="F315" s="13"/>
      <c r="G315" s="2"/>
      <c r="H315" s="2"/>
      <c r="I315" s="13"/>
      <c r="J315" s="13"/>
      <c r="K315" s="13"/>
      <c r="L315" s="14"/>
      <c r="M315" s="4"/>
      <c r="N315" s="2"/>
      <c r="O315" s="4"/>
      <c r="P315" s="2"/>
      <c r="Q315" s="2"/>
      <c r="R315" s="4"/>
      <c r="S315" s="2"/>
      <c r="T315" s="2"/>
      <c r="U315" s="1"/>
      <c r="V315" s="2"/>
      <c r="W315" s="2"/>
      <c r="X315" s="2"/>
      <c r="Y315" s="2"/>
      <c r="Z315" s="2"/>
    </row>
    <row r="316" spans="1:26" ht="15.75" customHeight="1" x14ac:dyDescent="0.2">
      <c r="A316" s="12"/>
      <c r="B316" s="10"/>
      <c r="C316" s="11"/>
      <c r="D316" s="13"/>
      <c r="E316" s="13"/>
      <c r="F316" s="13"/>
      <c r="G316" s="2"/>
      <c r="H316" s="2"/>
      <c r="I316" s="13"/>
      <c r="J316" s="13"/>
      <c r="K316" s="13"/>
      <c r="L316" s="14"/>
      <c r="M316" s="4"/>
      <c r="N316" s="2"/>
      <c r="O316" s="4"/>
      <c r="P316" s="2"/>
      <c r="Q316" s="2"/>
      <c r="R316" s="4"/>
      <c r="S316" s="2"/>
      <c r="T316" s="2"/>
      <c r="U316" s="1"/>
      <c r="V316" s="2"/>
      <c r="W316" s="2"/>
      <c r="X316" s="2"/>
      <c r="Y316" s="2"/>
      <c r="Z316" s="2"/>
    </row>
    <row r="317" spans="1:26" ht="15.75" customHeight="1" x14ac:dyDescent="0.2">
      <c r="A317" s="12"/>
      <c r="B317" s="10"/>
      <c r="C317" s="11"/>
      <c r="D317" s="13"/>
      <c r="E317" s="13"/>
      <c r="F317" s="13"/>
      <c r="G317" s="2"/>
      <c r="H317" s="2"/>
      <c r="I317" s="13"/>
      <c r="J317" s="13"/>
      <c r="K317" s="13"/>
      <c r="L317" s="14"/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A318" s="12"/>
      <c r="B318" s="10"/>
      <c r="C318" s="11"/>
      <c r="D318" s="13"/>
      <c r="E318" s="13"/>
      <c r="F318" s="13"/>
      <c r="G318" s="2"/>
      <c r="H318" s="2"/>
      <c r="I318" s="13"/>
      <c r="J318" s="13"/>
      <c r="K318" s="13"/>
      <c r="L318" s="14"/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12"/>
      <c r="B319" s="10"/>
      <c r="C319" s="11"/>
      <c r="D319" s="13"/>
      <c r="E319" s="13"/>
      <c r="F319" s="13"/>
      <c r="G319" s="2"/>
      <c r="H319" s="2"/>
      <c r="I319" s="13"/>
      <c r="J319" s="13"/>
      <c r="K319" s="13"/>
      <c r="L319" s="14"/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2"/>
      <c r="B320" s="10"/>
      <c r="C320" s="11"/>
      <c r="D320" s="13"/>
      <c r="E320" s="13"/>
      <c r="F320" s="13"/>
      <c r="G320" s="2"/>
      <c r="H320" s="2"/>
      <c r="I320" s="13"/>
      <c r="J320" s="13"/>
      <c r="K320" s="13"/>
      <c r="L320" s="14"/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2"/>
      <c r="B321" s="10"/>
      <c r="C321" s="11"/>
      <c r="D321" s="13"/>
      <c r="E321" s="13"/>
      <c r="F321" s="13"/>
      <c r="G321" s="2"/>
      <c r="H321" s="2"/>
      <c r="I321" s="13"/>
      <c r="J321" s="13"/>
      <c r="K321" s="13"/>
      <c r="L321" s="14"/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2"/>
      <c r="B322" s="10"/>
      <c r="C322" s="11"/>
      <c r="D322" s="13"/>
      <c r="E322" s="13"/>
      <c r="F322" s="13"/>
      <c r="G322" s="2"/>
      <c r="H322" s="2"/>
      <c r="I322" s="13"/>
      <c r="J322" s="13"/>
      <c r="K322" s="13"/>
      <c r="L322" s="14"/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2"/>
      <c r="B323" s="10"/>
      <c r="C323" s="11"/>
      <c r="D323" s="13"/>
      <c r="E323" s="13"/>
      <c r="F323" s="13"/>
      <c r="G323" s="2"/>
      <c r="H323" s="2"/>
      <c r="I323" s="13"/>
      <c r="J323" s="13"/>
      <c r="K323" s="13"/>
      <c r="L323" s="14"/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2"/>
      <c r="B324" s="10"/>
      <c r="C324" s="11"/>
      <c r="D324" s="13"/>
      <c r="E324" s="13"/>
      <c r="F324" s="13"/>
      <c r="G324" s="2"/>
      <c r="H324" s="2"/>
      <c r="I324" s="13"/>
      <c r="J324" s="13"/>
      <c r="K324" s="13"/>
      <c r="L324" s="14"/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2"/>
      <c r="B325" s="10"/>
      <c r="C325" s="11"/>
      <c r="D325" s="13"/>
      <c r="E325" s="13"/>
      <c r="F325" s="13"/>
      <c r="G325" s="2"/>
      <c r="H325" s="2"/>
      <c r="I325" s="13"/>
      <c r="J325" s="13"/>
      <c r="K325" s="13"/>
      <c r="L325" s="14"/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2"/>
      <c r="B326" s="10"/>
      <c r="C326" s="11"/>
      <c r="D326" s="13"/>
      <c r="E326" s="13"/>
      <c r="F326" s="13"/>
      <c r="G326" s="2"/>
      <c r="H326" s="2"/>
      <c r="I326" s="13"/>
      <c r="J326" s="13"/>
      <c r="K326" s="13"/>
      <c r="L326" s="14"/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2"/>
      <c r="B327" s="10"/>
      <c r="C327" s="11"/>
      <c r="D327" s="13"/>
      <c r="E327" s="13"/>
      <c r="F327" s="13"/>
      <c r="G327" s="2"/>
      <c r="H327" s="2"/>
      <c r="I327" s="13"/>
      <c r="J327" s="13"/>
      <c r="K327" s="13"/>
      <c r="L327" s="14"/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2"/>
      <c r="B328" s="10"/>
      <c r="C328" s="11"/>
      <c r="D328" s="13"/>
      <c r="E328" s="13"/>
      <c r="F328" s="13"/>
      <c r="G328" s="2"/>
      <c r="H328" s="2"/>
      <c r="I328" s="13"/>
      <c r="J328" s="13"/>
      <c r="K328" s="13"/>
      <c r="L328" s="14"/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2"/>
      <c r="B329" s="10"/>
      <c r="C329" s="11"/>
      <c r="D329" s="13"/>
      <c r="E329" s="13"/>
      <c r="F329" s="13"/>
      <c r="G329" s="2"/>
      <c r="H329" s="2"/>
      <c r="I329" s="13"/>
      <c r="J329" s="13"/>
      <c r="K329" s="13"/>
      <c r="L329" s="14"/>
      <c r="M329" s="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2"/>
      <c r="B330" s="10"/>
      <c r="C330" s="11"/>
      <c r="D330" s="13"/>
      <c r="E330" s="13"/>
      <c r="F330" s="13"/>
      <c r="G330" s="2"/>
      <c r="H330" s="2"/>
      <c r="I330" s="13"/>
      <c r="J330" s="13"/>
      <c r="K330" s="13"/>
      <c r="L330" s="14"/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2"/>
      <c r="B331" s="10"/>
      <c r="C331" s="11"/>
      <c r="D331" s="13"/>
      <c r="E331" s="13"/>
      <c r="F331" s="13"/>
      <c r="G331" s="2"/>
      <c r="H331" s="2"/>
      <c r="I331" s="13"/>
      <c r="J331" s="13"/>
      <c r="K331" s="13"/>
      <c r="L331" s="14"/>
      <c r="M331" s="4"/>
      <c r="N331" s="2"/>
      <c r="O331" s="4"/>
      <c r="P331" s="2"/>
      <c r="Q331" s="2"/>
      <c r="R331" s="4"/>
      <c r="S331" s="2"/>
      <c r="T331" s="2"/>
      <c r="U331" s="1"/>
      <c r="V331" s="2"/>
      <c r="W331" s="2"/>
      <c r="X331" s="2"/>
      <c r="Y331" s="2"/>
      <c r="Z331" s="2"/>
    </row>
    <row r="332" spans="1:26" ht="15.75" customHeight="1" x14ac:dyDescent="0.2">
      <c r="A332" s="12"/>
      <c r="B332" s="10"/>
      <c r="C332" s="11"/>
      <c r="D332" s="13"/>
      <c r="E332" s="13"/>
      <c r="F332" s="13"/>
      <c r="G332" s="2"/>
      <c r="H332" s="2"/>
      <c r="I332" s="13"/>
      <c r="J332" s="13"/>
      <c r="K332" s="13"/>
      <c r="L332" s="14"/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12"/>
      <c r="B333" s="10"/>
      <c r="C333" s="11"/>
      <c r="D333" s="13"/>
      <c r="E333" s="13"/>
      <c r="F333" s="13"/>
      <c r="G333" s="2"/>
      <c r="H333" s="2"/>
      <c r="I333" s="13"/>
      <c r="J333" s="13"/>
      <c r="K333" s="13"/>
      <c r="L333" s="14"/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A334" s="12"/>
      <c r="B334" s="10"/>
      <c r="C334" s="11"/>
      <c r="D334" s="13"/>
      <c r="E334" s="13"/>
      <c r="F334" s="13"/>
      <c r="G334" s="2"/>
      <c r="H334" s="2"/>
      <c r="I334" s="13"/>
      <c r="J334" s="13"/>
      <c r="K334" s="13"/>
      <c r="L334" s="14"/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12"/>
      <c r="B335" s="10"/>
      <c r="C335" s="11"/>
      <c r="D335" s="13"/>
      <c r="E335" s="13"/>
      <c r="F335" s="13"/>
      <c r="G335" s="2"/>
      <c r="H335" s="2"/>
      <c r="I335" s="13"/>
      <c r="J335" s="13"/>
      <c r="K335" s="13"/>
      <c r="L335" s="14"/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2"/>
      <c r="B336" s="10"/>
      <c r="C336" s="11"/>
      <c r="D336" s="13"/>
      <c r="E336" s="13"/>
      <c r="F336" s="13"/>
      <c r="G336" s="2"/>
      <c r="H336" s="2"/>
      <c r="I336" s="13"/>
      <c r="J336" s="13"/>
      <c r="K336" s="13"/>
      <c r="L336" s="14"/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2"/>
      <c r="B337" s="10"/>
      <c r="C337" s="11"/>
      <c r="D337" s="13"/>
      <c r="E337" s="13"/>
      <c r="F337" s="13"/>
      <c r="G337" s="2"/>
      <c r="H337" s="2"/>
      <c r="I337" s="13"/>
      <c r="J337" s="13"/>
      <c r="K337" s="13"/>
      <c r="L337" s="14"/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2"/>
      <c r="B338" s="10"/>
      <c r="C338" s="11"/>
      <c r="D338" s="13"/>
      <c r="E338" s="13"/>
      <c r="F338" s="13"/>
      <c r="G338" s="2"/>
      <c r="H338" s="2"/>
      <c r="I338" s="13"/>
      <c r="J338" s="13"/>
      <c r="K338" s="13"/>
      <c r="L338" s="14"/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2"/>
      <c r="B339" s="10"/>
      <c r="C339" s="11"/>
      <c r="D339" s="13"/>
      <c r="E339" s="13"/>
      <c r="F339" s="13"/>
      <c r="G339" s="2"/>
      <c r="H339" s="2"/>
      <c r="I339" s="13"/>
      <c r="J339" s="13"/>
      <c r="K339" s="13"/>
      <c r="L339" s="14"/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2"/>
      <c r="B340" s="10"/>
      <c r="C340" s="11"/>
      <c r="D340" s="13"/>
      <c r="E340" s="13"/>
      <c r="F340" s="13"/>
      <c r="G340" s="2"/>
      <c r="H340" s="2"/>
      <c r="I340" s="13"/>
      <c r="J340" s="13"/>
      <c r="K340" s="13"/>
      <c r="L340" s="14"/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2"/>
      <c r="B341" s="10"/>
      <c r="C341" s="11"/>
      <c r="D341" s="13"/>
      <c r="E341" s="13"/>
      <c r="F341" s="13"/>
      <c r="G341" s="2"/>
      <c r="H341" s="2"/>
      <c r="I341" s="13"/>
      <c r="J341" s="13"/>
      <c r="K341" s="13"/>
      <c r="L341" s="14"/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2"/>
      <c r="B342" s="10"/>
      <c r="C342" s="11"/>
      <c r="D342" s="13"/>
      <c r="E342" s="13"/>
      <c r="F342" s="13"/>
      <c r="G342" s="2"/>
      <c r="H342" s="2"/>
      <c r="I342" s="13"/>
      <c r="J342" s="13"/>
      <c r="K342" s="13"/>
      <c r="L342" s="14"/>
      <c r="M342" s="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2"/>
      <c r="B343" s="10"/>
      <c r="C343" s="11"/>
      <c r="D343" s="13"/>
      <c r="E343" s="13"/>
      <c r="F343" s="13"/>
      <c r="G343" s="2"/>
      <c r="H343" s="2"/>
      <c r="I343" s="13"/>
      <c r="J343" s="13"/>
      <c r="K343" s="13"/>
      <c r="L343" s="14"/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2"/>
      <c r="B344" s="10"/>
      <c r="C344" s="11"/>
      <c r="D344" s="13"/>
      <c r="E344" s="13"/>
      <c r="F344" s="13"/>
      <c r="G344" s="2"/>
      <c r="H344" s="2"/>
      <c r="I344" s="13"/>
      <c r="J344" s="13"/>
      <c r="K344" s="13"/>
      <c r="L344" s="14"/>
      <c r="M344" s="4"/>
      <c r="N344" s="2"/>
      <c r="O344" s="4"/>
      <c r="P344" s="2"/>
      <c r="Q344" s="2"/>
      <c r="R344" s="4"/>
      <c r="S344" s="2"/>
      <c r="T344" s="2"/>
      <c r="U344" s="1"/>
      <c r="V344" s="2"/>
      <c r="W344" s="2"/>
      <c r="X344" s="2"/>
      <c r="Y344" s="2"/>
      <c r="Z344" s="2"/>
    </row>
    <row r="345" spans="1:26" ht="15.75" customHeight="1" x14ac:dyDescent="0.2">
      <c r="A345" s="12"/>
      <c r="B345" s="10"/>
      <c r="C345" s="11"/>
      <c r="D345" s="13"/>
      <c r="E345" s="13"/>
      <c r="F345" s="13"/>
      <c r="G345" s="2"/>
      <c r="H345" s="2"/>
      <c r="I345" s="13"/>
      <c r="J345" s="13"/>
      <c r="K345" s="13"/>
      <c r="L345" s="14"/>
      <c r="M345" s="4"/>
      <c r="N345" s="2"/>
      <c r="O345" s="4"/>
      <c r="P345" s="2"/>
      <c r="Q345" s="2"/>
      <c r="R345" s="4"/>
      <c r="S345" s="2"/>
      <c r="T345" s="2"/>
      <c r="U345" s="1"/>
      <c r="V345" s="2"/>
      <c r="W345" s="2"/>
      <c r="X345" s="2"/>
      <c r="Y345" s="2"/>
      <c r="Z345" s="2"/>
    </row>
    <row r="346" spans="1:26" ht="15.75" customHeight="1" x14ac:dyDescent="0.2">
      <c r="A346" s="12"/>
      <c r="B346" s="10"/>
      <c r="C346" s="11"/>
      <c r="D346" s="13"/>
      <c r="E346" s="13"/>
      <c r="F346" s="13"/>
      <c r="G346" s="2"/>
      <c r="H346" s="2"/>
      <c r="I346" s="13"/>
      <c r="J346" s="13"/>
      <c r="K346" s="13"/>
      <c r="L346" s="14"/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A347" s="12"/>
      <c r="B347" s="10"/>
      <c r="C347" s="11"/>
      <c r="D347" s="13"/>
      <c r="E347" s="13"/>
      <c r="F347" s="13"/>
      <c r="G347" s="2"/>
      <c r="H347" s="2"/>
      <c r="I347" s="13"/>
      <c r="J347" s="13"/>
      <c r="K347" s="13"/>
      <c r="L347" s="14"/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A348" s="12"/>
      <c r="B348" s="10"/>
      <c r="C348" s="11"/>
      <c r="D348" s="13"/>
      <c r="E348" s="13"/>
      <c r="F348" s="13"/>
      <c r="G348" s="2"/>
      <c r="H348" s="2"/>
      <c r="I348" s="13"/>
      <c r="J348" s="13"/>
      <c r="K348" s="13"/>
      <c r="L348" s="14"/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2"/>
      <c r="B349" s="10"/>
      <c r="C349" s="11"/>
      <c r="D349" s="13"/>
      <c r="E349" s="13"/>
      <c r="F349" s="13"/>
      <c r="G349" s="2"/>
      <c r="H349" s="2"/>
      <c r="I349" s="13"/>
      <c r="J349" s="13"/>
      <c r="K349" s="13"/>
      <c r="L349" s="14"/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A350" s="12"/>
      <c r="B350" s="10"/>
      <c r="C350" s="11"/>
      <c r="D350" s="13"/>
      <c r="E350" s="13"/>
      <c r="F350" s="13"/>
      <c r="G350" s="2"/>
      <c r="H350" s="2"/>
      <c r="I350" s="13"/>
      <c r="J350" s="13"/>
      <c r="K350" s="13"/>
      <c r="L350" s="14"/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2"/>
      <c r="B351" s="10"/>
      <c r="C351" s="11"/>
      <c r="D351" s="13"/>
      <c r="E351" s="13"/>
      <c r="F351" s="13"/>
      <c r="G351" s="2"/>
      <c r="H351" s="2"/>
      <c r="I351" s="13"/>
      <c r="J351" s="13"/>
      <c r="K351" s="13"/>
      <c r="L351" s="14"/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2"/>
      <c r="B352" s="10"/>
      <c r="C352" s="11"/>
      <c r="D352" s="13"/>
      <c r="E352" s="13"/>
      <c r="F352" s="13"/>
      <c r="G352" s="2"/>
      <c r="H352" s="2"/>
      <c r="I352" s="13"/>
      <c r="J352" s="13"/>
      <c r="K352" s="13"/>
      <c r="L352" s="14"/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2"/>
      <c r="B353" s="10"/>
      <c r="C353" s="11"/>
      <c r="D353" s="13"/>
      <c r="E353" s="13"/>
      <c r="F353" s="13"/>
      <c r="G353" s="2"/>
      <c r="H353" s="2"/>
      <c r="I353" s="13"/>
      <c r="J353" s="13"/>
      <c r="K353" s="13"/>
      <c r="L353" s="14"/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2"/>
      <c r="B354" s="10"/>
      <c r="C354" s="11"/>
      <c r="D354" s="13"/>
      <c r="E354" s="13"/>
      <c r="F354" s="13"/>
      <c r="G354" s="2"/>
      <c r="H354" s="2"/>
      <c r="I354" s="13"/>
      <c r="J354" s="13"/>
      <c r="K354" s="13"/>
      <c r="L354" s="14"/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2"/>
      <c r="B355" s="10"/>
      <c r="C355" s="11"/>
      <c r="D355" s="13"/>
      <c r="E355" s="13"/>
      <c r="F355" s="13"/>
      <c r="G355" s="2"/>
      <c r="H355" s="2"/>
      <c r="I355" s="13"/>
      <c r="J355" s="13"/>
      <c r="K355" s="13"/>
      <c r="L355" s="14"/>
      <c r="M355" s="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2"/>
      <c r="B356" s="10"/>
      <c r="C356" s="11"/>
      <c r="D356" s="13"/>
      <c r="E356" s="13"/>
      <c r="F356" s="13"/>
      <c r="G356" s="2"/>
      <c r="H356" s="2"/>
      <c r="I356" s="13"/>
      <c r="J356" s="13"/>
      <c r="K356" s="13"/>
      <c r="L356" s="14"/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2"/>
      <c r="B357" s="10"/>
      <c r="C357" s="11"/>
      <c r="D357" s="13"/>
      <c r="E357" s="13"/>
      <c r="F357" s="13"/>
      <c r="G357" s="2"/>
      <c r="H357" s="2"/>
      <c r="I357" s="13"/>
      <c r="J357" s="13"/>
      <c r="K357" s="13"/>
      <c r="L357" s="14"/>
      <c r="M357" s="4"/>
      <c r="N357" s="2"/>
      <c r="O357" s="4"/>
      <c r="P357" s="2"/>
      <c r="Q357" s="2"/>
      <c r="R357" s="4"/>
      <c r="S357" s="2"/>
      <c r="T357" s="2"/>
      <c r="U357" s="1"/>
      <c r="V357" s="2"/>
      <c r="W357" s="2"/>
      <c r="X357" s="2"/>
      <c r="Y357" s="2"/>
      <c r="Z357" s="2"/>
    </row>
    <row r="358" spans="1:26" ht="15.75" customHeight="1" x14ac:dyDescent="0.2">
      <c r="A358" s="12"/>
      <c r="B358" s="10"/>
      <c r="C358" s="11"/>
      <c r="D358" s="13"/>
      <c r="E358" s="13"/>
      <c r="F358" s="13"/>
      <c r="G358" s="2"/>
      <c r="H358" s="2"/>
      <c r="I358" s="13"/>
      <c r="J358" s="13"/>
      <c r="K358" s="13"/>
      <c r="L358" s="14"/>
      <c r="M358" s="4"/>
      <c r="N358" s="2"/>
      <c r="O358" s="4"/>
      <c r="P358" s="2"/>
      <c r="Q358" s="2"/>
      <c r="R358" s="4"/>
      <c r="S358" s="2"/>
      <c r="T358" s="2"/>
      <c r="U358" s="1"/>
      <c r="V358" s="2"/>
      <c r="W358" s="2"/>
      <c r="X358" s="2"/>
      <c r="Y358" s="2"/>
      <c r="Z358" s="2"/>
    </row>
    <row r="359" spans="1:26" ht="15.75" customHeight="1" x14ac:dyDescent="0.2">
      <c r="A359" s="12"/>
      <c r="B359" s="10"/>
      <c r="C359" s="11"/>
      <c r="D359" s="13"/>
      <c r="E359" s="13"/>
      <c r="F359" s="13"/>
      <c r="G359" s="2"/>
      <c r="H359" s="2"/>
      <c r="I359" s="13"/>
      <c r="J359" s="13"/>
      <c r="K359" s="13"/>
      <c r="L359" s="14"/>
      <c r="M359" s="4"/>
      <c r="N359" s="2"/>
      <c r="O359" s="4"/>
      <c r="P359" s="2"/>
      <c r="Q359" s="2"/>
      <c r="R359" s="4"/>
      <c r="S359" s="2"/>
      <c r="T359" s="2"/>
      <c r="U359" s="1"/>
      <c r="V359" s="2"/>
      <c r="W359" s="2"/>
      <c r="X359" s="2"/>
      <c r="Y359" s="2"/>
      <c r="Z359" s="2"/>
    </row>
    <row r="360" spans="1:26" ht="15.75" customHeight="1" x14ac:dyDescent="0.2">
      <c r="A360" s="12"/>
      <c r="B360" s="10"/>
      <c r="C360" s="11"/>
      <c r="D360" s="13"/>
      <c r="E360" s="13"/>
      <c r="F360" s="13"/>
      <c r="G360" s="2"/>
      <c r="H360" s="2"/>
      <c r="I360" s="13"/>
      <c r="J360" s="13"/>
      <c r="K360" s="13"/>
      <c r="L360" s="14"/>
      <c r="M360" s="4"/>
      <c r="N360" s="2"/>
      <c r="O360" s="4"/>
      <c r="P360" s="2"/>
      <c r="Q360" s="2"/>
      <c r="R360" s="4"/>
      <c r="S360" s="2"/>
      <c r="T360" s="2"/>
      <c r="U360" s="1"/>
      <c r="V360" s="2"/>
      <c r="W360" s="2"/>
      <c r="X360" s="2"/>
      <c r="Y360" s="2"/>
      <c r="Z360" s="2"/>
    </row>
    <row r="361" spans="1:26" ht="15.75" customHeight="1" x14ac:dyDescent="0.2">
      <c r="A361" s="12"/>
      <c r="B361" s="10"/>
      <c r="C361" s="11"/>
      <c r="D361" s="13"/>
      <c r="E361" s="13"/>
      <c r="F361" s="13"/>
      <c r="G361" s="2"/>
      <c r="H361" s="2"/>
      <c r="I361" s="13"/>
      <c r="J361" s="13"/>
      <c r="K361" s="13"/>
      <c r="L361" s="14"/>
      <c r="M361" s="4"/>
      <c r="N361" s="2"/>
      <c r="O361" s="4"/>
      <c r="P361" s="2"/>
      <c r="Q361" s="2"/>
      <c r="R361" s="4"/>
      <c r="S361" s="2"/>
      <c r="T361" s="2"/>
      <c r="U361" s="1"/>
      <c r="V361" s="2"/>
      <c r="W361" s="2"/>
      <c r="X361" s="2"/>
      <c r="Y361" s="2"/>
      <c r="Z361" s="2"/>
    </row>
    <row r="362" spans="1:26" ht="15.75" customHeight="1" x14ac:dyDescent="0.2">
      <c r="A362" s="12"/>
      <c r="B362" s="10"/>
      <c r="C362" s="11"/>
      <c r="D362" s="13"/>
      <c r="E362" s="13"/>
      <c r="F362" s="13"/>
      <c r="G362" s="2"/>
      <c r="H362" s="2"/>
      <c r="I362" s="13"/>
      <c r="J362" s="13"/>
      <c r="K362" s="13"/>
      <c r="L362" s="14"/>
      <c r="M362" s="4"/>
      <c r="N362" s="2"/>
      <c r="O362" s="4"/>
      <c r="P362" s="2"/>
      <c r="Q362" s="2"/>
      <c r="R362" s="4"/>
      <c r="S362" s="2"/>
      <c r="T362" s="2"/>
      <c r="U362" s="1"/>
      <c r="V362" s="2"/>
      <c r="W362" s="2"/>
      <c r="X362" s="2"/>
      <c r="Y362" s="2"/>
      <c r="Z362" s="2"/>
    </row>
    <row r="363" spans="1:26" ht="15.75" customHeight="1" x14ac:dyDescent="0.2">
      <c r="A363" s="12"/>
      <c r="B363" s="10"/>
      <c r="C363" s="11"/>
      <c r="D363" s="13"/>
      <c r="E363" s="13"/>
      <c r="F363" s="13"/>
      <c r="G363" s="2"/>
      <c r="H363" s="2"/>
      <c r="I363" s="13"/>
      <c r="J363" s="13"/>
      <c r="K363" s="13"/>
      <c r="L363" s="14"/>
      <c r="M363" s="4"/>
      <c r="N363" s="2"/>
      <c r="O363" s="4"/>
      <c r="P363" s="2"/>
      <c r="Q363" s="2"/>
      <c r="R363" s="4"/>
      <c r="S363" s="2"/>
      <c r="T363" s="2"/>
      <c r="U363" s="1"/>
      <c r="V363" s="2"/>
      <c r="W363" s="2"/>
      <c r="X363" s="2"/>
      <c r="Y363" s="2"/>
      <c r="Z363" s="2"/>
    </row>
    <row r="364" spans="1:26" ht="15.75" customHeight="1" x14ac:dyDescent="0.2">
      <c r="A364" s="12"/>
      <c r="B364" s="10"/>
      <c r="C364" s="11"/>
      <c r="D364" s="13"/>
      <c r="E364" s="13"/>
      <c r="F364" s="13"/>
      <c r="G364" s="2"/>
      <c r="H364" s="2"/>
      <c r="I364" s="13"/>
      <c r="J364" s="13"/>
      <c r="K364" s="13"/>
      <c r="L364" s="14"/>
      <c r="M364" s="4"/>
      <c r="N364" s="2"/>
      <c r="O364" s="4"/>
      <c r="P364" s="2"/>
      <c r="Q364" s="2"/>
      <c r="R364" s="4"/>
      <c r="S364" s="2"/>
      <c r="T364" s="2"/>
      <c r="U364" s="1"/>
      <c r="V364" s="2"/>
      <c r="W364" s="2"/>
      <c r="X364" s="2"/>
      <c r="Y364" s="2"/>
      <c r="Z364" s="2"/>
    </row>
    <row r="365" spans="1:26" ht="15.75" customHeight="1" x14ac:dyDescent="0.2">
      <c r="A365" s="12"/>
      <c r="B365" s="10"/>
      <c r="C365" s="11"/>
      <c r="D365" s="13"/>
      <c r="E365" s="13"/>
      <c r="F365" s="13"/>
      <c r="G365" s="2"/>
      <c r="H365" s="2"/>
      <c r="I365" s="13"/>
      <c r="J365" s="13"/>
      <c r="K365" s="13"/>
      <c r="L365" s="14"/>
      <c r="M365" s="4"/>
      <c r="N365" s="2"/>
      <c r="O365" s="4"/>
      <c r="P365" s="2"/>
      <c r="Q365" s="2"/>
      <c r="R365" s="4"/>
      <c r="S365" s="2"/>
      <c r="T365" s="2"/>
      <c r="U365" s="1"/>
      <c r="V365" s="2"/>
      <c r="W365" s="2"/>
      <c r="X365" s="2"/>
      <c r="Y365" s="2"/>
      <c r="Z365" s="2"/>
    </row>
    <row r="366" spans="1:26" ht="15.75" customHeight="1" x14ac:dyDescent="0.2">
      <c r="A366" s="12"/>
      <c r="B366" s="10"/>
      <c r="C366" s="11"/>
      <c r="D366" s="13"/>
      <c r="E366" s="13"/>
      <c r="F366" s="13"/>
      <c r="G366" s="2"/>
      <c r="H366" s="2"/>
      <c r="I366" s="13"/>
      <c r="J366" s="13"/>
      <c r="K366" s="13"/>
      <c r="L366" s="14"/>
      <c r="M366" s="4"/>
      <c r="N366" s="2"/>
      <c r="O366" s="4"/>
      <c r="P366" s="2"/>
      <c r="Q366" s="2"/>
      <c r="R366" s="4"/>
      <c r="S366" s="2"/>
      <c r="T366" s="2"/>
      <c r="U366" s="1"/>
      <c r="V366" s="2"/>
      <c r="W366" s="2"/>
      <c r="X366" s="2"/>
      <c r="Y366" s="2"/>
      <c r="Z366" s="2"/>
    </row>
    <row r="367" spans="1:26" ht="15.75" customHeight="1" x14ac:dyDescent="0.2">
      <c r="A367" s="12"/>
      <c r="B367" s="10"/>
      <c r="C367" s="11"/>
      <c r="D367" s="13"/>
      <c r="E367" s="13"/>
      <c r="F367" s="13"/>
      <c r="G367" s="2"/>
      <c r="H367" s="2"/>
      <c r="I367" s="13"/>
      <c r="J367" s="13"/>
      <c r="K367" s="13"/>
      <c r="L367" s="14"/>
      <c r="M367" s="4"/>
      <c r="N367" s="2"/>
      <c r="O367" s="4"/>
      <c r="P367" s="2"/>
      <c r="Q367" s="2"/>
      <c r="R367" s="4"/>
      <c r="S367" s="2"/>
      <c r="T367" s="2"/>
      <c r="U367" s="1"/>
      <c r="V367" s="2"/>
      <c r="W367" s="2"/>
      <c r="X367" s="2"/>
      <c r="Y367" s="2"/>
      <c r="Z367" s="2"/>
    </row>
    <row r="368" spans="1:26" ht="15.75" customHeight="1" x14ac:dyDescent="0.2">
      <c r="A368" s="12"/>
      <c r="B368" s="10"/>
      <c r="C368" s="11"/>
      <c r="D368" s="13"/>
      <c r="E368" s="13"/>
      <c r="F368" s="13"/>
      <c r="G368" s="2"/>
      <c r="H368" s="2"/>
      <c r="I368" s="13"/>
      <c r="J368" s="13"/>
      <c r="K368" s="13"/>
      <c r="L368" s="14"/>
      <c r="M368" s="4"/>
      <c r="N368" s="2"/>
      <c r="O368" s="4"/>
      <c r="P368" s="2"/>
      <c r="Q368" s="2"/>
      <c r="R368" s="4"/>
      <c r="S368" s="2"/>
      <c r="T368" s="2"/>
      <c r="U368" s="1"/>
      <c r="V368" s="2"/>
      <c r="W368" s="2"/>
      <c r="X368" s="2"/>
      <c r="Y368" s="2"/>
      <c r="Z368" s="2"/>
    </row>
    <row r="369" spans="1:26" ht="15.75" customHeight="1" x14ac:dyDescent="0.2">
      <c r="A369" s="12"/>
      <c r="B369" s="10"/>
      <c r="C369" s="11"/>
      <c r="D369" s="13"/>
      <c r="E369" s="13"/>
      <c r="F369" s="13"/>
      <c r="G369" s="2"/>
      <c r="H369" s="2"/>
      <c r="I369" s="13"/>
      <c r="J369" s="13"/>
      <c r="K369" s="13"/>
      <c r="L369" s="14"/>
      <c r="M369" s="4"/>
      <c r="N369" s="2"/>
      <c r="O369" s="4"/>
      <c r="P369" s="2"/>
      <c r="Q369" s="2"/>
      <c r="R369" s="4"/>
      <c r="S369" s="2"/>
      <c r="T369" s="2"/>
      <c r="U369" s="1"/>
      <c r="V369" s="2"/>
      <c r="W369" s="2"/>
      <c r="X369" s="2"/>
      <c r="Y369" s="2"/>
      <c r="Z369" s="2"/>
    </row>
    <row r="370" spans="1:26" ht="15.75" customHeight="1" x14ac:dyDescent="0.2">
      <c r="A370" s="12"/>
      <c r="B370" s="10"/>
      <c r="C370" s="11"/>
      <c r="D370" s="13"/>
      <c r="E370" s="13"/>
      <c r="F370" s="13"/>
      <c r="G370" s="2"/>
      <c r="H370" s="2"/>
      <c r="I370" s="13"/>
      <c r="J370" s="13"/>
      <c r="K370" s="13"/>
      <c r="L370" s="14"/>
      <c r="M370" s="4"/>
      <c r="N370" s="2"/>
      <c r="O370" s="4"/>
      <c r="P370" s="2"/>
      <c r="Q370" s="2"/>
      <c r="R370" s="4"/>
      <c r="S370" s="2"/>
      <c r="T370" s="2"/>
      <c r="U370" s="1"/>
      <c r="V370" s="2"/>
      <c r="W370" s="2"/>
      <c r="X370" s="2"/>
      <c r="Y370" s="2"/>
      <c r="Z370" s="2"/>
    </row>
    <row r="371" spans="1:26" ht="15.75" customHeight="1" x14ac:dyDescent="0.2">
      <c r="A371" s="12"/>
      <c r="B371" s="10"/>
      <c r="C371" s="11"/>
      <c r="D371" s="13"/>
      <c r="E371" s="13"/>
      <c r="F371" s="13"/>
      <c r="G371" s="2"/>
      <c r="H371" s="2"/>
      <c r="I371" s="13"/>
      <c r="J371" s="13"/>
      <c r="K371" s="13"/>
      <c r="L371" s="14"/>
      <c r="M371" s="4"/>
      <c r="N371" s="2"/>
      <c r="O371" s="4"/>
      <c r="P371" s="2"/>
      <c r="Q371" s="2"/>
      <c r="R371" s="4"/>
      <c r="S371" s="2"/>
      <c r="T371" s="2"/>
      <c r="U371" s="1"/>
      <c r="V371" s="2"/>
      <c r="W371" s="2"/>
      <c r="X371" s="2"/>
      <c r="Y371" s="2"/>
      <c r="Z371" s="2"/>
    </row>
    <row r="372" spans="1:26" ht="15.75" customHeight="1" x14ac:dyDescent="0.2">
      <c r="A372" s="12"/>
      <c r="B372" s="10"/>
      <c r="C372" s="11"/>
      <c r="D372" s="13"/>
      <c r="E372" s="13"/>
      <c r="F372" s="13"/>
      <c r="G372" s="2"/>
      <c r="H372" s="2"/>
      <c r="I372" s="13"/>
      <c r="J372" s="13"/>
      <c r="K372" s="13"/>
      <c r="L372" s="14"/>
      <c r="M372" s="4"/>
      <c r="N372" s="2"/>
      <c r="O372" s="4"/>
      <c r="P372" s="2"/>
      <c r="Q372" s="2"/>
      <c r="R372" s="4"/>
      <c r="S372" s="2"/>
      <c r="T372" s="2"/>
      <c r="U372" s="1"/>
      <c r="V372" s="2"/>
      <c r="W372" s="2"/>
      <c r="X372" s="2"/>
      <c r="Y372" s="2"/>
      <c r="Z372" s="2"/>
    </row>
    <row r="373" spans="1:26" ht="15.75" customHeight="1" x14ac:dyDescent="0.2">
      <c r="A373" s="12"/>
      <c r="B373" s="10"/>
      <c r="C373" s="11"/>
      <c r="D373" s="13"/>
      <c r="E373" s="13"/>
      <c r="F373" s="13"/>
      <c r="G373" s="2"/>
      <c r="H373" s="2"/>
      <c r="I373" s="13"/>
      <c r="J373" s="13"/>
      <c r="K373" s="13"/>
      <c r="L373" s="14"/>
      <c r="M373" s="4"/>
      <c r="N373" s="2"/>
      <c r="O373" s="4"/>
      <c r="P373" s="2"/>
      <c r="Q373" s="2"/>
      <c r="R373" s="4"/>
      <c r="S373" s="2"/>
      <c r="T373" s="2"/>
      <c r="U373" s="1"/>
      <c r="V373" s="2"/>
      <c r="W373" s="2"/>
      <c r="X373" s="2"/>
      <c r="Y373" s="2"/>
      <c r="Z373" s="2"/>
    </row>
    <row r="374" spans="1:26" ht="15.75" customHeight="1" x14ac:dyDescent="0.2">
      <c r="A374" s="12"/>
      <c r="B374" s="10"/>
      <c r="C374" s="11"/>
      <c r="D374" s="13"/>
      <c r="E374" s="13"/>
      <c r="F374" s="13"/>
      <c r="G374" s="2"/>
      <c r="H374" s="2"/>
      <c r="I374" s="13"/>
      <c r="J374" s="13"/>
      <c r="K374" s="13"/>
      <c r="L374" s="14"/>
      <c r="M374" s="4"/>
      <c r="N374" s="2"/>
      <c r="O374" s="4"/>
      <c r="P374" s="2"/>
      <c r="Q374" s="2"/>
      <c r="R374" s="4"/>
      <c r="S374" s="2"/>
      <c r="T374" s="2"/>
      <c r="U374" s="1"/>
      <c r="V374" s="2"/>
      <c r="W374" s="2"/>
      <c r="X374" s="2"/>
      <c r="Y374" s="2"/>
      <c r="Z374" s="2"/>
    </row>
    <row r="375" spans="1:26" ht="15.75" customHeight="1" x14ac:dyDescent="0.2">
      <c r="A375" s="12"/>
      <c r="B375" s="10"/>
      <c r="C375" s="11"/>
      <c r="D375" s="13"/>
      <c r="E375" s="13"/>
      <c r="F375" s="13"/>
      <c r="G375" s="2"/>
      <c r="H375" s="2"/>
      <c r="I375" s="13"/>
      <c r="J375" s="13"/>
      <c r="K375" s="13"/>
      <c r="L375" s="14"/>
      <c r="M375" s="4"/>
      <c r="N375" s="2"/>
      <c r="O375" s="4"/>
      <c r="P375" s="2"/>
      <c r="Q375" s="2"/>
      <c r="R375" s="4"/>
      <c r="S375" s="2"/>
      <c r="T375" s="2"/>
      <c r="U375" s="1"/>
      <c r="V375" s="2"/>
      <c r="W375" s="2"/>
      <c r="X375" s="2"/>
      <c r="Y375" s="2"/>
      <c r="Z375" s="2"/>
    </row>
    <row r="376" spans="1:26" ht="15.75" customHeight="1" x14ac:dyDescent="0.2">
      <c r="A376" s="12"/>
      <c r="B376" s="10"/>
      <c r="C376" s="11"/>
      <c r="D376" s="13"/>
      <c r="E376" s="13"/>
      <c r="F376" s="13"/>
      <c r="G376" s="2"/>
      <c r="H376" s="2"/>
      <c r="I376" s="13"/>
      <c r="J376" s="13"/>
      <c r="K376" s="13"/>
      <c r="L376" s="14"/>
      <c r="M376" s="4"/>
      <c r="N376" s="2"/>
      <c r="O376" s="4"/>
      <c r="P376" s="2"/>
      <c r="Q376" s="2"/>
      <c r="R376" s="4"/>
      <c r="S376" s="2"/>
      <c r="T376" s="2"/>
      <c r="U376" s="1"/>
      <c r="V376" s="2"/>
      <c r="W376" s="2"/>
      <c r="X376" s="2"/>
      <c r="Y376" s="2"/>
      <c r="Z376" s="2"/>
    </row>
    <row r="377" spans="1:26" ht="15.75" customHeight="1" x14ac:dyDescent="0.2">
      <c r="A377" s="12"/>
      <c r="B377" s="10"/>
      <c r="C377" s="11"/>
      <c r="D377" s="13"/>
      <c r="E377" s="13"/>
      <c r="F377" s="13"/>
      <c r="G377" s="2"/>
      <c r="H377" s="2"/>
      <c r="I377" s="13"/>
      <c r="J377" s="13"/>
      <c r="K377" s="13"/>
      <c r="L377" s="14"/>
      <c r="M377" s="4"/>
      <c r="N377" s="2"/>
      <c r="O377" s="4"/>
      <c r="P377" s="2"/>
      <c r="Q377" s="2"/>
      <c r="R377" s="4"/>
      <c r="S377" s="2"/>
      <c r="T377" s="2"/>
      <c r="U377" s="1"/>
      <c r="V377" s="2"/>
      <c r="W377" s="2"/>
      <c r="X377" s="2"/>
      <c r="Y377" s="2"/>
      <c r="Z377" s="2"/>
    </row>
    <row r="378" spans="1:26" ht="15.75" customHeight="1" x14ac:dyDescent="0.2">
      <c r="A378" s="12"/>
      <c r="B378" s="10"/>
      <c r="C378" s="11"/>
      <c r="D378" s="13"/>
      <c r="E378" s="13"/>
      <c r="F378" s="13"/>
      <c r="G378" s="2"/>
      <c r="H378" s="2"/>
      <c r="I378" s="13"/>
      <c r="J378" s="13"/>
      <c r="K378" s="13"/>
      <c r="L378" s="14"/>
      <c r="M378" s="4"/>
      <c r="N378" s="2"/>
      <c r="O378" s="4"/>
      <c r="P378" s="2"/>
      <c r="Q378" s="2"/>
      <c r="R378" s="4"/>
      <c r="S378" s="2"/>
      <c r="T378" s="2"/>
      <c r="U378" s="1"/>
      <c r="V378" s="2"/>
      <c r="W378" s="2"/>
      <c r="X378" s="2"/>
      <c r="Y378" s="2"/>
      <c r="Z378" s="2"/>
    </row>
    <row r="379" spans="1:26" ht="15.75" customHeight="1" x14ac:dyDescent="0.2">
      <c r="A379" s="12"/>
      <c r="B379" s="10"/>
      <c r="C379" s="11"/>
      <c r="D379" s="13"/>
      <c r="E379" s="13"/>
      <c r="F379" s="13"/>
      <c r="G379" s="2"/>
      <c r="H379" s="2"/>
      <c r="I379" s="13"/>
      <c r="J379" s="13"/>
      <c r="K379" s="13"/>
      <c r="L379" s="14"/>
      <c r="M379" s="4"/>
      <c r="N379" s="2"/>
      <c r="O379" s="4"/>
      <c r="P379" s="2"/>
      <c r="Q379" s="2"/>
      <c r="R379" s="4"/>
      <c r="S379" s="2"/>
      <c r="T379" s="2"/>
      <c r="U379" s="1"/>
      <c r="V379" s="2"/>
      <c r="W379" s="2"/>
      <c r="X379" s="2"/>
      <c r="Y379" s="2"/>
      <c r="Z379" s="2"/>
    </row>
    <row r="380" spans="1:26" ht="15.75" customHeight="1" x14ac:dyDescent="0.2">
      <c r="A380" s="12"/>
      <c r="B380" s="10"/>
      <c r="C380" s="11"/>
      <c r="D380" s="13"/>
      <c r="E380" s="13"/>
      <c r="F380" s="13"/>
      <c r="G380" s="2"/>
      <c r="H380" s="2"/>
      <c r="I380" s="13"/>
      <c r="J380" s="13"/>
      <c r="K380" s="13"/>
      <c r="L380" s="14"/>
      <c r="M380" s="4"/>
      <c r="N380" s="2"/>
      <c r="O380" s="4"/>
      <c r="P380" s="2"/>
      <c r="Q380" s="2"/>
      <c r="R380" s="4"/>
      <c r="S380" s="2"/>
      <c r="T380" s="2"/>
      <c r="U380" s="1"/>
      <c r="V380" s="2"/>
      <c r="W380" s="2"/>
      <c r="X380" s="2"/>
      <c r="Y380" s="2"/>
      <c r="Z380" s="2"/>
    </row>
    <row r="381" spans="1:26" ht="15.75" customHeight="1" x14ac:dyDescent="0.2">
      <c r="A381" s="12"/>
      <c r="B381" s="10"/>
      <c r="C381" s="11"/>
      <c r="D381" s="13"/>
      <c r="E381" s="13"/>
      <c r="F381" s="13"/>
      <c r="G381" s="2"/>
      <c r="H381" s="2"/>
      <c r="I381" s="13"/>
      <c r="J381" s="13"/>
      <c r="K381" s="13"/>
      <c r="L381" s="14"/>
      <c r="M381" s="4"/>
      <c r="N381" s="2"/>
      <c r="O381" s="4"/>
      <c r="P381" s="2"/>
      <c r="Q381" s="2"/>
      <c r="R381" s="4"/>
      <c r="S381" s="2"/>
      <c r="T381" s="2"/>
      <c r="U381" s="1"/>
      <c r="V381" s="2"/>
      <c r="W381" s="2"/>
      <c r="X381" s="2"/>
      <c r="Y381" s="2"/>
      <c r="Z381" s="2"/>
    </row>
    <row r="382" spans="1:26" ht="15.75" customHeight="1" x14ac:dyDescent="0.2">
      <c r="A382" s="12"/>
      <c r="B382" s="10"/>
      <c r="C382" s="11"/>
      <c r="D382" s="13"/>
      <c r="E382" s="13"/>
      <c r="F382" s="13"/>
      <c r="G382" s="2"/>
      <c r="H382" s="2"/>
      <c r="I382" s="13"/>
      <c r="J382" s="13"/>
      <c r="K382" s="13"/>
      <c r="L382" s="14"/>
      <c r="M382" s="4"/>
      <c r="N382" s="2"/>
      <c r="O382" s="4"/>
      <c r="P382" s="2"/>
      <c r="Q382" s="2"/>
      <c r="R382" s="4"/>
      <c r="S382" s="2"/>
      <c r="T382" s="2"/>
      <c r="U382" s="1"/>
      <c r="V382" s="2"/>
      <c r="W382" s="2"/>
      <c r="X382" s="2"/>
      <c r="Y382" s="2"/>
      <c r="Z382" s="2"/>
    </row>
    <row r="383" spans="1:26" ht="15.75" customHeight="1" x14ac:dyDescent="0.2">
      <c r="A383" s="12"/>
      <c r="B383" s="10"/>
      <c r="C383" s="11"/>
      <c r="D383" s="13"/>
      <c r="E383" s="13"/>
      <c r="F383" s="13"/>
      <c r="G383" s="2"/>
      <c r="H383" s="2"/>
      <c r="I383" s="13"/>
      <c r="J383" s="13"/>
      <c r="K383" s="13"/>
      <c r="L383" s="14"/>
      <c r="M383" s="4"/>
      <c r="N383" s="2"/>
      <c r="O383" s="4"/>
      <c r="P383" s="2"/>
      <c r="Q383" s="2"/>
      <c r="R383" s="4"/>
      <c r="S383" s="2"/>
      <c r="T383" s="2"/>
      <c r="U383" s="1"/>
      <c r="V383" s="2"/>
      <c r="W383" s="2"/>
      <c r="X383" s="2"/>
      <c r="Y383" s="2"/>
      <c r="Z383" s="2"/>
    </row>
    <row r="384" spans="1:26" ht="15.75" customHeight="1" x14ac:dyDescent="0.2">
      <c r="A384" s="12"/>
      <c r="B384" s="10"/>
      <c r="C384" s="11"/>
      <c r="D384" s="13"/>
      <c r="E384" s="13"/>
      <c r="F384" s="13"/>
      <c r="G384" s="2"/>
      <c r="H384" s="2"/>
      <c r="I384" s="13"/>
      <c r="J384" s="13"/>
      <c r="K384" s="13"/>
      <c r="L384" s="14"/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A385" s="12"/>
      <c r="B385" s="10"/>
      <c r="C385" s="11"/>
      <c r="D385" s="13"/>
      <c r="E385" s="13"/>
      <c r="F385" s="13"/>
      <c r="G385" s="2"/>
      <c r="H385" s="2"/>
      <c r="I385" s="13"/>
      <c r="J385" s="13"/>
      <c r="K385" s="13"/>
      <c r="L385" s="14"/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12"/>
      <c r="B386" s="10"/>
      <c r="C386" s="11"/>
      <c r="D386" s="13"/>
      <c r="E386" s="13"/>
      <c r="F386" s="13"/>
      <c r="G386" s="2"/>
      <c r="H386" s="2"/>
      <c r="I386" s="13"/>
      <c r="J386" s="13"/>
      <c r="K386" s="13"/>
      <c r="L386" s="14"/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A387" s="12"/>
      <c r="B387" s="10"/>
      <c r="C387" s="11"/>
      <c r="D387" s="13"/>
      <c r="E387" s="13"/>
      <c r="F387" s="13"/>
      <c r="G387" s="2"/>
      <c r="H387" s="2"/>
      <c r="I387" s="13"/>
      <c r="J387" s="13"/>
      <c r="K387" s="13"/>
      <c r="L387" s="14"/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A388" s="12"/>
      <c r="B388" s="10"/>
      <c r="C388" s="11"/>
      <c r="D388" s="13"/>
      <c r="E388" s="13"/>
      <c r="F388" s="13"/>
      <c r="G388" s="2"/>
      <c r="H388" s="2"/>
      <c r="I388" s="13"/>
      <c r="J388" s="13"/>
      <c r="K388" s="13"/>
      <c r="L388" s="14"/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A389" s="12"/>
      <c r="B389" s="10"/>
      <c r="C389" s="11"/>
      <c r="D389" s="13"/>
      <c r="E389" s="13"/>
      <c r="F389" s="13"/>
      <c r="G389" s="2"/>
      <c r="H389" s="2"/>
      <c r="I389" s="13"/>
      <c r="J389" s="13"/>
      <c r="K389" s="13"/>
      <c r="L389" s="14"/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A390" s="12"/>
      <c r="B390" s="10"/>
      <c r="C390" s="11"/>
      <c r="D390" s="13"/>
      <c r="E390" s="13"/>
      <c r="F390" s="13"/>
      <c r="G390" s="2"/>
      <c r="H390" s="2"/>
      <c r="I390" s="13"/>
      <c r="J390" s="13"/>
      <c r="K390" s="13"/>
      <c r="L390" s="14"/>
      <c r="M390" s="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2"/>
      <c r="B391" s="10"/>
      <c r="C391" s="11"/>
      <c r="D391" s="13"/>
      <c r="E391" s="13"/>
      <c r="F391" s="13"/>
      <c r="G391" s="2"/>
      <c r="H391" s="2"/>
      <c r="I391" s="13"/>
      <c r="J391" s="13"/>
      <c r="K391" s="13"/>
      <c r="L391" s="14"/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A392" s="12"/>
      <c r="B392" s="10"/>
      <c r="C392" s="11"/>
      <c r="D392" s="13"/>
      <c r="E392" s="13"/>
      <c r="F392" s="13"/>
      <c r="G392" s="2"/>
      <c r="H392" s="2"/>
      <c r="I392" s="13"/>
      <c r="J392" s="13"/>
      <c r="K392" s="13"/>
      <c r="L392" s="14"/>
      <c r="M392" s="4"/>
      <c r="N392" s="2"/>
      <c r="O392" s="4"/>
      <c r="P392" s="2"/>
      <c r="Q392" s="2"/>
      <c r="R392" s="4"/>
      <c r="S392" s="2"/>
      <c r="T392" s="2"/>
      <c r="U392" s="1"/>
      <c r="V392" s="2"/>
      <c r="W392" s="2"/>
      <c r="X392" s="2"/>
      <c r="Y392" s="2"/>
      <c r="Z392" s="2"/>
    </row>
    <row r="393" spans="1:26" ht="15.75" customHeight="1" x14ac:dyDescent="0.2">
      <c r="A393" s="12"/>
      <c r="B393" s="10"/>
      <c r="C393" s="11"/>
      <c r="D393" s="13"/>
      <c r="E393" s="13"/>
      <c r="F393" s="13"/>
      <c r="G393" s="2"/>
      <c r="H393" s="2"/>
      <c r="I393" s="13"/>
      <c r="J393" s="13"/>
      <c r="K393" s="13"/>
      <c r="L393" s="14"/>
      <c r="M393" s="4"/>
      <c r="N393" s="2"/>
      <c r="O393" s="4"/>
      <c r="P393" s="2"/>
      <c r="Q393" s="2"/>
      <c r="R393" s="4"/>
      <c r="S393" s="2"/>
      <c r="T393" s="2"/>
      <c r="U393" s="1"/>
      <c r="V393" s="2"/>
      <c r="W393" s="2"/>
      <c r="X393" s="2"/>
      <c r="Y393" s="2"/>
      <c r="Z393" s="2"/>
    </row>
    <row r="394" spans="1:26" ht="15.75" customHeight="1" x14ac:dyDescent="0.2">
      <c r="A394" s="12"/>
      <c r="B394" s="10"/>
      <c r="C394" s="11"/>
      <c r="D394" s="13"/>
      <c r="E394" s="13"/>
      <c r="F394" s="13"/>
      <c r="G394" s="2"/>
      <c r="H394" s="2"/>
      <c r="I394" s="13"/>
      <c r="J394" s="13"/>
      <c r="K394" s="13"/>
      <c r="L394" s="14"/>
      <c r="M394" s="4"/>
      <c r="N394" s="2"/>
      <c r="O394" s="4"/>
      <c r="P394" s="2"/>
      <c r="Q394" s="2"/>
      <c r="R394" s="4"/>
      <c r="S394" s="2"/>
      <c r="T394" s="2"/>
      <c r="U394" s="1"/>
      <c r="V394" s="2"/>
      <c r="W394" s="2"/>
      <c r="X394" s="2"/>
      <c r="Y394" s="2"/>
      <c r="Z394" s="2"/>
    </row>
    <row r="395" spans="1:26" ht="15.75" customHeight="1" x14ac:dyDescent="0.2">
      <c r="A395" s="12"/>
      <c r="B395" s="10"/>
      <c r="C395" s="11"/>
      <c r="D395" s="13"/>
      <c r="E395" s="13"/>
      <c r="F395" s="13"/>
      <c r="G395" s="2"/>
      <c r="H395" s="2"/>
      <c r="I395" s="13"/>
      <c r="J395" s="13"/>
      <c r="K395" s="13"/>
      <c r="L395" s="14"/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A396" s="12"/>
      <c r="B396" s="10"/>
      <c r="C396" s="11"/>
      <c r="D396" s="13"/>
      <c r="E396" s="13"/>
      <c r="F396" s="13"/>
      <c r="G396" s="2"/>
      <c r="H396" s="2"/>
      <c r="I396" s="13"/>
      <c r="J396" s="13"/>
      <c r="K396" s="13"/>
      <c r="L396" s="14"/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12"/>
      <c r="B397" s="10"/>
      <c r="C397" s="11"/>
      <c r="D397" s="13"/>
      <c r="E397" s="13"/>
      <c r="F397" s="13"/>
      <c r="G397" s="2"/>
      <c r="H397" s="2"/>
      <c r="I397" s="13"/>
      <c r="J397" s="13"/>
      <c r="K397" s="13"/>
      <c r="L397" s="14"/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2"/>
      <c r="B398" s="10"/>
      <c r="C398" s="11"/>
      <c r="D398" s="13"/>
      <c r="E398" s="13"/>
      <c r="F398" s="13"/>
      <c r="G398" s="2"/>
      <c r="H398" s="2"/>
      <c r="I398" s="13"/>
      <c r="J398" s="13"/>
      <c r="K398" s="13"/>
      <c r="L398" s="14"/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2"/>
      <c r="B399" s="10"/>
      <c r="C399" s="11"/>
      <c r="D399" s="13"/>
      <c r="E399" s="13"/>
      <c r="F399" s="13"/>
      <c r="G399" s="2"/>
      <c r="H399" s="2"/>
      <c r="I399" s="13"/>
      <c r="J399" s="13"/>
      <c r="K399" s="13"/>
      <c r="L399" s="14"/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2"/>
      <c r="B400" s="10"/>
      <c r="C400" s="11"/>
      <c r="D400" s="13"/>
      <c r="E400" s="13"/>
      <c r="F400" s="13"/>
      <c r="G400" s="2"/>
      <c r="H400" s="2"/>
      <c r="I400" s="13"/>
      <c r="J400" s="13"/>
      <c r="K400" s="13"/>
      <c r="L400" s="14"/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2"/>
      <c r="B401" s="10"/>
      <c r="C401" s="11"/>
      <c r="D401" s="13"/>
      <c r="E401" s="13"/>
      <c r="F401" s="13"/>
      <c r="G401" s="2"/>
      <c r="H401" s="2"/>
      <c r="I401" s="13"/>
      <c r="J401" s="13"/>
      <c r="K401" s="13"/>
      <c r="L401" s="14"/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A402" s="12"/>
      <c r="B402" s="10"/>
      <c r="C402" s="11"/>
      <c r="D402" s="13"/>
      <c r="E402" s="13"/>
      <c r="F402" s="13"/>
      <c r="G402" s="2"/>
      <c r="H402" s="2"/>
      <c r="I402" s="13"/>
      <c r="J402" s="13"/>
      <c r="K402" s="13"/>
      <c r="L402" s="14"/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A403" s="12"/>
      <c r="B403" s="10"/>
      <c r="C403" s="11"/>
      <c r="D403" s="13"/>
      <c r="E403" s="13"/>
      <c r="F403" s="13"/>
      <c r="G403" s="2"/>
      <c r="H403" s="2"/>
      <c r="I403" s="13"/>
      <c r="J403" s="13"/>
      <c r="K403" s="13"/>
      <c r="L403" s="14"/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A404" s="12"/>
      <c r="B404" s="10"/>
      <c r="C404" s="11"/>
      <c r="D404" s="13"/>
      <c r="E404" s="13"/>
      <c r="F404" s="13"/>
      <c r="G404" s="2"/>
      <c r="H404" s="2"/>
      <c r="I404" s="13"/>
      <c r="J404" s="13"/>
      <c r="K404" s="13"/>
      <c r="L404" s="14"/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A405" s="12"/>
      <c r="B405" s="10"/>
      <c r="C405" s="11"/>
      <c r="D405" s="13"/>
      <c r="E405" s="13"/>
      <c r="F405" s="13"/>
      <c r="G405" s="2"/>
      <c r="H405" s="2"/>
      <c r="I405" s="13"/>
      <c r="J405" s="13"/>
      <c r="K405" s="13"/>
      <c r="L405" s="14"/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2"/>
      <c r="B406" s="10"/>
      <c r="C406" s="11"/>
      <c r="D406" s="13"/>
      <c r="E406" s="13"/>
      <c r="F406" s="13"/>
      <c r="G406" s="2"/>
      <c r="H406" s="2"/>
      <c r="I406" s="13"/>
      <c r="J406" s="13"/>
      <c r="K406" s="13"/>
      <c r="L406" s="14"/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A407" s="12"/>
      <c r="B407" s="10"/>
      <c r="C407" s="11"/>
      <c r="D407" s="13"/>
      <c r="E407" s="13"/>
      <c r="F407" s="13"/>
      <c r="G407" s="2"/>
      <c r="H407" s="2"/>
      <c r="I407" s="13"/>
      <c r="J407" s="13"/>
      <c r="K407" s="13"/>
      <c r="L407" s="14"/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2"/>
      <c r="B408" s="10"/>
      <c r="C408" s="11"/>
      <c r="D408" s="13"/>
      <c r="E408" s="13"/>
      <c r="F408" s="13"/>
      <c r="G408" s="2"/>
      <c r="H408" s="2"/>
      <c r="I408" s="13"/>
      <c r="J408" s="13"/>
      <c r="K408" s="13"/>
      <c r="L408" s="14"/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2"/>
      <c r="B409" s="10"/>
      <c r="C409" s="11"/>
      <c r="D409" s="13"/>
      <c r="E409" s="13"/>
      <c r="F409" s="13"/>
      <c r="G409" s="2"/>
      <c r="H409" s="2"/>
      <c r="I409" s="13"/>
      <c r="J409" s="13"/>
      <c r="K409" s="13"/>
      <c r="L409" s="14"/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2"/>
      <c r="B410" s="10"/>
      <c r="C410" s="11"/>
      <c r="D410" s="13"/>
      <c r="E410" s="13"/>
      <c r="F410" s="13"/>
      <c r="G410" s="2"/>
      <c r="H410" s="2"/>
      <c r="I410" s="13"/>
      <c r="J410" s="13"/>
      <c r="K410" s="13"/>
      <c r="L410" s="14"/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/>
      <c r="B411" s="10"/>
      <c r="C411" s="11"/>
      <c r="D411" s="13"/>
      <c r="E411" s="13"/>
      <c r="F411" s="13"/>
      <c r="G411" s="2"/>
      <c r="H411" s="2"/>
      <c r="I411" s="13"/>
      <c r="J411" s="13"/>
      <c r="K411" s="13"/>
      <c r="L411" s="14"/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/>
      <c r="B412" s="10"/>
      <c r="C412" s="11"/>
      <c r="D412" s="13"/>
      <c r="E412" s="13"/>
      <c r="F412" s="13"/>
      <c r="G412" s="2"/>
      <c r="H412" s="2"/>
      <c r="I412" s="13"/>
      <c r="J412" s="13"/>
      <c r="K412" s="13"/>
      <c r="L412" s="14"/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/>
      <c r="B413" s="10"/>
      <c r="C413" s="11"/>
      <c r="D413" s="13"/>
      <c r="E413" s="13"/>
      <c r="F413" s="13"/>
      <c r="G413" s="2"/>
      <c r="H413" s="2"/>
      <c r="I413" s="13"/>
      <c r="J413" s="13"/>
      <c r="K413" s="13"/>
      <c r="L413" s="14"/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/>
      <c r="B414" s="10"/>
      <c r="C414" s="11"/>
      <c r="D414" s="13"/>
      <c r="E414" s="13"/>
      <c r="F414" s="13"/>
      <c r="G414" s="2"/>
      <c r="H414" s="2"/>
      <c r="I414" s="13"/>
      <c r="J414" s="13"/>
      <c r="K414" s="13"/>
      <c r="L414" s="14"/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A415" s="12"/>
      <c r="B415" s="10"/>
      <c r="C415" s="11"/>
      <c r="D415" s="13"/>
      <c r="E415" s="13"/>
      <c r="F415" s="13"/>
      <c r="G415" s="2"/>
      <c r="H415" s="2"/>
      <c r="I415" s="13"/>
      <c r="J415" s="13"/>
      <c r="K415" s="13"/>
      <c r="L415" s="14"/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A416" s="12"/>
      <c r="B416" s="10"/>
      <c r="C416" s="11"/>
      <c r="D416" s="13"/>
      <c r="E416" s="13"/>
      <c r="F416" s="13"/>
      <c r="G416" s="2"/>
      <c r="H416" s="2"/>
      <c r="I416" s="13"/>
      <c r="J416" s="13"/>
      <c r="K416" s="13"/>
      <c r="L416" s="14"/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A417" s="12"/>
      <c r="B417" s="10"/>
      <c r="C417" s="11"/>
      <c r="D417" s="13"/>
      <c r="E417" s="13"/>
      <c r="F417" s="13"/>
      <c r="G417" s="2"/>
      <c r="H417" s="2"/>
      <c r="I417" s="13"/>
      <c r="J417" s="13"/>
      <c r="K417" s="13"/>
      <c r="L417" s="14"/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A418" s="12"/>
      <c r="B418" s="10"/>
      <c r="C418" s="11"/>
      <c r="D418" s="13"/>
      <c r="E418" s="13"/>
      <c r="F418" s="13"/>
      <c r="G418" s="2"/>
      <c r="H418" s="2"/>
      <c r="I418" s="13"/>
      <c r="J418" s="13"/>
      <c r="K418" s="13"/>
      <c r="L418" s="14"/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2"/>
      <c r="B419" s="10"/>
      <c r="C419" s="11"/>
      <c r="D419" s="13"/>
      <c r="E419" s="13"/>
      <c r="F419" s="13"/>
      <c r="G419" s="2"/>
      <c r="H419" s="2"/>
      <c r="I419" s="13"/>
      <c r="J419" s="13"/>
      <c r="K419" s="13"/>
      <c r="L419" s="14"/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12"/>
      <c r="B420" s="10"/>
      <c r="C420" s="11"/>
      <c r="D420" s="13"/>
      <c r="E420" s="13"/>
      <c r="F420" s="13"/>
      <c r="G420" s="2"/>
      <c r="H420" s="2"/>
      <c r="I420" s="13"/>
      <c r="J420" s="13"/>
      <c r="K420" s="13"/>
      <c r="L420" s="14"/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/>
      <c r="B421" s="10"/>
      <c r="C421" s="11"/>
      <c r="D421" s="13"/>
      <c r="E421" s="13"/>
      <c r="F421" s="13"/>
      <c r="G421" s="2"/>
      <c r="H421" s="2"/>
      <c r="I421" s="13"/>
      <c r="J421" s="13"/>
      <c r="K421" s="13"/>
      <c r="L421" s="14"/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2"/>
      <c r="B422" s="10"/>
      <c r="C422" s="11"/>
      <c r="D422" s="13"/>
      <c r="E422" s="13"/>
      <c r="F422" s="13"/>
      <c r="G422" s="2"/>
      <c r="H422" s="2"/>
      <c r="I422" s="13"/>
      <c r="J422" s="13"/>
      <c r="K422" s="13"/>
      <c r="L422" s="14"/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2"/>
      <c r="B423" s="10"/>
      <c r="C423" s="11"/>
      <c r="D423" s="13"/>
      <c r="E423" s="13"/>
      <c r="F423" s="13"/>
      <c r="G423" s="2"/>
      <c r="H423" s="2"/>
      <c r="I423" s="13"/>
      <c r="J423" s="13"/>
      <c r="K423" s="13"/>
      <c r="L423" s="14"/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2"/>
      <c r="B424" s="10"/>
      <c r="C424" s="11"/>
      <c r="D424" s="13"/>
      <c r="E424" s="13"/>
      <c r="F424" s="13"/>
      <c r="G424" s="2"/>
      <c r="H424" s="2"/>
      <c r="I424" s="13"/>
      <c r="J424" s="13"/>
      <c r="K424" s="13"/>
      <c r="L424" s="14"/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2"/>
      <c r="B425" s="10"/>
      <c r="C425" s="11"/>
      <c r="D425" s="13"/>
      <c r="E425" s="13"/>
      <c r="F425" s="13"/>
      <c r="G425" s="2"/>
      <c r="H425" s="2"/>
      <c r="I425" s="13"/>
      <c r="J425" s="13"/>
      <c r="K425" s="13"/>
      <c r="L425" s="14"/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2"/>
      <c r="B426" s="10"/>
      <c r="C426" s="11"/>
      <c r="D426" s="13"/>
      <c r="E426" s="13"/>
      <c r="F426" s="13"/>
      <c r="G426" s="2"/>
      <c r="H426" s="2"/>
      <c r="I426" s="13"/>
      <c r="J426" s="13"/>
      <c r="K426" s="13"/>
      <c r="L426" s="14"/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2"/>
      <c r="B427" s="10"/>
      <c r="C427" s="11"/>
      <c r="D427" s="13"/>
      <c r="E427" s="13"/>
      <c r="F427" s="13"/>
      <c r="G427" s="2"/>
      <c r="H427" s="2"/>
      <c r="I427" s="13"/>
      <c r="J427" s="13"/>
      <c r="K427" s="13"/>
      <c r="L427" s="14"/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/>
      <c r="B428" s="10"/>
      <c r="C428" s="11"/>
      <c r="D428" s="13"/>
      <c r="E428" s="13"/>
      <c r="F428" s="13"/>
      <c r="G428" s="2"/>
      <c r="H428" s="2"/>
      <c r="I428" s="13"/>
      <c r="J428" s="13"/>
      <c r="K428" s="13"/>
      <c r="L428" s="14"/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/>
      <c r="B429" s="10"/>
      <c r="C429" s="11"/>
      <c r="D429" s="13"/>
      <c r="E429" s="13"/>
      <c r="F429" s="13"/>
      <c r="G429" s="2"/>
      <c r="H429" s="2"/>
      <c r="I429" s="13"/>
      <c r="J429" s="13"/>
      <c r="K429" s="13"/>
      <c r="L429" s="14"/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/>
      <c r="B430" s="10"/>
      <c r="C430" s="11"/>
      <c r="D430" s="13"/>
      <c r="E430" s="13"/>
      <c r="F430" s="13"/>
      <c r="G430" s="2"/>
      <c r="H430" s="2"/>
      <c r="I430" s="13"/>
      <c r="J430" s="13"/>
      <c r="K430" s="13"/>
      <c r="L430" s="14"/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/>
      <c r="B431" s="10"/>
      <c r="C431" s="11"/>
      <c r="D431" s="13"/>
      <c r="E431" s="13"/>
      <c r="F431" s="13"/>
      <c r="G431" s="2"/>
      <c r="H431" s="2"/>
      <c r="I431" s="13"/>
      <c r="J431" s="13"/>
      <c r="K431" s="13"/>
      <c r="L431" s="14"/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/>
      <c r="B432" s="10"/>
      <c r="C432" s="11"/>
      <c r="D432" s="13"/>
      <c r="E432" s="13"/>
      <c r="F432" s="13"/>
      <c r="G432" s="2"/>
      <c r="H432" s="2"/>
      <c r="I432" s="13"/>
      <c r="J432" s="13"/>
      <c r="K432" s="13"/>
      <c r="L432" s="14"/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/>
      <c r="B433" s="10"/>
      <c r="C433" s="11"/>
      <c r="D433" s="13"/>
      <c r="E433" s="13"/>
      <c r="F433" s="13"/>
      <c r="G433" s="2"/>
      <c r="H433" s="2"/>
      <c r="I433" s="13"/>
      <c r="J433" s="13"/>
      <c r="K433" s="13"/>
      <c r="L433" s="14"/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2"/>
      <c r="B434" s="10"/>
      <c r="C434" s="11"/>
      <c r="D434" s="13"/>
      <c r="E434" s="13"/>
      <c r="F434" s="13"/>
      <c r="G434" s="2"/>
      <c r="H434" s="2"/>
      <c r="I434" s="13"/>
      <c r="J434" s="13"/>
      <c r="K434" s="13"/>
      <c r="L434" s="14"/>
      <c r="M434" s="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2"/>
      <c r="B435" s="10"/>
      <c r="C435" s="11"/>
      <c r="D435" s="13"/>
      <c r="E435" s="13"/>
      <c r="F435" s="13"/>
      <c r="G435" s="2"/>
      <c r="H435" s="2"/>
      <c r="I435" s="13"/>
      <c r="J435" s="13"/>
      <c r="K435" s="13"/>
      <c r="L435" s="14"/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2"/>
      <c r="B436" s="10"/>
      <c r="C436" s="11"/>
      <c r="D436" s="13"/>
      <c r="E436" s="13"/>
      <c r="F436" s="13"/>
      <c r="G436" s="2"/>
      <c r="H436" s="2"/>
      <c r="I436" s="13"/>
      <c r="J436" s="13"/>
      <c r="K436" s="13"/>
      <c r="L436" s="14"/>
      <c r="M436" s="4"/>
      <c r="N436" s="2"/>
      <c r="O436" s="4"/>
      <c r="P436" s="2"/>
      <c r="Q436" s="2"/>
      <c r="R436" s="4"/>
      <c r="S436" s="2"/>
      <c r="T436" s="2"/>
      <c r="U436" s="1"/>
      <c r="V436" s="2"/>
      <c r="W436" s="2"/>
      <c r="X436" s="2"/>
      <c r="Y436" s="2"/>
      <c r="Z436" s="2"/>
    </row>
    <row r="437" spans="1:26" ht="15.75" customHeight="1" x14ac:dyDescent="0.2">
      <c r="A437" s="12"/>
      <c r="B437" s="10"/>
      <c r="C437" s="11"/>
      <c r="D437" s="13"/>
      <c r="E437" s="13"/>
      <c r="F437" s="13"/>
      <c r="G437" s="2"/>
      <c r="H437" s="2"/>
      <c r="I437" s="13"/>
      <c r="J437" s="13"/>
      <c r="K437" s="13"/>
      <c r="L437" s="14"/>
      <c r="M437" s="4"/>
      <c r="N437" s="2"/>
      <c r="O437" s="4"/>
      <c r="P437" s="2"/>
      <c r="Q437" s="2"/>
      <c r="R437" s="4"/>
      <c r="S437" s="2"/>
      <c r="T437" s="2"/>
      <c r="U437" s="1"/>
      <c r="V437" s="2"/>
      <c r="W437" s="2"/>
      <c r="X437" s="2"/>
      <c r="Y437" s="2"/>
      <c r="Z437" s="2"/>
    </row>
    <row r="438" spans="1:26" ht="15.75" customHeight="1" x14ac:dyDescent="0.2">
      <c r="A438" s="12"/>
      <c r="B438" s="10"/>
      <c r="C438" s="11"/>
      <c r="D438" s="13"/>
      <c r="E438" s="13"/>
      <c r="F438" s="13"/>
      <c r="G438" s="2"/>
      <c r="H438" s="2"/>
      <c r="I438" s="13"/>
      <c r="J438" s="13"/>
      <c r="K438" s="13"/>
      <c r="L438" s="14"/>
      <c r="M438" s="4"/>
      <c r="N438" s="2"/>
      <c r="O438" s="4"/>
      <c r="P438" s="2"/>
      <c r="Q438" s="2"/>
      <c r="R438" s="4"/>
      <c r="S438" s="2"/>
      <c r="T438" s="2"/>
      <c r="U438" s="1"/>
      <c r="V438" s="2"/>
      <c r="W438" s="2"/>
      <c r="X438" s="2"/>
      <c r="Y438" s="2"/>
      <c r="Z438" s="2"/>
    </row>
    <row r="439" spans="1:26" ht="15.75" customHeight="1" x14ac:dyDescent="0.2">
      <c r="A439" s="12"/>
      <c r="B439" s="10"/>
      <c r="C439" s="11"/>
      <c r="D439" s="13"/>
      <c r="E439" s="13"/>
      <c r="F439" s="13"/>
      <c r="G439" s="2"/>
      <c r="H439" s="2"/>
      <c r="I439" s="13"/>
      <c r="J439" s="13"/>
      <c r="K439" s="13"/>
      <c r="L439" s="14"/>
      <c r="M439" s="4"/>
      <c r="N439" s="2"/>
      <c r="O439" s="4"/>
      <c r="P439" s="2"/>
      <c r="Q439" s="2"/>
      <c r="R439" s="4"/>
      <c r="S439" s="2"/>
      <c r="T439" s="2"/>
      <c r="U439" s="1"/>
      <c r="V439" s="2"/>
      <c r="W439" s="2"/>
      <c r="X439" s="2"/>
      <c r="Y439" s="2"/>
      <c r="Z439" s="2"/>
    </row>
    <row r="440" spans="1:26" ht="15.75" customHeight="1" x14ac:dyDescent="0.2">
      <c r="A440" s="12"/>
      <c r="B440" s="10"/>
      <c r="C440" s="11"/>
      <c r="D440" s="13"/>
      <c r="E440" s="13"/>
      <c r="F440" s="13"/>
      <c r="G440" s="2"/>
      <c r="H440" s="2"/>
      <c r="I440" s="13"/>
      <c r="J440" s="13"/>
      <c r="K440" s="13"/>
      <c r="L440" s="14"/>
      <c r="M440" s="4"/>
      <c r="N440" s="2"/>
      <c r="O440" s="4"/>
      <c r="P440" s="2"/>
      <c r="Q440" s="2"/>
      <c r="R440" s="4"/>
      <c r="S440" s="2"/>
      <c r="T440" s="2"/>
      <c r="U440" s="1"/>
      <c r="V440" s="2"/>
      <c r="W440" s="2"/>
      <c r="X440" s="2"/>
      <c r="Y440" s="2"/>
      <c r="Z440" s="2"/>
    </row>
    <row r="441" spans="1:26" ht="15.75" customHeight="1" x14ac:dyDescent="0.2">
      <c r="A441" s="12"/>
      <c r="B441" s="10"/>
      <c r="C441" s="11"/>
      <c r="D441" s="13"/>
      <c r="E441" s="13"/>
      <c r="F441" s="13"/>
      <c r="G441" s="2"/>
      <c r="H441" s="2"/>
      <c r="I441" s="13"/>
      <c r="J441" s="13"/>
      <c r="K441" s="13"/>
      <c r="L441" s="14"/>
      <c r="M441" s="4"/>
      <c r="N441" s="2"/>
      <c r="O441" s="4"/>
      <c r="P441" s="2"/>
      <c r="Q441" s="2"/>
      <c r="R441" s="4"/>
      <c r="S441" s="2"/>
      <c r="T441" s="2"/>
      <c r="U441" s="1"/>
      <c r="V441" s="2"/>
      <c r="W441" s="2"/>
      <c r="X441" s="2"/>
      <c r="Y441" s="2"/>
      <c r="Z441" s="2"/>
    </row>
    <row r="442" spans="1:26" ht="15.75" customHeight="1" x14ac:dyDescent="0.2">
      <c r="A442" s="12"/>
      <c r="B442" s="10"/>
      <c r="C442" s="11"/>
      <c r="D442" s="13"/>
      <c r="E442" s="13"/>
      <c r="F442" s="13"/>
      <c r="G442" s="2"/>
      <c r="H442" s="2"/>
      <c r="I442" s="13"/>
      <c r="J442" s="13"/>
      <c r="K442" s="13"/>
      <c r="L442" s="14"/>
      <c r="M442" s="4"/>
      <c r="N442" s="2"/>
      <c r="O442" s="4"/>
      <c r="P442" s="2"/>
      <c r="Q442" s="2"/>
      <c r="R442" s="4"/>
      <c r="S442" s="2"/>
      <c r="T442" s="2"/>
      <c r="U442" s="1"/>
      <c r="V442" s="2"/>
      <c r="W442" s="2"/>
      <c r="X442" s="2"/>
      <c r="Y442" s="2"/>
      <c r="Z442" s="2"/>
    </row>
    <row r="443" spans="1:26" ht="15.75" customHeight="1" x14ac:dyDescent="0.2">
      <c r="A443" s="12"/>
      <c r="B443" s="10"/>
      <c r="C443" s="11"/>
      <c r="D443" s="13"/>
      <c r="E443" s="13"/>
      <c r="F443" s="13"/>
      <c r="G443" s="2"/>
      <c r="H443" s="2"/>
      <c r="I443" s="13"/>
      <c r="J443" s="13"/>
      <c r="K443" s="13"/>
      <c r="L443" s="14"/>
      <c r="M443" s="4"/>
      <c r="N443" s="2"/>
      <c r="O443" s="4"/>
      <c r="P443" s="2"/>
      <c r="Q443" s="2"/>
      <c r="R443" s="4"/>
      <c r="S443" s="2"/>
      <c r="T443" s="2"/>
      <c r="U443" s="1"/>
      <c r="V443" s="2"/>
      <c r="W443" s="2"/>
      <c r="X443" s="2"/>
      <c r="Y443" s="2"/>
      <c r="Z443" s="2"/>
    </row>
    <row r="444" spans="1:26" ht="15.75" customHeight="1" x14ac:dyDescent="0.2">
      <c r="A444" s="12"/>
      <c r="B444" s="10"/>
      <c r="C444" s="11"/>
      <c r="D444" s="13"/>
      <c r="E444" s="13"/>
      <c r="F444" s="13"/>
      <c r="G444" s="2"/>
      <c r="H444" s="2"/>
      <c r="I444" s="13"/>
      <c r="J444" s="13"/>
      <c r="K444" s="13"/>
      <c r="L444" s="14"/>
      <c r="M444" s="4"/>
      <c r="N444" s="2"/>
      <c r="O444" s="4"/>
      <c r="P444" s="2"/>
      <c r="Q444" s="2"/>
      <c r="R444" s="4"/>
      <c r="S444" s="2"/>
      <c r="T444" s="2"/>
      <c r="U444" s="1"/>
      <c r="V444" s="2"/>
      <c r="W444" s="2"/>
      <c r="X444" s="2"/>
      <c r="Y444" s="2"/>
      <c r="Z444" s="2"/>
    </row>
    <row r="445" spans="1:26" ht="15.75" customHeight="1" x14ac:dyDescent="0.2">
      <c r="A445" s="12"/>
      <c r="B445" s="10"/>
      <c r="C445" s="11"/>
      <c r="D445" s="13"/>
      <c r="E445" s="13"/>
      <c r="F445" s="13"/>
      <c r="G445" s="2"/>
      <c r="H445" s="2"/>
      <c r="I445" s="13"/>
      <c r="J445" s="13"/>
      <c r="K445" s="13"/>
      <c r="L445" s="14"/>
      <c r="M445" s="4"/>
      <c r="N445" s="2"/>
      <c r="O445" s="4"/>
      <c r="P445" s="2"/>
      <c r="Q445" s="2"/>
      <c r="R445" s="4"/>
      <c r="S445" s="2"/>
      <c r="T445" s="2"/>
      <c r="U445" s="1"/>
      <c r="V445" s="2"/>
      <c r="W445" s="2"/>
      <c r="X445" s="2"/>
      <c r="Y445" s="2"/>
      <c r="Z445" s="2"/>
    </row>
    <row r="446" spans="1:26" ht="15.75" customHeight="1" x14ac:dyDescent="0.2">
      <c r="A446" s="12"/>
      <c r="B446" s="10"/>
      <c r="C446" s="11"/>
      <c r="D446" s="13"/>
      <c r="E446" s="13"/>
      <c r="F446" s="13"/>
      <c r="G446" s="2"/>
      <c r="H446" s="2"/>
      <c r="I446" s="13"/>
      <c r="J446" s="13"/>
      <c r="K446" s="13"/>
      <c r="L446" s="14"/>
      <c r="M446" s="4"/>
      <c r="N446" s="2"/>
      <c r="O446" s="4"/>
      <c r="P446" s="2"/>
      <c r="Q446" s="2"/>
      <c r="R446" s="4"/>
      <c r="S446" s="2"/>
      <c r="T446" s="2"/>
      <c r="U446" s="1"/>
      <c r="V446" s="2"/>
      <c r="W446" s="2"/>
      <c r="X446" s="2"/>
      <c r="Y446" s="2"/>
      <c r="Z446" s="2"/>
    </row>
    <row r="447" spans="1:26" ht="15.75" customHeight="1" x14ac:dyDescent="0.2">
      <c r="A447" s="12"/>
      <c r="B447" s="10"/>
      <c r="C447" s="11"/>
      <c r="D447" s="13"/>
      <c r="E447" s="13"/>
      <c r="F447" s="13"/>
      <c r="G447" s="2"/>
      <c r="H447" s="2"/>
      <c r="I447" s="13"/>
      <c r="J447" s="13"/>
      <c r="K447" s="13"/>
      <c r="L447" s="14"/>
      <c r="M447" s="4"/>
      <c r="N447" s="2"/>
      <c r="O447" s="4"/>
      <c r="P447" s="2"/>
      <c r="Q447" s="2"/>
      <c r="R447" s="4"/>
      <c r="S447" s="2"/>
      <c r="T447" s="2"/>
      <c r="U447" s="1"/>
      <c r="V447" s="2"/>
      <c r="W447" s="2"/>
      <c r="X447" s="2"/>
      <c r="Y447" s="2"/>
      <c r="Z447" s="2"/>
    </row>
    <row r="448" spans="1:26" ht="15.75" customHeight="1" x14ac:dyDescent="0.2">
      <c r="A448" s="12"/>
      <c r="B448" s="10"/>
      <c r="C448" s="11"/>
      <c r="D448" s="13"/>
      <c r="E448" s="13"/>
      <c r="F448" s="13"/>
      <c r="G448" s="2"/>
      <c r="H448" s="2"/>
      <c r="I448" s="13"/>
      <c r="J448" s="13"/>
      <c r="K448" s="13"/>
      <c r="L448" s="14"/>
      <c r="M448" s="4"/>
      <c r="N448" s="2"/>
      <c r="O448" s="4"/>
      <c r="P448" s="2"/>
      <c r="Q448" s="2"/>
      <c r="R448" s="4"/>
      <c r="S448" s="2"/>
      <c r="T448" s="2"/>
      <c r="U448" s="1"/>
      <c r="V448" s="2"/>
      <c r="W448" s="2"/>
      <c r="X448" s="2"/>
      <c r="Y448" s="2"/>
      <c r="Z448" s="2"/>
    </row>
    <row r="449" spans="1:26" ht="15.75" customHeight="1" x14ac:dyDescent="0.2">
      <c r="A449" s="12"/>
      <c r="B449" s="10"/>
      <c r="C449" s="11"/>
      <c r="D449" s="13"/>
      <c r="E449" s="13"/>
      <c r="F449" s="13"/>
      <c r="G449" s="2"/>
      <c r="H449" s="2"/>
      <c r="I449" s="13"/>
      <c r="J449" s="13"/>
      <c r="K449" s="13"/>
      <c r="L449" s="14"/>
      <c r="M449" s="4"/>
      <c r="N449" s="2"/>
      <c r="O449" s="4"/>
      <c r="P449" s="2"/>
      <c r="Q449" s="2"/>
      <c r="R449" s="4"/>
      <c r="S449" s="2"/>
      <c r="T449" s="2"/>
      <c r="U449" s="1"/>
      <c r="V449" s="2"/>
      <c r="W449" s="2"/>
      <c r="X449" s="2"/>
      <c r="Y449" s="2"/>
      <c r="Z449" s="2"/>
    </row>
    <row r="450" spans="1:26" ht="15.75" customHeight="1" x14ac:dyDescent="0.2">
      <c r="A450" s="12"/>
      <c r="B450" s="10"/>
      <c r="C450" s="11"/>
      <c r="D450" s="13"/>
      <c r="E450" s="13"/>
      <c r="F450" s="13"/>
      <c r="G450" s="2"/>
      <c r="H450" s="2"/>
      <c r="I450" s="13"/>
      <c r="J450" s="13"/>
      <c r="K450" s="13"/>
      <c r="L450" s="14"/>
      <c r="M450" s="4"/>
      <c r="N450" s="2"/>
      <c r="O450" s="4"/>
      <c r="P450" s="2"/>
      <c r="Q450" s="2"/>
      <c r="R450" s="4"/>
      <c r="S450" s="2"/>
      <c r="T450" s="2"/>
      <c r="U450" s="1"/>
      <c r="V450" s="2"/>
      <c r="W450" s="2"/>
      <c r="X450" s="2"/>
      <c r="Y450" s="2"/>
      <c r="Z450" s="2"/>
    </row>
    <row r="451" spans="1:26" ht="15.75" customHeight="1" x14ac:dyDescent="0.2">
      <c r="A451" s="12"/>
      <c r="B451" s="10"/>
      <c r="C451" s="11"/>
      <c r="D451" s="13"/>
      <c r="E451" s="13"/>
      <c r="F451" s="13"/>
      <c r="G451" s="2"/>
      <c r="H451" s="2"/>
      <c r="I451" s="13"/>
      <c r="J451" s="13"/>
      <c r="K451" s="13"/>
      <c r="L451" s="1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A452" s="12"/>
      <c r="B452" s="10"/>
      <c r="C452" s="11"/>
      <c r="D452" s="13"/>
      <c r="E452" s="13"/>
      <c r="F452" s="13"/>
      <c r="G452" s="2"/>
      <c r="H452" s="2"/>
      <c r="I452" s="13"/>
      <c r="J452" s="13"/>
      <c r="K452" s="13"/>
      <c r="L452" s="14"/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12"/>
      <c r="B453" s="10"/>
      <c r="C453" s="11"/>
      <c r="D453" s="13"/>
      <c r="E453" s="13"/>
      <c r="F453" s="13"/>
      <c r="G453" s="2"/>
      <c r="H453" s="2"/>
      <c r="I453" s="13"/>
      <c r="J453" s="13"/>
      <c r="K453" s="13"/>
      <c r="L453" s="14"/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2"/>
      <c r="B454" s="10"/>
      <c r="C454" s="11"/>
      <c r="D454" s="13"/>
      <c r="E454" s="13"/>
      <c r="F454" s="13"/>
      <c r="G454" s="2"/>
      <c r="H454" s="2"/>
      <c r="I454" s="13"/>
      <c r="J454" s="13"/>
      <c r="K454" s="13"/>
      <c r="L454" s="14"/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2"/>
      <c r="B455" s="10"/>
      <c r="C455" s="11"/>
      <c r="D455" s="13"/>
      <c r="E455" s="13"/>
      <c r="F455" s="13"/>
      <c r="G455" s="2"/>
      <c r="H455" s="2"/>
      <c r="I455" s="13"/>
      <c r="J455" s="13"/>
      <c r="K455" s="13"/>
      <c r="L455" s="14"/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2"/>
      <c r="B456" s="10"/>
      <c r="C456" s="11"/>
      <c r="D456" s="13"/>
      <c r="E456" s="13"/>
      <c r="F456" s="13"/>
      <c r="G456" s="2"/>
      <c r="H456" s="2"/>
      <c r="I456" s="13"/>
      <c r="J456" s="13"/>
      <c r="K456" s="13"/>
      <c r="L456" s="14"/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2"/>
      <c r="B457" s="10"/>
      <c r="C457" s="11"/>
      <c r="D457" s="13"/>
      <c r="E457" s="13"/>
      <c r="F457" s="13"/>
      <c r="G457" s="2"/>
      <c r="H457" s="2"/>
      <c r="I457" s="13"/>
      <c r="J457" s="13"/>
      <c r="K457" s="13"/>
      <c r="L457" s="14"/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2"/>
      <c r="B458" s="10"/>
      <c r="C458" s="11"/>
      <c r="D458" s="13"/>
      <c r="E458" s="13"/>
      <c r="F458" s="13"/>
      <c r="G458" s="2"/>
      <c r="H458" s="2"/>
      <c r="I458" s="13"/>
      <c r="J458" s="13"/>
      <c r="K458" s="13"/>
      <c r="L458" s="14"/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2"/>
      <c r="B459" s="10"/>
      <c r="C459" s="11"/>
      <c r="D459" s="13"/>
      <c r="E459" s="13"/>
      <c r="F459" s="13"/>
      <c r="G459" s="2"/>
      <c r="H459" s="2"/>
      <c r="I459" s="13"/>
      <c r="J459" s="13"/>
      <c r="K459" s="13"/>
      <c r="L459" s="14"/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A460" s="12"/>
      <c r="B460" s="10"/>
      <c r="C460" s="11"/>
      <c r="D460" s="13"/>
      <c r="E460" s="13"/>
      <c r="F460" s="13"/>
      <c r="G460" s="2"/>
      <c r="H460" s="2"/>
      <c r="I460" s="13"/>
      <c r="J460" s="13"/>
      <c r="K460" s="13"/>
      <c r="L460" s="14"/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A461" s="12"/>
      <c r="B461" s="10"/>
      <c r="C461" s="11"/>
      <c r="D461" s="13"/>
      <c r="E461" s="13"/>
      <c r="F461" s="13"/>
      <c r="G461" s="2"/>
      <c r="H461" s="2"/>
      <c r="I461" s="13"/>
      <c r="J461" s="13"/>
      <c r="K461" s="13"/>
      <c r="L461" s="14"/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A462" s="12"/>
      <c r="B462" s="10"/>
      <c r="C462" s="11"/>
      <c r="D462" s="13"/>
      <c r="E462" s="13"/>
      <c r="F462" s="13"/>
      <c r="G462" s="2"/>
      <c r="H462" s="2"/>
      <c r="I462" s="13"/>
      <c r="J462" s="13"/>
      <c r="K462" s="13"/>
      <c r="L462" s="14"/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A463" s="12"/>
      <c r="B463" s="10"/>
      <c r="C463" s="11"/>
      <c r="D463" s="13"/>
      <c r="E463" s="13"/>
      <c r="F463" s="13"/>
      <c r="G463" s="2"/>
      <c r="H463" s="2"/>
      <c r="I463" s="13"/>
      <c r="J463" s="13"/>
      <c r="K463" s="13"/>
      <c r="L463" s="14"/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A464" s="12"/>
      <c r="B464" s="10"/>
      <c r="C464" s="11"/>
      <c r="D464" s="13"/>
      <c r="E464" s="13"/>
      <c r="F464" s="13"/>
      <c r="G464" s="2"/>
      <c r="H464" s="2"/>
      <c r="I464" s="13"/>
      <c r="J464" s="13"/>
      <c r="K464" s="13"/>
      <c r="L464" s="14"/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2"/>
      <c r="B465" s="10"/>
      <c r="C465" s="11"/>
      <c r="D465" s="13"/>
      <c r="E465" s="13"/>
      <c r="F465" s="13"/>
      <c r="G465" s="2"/>
      <c r="H465" s="2"/>
      <c r="I465" s="13"/>
      <c r="J465" s="13"/>
      <c r="K465" s="13"/>
      <c r="L465" s="14"/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5.75" customHeight="1" x14ac:dyDescent="0.2">
      <c r="A466" s="12"/>
      <c r="B466" s="10"/>
      <c r="C466" s="11"/>
      <c r="D466" s="13"/>
      <c r="E466" s="13"/>
      <c r="F466" s="13"/>
      <c r="G466" s="2"/>
      <c r="H466" s="2"/>
      <c r="I466" s="13"/>
      <c r="J466" s="13"/>
      <c r="K466" s="13"/>
      <c r="L466" s="14"/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2"/>
      <c r="B467" s="10"/>
      <c r="C467" s="11"/>
      <c r="D467" s="13"/>
      <c r="E467" s="13"/>
      <c r="F467" s="13"/>
      <c r="G467" s="2"/>
      <c r="H467" s="2"/>
      <c r="I467" s="13"/>
      <c r="J467" s="13"/>
      <c r="K467" s="13"/>
      <c r="L467" s="14"/>
      <c r="M467" s="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2"/>
      <c r="B468" s="10"/>
      <c r="C468" s="11"/>
      <c r="D468" s="13"/>
      <c r="E468" s="13"/>
      <c r="F468" s="13"/>
      <c r="G468" s="2"/>
      <c r="H468" s="2"/>
      <c r="I468" s="13"/>
      <c r="J468" s="13"/>
      <c r="K468" s="13"/>
      <c r="L468" s="14"/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2"/>
      <c r="B469" s="10"/>
      <c r="C469" s="11"/>
      <c r="D469" s="13"/>
      <c r="E469" s="13"/>
      <c r="F469" s="13"/>
      <c r="G469" s="2"/>
      <c r="H469" s="2"/>
      <c r="I469" s="13"/>
      <c r="J469" s="13"/>
      <c r="K469" s="13"/>
      <c r="L469" s="14"/>
      <c r="M469" s="4"/>
      <c r="N469" s="2"/>
      <c r="O469" s="4"/>
      <c r="P469" s="2"/>
      <c r="Q469" s="2"/>
      <c r="R469" s="4"/>
      <c r="S469" s="2"/>
      <c r="T469" s="2"/>
      <c r="U469" s="1"/>
      <c r="V469" s="2"/>
      <c r="W469" s="2"/>
      <c r="X469" s="2"/>
      <c r="Y469" s="2"/>
      <c r="Z469" s="2"/>
    </row>
    <row r="470" spans="1:26" ht="15.75" customHeight="1" x14ac:dyDescent="0.2">
      <c r="A470" s="12"/>
      <c r="B470" s="10"/>
      <c r="C470" s="11"/>
      <c r="D470" s="13"/>
      <c r="E470" s="13"/>
      <c r="F470" s="13"/>
      <c r="G470" s="2"/>
      <c r="H470" s="2"/>
      <c r="I470" s="13"/>
      <c r="J470" s="13"/>
      <c r="K470" s="13"/>
      <c r="L470" s="14"/>
      <c r="M470" s="4"/>
      <c r="N470" s="2"/>
      <c r="O470" s="4"/>
      <c r="P470" s="2"/>
      <c r="Q470" s="2"/>
      <c r="R470" s="4"/>
      <c r="S470" s="2"/>
      <c r="T470" s="2"/>
      <c r="U470" s="1"/>
      <c r="V470" s="2"/>
      <c r="W470" s="2"/>
      <c r="X470" s="2"/>
      <c r="Y470" s="2"/>
      <c r="Z470" s="2"/>
    </row>
    <row r="471" spans="1:26" ht="15.75" customHeight="1" x14ac:dyDescent="0.2">
      <c r="A471" s="12"/>
      <c r="B471" s="10"/>
      <c r="C471" s="11"/>
      <c r="D471" s="13"/>
      <c r="E471" s="13"/>
      <c r="F471" s="13"/>
      <c r="G471" s="2"/>
      <c r="H471" s="2"/>
      <c r="I471" s="13"/>
      <c r="J471" s="13"/>
      <c r="K471" s="13"/>
      <c r="L471" s="14"/>
      <c r="M471" s="4"/>
      <c r="N471" s="2"/>
      <c r="O471" s="4"/>
      <c r="P471" s="2"/>
      <c r="Q471" s="2"/>
      <c r="R471" s="4"/>
      <c r="S471" s="2"/>
      <c r="T471" s="2"/>
      <c r="U471" s="1"/>
      <c r="V471" s="2"/>
      <c r="W471" s="2"/>
      <c r="X471" s="2"/>
      <c r="Y471" s="2"/>
      <c r="Z471" s="2"/>
    </row>
    <row r="472" spans="1:26" ht="15.75" customHeight="1" x14ac:dyDescent="0.2">
      <c r="A472" s="12"/>
      <c r="B472" s="10"/>
      <c r="C472" s="11"/>
      <c r="D472" s="13"/>
      <c r="E472" s="13"/>
      <c r="F472" s="13"/>
      <c r="G472" s="2"/>
      <c r="H472" s="2"/>
      <c r="I472" s="13"/>
      <c r="J472" s="13"/>
      <c r="K472" s="13"/>
      <c r="L472" s="14"/>
      <c r="M472" s="4"/>
      <c r="N472" s="2"/>
      <c r="O472" s="4"/>
      <c r="P472" s="2"/>
      <c r="Q472" s="2"/>
      <c r="R472" s="4"/>
      <c r="S472" s="2"/>
      <c r="T472" s="2"/>
      <c r="U472" s="1"/>
      <c r="V472" s="2"/>
      <c r="W472" s="2"/>
      <c r="X472" s="2"/>
      <c r="Y472" s="2"/>
      <c r="Z472" s="2"/>
    </row>
    <row r="473" spans="1:26" ht="15.75" customHeight="1" x14ac:dyDescent="0.2">
      <c r="A473" s="12"/>
      <c r="B473" s="10"/>
      <c r="C473" s="11"/>
      <c r="D473" s="13"/>
      <c r="E473" s="13"/>
      <c r="F473" s="13"/>
      <c r="G473" s="2"/>
      <c r="H473" s="2"/>
      <c r="I473" s="13"/>
      <c r="J473" s="13"/>
      <c r="K473" s="13"/>
      <c r="L473" s="14"/>
      <c r="M473" s="4"/>
      <c r="N473" s="2"/>
      <c r="O473" s="4"/>
      <c r="P473" s="2"/>
      <c r="Q473" s="2"/>
      <c r="R473" s="4"/>
      <c r="S473" s="2"/>
      <c r="T473" s="2"/>
      <c r="U473" s="1"/>
      <c r="V473" s="2"/>
      <c r="W473" s="2"/>
      <c r="X473" s="2"/>
      <c r="Y473" s="2"/>
      <c r="Z473" s="2"/>
    </row>
    <row r="474" spans="1:26" ht="15.75" customHeight="1" x14ac:dyDescent="0.2">
      <c r="A474" s="12"/>
      <c r="B474" s="10"/>
      <c r="C474" s="11"/>
      <c r="D474" s="13"/>
      <c r="E474" s="13"/>
      <c r="F474" s="13"/>
      <c r="G474" s="2"/>
      <c r="H474" s="2"/>
      <c r="I474" s="13"/>
      <c r="J474" s="13"/>
      <c r="K474" s="13"/>
      <c r="L474" s="14"/>
      <c r="M474" s="4"/>
      <c r="N474" s="2"/>
      <c r="O474" s="4"/>
      <c r="P474" s="2"/>
      <c r="Q474" s="2"/>
      <c r="R474" s="4"/>
      <c r="S474" s="2"/>
      <c r="T474" s="2"/>
      <c r="U474" s="1"/>
      <c r="V474" s="2"/>
      <c r="W474" s="2"/>
      <c r="X474" s="2"/>
      <c r="Y474" s="2"/>
      <c r="Z474" s="2"/>
    </row>
    <row r="475" spans="1:26" ht="15.75" customHeight="1" x14ac:dyDescent="0.2">
      <c r="A475" s="12"/>
      <c r="B475" s="10"/>
      <c r="C475" s="11"/>
      <c r="D475" s="13"/>
      <c r="E475" s="13"/>
      <c r="F475" s="13"/>
      <c r="G475" s="2"/>
      <c r="H475" s="2"/>
      <c r="I475" s="13"/>
      <c r="J475" s="13"/>
      <c r="K475" s="13"/>
      <c r="L475" s="14"/>
      <c r="M475" s="4"/>
      <c r="N475" s="2"/>
      <c r="O475" s="4"/>
      <c r="P475" s="2"/>
      <c r="Q475" s="2"/>
      <c r="R475" s="4"/>
      <c r="S475" s="2"/>
      <c r="T475" s="2"/>
      <c r="U475" s="1"/>
      <c r="V475" s="2"/>
      <c r="W475" s="2"/>
      <c r="X475" s="2"/>
      <c r="Y475" s="2"/>
      <c r="Z475" s="2"/>
    </row>
    <row r="476" spans="1:26" ht="15.75" customHeight="1" x14ac:dyDescent="0.2">
      <c r="A476" s="12"/>
      <c r="B476" s="10"/>
      <c r="C476" s="11"/>
      <c r="D476" s="13"/>
      <c r="E476" s="13"/>
      <c r="F476" s="13"/>
      <c r="G476" s="2"/>
      <c r="H476" s="2"/>
      <c r="I476" s="13"/>
      <c r="J476" s="13"/>
      <c r="K476" s="13"/>
      <c r="L476" s="14"/>
      <c r="M476" s="4"/>
      <c r="N476" s="2"/>
      <c r="O476" s="4"/>
      <c r="P476" s="2"/>
      <c r="Q476" s="2"/>
      <c r="R476" s="4"/>
      <c r="S476" s="2"/>
      <c r="T476" s="2"/>
      <c r="U476" s="1"/>
      <c r="V476" s="2"/>
      <c r="W476" s="2"/>
      <c r="X476" s="2"/>
      <c r="Y476" s="2"/>
      <c r="Z476" s="2"/>
    </row>
    <row r="477" spans="1:26" ht="15.75" customHeight="1" x14ac:dyDescent="0.2">
      <c r="A477" s="12"/>
      <c r="B477" s="10"/>
      <c r="C477" s="11"/>
      <c r="D477" s="13"/>
      <c r="E477" s="13"/>
      <c r="F477" s="13"/>
      <c r="G477" s="2"/>
      <c r="H477" s="2"/>
      <c r="I477" s="13"/>
      <c r="J477" s="13"/>
      <c r="K477" s="13"/>
      <c r="L477" s="14"/>
      <c r="M477" s="4"/>
      <c r="N477" s="2"/>
      <c r="O477" s="4"/>
      <c r="P477" s="2"/>
      <c r="Q477" s="2"/>
      <c r="R477" s="4"/>
      <c r="S477" s="2"/>
      <c r="T477" s="2"/>
      <c r="U477" s="1"/>
      <c r="V477" s="2"/>
      <c r="W477" s="2"/>
      <c r="X477" s="2"/>
      <c r="Y477" s="2"/>
      <c r="Z477" s="2"/>
    </row>
    <row r="478" spans="1:26" ht="15.75" customHeight="1" x14ac:dyDescent="0.2">
      <c r="A478" s="12"/>
      <c r="B478" s="10"/>
      <c r="C478" s="11"/>
      <c r="D478" s="13"/>
      <c r="E478" s="13"/>
      <c r="F478" s="13"/>
      <c r="G478" s="2"/>
      <c r="H478" s="2"/>
      <c r="I478" s="13"/>
      <c r="J478" s="13"/>
      <c r="K478" s="13"/>
      <c r="L478" s="14"/>
      <c r="M478" s="4"/>
      <c r="N478" s="2"/>
      <c r="O478" s="4"/>
      <c r="P478" s="2"/>
      <c r="Q478" s="2"/>
      <c r="R478" s="4"/>
      <c r="S478" s="2"/>
      <c r="T478" s="2"/>
      <c r="U478" s="1"/>
      <c r="V478" s="2"/>
      <c r="W478" s="2"/>
      <c r="X478" s="2"/>
      <c r="Y478" s="2"/>
      <c r="Z478" s="2"/>
    </row>
    <row r="479" spans="1:26" ht="15.75" customHeight="1" x14ac:dyDescent="0.2">
      <c r="A479" s="12"/>
      <c r="B479" s="10"/>
      <c r="C479" s="11"/>
      <c r="D479" s="13"/>
      <c r="E479" s="13"/>
      <c r="F479" s="13"/>
      <c r="G479" s="2"/>
      <c r="H479" s="2"/>
      <c r="I479" s="13"/>
      <c r="J479" s="13"/>
      <c r="K479" s="13"/>
      <c r="L479" s="14"/>
      <c r="M479" s="4"/>
      <c r="N479" s="2"/>
      <c r="O479" s="4"/>
      <c r="P479" s="2"/>
      <c r="Q479" s="2"/>
      <c r="R479" s="4"/>
      <c r="S479" s="2"/>
      <c r="T479" s="2"/>
      <c r="U479" s="1"/>
      <c r="V479" s="2"/>
      <c r="W479" s="2"/>
      <c r="X479" s="2"/>
      <c r="Y479" s="2"/>
      <c r="Z479" s="2"/>
    </row>
    <row r="480" spans="1:26" ht="15.75" customHeight="1" x14ac:dyDescent="0.2">
      <c r="A480" s="12"/>
      <c r="B480" s="10"/>
      <c r="C480" s="11"/>
      <c r="D480" s="13"/>
      <c r="E480" s="13"/>
      <c r="F480" s="13"/>
      <c r="G480" s="2"/>
      <c r="H480" s="2"/>
      <c r="I480" s="13"/>
      <c r="J480" s="13"/>
      <c r="K480" s="13"/>
      <c r="L480" s="14"/>
      <c r="M480" s="4"/>
      <c r="N480" s="2"/>
      <c r="O480" s="4"/>
      <c r="P480" s="2"/>
      <c r="Q480" s="2"/>
      <c r="R480" s="4"/>
      <c r="S480" s="2"/>
      <c r="T480" s="2"/>
      <c r="U480" s="1"/>
      <c r="V480" s="2"/>
      <c r="W480" s="2"/>
      <c r="X480" s="2"/>
      <c r="Y480" s="2"/>
      <c r="Z480" s="2"/>
    </row>
    <row r="481" spans="1:26" ht="15.75" customHeight="1" x14ac:dyDescent="0.2">
      <c r="A481" s="12"/>
      <c r="B481" s="10"/>
      <c r="C481" s="11"/>
      <c r="D481" s="13"/>
      <c r="E481" s="13"/>
      <c r="F481" s="13"/>
      <c r="G481" s="2"/>
      <c r="H481" s="2"/>
      <c r="I481" s="13"/>
      <c r="J481" s="13"/>
      <c r="K481" s="13"/>
      <c r="L481" s="14"/>
      <c r="M481" s="4"/>
      <c r="N481" s="2"/>
      <c r="O481" s="4"/>
      <c r="P481" s="2"/>
      <c r="Q481" s="2"/>
      <c r="R481" s="4"/>
      <c r="S481" s="2"/>
      <c r="T481" s="2"/>
      <c r="U481" s="1"/>
      <c r="V481" s="2"/>
      <c r="W481" s="2"/>
      <c r="X481" s="2"/>
      <c r="Y481" s="2"/>
      <c r="Z481" s="2"/>
    </row>
    <row r="482" spans="1:26" ht="15.75" customHeight="1" x14ac:dyDescent="0.2">
      <c r="A482" s="12"/>
      <c r="B482" s="10"/>
      <c r="C482" s="11"/>
      <c r="D482" s="13"/>
      <c r="E482" s="13"/>
      <c r="F482" s="13"/>
      <c r="G482" s="2"/>
      <c r="H482" s="2"/>
      <c r="I482" s="13"/>
      <c r="J482" s="13"/>
      <c r="K482" s="13"/>
      <c r="L482" s="14"/>
      <c r="M482" s="4"/>
      <c r="N482" s="2"/>
      <c r="O482" s="4"/>
      <c r="P482" s="2"/>
      <c r="Q482" s="2"/>
      <c r="R482" s="4"/>
      <c r="S482" s="2"/>
      <c r="T482" s="2"/>
      <c r="U482" s="1"/>
      <c r="V482" s="2"/>
      <c r="W482" s="2"/>
      <c r="X482" s="2"/>
      <c r="Y482" s="2"/>
      <c r="Z482" s="2"/>
    </row>
    <row r="483" spans="1:26" ht="15.75" customHeight="1" x14ac:dyDescent="0.2">
      <c r="A483" s="12"/>
      <c r="B483" s="10"/>
      <c r="C483" s="11"/>
      <c r="D483" s="13"/>
      <c r="E483" s="13"/>
      <c r="F483" s="13"/>
      <c r="G483" s="2"/>
      <c r="H483" s="2"/>
      <c r="I483" s="13"/>
      <c r="J483" s="13"/>
      <c r="K483" s="13"/>
      <c r="L483" s="14"/>
      <c r="M483" s="4"/>
      <c r="N483" s="2"/>
      <c r="O483" s="4"/>
      <c r="P483" s="2"/>
      <c r="Q483" s="2"/>
      <c r="R483" s="4"/>
      <c r="S483" s="2"/>
      <c r="T483" s="2"/>
      <c r="U483" s="1"/>
      <c r="V483" s="2"/>
      <c r="W483" s="2"/>
      <c r="X483" s="2"/>
      <c r="Y483" s="2"/>
      <c r="Z483" s="2"/>
    </row>
    <row r="484" spans="1:26" ht="15.75" customHeight="1" x14ac:dyDescent="0.2">
      <c r="A484" s="12"/>
      <c r="B484" s="10"/>
      <c r="C484" s="11"/>
      <c r="D484" s="13"/>
      <c r="E484" s="13"/>
      <c r="F484" s="13"/>
      <c r="G484" s="2"/>
      <c r="H484" s="2"/>
      <c r="I484" s="13"/>
      <c r="J484" s="13"/>
      <c r="K484" s="13"/>
      <c r="L484" s="14"/>
      <c r="M484" s="4"/>
      <c r="N484" s="2"/>
      <c r="O484" s="4"/>
      <c r="P484" s="2"/>
      <c r="Q484" s="2"/>
      <c r="R484" s="4"/>
      <c r="S484" s="2"/>
      <c r="T484" s="2"/>
      <c r="U484" s="1"/>
      <c r="V484" s="2"/>
      <c r="W484" s="2"/>
      <c r="X484" s="2"/>
      <c r="Y484" s="2"/>
      <c r="Z484" s="2"/>
    </row>
    <row r="485" spans="1:26" ht="15.75" customHeight="1" x14ac:dyDescent="0.2">
      <c r="A485" s="12"/>
      <c r="B485" s="10"/>
      <c r="C485" s="11"/>
      <c r="D485" s="13"/>
      <c r="E485" s="13"/>
      <c r="F485" s="13"/>
      <c r="G485" s="2"/>
      <c r="H485" s="2"/>
      <c r="I485" s="13"/>
      <c r="J485" s="13"/>
      <c r="K485" s="13"/>
      <c r="L485" s="14"/>
      <c r="M485" s="4"/>
      <c r="N485" s="2"/>
      <c r="O485" s="4"/>
      <c r="P485" s="2"/>
      <c r="Q485" s="2"/>
      <c r="R485" s="4"/>
      <c r="S485" s="2"/>
      <c r="T485" s="2"/>
      <c r="U485" s="1"/>
      <c r="V485" s="2"/>
      <c r="W485" s="2"/>
      <c r="X485" s="2"/>
      <c r="Y485" s="2"/>
      <c r="Z485" s="2"/>
    </row>
    <row r="486" spans="1:26" ht="15.75" customHeight="1" x14ac:dyDescent="0.2">
      <c r="A486" s="12"/>
      <c r="B486" s="10"/>
      <c r="C486" s="11"/>
      <c r="D486" s="13"/>
      <c r="E486" s="13"/>
      <c r="F486" s="13"/>
      <c r="G486" s="2"/>
      <c r="H486" s="2"/>
      <c r="I486" s="13"/>
      <c r="J486" s="13"/>
      <c r="K486" s="13"/>
      <c r="L486" s="14"/>
      <c r="M486" s="4"/>
      <c r="N486" s="2"/>
      <c r="O486" s="4"/>
      <c r="P486" s="2"/>
      <c r="Q486" s="2"/>
      <c r="R486" s="4"/>
      <c r="S486" s="2"/>
      <c r="T486" s="2"/>
      <c r="U486" s="1"/>
      <c r="V486" s="2"/>
      <c r="W486" s="2"/>
      <c r="X486" s="2"/>
      <c r="Y486" s="2"/>
      <c r="Z486" s="2"/>
    </row>
    <row r="487" spans="1:26" ht="15.75" customHeight="1" x14ac:dyDescent="0.2">
      <c r="A487" s="12"/>
      <c r="B487" s="10"/>
      <c r="C487" s="11"/>
      <c r="D487" s="13"/>
      <c r="E487" s="13"/>
      <c r="F487" s="13"/>
      <c r="G487" s="2"/>
      <c r="H487" s="2"/>
      <c r="I487" s="13"/>
      <c r="J487" s="13"/>
      <c r="K487" s="13"/>
      <c r="L487" s="14"/>
      <c r="M487" s="4"/>
      <c r="N487" s="2"/>
      <c r="O487" s="4"/>
      <c r="P487" s="2"/>
      <c r="Q487" s="2"/>
      <c r="R487" s="4"/>
      <c r="S487" s="2"/>
      <c r="T487" s="2"/>
      <c r="U487" s="1"/>
      <c r="V487" s="2"/>
      <c r="W487" s="2"/>
      <c r="X487" s="2"/>
      <c r="Y487" s="2"/>
      <c r="Z487" s="2"/>
    </row>
    <row r="488" spans="1:26" ht="15.75" customHeight="1" x14ac:dyDescent="0.2">
      <c r="A488" s="12"/>
      <c r="B488" s="10"/>
      <c r="C488" s="11"/>
      <c r="D488" s="13"/>
      <c r="E488" s="13"/>
      <c r="F488" s="13"/>
      <c r="G488" s="2"/>
      <c r="H488" s="2"/>
      <c r="I488" s="13"/>
      <c r="J488" s="13"/>
      <c r="K488" s="13"/>
      <c r="L488" s="14"/>
      <c r="M488" s="4"/>
      <c r="N488" s="2"/>
      <c r="O488" s="4"/>
      <c r="P488" s="2"/>
      <c r="Q488" s="2"/>
      <c r="R488" s="4"/>
      <c r="S488" s="2"/>
      <c r="T488" s="2"/>
      <c r="U488" s="1"/>
      <c r="V488" s="2"/>
      <c r="W488" s="2"/>
      <c r="X488" s="2"/>
      <c r="Y488" s="2"/>
      <c r="Z488" s="2"/>
    </row>
    <row r="489" spans="1:26" ht="15.75" customHeight="1" x14ac:dyDescent="0.2">
      <c r="A489" s="12"/>
      <c r="B489" s="10"/>
      <c r="C489" s="11"/>
      <c r="D489" s="13"/>
      <c r="E489" s="13"/>
      <c r="F489" s="13"/>
      <c r="G489" s="2"/>
      <c r="H489" s="2"/>
      <c r="I489" s="13"/>
      <c r="J489" s="13"/>
      <c r="K489" s="13"/>
      <c r="L489" s="14"/>
      <c r="M489" s="4"/>
      <c r="N489" s="2"/>
      <c r="O489" s="4"/>
      <c r="P489" s="2"/>
      <c r="Q489" s="2"/>
      <c r="R489" s="4"/>
      <c r="S489" s="2"/>
      <c r="T489" s="2"/>
      <c r="U489" s="1"/>
      <c r="V489" s="2"/>
      <c r="W489" s="2"/>
      <c r="X489" s="2"/>
      <c r="Y489" s="2"/>
      <c r="Z489" s="2"/>
    </row>
    <row r="490" spans="1:26" ht="15.75" customHeight="1" x14ac:dyDescent="0.2">
      <c r="A490" s="12"/>
      <c r="B490" s="10"/>
      <c r="C490" s="11"/>
      <c r="D490" s="13"/>
      <c r="E490" s="13"/>
      <c r="F490" s="13"/>
      <c r="G490" s="2"/>
      <c r="H490" s="2"/>
      <c r="I490" s="13"/>
      <c r="J490" s="13"/>
      <c r="K490" s="13"/>
      <c r="L490" s="14"/>
      <c r="M490" s="4"/>
      <c r="N490" s="2"/>
      <c r="O490" s="4"/>
      <c r="P490" s="2"/>
      <c r="Q490" s="2"/>
      <c r="R490" s="4"/>
      <c r="S490" s="2"/>
      <c r="T490" s="2"/>
      <c r="U490" s="1"/>
      <c r="V490" s="2"/>
      <c r="W490" s="2"/>
      <c r="X490" s="2"/>
      <c r="Y490" s="2"/>
      <c r="Z490" s="2"/>
    </row>
    <row r="491" spans="1:26" ht="15.75" customHeight="1" x14ac:dyDescent="0.2">
      <c r="A491" s="12"/>
      <c r="B491" s="10"/>
      <c r="C491" s="11"/>
      <c r="D491" s="13"/>
      <c r="E491" s="13"/>
      <c r="F491" s="13"/>
      <c r="G491" s="2"/>
      <c r="H491" s="2"/>
      <c r="I491" s="13"/>
      <c r="J491" s="13"/>
      <c r="K491" s="13"/>
      <c r="L491" s="14"/>
      <c r="M491" s="4"/>
      <c r="N491" s="2"/>
      <c r="O491" s="4"/>
      <c r="P491" s="2"/>
      <c r="Q491" s="2"/>
      <c r="R491" s="4"/>
      <c r="S491" s="2"/>
      <c r="T491" s="2"/>
      <c r="U491" s="1"/>
      <c r="V491" s="2"/>
      <c r="W491" s="2"/>
      <c r="X491" s="2"/>
      <c r="Y491" s="2"/>
      <c r="Z491" s="2"/>
    </row>
    <row r="492" spans="1:26" ht="15.75" customHeight="1" x14ac:dyDescent="0.2">
      <c r="A492" s="12"/>
      <c r="B492" s="10"/>
      <c r="C492" s="11"/>
      <c r="D492" s="13"/>
      <c r="E492" s="13"/>
      <c r="F492" s="13"/>
      <c r="G492" s="2"/>
      <c r="H492" s="2"/>
      <c r="I492" s="13"/>
      <c r="J492" s="13"/>
      <c r="K492" s="13"/>
      <c r="L492" s="14"/>
      <c r="M492" s="4"/>
      <c r="N492" s="2"/>
      <c r="O492" s="4"/>
      <c r="P492" s="2"/>
      <c r="Q492" s="2"/>
      <c r="R492" s="4"/>
      <c r="S492" s="2"/>
      <c r="T492" s="2"/>
      <c r="U492" s="1"/>
      <c r="V492" s="2"/>
      <c r="W492" s="2"/>
      <c r="X492" s="2"/>
      <c r="Y492" s="2"/>
      <c r="Z492" s="2"/>
    </row>
    <row r="493" spans="1:26" ht="15.75" customHeight="1" x14ac:dyDescent="0.2">
      <c r="A493" s="12"/>
      <c r="B493" s="10"/>
      <c r="C493" s="11"/>
      <c r="D493" s="13"/>
      <c r="E493" s="13"/>
      <c r="F493" s="13"/>
      <c r="G493" s="2"/>
      <c r="H493" s="2"/>
      <c r="I493" s="13"/>
      <c r="J493" s="13"/>
      <c r="K493" s="13"/>
      <c r="L493" s="14"/>
      <c r="M493" s="4"/>
      <c r="N493" s="2"/>
      <c r="O493" s="4"/>
      <c r="P493" s="2"/>
      <c r="Q493" s="2"/>
      <c r="R493" s="4"/>
      <c r="S493" s="2"/>
      <c r="T493" s="2"/>
      <c r="U493" s="1"/>
      <c r="V493" s="2"/>
      <c r="W493" s="2"/>
      <c r="X493" s="2"/>
      <c r="Y493" s="2"/>
      <c r="Z493" s="2"/>
    </row>
    <row r="494" spans="1:26" ht="15.75" customHeight="1" x14ac:dyDescent="0.2">
      <c r="A494" s="12"/>
      <c r="B494" s="10"/>
      <c r="C494" s="11"/>
      <c r="D494" s="13"/>
      <c r="E494" s="13"/>
      <c r="F494" s="13"/>
      <c r="G494" s="2"/>
      <c r="H494" s="2"/>
      <c r="I494" s="13"/>
      <c r="J494" s="13"/>
      <c r="K494" s="13"/>
      <c r="L494" s="14"/>
      <c r="M494" s="4"/>
      <c r="N494" s="2"/>
      <c r="O494" s="4"/>
      <c r="P494" s="2"/>
      <c r="Q494" s="2"/>
      <c r="R494" s="4"/>
      <c r="S494" s="2"/>
      <c r="T494" s="2"/>
      <c r="U494" s="1"/>
      <c r="V494" s="2"/>
      <c r="W494" s="2"/>
      <c r="X494" s="2"/>
      <c r="Y494" s="2"/>
      <c r="Z494" s="2"/>
    </row>
    <row r="495" spans="1:26" ht="15.75" customHeight="1" x14ac:dyDescent="0.2">
      <c r="A495" s="12"/>
      <c r="B495" s="10"/>
      <c r="C495" s="11"/>
      <c r="D495" s="13"/>
      <c r="E495" s="13"/>
      <c r="F495" s="13"/>
      <c r="G495" s="2"/>
      <c r="H495" s="2"/>
      <c r="I495" s="13"/>
      <c r="J495" s="13"/>
      <c r="K495" s="13"/>
      <c r="L495" s="14"/>
      <c r="M495" s="4"/>
      <c r="N495" s="2"/>
      <c r="O495" s="4"/>
      <c r="P495" s="2"/>
      <c r="Q495" s="2"/>
      <c r="R495" s="4"/>
      <c r="S495" s="2"/>
      <c r="T495" s="2"/>
      <c r="U495" s="1"/>
      <c r="V495" s="2"/>
      <c r="W495" s="2"/>
      <c r="X495" s="2"/>
      <c r="Y495" s="2"/>
      <c r="Z495" s="2"/>
    </row>
    <row r="496" spans="1:26" ht="15.75" customHeight="1" x14ac:dyDescent="0.2">
      <c r="A496" s="12"/>
      <c r="B496" s="10"/>
      <c r="C496" s="11"/>
      <c r="D496" s="13"/>
      <c r="E496" s="13"/>
      <c r="F496" s="13"/>
      <c r="G496" s="2"/>
      <c r="H496" s="2"/>
      <c r="I496" s="13"/>
      <c r="J496" s="13"/>
      <c r="K496" s="13"/>
      <c r="L496" s="14"/>
      <c r="M496" s="4"/>
      <c r="N496" s="2"/>
      <c r="O496" s="4"/>
      <c r="P496" s="2"/>
      <c r="Q496" s="2"/>
      <c r="R496" s="4"/>
      <c r="S496" s="2"/>
      <c r="T496" s="2"/>
      <c r="U496" s="1"/>
      <c r="V496" s="2"/>
      <c r="W496" s="2"/>
      <c r="X496" s="2"/>
      <c r="Y496" s="2"/>
      <c r="Z496" s="2"/>
    </row>
    <row r="497" spans="1:26" ht="15.75" customHeight="1" x14ac:dyDescent="0.2">
      <c r="A497" s="12"/>
      <c r="B497" s="10"/>
      <c r="C497" s="11"/>
      <c r="D497" s="13"/>
      <c r="E497" s="13"/>
      <c r="F497" s="13"/>
      <c r="G497" s="2"/>
      <c r="H497" s="2"/>
      <c r="I497" s="13"/>
      <c r="J497" s="13"/>
      <c r="K497" s="13"/>
      <c r="L497" s="14"/>
      <c r="M497" s="4"/>
      <c r="N497" s="2"/>
      <c r="O497" s="4"/>
      <c r="P497" s="2"/>
      <c r="Q497" s="2"/>
      <c r="R497" s="4"/>
      <c r="S497" s="2"/>
      <c r="T497" s="2"/>
      <c r="U497" s="1"/>
      <c r="V497" s="2"/>
      <c r="W497" s="2"/>
      <c r="X497" s="2"/>
      <c r="Y497" s="2"/>
      <c r="Z497" s="2"/>
    </row>
    <row r="498" spans="1:26" ht="15.75" customHeight="1" x14ac:dyDescent="0.2">
      <c r="A498" s="12"/>
      <c r="B498" s="10"/>
      <c r="C498" s="11"/>
      <c r="D498" s="13"/>
      <c r="E498" s="13"/>
      <c r="F498" s="13"/>
      <c r="G498" s="2"/>
      <c r="H498" s="2"/>
      <c r="I498" s="13"/>
      <c r="J498" s="13"/>
      <c r="K498" s="13"/>
      <c r="L498" s="14"/>
      <c r="M498" s="4"/>
      <c r="N498" s="2"/>
      <c r="O498" s="4"/>
      <c r="P498" s="2"/>
      <c r="Q498" s="2"/>
      <c r="R498" s="4"/>
      <c r="S498" s="2"/>
      <c r="T498" s="2"/>
      <c r="U498" s="1"/>
      <c r="V498" s="2"/>
      <c r="W498" s="2"/>
      <c r="X498" s="2"/>
      <c r="Y498" s="2"/>
      <c r="Z498" s="2"/>
    </row>
    <row r="499" spans="1:26" ht="15.75" customHeight="1" x14ac:dyDescent="0.2">
      <c r="A499" s="12"/>
      <c r="B499" s="10"/>
      <c r="C499" s="11"/>
      <c r="D499" s="13"/>
      <c r="E499" s="13"/>
      <c r="F499" s="13"/>
      <c r="G499" s="2"/>
      <c r="H499" s="2"/>
      <c r="I499" s="13"/>
      <c r="J499" s="13"/>
      <c r="K499" s="13"/>
      <c r="L499" s="14"/>
      <c r="M499" s="4"/>
      <c r="N499" s="2"/>
      <c r="O499" s="4"/>
      <c r="P499" s="2"/>
      <c r="Q499" s="2"/>
      <c r="R499" s="4"/>
      <c r="S499" s="2"/>
      <c r="T499" s="2"/>
      <c r="U499" s="1"/>
      <c r="V499" s="2"/>
      <c r="W499" s="2"/>
      <c r="X499" s="2"/>
      <c r="Y499" s="2"/>
      <c r="Z499" s="2"/>
    </row>
    <row r="500" spans="1:26" ht="15.75" customHeight="1" x14ac:dyDescent="0.2">
      <c r="A500" s="12"/>
      <c r="B500" s="10"/>
      <c r="C500" s="11"/>
      <c r="D500" s="13"/>
      <c r="E500" s="13"/>
      <c r="F500" s="13"/>
      <c r="G500" s="2"/>
      <c r="H500" s="2"/>
      <c r="I500" s="13"/>
      <c r="J500" s="13"/>
      <c r="K500" s="13"/>
      <c r="L500" s="14"/>
      <c r="M500" s="4"/>
      <c r="N500" s="2"/>
      <c r="O500" s="4"/>
      <c r="P500" s="2"/>
      <c r="Q500" s="2"/>
      <c r="R500" s="4"/>
      <c r="S500" s="2"/>
      <c r="T500" s="2"/>
      <c r="U500" s="1"/>
      <c r="V500" s="2"/>
      <c r="W500" s="2"/>
      <c r="X500" s="2"/>
      <c r="Y500" s="2"/>
      <c r="Z500" s="2"/>
    </row>
    <row r="501" spans="1:26" ht="15.75" customHeight="1" x14ac:dyDescent="0.2">
      <c r="A501" s="12"/>
      <c r="B501" s="10"/>
      <c r="C501" s="11"/>
      <c r="D501" s="13"/>
      <c r="E501" s="13"/>
      <c r="F501" s="13"/>
      <c r="G501" s="2"/>
      <c r="H501" s="2"/>
      <c r="I501" s="13"/>
      <c r="J501" s="13"/>
      <c r="K501" s="13"/>
      <c r="L501" s="14"/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ht="15.75" customHeight="1" x14ac:dyDescent="0.2">
      <c r="A502" s="12"/>
      <c r="B502" s="10"/>
      <c r="C502" s="11"/>
      <c r="D502" s="13"/>
      <c r="E502" s="13"/>
      <c r="F502" s="13"/>
      <c r="G502" s="2"/>
      <c r="H502" s="2"/>
      <c r="I502" s="13"/>
      <c r="J502" s="13"/>
      <c r="K502" s="13"/>
      <c r="L502" s="14"/>
      <c r="M502" s="4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ht="15.75" customHeight="1" x14ac:dyDescent="0.2">
      <c r="A503" s="12"/>
      <c r="B503" s="10"/>
      <c r="C503" s="11"/>
      <c r="D503" s="13"/>
      <c r="E503" s="13"/>
      <c r="F503" s="13"/>
      <c r="G503" s="2"/>
      <c r="H503" s="2"/>
      <c r="I503" s="13"/>
      <c r="J503" s="13"/>
      <c r="K503" s="13"/>
      <c r="L503" s="14"/>
      <c r="M503" s="4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ht="15.75" customHeight="1" x14ac:dyDescent="0.2">
      <c r="A504" s="12"/>
      <c r="B504" s="10"/>
      <c r="C504" s="11"/>
      <c r="D504" s="13"/>
      <c r="E504" s="13"/>
      <c r="F504" s="13"/>
      <c r="G504" s="2"/>
      <c r="H504" s="2"/>
      <c r="I504" s="13"/>
      <c r="J504" s="13"/>
      <c r="K504" s="13"/>
      <c r="L504" s="14"/>
      <c r="M504" s="4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ht="15.75" customHeight="1" x14ac:dyDescent="0.2">
      <c r="A505" s="12"/>
      <c r="B505" s="10"/>
      <c r="C505" s="11"/>
      <c r="D505" s="13"/>
      <c r="E505" s="13"/>
      <c r="F505" s="13"/>
      <c r="G505" s="2"/>
      <c r="H505" s="2"/>
      <c r="I505" s="13"/>
      <c r="J505" s="13"/>
      <c r="K505" s="13"/>
      <c r="L505" s="14"/>
      <c r="M505" s="4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ht="15.75" customHeight="1" x14ac:dyDescent="0.2">
      <c r="A506" s="12"/>
      <c r="B506" s="10"/>
      <c r="C506" s="11"/>
      <c r="D506" s="13"/>
      <c r="E506" s="13"/>
      <c r="F506" s="13"/>
      <c r="G506" s="2"/>
      <c r="H506" s="2"/>
      <c r="I506" s="13"/>
      <c r="J506" s="13"/>
      <c r="K506" s="13"/>
      <c r="L506" s="14"/>
      <c r="M506" s="4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ht="15.75" customHeight="1" x14ac:dyDescent="0.2">
      <c r="A507" s="12"/>
      <c r="B507" s="10"/>
      <c r="C507" s="11"/>
      <c r="D507" s="13"/>
      <c r="E507" s="13"/>
      <c r="F507" s="13"/>
      <c r="G507" s="2"/>
      <c r="H507" s="2"/>
      <c r="I507" s="13"/>
      <c r="J507" s="13"/>
      <c r="K507" s="13"/>
      <c r="L507" s="14"/>
      <c r="M507" s="4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ht="15.75" customHeight="1" x14ac:dyDescent="0.2">
      <c r="A508" s="12"/>
      <c r="B508" s="10"/>
      <c r="C508" s="11"/>
      <c r="D508" s="13"/>
      <c r="E508" s="13"/>
      <c r="F508" s="13"/>
      <c r="G508" s="2"/>
      <c r="H508" s="2"/>
      <c r="I508" s="13"/>
      <c r="J508" s="13"/>
      <c r="K508" s="13"/>
      <c r="L508" s="14"/>
      <c r="M508" s="4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ht="15.75" customHeight="1" x14ac:dyDescent="0.2">
      <c r="A509" s="12"/>
      <c r="B509" s="10"/>
      <c r="C509" s="11"/>
      <c r="D509" s="13"/>
      <c r="E509" s="13"/>
      <c r="F509" s="13"/>
      <c r="G509" s="2"/>
      <c r="H509" s="2"/>
      <c r="I509" s="13"/>
      <c r="J509" s="13"/>
      <c r="K509" s="13"/>
      <c r="L509" s="14"/>
      <c r="M509" s="4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ht="15.75" customHeight="1" x14ac:dyDescent="0.2">
      <c r="A510" s="12"/>
      <c r="B510" s="10"/>
      <c r="C510" s="11"/>
      <c r="D510" s="13"/>
      <c r="E510" s="13"/>
      <c r="F510" s="13"/>
      <c r="G510" s="2"/>
      <c r="H510" s="2"/>
      <c r="I510" s="13"/>
      <c r="J510" s="13"/>
      <c r="K510" s="13"/>
      <c r="L510" s="14"/>
      <c r="M510" s="4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ht="15.75" customHeight="1" x14ac:dyDescent="0.2">
      <c r="A511" s="12"/>
      <c r="B511" s="10"/>
      <c r="C511" s="11"/>
      <c r="D511" s="13"/>
      <c r="E511" s="13"/>
      <c r="F511" s="13"/>
      <c r="G511" s="2"/>
      <c r="H511" s="2"/>
      <c r="I511" s="13"/>
      <c r="J511" s="13"/>
      <c r="K511" s="13"/>
      <c r="L511" s="14"/>
      <c r="M511" s="4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ht="15.75" customHeight="1" x14ac:dyDescent="0.2">
      <c r="A512" s="12"/>
      <c r="B512" s="10"/>
      <c r="C512" s="11"/>
      <c r="D512" s="13"/>
      <c r="E512" s="13"/>
      <c r="F512" s="13"/>
      <c r="G512" s="2"/>
      <c r="H512" s="2"/>
      <c r="I512" s="13"/>
      <c r="J512" s="13"/>
      <c r="K512" s="13"/>
      <c r="L512" s="14"/>
      <c r="M512" s="4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ht="15.75" customHeight="1" x14ac:dyDescent="0.2">
      <c r="A513" s="12"/>
      <c r="B513" s="10"/>
      <c r="C513" s="11"/>
      <c r="D513" s="13"/>
      <c r="E513" s="13"/>
      <c r="F513" s="13"/>
      <c r="G513" s="2"/>
      <c r="H513" s="2"/>
      <c r="I513" s="13"/>
      <c r="J513" s="13"/>
      <c r="K513" s="13"/>
      <c r="L513" s="14"/>
      <c r="M513" s="4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ht="15.75" customHeight="1" x14ac:dyDescent="0.2">
      <c r="A514" s="12"/>
      <c r="B514" s="10"/>
      <c r="C514" s="11"/>
      <c r="D514" s="13"/>
      <c r="E514" s="13"/>
      <c r="F514" s="13"/>
      <c r="G514" s="2"/>
      <c r="H514" s="2"/>
      <c r="I514" s="13"/>
      <c r="J514" s="13"/>
      <c r="K514" s="13"/>
      <c r="L514" s="14"/>
      <c r="M514" s="4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ht="15.75" customHeight="1" x14ac:dyDescent="0.2">
      <c r="A515" s="12"/>
      <c r="B515" s="10"/>
      <c r="C515" s="11"/>
      <c r="D515" s="13"/>
      <c r="E515" s="13"/>
      <c r="F515" s="13"/>
      <c r="G515" s="2"/>
      <c r="H515" s="2"/>
      <c r="I515" s="13"/>
      <c r="J515" s="13"/>
      <c r="K515" s="13"/>
      <c r="L515" s="14"/>
      <c r="M515" s="4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ht="15.75" customHeight="1" x14ac:dyDescent="0.2">
      <c r="A516" s="12"/>
      <c r="B516" s="10"/>
      <c r="C516" s="11"/>
      <c r="D516" s="13"/>
      <c r="E516" s="13"/>
      <c r="F516" s="13"/>
      <c r="G516" s="2"/>
      <c r="H516" s="2"/>
      <c r="I516" s="13"/>
      <c r="J516" s="13"/>
      <c r="K516" s="13"/>
      <c r="L516" s="14"/>
      <c r="M516" s="4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ht="15.75" customHeight="1" x14ac:dyDescent="0.2">
      <c r="A517" s="12"/>
      <c r="B517" s="10"/>
      <c r="C517" s="11"/>
      <c r="D517" s="13"/>
      <c r="E517" s="13"/>
      <c r="F517" s="13"/>
      <c r="G517" s="2"/>
      <c r="H517" s="2"/>
      <c r="I517" s="13"/>
      <c r="J517" s="13"/>
      <c r="K517" s="13"/>
      <c r="L517" s="14"/>
      <c r="M517" s="4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ht="15.75" customHeight="1" x14ac:dyDescent="0.2">
      <c r="A518" s="12"/>
      <c r="B518" s="10"/>
      <c r="C518" s="11"/>
      <c r="D518" s="13"/>
      <c r="E518" s="13"/>
      <c r="F518" s="13"/>
      <c r="G518" s="2"/>
      <c r="H518" s="2"/>
      <c r="I518" s="13"/>
      <c r="J518" s="13"/>
      <c r="K518" s="13"/>
      <c r="L518" s="14"/>
      <c r="M518" s="4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ht="15.75" customHeight="1" x14ac:dyDescent="0.2">
      <c r="A519" s="12"/>
      <c r="B519" s="10"/>
      <c r="C519" s="11"/>
      <c r="D519" s="13"/>
      <c r="E519" s="13"/>
      <c r="F519" s="13"/>
      <c r="G519" s="2"/>
      <c r="H519" s="2"/>
      <c r="I519" s="13"/>
      <c r="J519" s="13"/>
      <c r="K519" s="13"/>
      <c r="L519" s="14"/>
      <c r="M519" s="4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ht="15.75" customHeight="1" x14ac:dyDescent="0.2">
      <c r="A520" s="12"/>
      <c r="B520" s="10"/>
      <c r="C520" s="11"/>
      <c r="D520" s="13"/>
      <c r="E520" s="13"/>
      <c r="F520" s="13"/>
      <c r="G520" s="2"/>
      <c r="H520" s="2"/>
      <c r="I520" s="13"/>
      <c r="J520" s="13"/>
      <c r="K520" s="13"/>
      <c r="L520" s="14"/>
      <c r="M520" s="4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ht="15.75" customHeight="1" x14ac:dyDescent="0.2">
      <c r="A521" s="12"/>
      <c r="B521" s="10"/>
      <c r="C521" s="11"/>
      <c r="D521" s="13"/>
      <c r="E521" s="13"/>
      <c r="F521" s="13"/>
      <c r="G521" s="2"/>
      <c r="H521" s="2"/>
      <c r="I521" s="13"/>
      <c r="J521" s="13"/>
      <c r="K521" s="13"/>
      <c r="L521" s="14"/>
      <c r="M521" s="4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ht="15.75" customHeight="1" x14ac:dyDescent="0.2">
      <c r="A522" s="12"/>
      <c r="B522" s="10"/>
      <c r="C522" s="11"/>
      <c r="D522" s="13"/>
      <c r="E522" s="13"/>
      <c r="F522" s="13"/>
      <c r="G522" s="2"/>
      <c r="H522" s="2"/>
      <c r="I522" s="13"/>
      <c r="J522" s="13"/>
      <c r="K522" s="13"/>
      <c r="L522" s="14"/>
      <c r="M522" s="4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ht="15.75" customHeight="1" x14ac:dyDescent="0.2">
      <c r="A523" s="12"/>
      <c r="B523" s="10"/>
      <c r="C523" s="11"/>
      <c r="D523" s="13"/>
      <c r="E523" s="13"/>
      <c r="F523" s="13"/>
      <c r="G523" s="2"/>
      <c r="H523" s="2"/>
      <c r="I523" s="13"/>
      <c r="J523" s="13"/>
      <c r="K523" s="13"/>
      <c r="L523" s="14"/>
      <c r="M523" s="4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ht="15.75" customHeight="1" x14ac:dyDescent="0.2">
      <c r="A524" s="12"/>
      <c r="B524" s="10"/>
      <c r="C524" s="11"/>
      <c r="D524" s="13"/>
      <c r="E524" s="13"/>
      <c r="F524" s="13"/>
      <c r="G524" s="2"/>
      <c r="H524" s="2"/>
      <c r="I524" s="13"/>
      <c r="J524" s="13"/>
      <c r="K524" s="13"/>
      <c r="L524" s="14"/>
      <c r="M524" s="4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ht="15.75" customHeight="1" x14ac:dyDescent="0.2">
      <c r="A525" s="12"/>
      <c r="B525" s="10"/>
      <c r="C525" s="11"/>
      <c r="D525" s="13"/>
      <c r="E525" s="13"/>
      <c r="F525" s="13"/>
      <c r="G525" s="2"/>
      <c r="H525" s="2"/>
      <c r="I525" s="13"/>
      <c r="J525" s="13"/>
      <c r="K525" s="13"/>
      <c r="L525" s="14"/>
      <c r="M525" s="4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ht="15.75" customHeight="1" x14ac:dyDescent="0.2">
      <c r="A526" s="12"/>
      <c r="B526" s="10"/>
      <c r="C526" s="11"/>
      <c r="D526" s="13"/>
      <c r="E526" s="13"/>
      <c r="F526" s="13"/>
      <c r="G526" s="2"/>
      <c r="H526" s="2"/>
      <c r="I526" s="13"/>
      <c r="J526" s="13"/>
      <c r="K526" s="13"/>
      <c r="L526" s="14"/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ht="15.75" customHeight="1" x14ac:dyDescent="0.2">
      <c r="A527" s="12"/>
      <c r="B527" s="10"/>
      <c r="C527" s="11"/>
      <c r="D527" s="13"/>
      <c r="E527" s="13"/>
      <c r="F527" s="13"/>
      <c r="G527" s="2"/>
      <c r="H527" s="2"/>
      <c r="I527" s="13"/>
      <c r="J527" s="13"/>
      <c r="K527" s="13"/>
      <c r="L527" s="14"/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A528" s="12"/>
      <c r="B528" s="10"/>
      <c r="C528" s="11"/>
      <c r="D528" s="13"/>
      <c r="E528" s="13"/>
      <c r="F528" s="13"/>
      <c r="G528" s="2"/>
      <c r="H528" s="2"/>
      <c r="I528" s="13"/>
      <c r="J528" s="13"/>
      <c r="K528" s="13"/>
      <c r="L528" s="14"/>
      <c r="M528" s="4"/>
      <c r="N528" s="2"/>
      <c r="O528" s="4"/>
      <c r="P528" s="2"/>
      <c r="Q528" s="2"/>
      <c r="R528" s="4"/>
      <c r="S528" s="2"/>
      <c r="T528" s="2"/>
      <c r="U528" s="1"/>
      <c r="V528" s="2"/>
      <c r="W528" s="2"/>
      <c r="X528" s="2"/>
      <c r="Y528" s="2"/>
      <c r="Z528" s="2"/>
    </row>
    <row r="529" spans="1:26" ht="15.75" customHeight="1" x14ac:dyDescent="0.2">
      <c r="A529" s="12"/>
      <c r="B529" s="10"/>
      <c r="C529" s="11"/>
      <c r="D529" s="13"/>
      <c r="E529" s="13"/>
      <c r="F529" s="13"/>
      <c r="G529" s="2"/>
      <c r="H529" s="2"/>
      <c r="I529" s="13"/>
      <c r="J529" s="13"/>
      <c r="K529" s="13"/>
      <c r="L529" s="14"/>
      <c r="M529" s="4"/>
      <c r="N529" s="2"/>
      <c r="O529" s="4"/>
      <c r="P529" s="2"/>
      <c r="Q529" s="2"/>
      <c r="R529" s="4"/>
      <c r="S529" s="2"/>
      <c r="T529" s="2"/>
      <c r="U529" s="1"/>
      <c r="V529" s="2"/>
      <c r="W529" s="2"/>
      <c r="X529" s="2"/>
      <c r="Y529" s="2"/>
      <c r="Z529" s="2"/>
    </row>
    <row r="530" spans="1:26" ht="15.75" customHeight="1" x14ac:dyDescent="0.2">
      <c r="A530" s="12"/>
      <c r="B530" s="10"/>
      <c r="C530" s="11"/>
      <c r="D530" s="13"/>
      <c r="E530" s="13"/>
      <c r="F530" s="13"/>
      <c r="G530" s="2"/>
      <c r="H530" s="2"/>
      <c r="I530" s="13"/>
      <c r="J530" s="13"/>
      <c r="K530" s="13"/>
      <c r="L530" s="14"/>
      <c r="M530" s="4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ht="15.75" customHeight="1" x14ac:dyDescent="0.2">
      <c r="A531" s="12"/>
      <c r="B531" s="10"/>
      <c r="C531" s="11"/>
      <c r="D531" s="13"/>
      <c r="E531" s="13"/>
      <c r="F531" s="13"/>
      <c r="G531" s="2"/>
      <c r="H531" s="2"/>
      <c r="I531" s="13"/>
      <c r="J531" s="13"/>
      <c r="K531" s="13"/>
      <c r="L531" s="14"/>
      <c r="M531" s="4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ht="15.75" customHeight="1" x14ac:dyDescent="0.2">
      <c r="A532" s="12"/>
      <c r="B532" s="10"/>
      <c r="C532" s="11"/>
      <c r="D532" s="13"/>
      <c r="E532" s="13"/>
      <c r="F532" s="13"/>
      <c r="G532" s="2"/>
      <c r="H532" s="2"/>
      <c r="I532" s="13"/>
      <c r="J532" s="13"/>
      <c r="K532" s="13"/>
      <c r="L532" s="14"/>
      <c r="M532" s="4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ht="15.75" customHeight="1" x14ac:dyDescent="0.2">
      <c r="A533" s="12"/>
      <c r="B533" s="10"/>
      <c r="C533" s="11"/>
      <c r="D533" s="13"/>
      <c r="E533" s="13"/>
      <c r="F533" s="13"/>
      <c r="G533" s="2"/>
      <c r="H533" s="2"/>
      <c r="I533" s="13"/>
      <c r="J533" s="13"/>
      <c r="K533" s="13"/>
      <c r="L533" s="14"/>
      <c r="M533" s="4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ht="15.75" customHeight="1" x14ac:dyDescent="0.2">
      <c r="A534" s="12"/>
      <c r="B534" s="10"/>
      <c r="C534" s="11"/>
      <c r="D534" s="13"/>
      <c r="E534" s="13"/>
      <c r="F534" s="13"/>
      <c r="G534" s="2"/>
      <c r="H534" s="2"/>
      <c r="I534" s="13"/>
      <c r="J534" s="13"/>
      <c r="K534" s="13"/>
      <c r="L534" s="14"/>
      <c r="M534" s="4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ht="15.75" customHeight="1" x14ac:dyDescent="0.2">
      <c r="A535" s="12"/>
      <c r="B535" s="10"/>
      <c r="C535" s="11"/>
      <c r="D535" s="13"/>
      <c r="E535" s="13"/>
      <c r="F535" s="13"/>
      <c r="G535" s="2"/>
      <c r="H535" s="2"/>
      <c r="I535" s="13"/>
      <c r="J535" s="13"/>
      <c r="K535" s="13"/>
      <c r="L535" s="14"/>
      <c r="M535" s="4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ht="15.75" customHeight="1" x14ac:dyDescent="0.2">
      <c r="A536" s="12"/>
      <c r="B536" s="10"/>
      <c r="C536" s="11"/>
      <c r="D536" s="13"/>
      <c r="E536" s="13"/>
      <c r="F536" s="13"/>
      <c r="G536" s="2"/>
      <c r="H536" s="2"/>
      <c r="I536" s="13"/>
      <c r="J536" s="13"/>
      <c r="K536" s="13"/>
      <c r="L536" s="14"/>
      <c r="M536" s="4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ht="15.75" customHeight="1" x14ac:dyDescent="0.2">
      <c r="A537" s="12"/>
      <c r="B537" s="10"/>
      <c r="C537" s="11"/>
      <c r="D537" s="13"/>
      <c r="E537" s="13"/>
      <c r="F537" s="13"/>
      <c r="G537" s="2"/>
      <c r="H537" s="2"/>
      <c r="I537" s="13"/>
      <c r="J537" s="13"/>
      <c r="K537" s="13"/>
      <c r="L537" s="14"/>
      <c r="M537" s="4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ht="15.75" customHeight="1" x14ac:dyDescent="0.2">
      <c r="A538" s="12"/>
      <c r="B538" s="10"/>
      <c r="C538" s="11"/>
      <c r="D538" s="13"/>
      <c r="E538" s="13"/>
      <c r="F538" s="13"/>
      <c r="G538" s="2"/>
      <c r="H538" s="2"/>
      <c r="I538" s="13"/>
      <c r="J538" s="13"/>
      <c r="K538" s="13"/>
      <c r="L538" s="14"/>
      <c r="M538" s="4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ht="15.75" customHeight="1" x14ac:dyDescent="0.2">
      <c r="A539" s="12"/>
      <c r="B539" s="10"/>
      <c r="C539" s="11"/>
      <c r="D539" s="13"/>
      <c r="E539" s="13"/>
      <c r="F539" s="13"/>
      <c r="G539" s="2"/>
      <c r="H539" s="2"/>
      <c r="I539" s="13"/>
      <c r="J539" s="13"/>
      <c r="K539" s="13"/>
      <c r="L539" s="14"/>
      <c r="M539" s="4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ht="15.75" customHeight="1" x14ac:dyDescent="0.2">
      <c r="A540" s="12"/>
      <c r="B540" s="10"/>
      <c r="C540" s="11"/>
      <c r="D540" s="13"/>
      <c r="E540" s="13"/>
      <c r="F540" s="13"/>
      <c r="G540" s="2"/>
      <c r="H540" s="2"/>
      <c r="I540" s="13"/>
      <c r="J540" s="13"/>
      <c r="K540" s="13"/>
      <c r="L540" s="14"/>
      <c r="M540" s="4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ht="15.75" customHeight="1" x14ac:dyDescent="0.2">
      <c r="A541" s="12"/>
      <c r="B541" s="10"/>
      <c r="C541" s="11"/>
      <c r="D541" s="13"/>
      <c r="E541" s="13"/>
      <c r="F541" s="13"/>
      <c r="G541" s="2"/>
      <c r="H541" s="2"/>
      <c r="I541" s="13"/>
      <c r="J541" s="13"/>
      <c r="K541" s="13"/>
      <c r="L541" s="14"/>
      <c r="M541" s="4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ht="15.75" customHeight="1" x14ac:dyDescent="0.2">
      <c r="A542" s="12"/>
      <c r="B542" s="10"/>
      <c r="C542" s="11"/>
      <c r="D542" s="13"/>
      <c r="E542" s="13"/>
      <c r="F542" s="13"/>
      <c r="G542" s="2"/>
      <c r="H542" s="2"/>
      <c r="I542" s="13"/>
      <c r="J542" s="13"/>
      <c r="K542" s="13"/>
      <c r="L542" s="14"/>
      <c r="M542" s="4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ht="15.75" customHeight="1" x14ac:dyDescent="0.2">
      <c r="A543" s="12"/>
      <c r="B543" s="10"/>
      <c r="C543" s="11"/>
      <c r="D543" s="13"/>
      <c r="E543" s="13"/>
      <c r="F543" s="13"/>
      <c r="G543" s="2"/>
      <c r="H543" s="2"/>
      <c r="I543" s="13"/>
      <c r="J543" s="13"/>
      <c r="K543" s="13"/>
      <c r="L543" s="14"/>
      <c r="M543" s="4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ht="15.75" customHeight="1" x14ac:dyDescent="0.2">
      <c r="A544" s="12"/>
      <c r="B544" s="10"/>
      <c r="C544" s="11"/>
      <c r="D544" s="13"/>
      <c r="E544" s="13"/>
      <c r="F544" s="13"/>
      <c r="G544" s="2"/>
      <c r="H544" s="2"/>
      <c r="I544" s="13"/>
      <c r="J544" s="13"/>
      <c r="K544" s="13"/>
      <c r="L544" s="14"/>
      <c r="M544" s="4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ht="15.75" customHeight="1" x14ac:dyDescent="0.2">
      <c r="A545" s="12"/>
      <c r="B545" s="10"/>
      <c r="C545" s="11"/>
      <c r="D545" s="13"/>
      <c r="E545" s="13"/>
      <c r="F545" s="13"/>
      <c r="G545" s="2"/>
      <c r="H545" s="2"/>
      <c r="I545" s="13"/>
      <c r="J545" s="13"/>
      <c r="K545" s="13"/>
      <c r="L545" s="14"/>
      <c r="M545" s="4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ht="15.75" customHeight="1" x14ac:dyDescent="0.2">
      <c r="A546" s="12"/>
      <c r="B546" s="10"/>
      <c r="C546" s="11"/>
      <c r="D546" s="13"/>
      <c r="E546" s="13"/>
      <c r="F546" s="13"/>
      <c r="G546" s="2"/>
      <c r="H546" s="2"/>
      <c r="I546" s="13"/>
      <c r="J546" s="13"/>
      <c r="K546" s="13"/>
      <c r="L546" s="14"/>
      <c r="M546" s="4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ht="15.75" customHeight="1" x14ac:dyDescent="0.2">
      <c r="A547" s="12"/>
      <c r="B547" s="10"/>
      <c r="C547" s="11"/>
      <c r="D547" s="13"/>
      <c r="E547" s="13"/>
      <c r="F547" s="13"/>
      <c r="G547" s="2"/>
      <c r="H547" s="2"/>
      <c r="I547" s="13"/>
      <c r="J547" s="13"/>
      <c r="K547" s="13"/>
      <c r="L547" s="14"/>
      <c r="M547" s="4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ht="15.75" customHeight="1" x14ac:dyDescent="0.2">
      <c r="A548" s="12"/>
      <c r="B548" s="10"/>
      <c r="C548" s="11"/>
      <c r="D548" s="13"/>
      <c r="E548" s="13"/>
      <c r="F548" s="13"/>
      <c r="G548" s="2"/>
      <c r="H548" s="2"/>
      <c r="I548" s="13"/>
      <c r="J548" s="13"/>
      <c r="K548" s="13"/>
      <c r="L548" s="14"/>
      <c r="M548" s="4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ht="15.75" customHeight="1" x14ac:dyDescent="0.2">
      <c r="A549" s="12"/>
      <c r="B549" s="10"/>
      <c r="C549" s="11"/>
      <c r="D549" s="13"/>
      <c r="E549" s="13"/>
      <c r="F549" s="13"/>
      <c r="G549" s="2"/>
      <c r="H549" s="2"/>
      <c r="I549" s="13"/>
      <c r="J549" s="13"/>
      <c r="K549" s="13"/>
      <c r="L549" s="14"/>
      <c r="M549" s="4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ht="15.75" customHeight="1" x14ac:dyDescent="0.2">
      <c r="A550" s="12"/>
      <c r="B550" s="10"/>
      <c r="C550" s="11"/>
      <c r="D550" s="13"/>
      <c r="E550" s="13"/>
      <c r="F550" s="13"/>
      <c r="G550" s="2"/>
      <c r="H550" s="2"/>
      <c r="I550" s="13"/>
      <c r="J550" s="13"/>
      <c r="K550" s="13"/>
      <c r="L550" s="14"/>
      <c r="M550" s="4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ht="15.75" customHeight="1" x14ac:dyDescent="0.2">
      <c r="A551" s="12"/>
      <c r="B551" s="10"/>
      <c r="C551" s="11"/>
      <c r="D551" s="13"/>
      <c r="E551" s="13"/>
      <c r="F551" s="13"/>
      <c r="G551" s="2"/>
      <c r="H551" s="2"/>
      <c r="I551" s="13"/>
      <c r="J551" s="13"/>
      <c r="K551" s="13"/>
      <c r="L551" s="14"/>
      <c r="M551" s="4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ht="15.75" customHeight="1" x14ac:dyDescent="0.2">
      <c r="A552" s="12"/>
      <c r="B552" s="10"/>
      <c r="C552" s="11"/>
      <c r="D552" s="13"/>
      <c r="E552" s="13"/>
      <c r="F552" s="13"/>
      <c r="G552" s="2"/>
      <c r="H552" s="2"/>
      <c r="I552" s="13"/>
      <c r="J552" s="13"/>
      <c r="K552" s="13"/>
      <c r="L552" s="14"/>
      <c r="M552" s="4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ht="15.75" customHeight="1" x14ac:dyDescent="0.2">
      <c r="A553" s="12"/>
      <c r="B553" s="10"/>
      <c r="C553" s="11"/>
      <c r="D553" s="13"/>
      <c r="E553" s="13"/>
      <c r="F553" s="13"/>
      <c r="G553" s="2"/>
      <c r="H553" s="2"/>
      <c r="I553" s="13"/>
      <c r="J553" s="13"/>
      <c r="K553" s="13"/>
      <c r="L553" s="14"/>
      <c r="M553" s="4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ht="15.75" customHeight="1" x14ac:dyDescent="0.2">
      <c r="A554" s="12"/>
      <c r="B554" s="10"/>
      <c r="C554" s="11"/>
      <c r="D554" s="13"/>
      <c r="E554" s="13"/>
      <c r="F554" s="13"/>
      <c r="G554" s="2"/>
      <c r="H554" s="2"/>
      <c r="I554" s="13"/>
      <c r="J554" s="13"/>
      <c r="K554" s="13"/>
      <c r="L554" s="14"/>
      <c r="M554" s="4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ht="15.75" customHeight="1" x14ac:dyDescent="0.2">
      <c r="A555" s="12"/>
      <c r="B555" s="10"/>
      <c r="C555" s="11"/>
      <c r="D555" s="13"/>
      <c r="E555" s="13"/>
      <c r="F555" s="13"/>
      <c r="G555" s="2"/>
      <c r="H555" s="2"/>
      <c r="I555" s="13"/>
      <c r="J555" s="13"/>
      <c r="K555" s="13"/>
      <c r="L555" s="14"/>
      <c r="M555" s="4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ht="15.75" customHeight="1" x14ac:dyDescent="0.2">
      <c r="A556" s="12"/>
      <c r="B556" s="10"/>
      <c r="C556" s="11"/>
      <c r="D556" s="13"/>
      <c r="E556" s="13"/>
      <c r="F556" s="13"/>
      <c r="G556" s="2"/>
      <c r="H556" s="2"/>
      <c r="I556" s="13"/>
      <c r="J556" s="13"/>
      <c r="K556" s="13"/>
      <c r="L556" s="14"/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ht="15.75" customHeight="1" x14ac:dyDescent="0.2">
      <c r="A557" s="12"/>
      <c r="B557" s="10"/>
      <c r="C557" s="11"/>
      <c r="D557" s="13"/>
      <c r="E557" s="13"/>
      <c r="F557" s="13"/>
      <c r="G557" s="2"/>
      <c r="H557" s="2"/>
      <c r="I557" s="13"/>
      <c r="J557" s="13"/>
      <c r="K557" s="13"/>
      <c r="L557" s="14"/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2"/>
      <c r="B558" s="10"/>
      <c r="C558" s="11"/>
      <c r="D558" s="13"/>
      <c r="E558" s="13"/>
      <c r="F558" s="13"/>
      <c r="G558" s="2"/>
      <c r="H558" s="2"/>
      <c r="I558" s="13"/>
      <c r="J558" s="13"/>
      <c r="K558" s="13"/>
      <c r="L558" s="14"/>
      <c r="M558" s="4"/>
      <c r="N558" s="2"/>
      <c r="O558" s="4"/>
      <c r="P558" s="2"/>
      <c r="Q558" s="2"/>
      <c r="R558" s="4"/>
      <c r="S558" s="2"/>
      <c r="T558" s="2"/>
      <c r="U558" s="1"/>
      <c r="V558" s="2"/>
      <c r="W558" s="2"/>
      <c r="X558" s="2"/>
      <c r="Y558" s="2"/>
      <c r="Z558" s="2"/>
    </row>
    <row r="559" spans="1:26" ht="15.75" customHeight="1" x14ac:dyDescent="0.2">
      <c r="A559" s="12"/>
      <c r="B559" s="10"/>
      <c r="C559" s="11"/>
      <c r="D559" s="13"/>
      <c r="E559" s="13"/>
      <c r="F559" s="13"/>
      <c r="G559" s="2"/>
      <c r="H559" s="2"/>
      <c r="I559" s="13"/>
      <c r="J559" s="13"/>
      <c r="K559" s="13"/>
      <c r="L559" s="14"/>
      <c r="M559" s="4"/>
      <c r="N559" s="2"/>
      <c r="O559" s="4"/>
      <c r="P559" s="2"/>
      <c r="Q559" s="2"/>
      <c r="R559" s="4"/>
      <c r="S559" s="2"/>
      <c r="T559" s="2"/>
      <c r="U559" s="1"/>
      <c r="V559" s="2"/>
      <c r="W559" s="2"/>
      <c r="X559" s="2"/>
      <c r="Y559" s="2"/>
      <c r="Z559" s="2"/>
    </row>
    <row r="560" spans="1:26" ht="15.75" customHeight="1" x14ac:dyDescent="0.2">
      <c r="A560" s="12"/>
      <c r="B560" s="10"/>
      <c r="C560" s="11"/>
      <c r="D560" s="13"/>
      <c r="E560" s="13"/>
      <c r="F560" s="13"/>
      <c r="G560" s="2"/>
      <c r="H560" s="2"/>
      <c r="I560" s="13"/>
      <c r="J560" s="13"/>
      <c r="K560" s="13"/>
      <c r="L560" s="14"/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A561" s="12"/>
      <c r="B561" s="10"/>
      <c r="C561" s="11"/>
      <c r="D561" s="13"/>
      <c r="E561" s="13"/>
      <c r="F561" s="13"/>
      <c r="G561" s="2"/>
      <c r="H561" s="2"/>
      <c r="I561" s="13"/>
      <c r="J561" s="13"/>
      <c r="K561" s="13"/>
      <c r="L561" s="14"/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12"/>
      <c r="B562" s="10"/>
      <c r="C562" s="11"/>
      <c r="D562" s="13"/>
      <c r="E562" s="13"/>
      <c r="F562" s="13"/>
      <c r="G562" s="2"/>
      <c r="H562" s="2"/>
      <c r="I562" s="13"/>
      <c r="J562" s="13"/>
      <c r="K562" s="13"/>
      <c r="L562" s="14"/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2"/>
      <c r="B563" s="10"/>
      <c r="C563" s="11"/>
      <c r="D563" s="13"/>
      <c r="E563" s="13"/>
      <c r="F563" s="13"/>
      <c r="G563" s="2"/>
      <c r="H563" s="2"/>
      <c r="I563" s="13"/>
      <c r="J563" s="13"/>
      <c r="K563" s="13"/>
      <c r="L563" s="14"/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2"/>
      <c r="B564" s="10"/>
      <c r="C564" s="11"/>
      <c r="D564" s="13"/>
      <c r="E564" s="13"/>
      <c r="F564" s="13"/>
      <c r="G564" s="2"/>
      <c r="H564" s="2"/>
      <c r="I564" s="13"/>
      <c r="J564" s="13"/>
      <c r="K564" s="13"/>
      <c r="L564" s="14"/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2"/>
      <c r="B565" s="10"/>
      <c r="C565" s="11"/>
      <c r="D565" s="13"/>
      <c r="E565" s="13"/>
      <c r="F565" s="13"/>
      <c r="G565" s="2"/>
      <c r="H565" s="2"/>
      <c r="I565" s="13"/>
      <c r="J565" s="13"/>
      <c r="K565" s="13"/>
      <c r="L565" s="14"/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2"/>
      <c r="B566" s="10"/>
      <c r="C566" s="11"/>
      <c r="D566" s="13"/>
      <c r="E566" s="13"/>
      <c r="F566" s="13"/>
      <c r="G566" s="2"/>
      <c r="H566" s="2"/>
      <c r="I566" s="13"/>
      <c r="J566" s="13"/>
      <c r="K566" s="13"/>
      <c r="L566" s="14"/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2"/>
      <c r="B567" s="10"/>
      <c r="C567" s="11"/>
      <c r="D567" s="13"/>
      <c r="E567" s="13"/>
      <c r="F567" s="13"/>
      <c r="G567" s="2"/>
      <c r="H567" s="2"/>
      <c r="I567" s="13"/>
      <c r="J567" s="13"/>
      <c r="K567" s="13"/>
      <c r="L567" s="14"/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2"/>
      <c r="B568" s="10"/>
      <c r="C568" s="11"/>
      <c r="D568" s="13"/>
      <c r="E568" s="13"/>
      <c r="F568" s="13"/>
      <c r="G568" s="2"/>
      <c r="H568" s="2"/>
      <c r="I568" s="13"/>
      <c r="J568" s="13"/>
      <c r="K568" s="13"/>
      <c r="L568" s="14"/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2"/>
      <c r="B569" s="10"/>
      <c r="C569" s="11"/>
      <c r="D569" s="13"/>
      <c r="E569" s="13"/>
      <c r="F569" s="13"/>
      <c r="G569" s="2"/>
      <c r="H569" s="2"/>
      <c r="I569" s="13"/>
      <c r="J569" s="13"/>
      <c r="K569" s="13"/>
      <c r="L569" s="14"/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2"/>
      <c r="B570" s="10"/>
      <c r="C570" s="11"/>
      <c r="D570" s="13"/>
      <c r="E570" s="13"/>
      <c r="F570" s="13"/>
      <c r="G570" s="2"/>
      <c r="H570" s="2"/>
      <c r="I570" s="13"/>
      <c r="J570" s="13"/>
      <c r="K570" s="13"/>
      <c r="L570" s="14"/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5.75" customHeight="1" x14ac:dyDescent="0.2">
      <c r="A571" s="12"/>
      <c r="B571" s="10"/>
      <c r="C571" s="11"/>
      <c r="D571" s="13"/>
      <c r="E571" s="13"/>
      <c r="F571" s="13"/>
      <c r="G571" s="2"/>
      <c r="H571" s="2"/>
      <c r="I571" s="13"/>
      <c r="J571" s="13"/>
      <c r="K571" s="13"/>
      <c r="L571" s="14"/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5.75" customHeight="1" x14ac:dyDescent="0.2">
      <c r="A572" s="12"/>
      <c r="B572" s="10"/>
      <c r="C572" s="11"/>
      <c r="D572" s="13"/>
      <c r="E572" s="13"/>
      <c r="F572" s="13"/>
      <c r="G572" s="2"/>
      <c r="H572" s="2"/>
      <c r="I572" s="13"/>
      <c r="J572" s="13"/>
      <c r="K572" s="13"/>
      <c r="L572" s="14"/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A573" s="12"/>
      <c r="B573" s="10"/>
      <c r="C573" s="11"/>
      <c r="D573" s="13"/>
      <c r="E573" s="13"/>
      <c r="F573" s="13"/>
      <c r="G573" s="2"/>
      <c r="H573" s="2"/>
      <c r="I573" s="13"/>
      <c r="J573" s="13"/>
      <c r="K573" s="13"/>
      <c r="L573" s="14"/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A574" s="12"/>
      <c r="B574" s="10"/>
      <c r="C574" s="11"/>
      <c r="D574" s="13"/>
      <c r="E574" s="13"/>
      <c r="F574" s="13"/>
      <c r="G574" s="2"/>
      <c r="H574" s="2"/>
      <c r="I574" s="13"/>
      <c r="J574" s="13"/>
      <c r="K574" s="13"/>
      <c r="L574" s="14"/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2"/>
      <c r="B575" s="10"/>
      <c r="C575" s="11"/>
      <c r="D575" s="13"/>
      <c r="E575" s="13"/>
      <c r="F575" s="13"/>
      <c r="G575" s="2"/>
      <c r="H575" s="2"/>
      <c r="I575" s="13"/>
      <c r="J575" s="13"/>
      <c r="K575" s="13"/>
      <c r="L575" s="14"/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A576" s="12"/>
      <c r="B576" s="10"/>
      <c r="C576" s="11"/>
      <c r="D576" s="13"/>
      <c r="E576" s="13"/>
      <c r="F576" s="13"/>
      <c r="G576" s="2"/>
      <c r="H576" s="2"/>
      <c r="I576" s="13"/>
      <c r="J576" s="13"/>
      <c r="K576" s="13"/>
      <c r="L576" s="14"/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2"/>
      <c r="B577" s="10"/>
      <c r="C577" s="11"/>
      <c r="D577" s="13"/>
      <c r="E577" s="13"/>
      <c r="F577" s="13"/>
      <c r="G577" s="2"/>
      <c r="H577" s="2"/>
      <c r="I577" s="13"/>
      <c r="J577" s="13"/>
      <c r="K577" s="13"/>
      <c r="L577" s="14"/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2"/>
      <c r="B578" s="10"/>
      <c r="C578" s="11"/>
      <c r="D578" s="13"/>
      <c r="E578" s="13"/>
      <c r="F578" s="13"/>
      <c r="G578" s="2"/>
      <c r="H578" s="2"/>
      <c r="I578" s="13"/>
      <c r="J578" s="13"/>
      <c r="K578" s="13"/>
      <c r="L578" s="14"/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2"/>
      <c r="B579" s="10"/>
      <c r="C579" s="11"/>
      <c r="D579" s="13"/>
      <c r="E579" s="13"/>
      <c r="F579" s="13"/>
      <c r="G579" s="2"/>
      <c r="H579" s="2"/>
      <c r="I579" s="13"/>
      <c r="J579" s="13"/>
      <c r="K579" s="13"/>
      <c r="L579" s="14"/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2"/>
      <c r="B580" s="10"/>
      <c r="C580" s="11"/>
      <c r="D580" s="13"/>
      <c r="E580" s="13"/>
      <c r="F580" s="13"/>
      <c r="G580" s="2"/>
      <c r="H580" s="2"/>
      <c r="I580" s="13"/>
      <c r="J580" s="13"/>
      <c r="K580" s="13"/>
      <c r="L580" s="14"/>
      <c r="M580" s="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2"/>
      <c r="B581" s="10"/>
      <c r="C581" s="11"/>
      <c r="D581" s="13"/>
      <c r="E581" s="13"/>
      <c r="F581" s="13"/>
      <c r="G581" s="2"/>
      <c r="H581" s="2"/>
      <c r="I581" s="13"/>
      <c r="J581" s="13"/>
      <c r="K581" s="13"/>
      <c r="L581" s="14"/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2"/>
      <c r="B582" s="10"/>
      <c r="C582" s="11"/>
      <c r="D582" s="13"/>
      <c r="E582" s="13"/>
      <c r="F582" s="13"/>
      <c r="G582" s="2"/>
      <c r="H582" s="2"/>
      <c r="I582" s="13"/>
      <c r="J582" s="13"/>
      <c r="K582" s="13"/>
      <c r="L582" s="14"/>
      <c r="M582" s="4"/>
      <c r="N582" s="2"/>
      <c r="O582" s="4"/>
      <c r="P582" s="2"/>
      <c r="Q582" s="2"/>
      <c r="R582" s="4"/>
      <c r="S582" s="2"/>
      <c r="T582" s="2"/>
      <c r="U582" s="1"/>
      <c r="V582" s="2"/>
      <c r="W582" s="2"/>
      <c r="X582" s="2"/>
      <c r="Y582" s="2"/>
      <c r="Z582" s="2"/>
    </row>
    <row r="583" spans="1:26" ht="15.75" customHeight="1" x14ac:dyDescent="0.2">
      <c r="A583" s="12"/>
      <c r="B583" s="10"/>
      <c r="C583" s="11"/>
      <c r="D583" s="13"/>
      <c r="E583" s="13"/>
      <c r="F583" s="13"/>
      <c r="G583" s="2"/>
      <c r="H583" s="2"/>
      <c r="I583" s="13"/>
      <c r="J583" s="13"/>
      <c r="K583" s="13"/>
      <c r="L583" s="14"/>
      <c r="M583" s="4"/>
      <c r="N583" s="2"/>
      <c r="O583" s="4"/>
      <c r="P583" s="2"/>
      <c r="Q583" s="2"/>
      <c r="R583" s="4"/>
      <c r="S583" s="2"/>
      <c r="T583" s="2"/>
      <c r="U583" s="1"/>
      <c r="V583" s="2"/>
      <c r="W583" s="2"/>
      <c r="X583" s="2"/>
      <c r="Y583" s="2"/>
      <c r="Z583" s="2"/>
    </row>
    <row r="584" spans="1:26" ht="15.75" customHeight="1" x14ac:dyDescent="0.2">
      <c r="A584" s="12"/>
      <c r="B584" s="10"/>
      <c r="C584" s="11"/>
      <c r="D584" s="13"/>
      <c r="E584" s="13"/>
      <c r="F584" s="13"/>
      <c r="G584" s="2"/>
      <c r="H584" s="2"/>
      <c r="I584" s="13"/>
      <c r="J584" s="13"/>
      <c r="K584" s="13"/>
      <c r="L584" s="14"/>
      <c r="M584" s="4"/>
      <c r="N584" s="2"/>
      <c r="O584" s="4"/>
      <c r="P584" s="2"/>
      <c r="Q584" s="2"/>
      <c r="R584" s="4"/>
      <c r="S584" s="2"/>
      <c r="T584" s="2"/>
      <c r="U584" s="1"/>
      <c r="V584" s="2"/>
      <c r="W584" s="2"/>
      <c r="X584" s="2"/>
      <c r="Y584" s="2"/>
      <c r="Z584" s="2"/>
    </row>
    <row r="585" spans="1:26" ht="15.75" customHeight="1" x14ac:dyDescent="0.2">
      <c r="A585" s="12"/>
      <c r="B585" s="10"/>
      <c r="C585" s="11"/>
      <c r="D585" s="13"/>
      <c r="E585" s="13"/>
      <c r="F585" s="13"/>
      <c r="G585" s="2"/>
      <c r="H585" s="2"/>
      <c r="I585" s="13"/>
      <c r="J585" s="13"/>
      <c r="K585" s="13"/>
      <c r="L585" s="14"/>
      <c r="M585" s="4"/>
      <c r="N585" s="2"/>
      <c r="O585" s="4"/>
      <c r="P585" s="2"/>
      <c r="Q585" s="2"/>
      <c r="R585" s="4"/>
      <c r="S585" s="2"/>
      <c r="T585" s="2"/>
      <c r="U585" s="1"/>
      <c r="V585" s="2"/>
      <c r="W585" s="2"/>
      <c r="X585" s="2"/>
      <c r="Y585" s="2"/>
      <c r="Z585" s="2"/>
    </row>
    <row r="586" spans="1:26" ht="15.75" customHeight="1" x14ac:dyDescent="0.2">
      <c r="A586" s="12"/>
      <c r="B586" s="10"/>
      <c r="C586" s="11"/>
      <c r="D586" s="13"/>
      <c r="E586" s="13"/>
      <c r="F586" s="13"/>
      <c r="G586" s="2"/>
      <c r="H586" s="2"/>
      <c r="I586" s="13"/>
      <c r="J586" s="13"/>
      <c r="K586" s="13"/>
      <c r="L586" s="14"/>
      <c r="M586" s="4"/>
      <c r="N586" s="2"/>
      <c r="O586" s="4"/>
      <c r="P586" s="2"/>
      <c r="Q586" s="2"/>
      <c r="R586" s="4"/>
      <c r="S586" s="2"/>
      <c r="T586" s="2"/>
      <c r="U586" s="1"/>
      <c r="V586" s="2"/>
      <c r="W586" s="2"/>
      <c r="X586" s="2"/>
      <c r="Y586" s="2"/>
      <c r="Z586" s="2"/>
    </row>
    <row r="587" spans="1:26" ht="15.75" customHeight="1" x14ac:dyDescent="0.2">
      <c r="A587" s="12"/>
      <c r="B587" s="10"/>
      <c r="C587" s="11"/>
      <c r="D587" s="13"/>
      <c r="E587" s="13"/>
      <c r="F587" s="13"/>
      <c r="G587" s="2"/>
      <c r="H587" s="2"/>
      <c r="I587" s="13"/>
      <c r="J587" s="13"/>
      <c r="K587" s="13"/>
      <c r="L587" s="14"/>
      <c r="M587" s="4"/>
      <c r="N587" s="2"/>
      <c r="O587" s="4"/>
      <c r="P587" s="2"/>
      <c r="Q587" s="2"/>
      <c r="R587" s="4"/>
      <c r="S587" s="2"/>
      <c r="T587" s="2"/>
      <c r="U587" s="1"/>
      <c r="V587" s="2"/>
      <c r="W587" s="2"/>
      <c r="X587" s="2"/>
      <c r="Y587" s="2"/>
      <c r="Z587" s="2"/>
    </row>
    <row r="588" spans="1:26" ht="15.75" customHeight="1" x14ac:dyDescent="0.2">
      <c r="A588" s="12"/>
      <c r="B588" s="10"/>
      <c r="C588" s="11"/>
      <c r="D588" s="13"/>
      <c r="E588" s="13"/>
      <c r="F588" s="13"/>
      <c r="G588" s="2"/>
      <c r="H588" s="2"/>
      <c r="I588" s="13"/>
      <c r="J588" s="13"/>
      <c r="K588" s="13"/>
      <c r="L588" s="14"/>
      <c r="M588" s="4"/>
      <c r="N588" s="2"/>
      <c r="O588" s="4"/>
      <c r="P588" s="2"/>
      <c r="Q588" s="2"/>
      <c r="R588" s="4"/>
      <c r="S588" s="2"/>
      <c r="T588" s="2"/>
      <c r="U588" s="1"/>
      <c r="V588" s="2"/>
      <c r="W588" s="2"/>
      <c r="X588" s="2"/>
      <c r="Y588" s="2"/>
      <c r="Z588" s="2"/>
    </row>
    <row r="589" spans="1:26" ht="15.75" customHeight="1" x14ac:dyDescent="0.2">
      <c r="A589" s="12"/>
      <c r="B589" s="10"/>
      <c r="C589" s="11"/>
      <c r="D589" s="13"/>
      <c r="E589" s="13"/>
      <c r="F589" s="13"/>
      <c r="G589" s="2"/>
      <c r="H589" s="2"/>
      <c r="I589" s="13"/>
      <c r="J589" s="13"/>
      <c r="K589" s="13"/>
      <c r="L589" s="14"/>
      <c r="M589" s="4"/>
      <c r="N589" s="2"/>
      <c r="O589" s="4"/>
      <c r="P589" s="2"/>
      <c r="Q589" s="2"/>
      <c r="R589" s="4"/>
      <c r="S589" s="2"/>
      <c r="T589" s="2"/>
      <c r="U589" s="1"/>
      <c r="V589" s="2"/>
      <c r="W589" s="2"/>
      <c r="X589" s="2"/>
      <c r="Y589" s="2"/>
      <c r="Z589" s="2"/>
    </row>
    <row r="590" spans="1:26" ht="15.75" customHeight="1" x14ac:dyDescent="0.2">
      <c r="A590" s="12"/>
      <c r="B590" s="10"/>
      <c r="C590" s="11"/>
      <c r="D590" s="13"/>
      <c r="E590" s="13"/>
      <c r="F590" s="13"/>
      <c r="G590" s="2"/>
      <c r="H590" s="2"/>
      <c r="I590" s="13"/>
      <c r="J590" s="13"/>
      <c r="K590" s="13"/>
      <c r="L590" s="14"/>
      <c r="M590" s="4"/>
      <c r="N590" s="2"/>
      <c r="O590" s="4"/>
      <c r="P590" s="2"/>
      <c r="Q590" s="2"/>
      <c r="R590" s="4"/>
      <c r="S590" s="2"/>
      <c r="T590" s="2"/>
      <c r="U590" s="1"/>
      <c r="V590" s="2"/>
      <c r="W590" s="2"/>
      <c r="X590" s="2"/>
      <c r="Y590" s="2"/>
      <c r="Z590" s="2"/>
    </row>
    <row r="591" spans="1:26" ht="15.75" customHeight="1" x14ac:dyDescent="0.2">
      <c r="A591" s="12"/>
      <c r="B591" s="10"/>
      <c r="C591" s="11"/>
      <c r="D591" s="13"/>
      <c r="E591" s="13"/>
      <c r="F591" s="13"/>
      <c r="G591" s="2"/>
      <c r="H591" s="2"/>
      <c r="I591" s="13"/>
      <c r="J591" s="13"/>
      <c r="K591" s="13"/>
      <c r="L591" s="14"/>
      <c r="M591" s="4"/>
      <c r="N591" s="2"/>
      <c r="O591" s="4"/>
      <c r="P591" s="2"/>
      <c r="Q591" s="2"/>
      <c r="R591" s="4"/>
      <c r="S591" s="2"/>
      <c r="T591" s="2"/>
      <c r="U591" s="1"/>
      <c r="V591" s="2"/>
      <c r="W591" s="2"/>
      <c r="X591" s="2"/>
      <c r="Y591" s="2"/>
      <c r="Z591" s="2"/>
    </row>
    <row r="592" spans="1:26" ht="15.75" customHeight="1" x14ac:dyDescent="0.2">
      <c r="A592" s="12"/>
      <c r="B592" s="10"/>
      <c r="C592" s="11"/>
      <c r="D592" s="13"/>
      <c r="E592" s="13"/>
      <c r="F592" s="13"/>
      <c r="G592" s="2"/>
      <c r="H592" s="2"/>
      <c r="I592" s="13"/>
      <c r="J592" s="13"/>
      <c r="K592" s="13"/>
      <c r="L592" s="14"/>
      <c r="M592" s="4"/>
      <c r="N592" s="2"/>
      <c r="O592" s="4"/>
      <c r="P592" s="2"/>
      <c r="Q592" s="2"/>
      <c r="R592" s="4"/>
      <c r="S592" s="2"/>
      <c r="T592" s="2"/>
      <c r="U592" s="1"/>
      <c r="V592" s="2"/>
      <c r="W592" s="2"/>
      <c r="X592" s="2"/>
      <c r="Y592" s="2"/>
      <c r="Z592" s="2"/>
    </row>
    <row r="593" spans="1:26" ht="15.75" customHeight="1" x14ac:dyDescent="0.2">
      <c r="A593" s="12"/>
      <c r="B593" s="10"/>
      <c r="C593" s="11"/>
      <c r="D593" s="13"/>
      <c r="E593" s="13"/>
      <c r="F593" s="13"/>
      <c r="G593" s="2"/>
      <c r="H593" s="2"/>
      <c r="I593" s="13"/>
      <c r="J593" s="13"/>
      <c r="K593" s="13"/>
      <c r="L593" s="14"/>
      <c r="M593" s="4"/>
      <c r="N593" s="2"/>
      <c r="O593" s="4"/>
      <c r="P593" s="2"/>
      <c r="Q593" s="2"/>
      <c r="R593" s="4"/>
      <c r="S593" s="2"/>
      <c r="T593" s="2"/>
      <c r="U593" s="1"/>
      <c r="V593" s="2"/>
      <c r="W593" s="2"/>
      <c r="X593" s="2"/>
      <c r="Y593" s="2"/>
      <c r="Z593" s="2"/>
    </row>
    <row r="594" spans="1:26" ht="15.75" customHeight="1" x14ac:dyDescent="0.2">
      <c r="A594" s="12"/>
      <c r="B594" s="10"/>
      <c r="C594" s="11"/>
      <c r="D594" s="13"/>
      <c r="E594" s="13"/>
      <c r="F594" s="13"/>
      <c r="G594" s="2"/>
      <c r="H594" s="2"/>
      <c r="I594" s="13"/>
      <c r="J594" s="13"/>
      <c r="K594" s="13"/>
      <c r="L594" s="14"/>
      <c r="M594" s="4"/>
      <c r="N594" s="2"/>
      <c r="O594" s="4"/>
      <c r="P594" s="2"/>
      <c r="Q594" s="2"/>
      <c r="R594" s="4"/>
      <c r="S594" s="2"/>
      <c r="T594" s="2"/>
      <c r="U594" s="1"/>
      <c r="V594" s="2"/>
      <c r="W594" s="2"/>
      <c r="X594" s="2"/>
      <c r="Y594" s="2"/>
      <c r="Z594" s="2"/>
    </row>
    <row r="595" spans="1:26" ht="15.75" customHeight="1" x14ac:dyDescent="0.2">
      <c r="A595" s="12"/>
      <c r="B595" s="10"/>
      <c r="C595" s="11"/>
      <c r="D595" s="13"/>
      <c r="E595" s="13"/>
      <c r="F595" s="13"/>
      <c r="G595" s="2"/>
      <c r="H595" s="2"/>
      <c r="I595" s="13"/>
      <c r="J595" s="13"/>
      <c r="K595" s="13"/>
      <c r="L595" s="14"/>
      <c r="M595" s="4"/>
      <c r="N595" s="2"/>
      <c r="O595" s="4"/>
      <c r="P595" s="2"/>
      <c r="Q595" s="2"/>
      <c r="R595" s="4"/>
      <c r="S595" s="2"/>
      <c r="T595" s="2"/>
      <c r="U595" s="1"/>
      <c r="V595" s="2"/>
      <c r="W595" s="2"/>
      <c r="X595" s="2"/>
      <c r="Y595" s="2"/>
      <c r="Z595" s="2"/>
    </row>
    <row r="596" spans="1:26" ht="15.75" customHeight="1" x14ac:dyDescent="0.2">
      <c r="A596" s="12"/>
      <c r="B596" s="10"/>
      <c r="C596" s="11"/>
      <c r="D596" s="13"/>
      <c r="E596" s="13"/>
      <c r="F596" s="13"/>
      <c r="G596" s="2"/>
      <c r="H596" s="2"/>
      <c r="I596" s="13"/>
      <c r="J596" s="13"/>
      <c r="K596" s="13"/>
      <c r="L596" s="14"/>
      <c r="M596" s="4"/>
      <c r="N596" s="2"/>
      <c r="O596" s="4"/>
      <c r="P596" s="2"/>
      <c r="Q596" s="2"/>
      <c r="R596" s="4"/>
      <c r="S596" s="2"/>
      <c r="T596" s="2"/>
      <c r="U596" s="1"/>
      <c r="V596" s="2"/>
      <c r="W596" s="2"/>
      <c r="X596" s="2"/>
      <c r="Y596" s="2"/>
      <c r="Z596" s="2"/>
    </row>
    <row r="597" spans="1:26" ht="15.75" customHeight="1" x14ac:dyDescent="0.2">
      <c r="A597" s="12"/>
      <c r="B597" s="10"/>
      <c r="C597" s="11"/>
      <c r="D597" s="13"/>
      <c r="E597" s="13"/>
      <c r="F597" s="13"/>
      <c r="G597" s="2"/>
      <c r="H597" s="2"/>
      <c r="I597" s="13"/>
      <c r="J597" s="13"/>
      <c r="K597" s="13"/>
      <c r="L597" s="14"/>
      <c r="M597" s="4"/>
      <c r="N597" s="2"/>
      <c r="O597" s="4"/>
      <c r="P597" s="2"/>
      <c r="Q597" s="2"/>
      <c r="R597" s="4"/>
      <c r="S597" s="2"/>
      <c r="T597" s="2"/>
      <c r="U597" s="1"/>
      <c r="V597" s="2"/>
      <c r="W597" s="2"/>
      <c r="X597" s="2"/>
      <c r="Y597" s="2"/>
      <c r="Z597" s="2"/>
    </row>
    <row r="598" spans="1:26" ht="15.75" customHeight="1" x14ac:dyDescent="0.2">
      <c r="A598" s="12"/>
      <c r="B598" s="10"/>
      <c r="C598" s="11"/>
      <c r="D598" s="13"/>
      <c r="E598" s="13"/>
      <c r="F598" s="13"/>
      <c r="G598" s="2"/>
      <c r="H598" s="2"/>
      <c r="I598" s="13"/>
      <c r="J598" s="13"/>
      <c r="K598" s="13"/>
      <c r="L598" s="14"/>
      <c r="M598" s="4"/>
      <c r="N598" s="2"/>
      <c r="O598" s="4"/>
      <c r="P598" s="2"/>
      <c r="Q598" s="2"/>
      <c r="R598" s="4"/>
      <c r="S598" s="2"/>
      <c r="T598" s="2"/>
      <c r="U598" s="1"/>
      <c r="V598" s="2"/>
      <c r="W598" s="2"/>
      <c r="X598" s="2"/>
      <c r="Y598" s="2"/>
      <c r="Z598" s="2"/>
    </row>
    <row r="599" spans="1:26" ht="15.75" customHeight="1" x14ac:dyDescent="0.2">
      <c r="A599" s="12"/>
      <c r="B599" s="10"/>
      <c r="C599" s="11"/>
      <c r="D599" s="13"/>
      <c r="E599" s="13"/>
      <c r="F599" s="13"/>
      <c r="G599" s="2"/>
      <c r="H599" s="2"/>
      <c r="I599" s="13"/>
      <c r="J599" s="13"/>
      <c r="K599" s="13"/>
      <c r="L599" s="14"/>
      <c r="M599" s="4"/>
      <c r="N599" s="2"/>
      <c r="O599" s="4"/>
      <c r="P599" s="2"/>
      <c r="Q599" s="2"/>
      <c r="R599" s="4"/>
      <c r="S599" s="2"/>
      <c r="T599" s="2"/>
      <c r="U599" s="1"/>
      <c r="V599" s="2"/>
      <c r="W599" s="2"/>
      <c r="X599" s="2"/>
      <c r="Y599" s="2"/>
      <c r="Z599" s="2"/>
    </row>
    <row r="600" spans="1:26" ht="15.75" customHeight="1" x14ac:dyDescent="0.2">
      <c r="A600" s="12"/>
      <c r="B600" s="10"/>
      <c r="C600" s="11"/>
      <c r="D600" s="13"/>
      <c r="E600" s="13"/>
      <c r="F600" s="13"/>
      <c r="G600" s="2"/>
      <c r="H600" s="2"/>
      <c r="I600" s="13"/>
      <c r="J600" s="13"/>
      <c r="K600" s="13"/>
      <c r="L600" s="14"/>
      <c r="M600" s="4"/>
      <c r="N600" s="2"/>
      <c r="O600" s="4"/>
      <c r="P600" s="2"/>
      <c r="Q600" s="2"/>
      <c r="R600" s="4"/>
      <c r="S600" s="2"/>
      <c r="T600" s="2"/>
      <c r="U600" s="1"/>
      <c r="V600" s="2"/>
      <c r="W600" s="2"/>
      <c r="X600" s="2"/>
      <c r="Y600" s="2"/>
      <c r="Z600" s="2"/>
    </row>
    <row r="601" spans="1:26" ht="15.75" customHeight="1" x14ac:dyDescent="0.2">
      <c r="A601" s="12"/>
      <c r="B601" s="10"/>
      <c r="C601" s="11"/>
      <c r="D601" s="13"/>
      <c r="E601" s="13"/>
      <c r="F601" s="13"/>
      <c r="G601" s="2"/>
      <c r="H601" s="2"/>
      <c r="I601" s="13"/>
      <c r="J601" s="13"/>
      <c r="K601" s="13"/>
      <c r="L601" s="14"/>
      <c r="M601" s="4"/>
      <c r="N601" s="2"/>
      <c r="O601" s="4"/>
      <c r="P601" s="2"/>
      <c r="Q601" s="2"/>
      <c r="R601" s="4"/>
      <c r="S601" s="2"/>
      <c r="T601" s="2"/>
      <c r="U601" s="1"/>
      <c r="V601" s="2"/>
      <c r="W601" s="2"/>
      <c r="X601" s="2"/>
      <c r="Y601" s="2"/>
      <c r="Z601" s="2"/>
    </row>
    <row r="602" spans="1:26" ht="15.75" customHeight="1" x14ac:dyDescent="0.2">
      <c r="A602" s="12"/>
      <c r="B602" s="10"/>
      <c r="C602" s="11"/>
      <c r="D602" s="13"/>
      <c r="E602" s="13"/>
      <c r="F602" s="13"/>
      <c r="G602" s="2"/>
      <c r="H602" s="2"/>
      <c r="I602" s="13"/>
      <c r="J602" s="13"/>
      <c r="K602" s="13"/>
      <c r="L602" s="14"/>
      <c r="M602" s="4"/>
      <c r="N602" s="2"/>
      <c r="O602" s="4"/>
      <c r="P602" s="2"/>
      <c r="Q602" s="2"/>
      <c r="R602" s="4"/>
      <c r="S602" s="2"/>
      <c r="T602" s="2"/>
      <c r="U602" s="1"/>
      <c r="V602" s="2"/>
      <c r="W602" s="2"/>
      <c r="X602" s="2"/>
      <c r="Y602" s="2"/>
      <c r="Z602" s="2"/>
    </row>
    <row r="603" spans="1:26" ht="15.75" customHeight="1" x14ac:dyDescent="0.2">
      <c r="A603" s="12"/>
      <c r="B603" s="10"/>
      <c r="C603" s="11"/>
      <c r="D603" s="13"/>
      <c r="E603" s="13"/>
      <c r="F603" s="13"/>
      <c r="G603" s="2"/>
      <c r="H603" s="2"/>
      <c r="I603" s="13"/>
      <c r="J603" s="13"/>
      <c r="K603" s="13"/>
      <c r="L603" s="14"/>
      <c r="M603" s="4"/>
      <c r="N603" s="2"/>
      <c r="O603" s="4"/>
      <c r="P603" s="2"/>
      <c r="Q603" s="2"/>
      <c r="R603" s="4"/>
      <c r="S603" s="2"/>
      <c r="T603" s="2"/>
      <c r="U603" s="1"/>
      <c r="V603" s="2"/>
      <c r="W603" s="2"/>
      <c r="X603" s="2"/>
      <c r="Y603" s="2"/>
      <c r="Z603" s="2"/>
    </row>
    <row r="604" spans="1:26" ht="15.75" customHeight="1" x14ac:dyDescent="0.2">
      <c r="A604" s="12"/>
      <c r="B604" s="10"/>
      <c r="C604" s="11"/>
      <c r="D604" s="13"/>
      <c r="E604" s="13"/>
      <c r="F604" s="13"/>
      <c r="G604" s="2"/>
      <c r="H604" s="2"/>
      <c r="I604" s="13"/>
      <c r="J604" s="13"/>
      <c r="K604" s="13"/>
      <c r="L604" s="14"/>
      <c r="M604" s="4"/>
      <c r="N604" s="2"/>
      <c r="O604" s="4"/>
      <c r="P604" s="2"/>
      <c r="Q604" s="2"/>
      <c r="R604" s="4"/>
      <c r="S604" s="2"/>
      <c r="T604" s="2"/>
      <c r="U604" s="1"/>
      <c r="V604" s="2"/>
      <c r="W604" s="2"/>
      <c r="X604" s="2"/>
      <c r="Y604" s="2"/>
      <c r="Z604" s="2"/>
    </row>
    <row r="605" spans="1:26" ht="15.75" customHeight="1" x14ac:dyDescent="0.2">
      <c r="A605" s="12"/>
      <c r="B605" s="10"/>
      <c r="C605" s="11"/>
      <c r="D605" s="13"/>
      <c r="E605" s="13"/>
      <c r="F605" s="13"/>
      <c r="G605" s="2"/>
      <c r="H605" s="2"/>
      <c r="I605" s="13"/>
      <c r="J605" s="13"/>
      <c r="K605" s="13"/>
      <c r="L605" s="14"/>
      <c r="M605" s="4"/>
      <c r="N605" s="2"/>
      <c r="O605" s="4"/>
      <c r="P605" s="2"/>
      <c r="Q605" s="2"/>
      <c r="R605" s="4"/>
      <c r="S605" s="2"/>
      <c r="T605" s="2"/>
      <c r="U605" s="1"/>
      <c r="V605" s="2"/>
      <c r="W605" s="2"/>
      <c r="X605" s="2"/>
      <c r="Y605" s="2"/>
      <c r="Z605" s="2"/>
    </row>
    <row r="606" spans="1:26" ht="15.75" customHeight="1" x14ac:dyDescent="0.2">
      <c r="A606" s="12"/>
      <c r="B606" s="10"/>
      <c r="C606" s="11"/>
      <c r="D606" s="13"/>
      <c r="E606" s="13"/>
      <c r="F606" s="13"/>
      <c r="G606" s="2"/>
      <c r="H606" s="2"/>
      <c r="I606" s="13"/>
      <c r="J606" s="13"/>
      <c r="K606" s="13"/>
      <c r="L606" s="14"/>
      <c r="M606" s="4"/>
      <c r="N606" s="2"/>
      <c r="O606" s="4"/>
      <c r="P606" s="2"/>
      <c r="Q606" s="2"/>
      <c r="R606" s="4"/>
      <c r="S606" s="2"/>
      <c r="T606" s="2"/>
      <c r="U606" s="1"/>
      <c r="V606" s="2"/>
      <c r="W606" s="2"/>
      <c r="X606" s="2"/>
      <c r="Y606" s="2"/>
      <c r="Z606" s="2"/>
    </row>
    <row r="607" spans="1:26" ht="15.75" customHeight="1" x14ac:dyDescent="0.2">
      <c r="A607" s="12"/>
      <c r="B607" s="10"/>
      <c r="C607" s="11"/>
      <c r="D607" s="13"/>
      <c r="E607" s="13"/>
      <c r="F607" s="13"/>
      <c r="G607" s="2"/>
      <c r="H607" s="2"/>
      <c r="I607" s="13"/>
      <c r="J607" s="13"/>
      <c r="K607" s="13"/>
      <c r="L607" s="14"/>
      <c r="M607" s="4"/>
      <c r="N607" s="2"/>
      <c r="O607" s="4"/>
      <c r="P607" s="2"/>
      <c r="Q607" s="2"/>
      <c r="R607" s="4"/>
      <c r="S607" s="2"/>
      <c r="T607" s="2"/>
      <c r="U607" s="1"/>
      <c r="V607" s="2"/>
      <c r="W607" s="2"/>
      <c r="X607" s="2"/>
      <c r="Y607" s="2"/>
      <c r="Z607" s="2"/>
    </row>
    <row r="608" spans="1:26" ht="15.75" customHeight="1" x14ac:dyDescent="0.2">
      <c r="A608" s="12"/>
      <c r="B608" s="10"/>
      <c r="C608" s="11"/>
      <c r="D608" s="13"/>
      <c r="E608" s="13"/>
      <c r="F608" s="13"/>
      <c r="G608" s="2"/>
      <c r="H608" s="2"/>
      <c r="I608" s="13"/>
      <c r="J608" s="13"/>
      <c r="K608" s="13"/>
      <c r="L608" s="14"/>
      <c r="M608" s="4"/>
      <c r="N608" s="2"/>
      <c r="O608" s="4"/>
      <c r="P608" s="2"/>
      <c r="Q608" s="2"/>
      <c r="R608" s="4"/>
      <c r="S608" s="2"/>
      <c r="T608" s="2"/>
      <c r="U608" s="1"/>
      <c r="V608" s="2"/>
      <c r="W608" s="2"/>
      <c r="X608" s="2"/>
      <c r="Y608" s="2"/>
      <c r="Z608" s="2"/>
    </row>
    <row r="609" spans="1:26" ht="15.75" customHeight="1" x14ac:dyDescent="0.2">
      <c r="A609" s="12"/>
      <c r="B609" s="10"/>
      <c r="C609" s="11"/>
      <c r="D609" s="13"/>
      <c r="E609" s="13"/>
      <c r="F609" s="13"/>
      <c r="G609" s="2"/>
      <c r="H609" s="2"/>
      <c r="I609" s="13"/>
      <c r="J609" s="13"/>
      <c r="K609" s="13"/>
      <c r="L609" s="14"/>
      <c r="M609" s="4"/>
      <c r="N609" s="2"/>
      <c r="O609" s="4"/>
      <c r="P609" s="2"/>
      <c r="Q609" s="2"/>
      <c r="R609" s="4"/>
      <c r="S609" s="2"/>
      <c r="T609" s="2"/>
      <c r="U609" s="1"/>
      <c r="V609" s="2"/>
      <c r="W609" s="2"/>
      <c r="X609" s="2"/>
      <c r="Y609" s="2"/>
      <c r="Z609" s="2"/>
    </row>
    <row r="610" spans="1:26" ht="15.75" customHeight="1" x14ac:dyDescent="0.2">
      <c r="A610" s="12"/>
      <c r="B610" s="10"/>
      <c r="C610" s="11"/>
      <c r="D610" s="13"/>
      <c r="E610" s="13"/>
      <c r="F610" s="13"/>
      <c r="G610" s="2"/>
      <c r="H610" s="2"/>
      <c r="I610" s="13"/>
      <c r="J610" s="13"/>
      <c r="K610" s="13"/>
      <c r="L610" s="14"/>
      <c r="M610" s="4"/>
      <c r="N610" s="2"/>
      <c r="O610" s="4"/>
      <c r="P610" s="2"/>
      <c r="Q610" s="2"/>
      <c r="R610" s="4"/>
      <c r="S610" s="2"/>
      <c r="T610" s="2"/>
      <c r="U610" s="1"/>
      <c r="V610" s="2"/>
      <c r="W610" s="2"/>
      <c r="X610" s="2"/>
      <c r="Y610" s="2"/>
      <c r="Z610" s="2"/>
    </row>
    <row r="611" spans="1:26" ht="15.75" customHeight="1" x14ac:dyDescent="0.2">
      <c r="A611" s="12"/>
      <c r="B611" s="10"/>
      <c r="C611" s="11"/>
      <c r="D611" s="13"/>
      <c r="E611" s="13"/>
      <c r="F611" s="13"/>
      <c r="G611" s="2"/>
      <c r="H611" s="2"/>
      <c r="I611" s="13"/>
      <c r="J611" s="13"/>
      <c r="K611" s="13"/>
      <c r="L611" s="14"/>
      <c r="M611" s="4"/>
      <c r="N611" s="2"/>
      <c r="O611" s="4"/>
      <c r="P611" s="2"/>
      <c r="Q611" s="2"/>
      <c r="R611" s="4"/>
      <c r="S611" s="2"/>
      <c r="T611" s="2"/>
      <c r="U611" s="1"/>
      <c r="V611" s="2"/>
      <c r="W611" s="2"/>
      <c r="X611" s="2"/>
      <c r="Y611" s="2"/>
      <c r="Z611" s="2"/>
    </row>
    <row r="612" spans="1:26" ht="15.75" customHeight="1" x14ac:dyDescent="0.2">
      <c r="A612" s="12"/>
      <c r="B612" s="10"/>
      <c r="C612" s="11"/>
      <c r="D612" s="13"/>
      <c r="E612" s="13"/>
      <c r="F612" s="13"/>
      <c r="G612" s="2"/>
      <c r="H612" s="2"/>
      <c r="I612" s="13"/>
      <c r="J612" s="13"/>
      <c r="K612" s="13"/>
      <c r="L612" s="14"/>
      <c r="M612" s="4"/>
      <c r="N612" s="2"/>
      <c r="O612" s="4"/>
      <c r="P612" s="2"/>
      <c r="Q612" s="2"/>
      <c r="R612" s="4"/>
      <c r="S612" s="2"/>
      <c r="T612" s="2"/>
      <c r="U612" s="1"/>
      <c r="V612" s="2"/>
      <c r="W612" s="2"/>
      <c r="X612" s="2"/>
      <c r="Y612" s="2"/>
      <c r="Z612" s="2"/>
    </row>
    <row r="613" spans="1:26" ht="15.75" customHeight="1" x14ac:dyDescent="0.2">
      <c r="A613" s="12"/>
      <c r="B613" s="10"/>
      <c r="C613" s="11"/>
      <c r="D613" s="13"/>
      <c r="E613" s="13"/>
      <c r="F613" s="13"/>
      <c r="G613" s="2"/>
      <c r="H613" s="2"/>
      <c r="I613" s="13"/>
      <c r="J613" s="13"/>
      <c r="K613" s="13"/>
      <c r="L613" s="14"/>
      <c r="M613" s="4"/>
      <c r="N613" s="2"/>
      <c r="O613" s="4"/>
      <c r="P613" s="2"/>
      <c r="Q613" s="2"/>
      <c r="R613" s="4"/>
      <c r="S613" s="2"/>
      <c r="T613" s="2"/>
      <c r="U613" s="1"/>
      <c r="V613" s="2"/>
      <c r="W613" s="2"/>
      <c r="X613" s="2"/>
      <c r="Y613" s="2"/>
      <c r="Z613" s="2"/>
    </row>
    <row r="614" spans="1:26" ht="15.75" customHeight="1" x14ac:dyDescent="0.2">
      <c r="A614" s="12"/>
      <c r="B614" s="10"/>
      <c r="C614" s="11"/>
      <c r="D614" s="13"/>
      <c r="E614" s="13"/>
      <c r="F614" s="13"/>
      <c r="G614" s="2"/>
      <c r="H614" s="2"/>
      <c r="I614" s="13"/>
      <c r="J614" s="13"/>
      <c r="K614" s="13"/>
      <c r="L614" s="14"/>
      <c r="M614" s="4"/>
      <c r="N614" s="2"/>
      <c r="O614" s="4"/>
      <c r="P614" s="2"/>
      <c r="Q614" s="2"/>
      <c r="R614" s="4"/>
      <c r="S614" s="2"/>
      <c r="T614" s="2"/>
      <c r="U614" s="1"/>
      <c r="V614" s="2"/>
      <c r="W614" s="2"/>
      <c r="X614" s="2"/>
      <c r="Y614" s="2"/>
      <c r="Z614" s="2"/>
    </row>
    <row r="615" spans="1:26" ht="15.75" customHeight="1" x14ac:dyDescent="0.2">
      <c r="A615" s="12"/>
      <c r="B615" s="10"/>
      <c r="C615" s="11"/>
      <c r="D615" s="13"/>
      <c r="E615" s="13"/>
      <c r="F615" s="13"/>
      <c r="G615" s="2"/>
      <c r="H615" s="2"/>
      <c r="I615" s="13"/>
      <c r="J615" s="13"/>
      <c r="K615" s="13"/>
      <c r="L615" s="14"/>
      <c r="M615" s="4"/>
      <c r="N615" s="2"/>
      <c r="O615" s="4"/>
      <c r="P615" s="2"/>
      <c r="Q615" s="2"/>
      <c r="R615" s="4"/>
      <c r="S615" s="2"/>
      <c r="T615" s="2"/>
      <c r="U615" s="1"/>
      <c r="V615" s="2"/>
      <c r="W615" s="2"/>
      <c r="X615" s="2"/>
      <c r="Y615" s="2"/>
      <c r="Z615" s="2"/>
    </row>
    <row r="616" spans="1:26" ht="15.75" customHeight="1" x14ac:dyDescent="0.2">
      <c r="A616" s="12"/>
      <c r="B616" s="10"/>
      <c r="C616" s="11"/>
      <c r="D616" s="13"/>
      <c r="E616" s="13"/>
      <c r="F616" s="13"/>
      <c r="G616" s="2"/>
      <c r="H616" s="2"/>
      <c r="I616" s="13"/>
      <c r="J616" s="13"/>
      <c r="K616" s="13"/>
      <c r="L616" s="14"/>
      <c r="M616" s="4"/>
      <c r="N616" s="2"/>
      <c r="O616" s="4"/>
      <c r="P616" s="2"/>
      <c r="Q616" s="2"/>
      <c r="R616" s="4"/>
      <c r="S616" s="2"/>
      <c r="T616" s="2"/>
      <c r="U616" s="1"/>
      <c r="V616" s="2"/>
      <c r="W616" s="2"/>
      <c r="X616" s="2"/>
      <c r="Y616" s="2"/>
      <c r="Z616" s="2"/>
    </row>
    <row r="617" spans="1:26" ht="15.75" customHeight="1" x14ac:dyDescent="0.2">
      <c r="A617" s="12"/>
      <c r="B617" s="10"/>
      <c r="C617" s="11"/>
      <c r="D617" s="13"/>
      <c r="E617" s="13"/>
      <c r="F617" s="13"/>
      <c r="G617" s="2"/>
      <c r="H617" s="2"/>
      <c r="I617" s="13"/>
      <c r="J617" s="13"/>
      <c r="K617" s="13"/>
      <c r="L617" s="14"/>
      <c r="M617" s="4"/>
      <c r="N617" s="2"/>
      <c r="O617" s="4"/>
      <c r="P617" s="2"/>
      <c r="Q617" s="2"/>
      <c r="R617" s="4"/>
      <c r="S617" s="2"/>
      <c r="T617" s="2"/>
      <c r="U617" s="1"/>
      <c r="V617" s="2"/>
      <c r="W617" s="2"/>
      <c r="X617" s="2"/>
      <c r="Y617" s="2"/>
      <c r="Z617" s="2"/>
    </row>
    <row r="618" spans="1:26" ht="15.75" customHeight="1" x14ac:dyDescent="0.2">
      <c r="A618" s="12"/>
      <c r="B618" s="10"/>
      <c r="C618" s="11"/>
      <c r="D618" s="13"/>
      <c r="E618" s="13"/>
      <c r="F618" s="13"/>
      <c r="G618" s="2"/>
      <c r="H618" s="2"/>
      <c r="I618" s="13"/>
      <c r="J618" s="13"/>
      <c r="K618" s="13"/>
      <c r="L618" s="14"/>
      <c r="M618" s="4"/>
      <c r="N618" s="2"/>
      <c r="O618" s="4"/>
      <c r="P618" s="2"/>
      <c r="Q618" s="2"/>
      <c r="R618" s="4"/>
      <c r="S618" s="2"/>
      <c r="T618" s="2"/>
      <c r="U618" s="1"/>
      <c r="V618" s="2"/>
      <c r="W618" s="2"/>
      <c r="X618" s="2"/>
      <c r="Y618" s="2"/>
      <c r="Z618" s="2"/>
    </row>
    <row r="619" spans="1:26" ht="15.75" customHeight="1" x14ac:dyDescent="0.2">
      <c r="A619" s="12"/>
      <c r="B619" s="10"/>
      <c r="C619" s="11"/>
      <c r="D619" s="13"/>
      <c r="E619" s="13"/>
      <c r="F619" s="13"/>
      <c r="G619" s="2"/>
      <c r="H619" s="2"/>
      <c r="I619" s="13"/>
      <c r="J619" s="13"/>
      <c r="K619" s="13"/>
      <c r="L619" s="14"/>
      <c r="M619" s="4"/>
      <c r="N619" s="2"/>
      <c r="O619" s="4"/>
      <c r="P619" s="2"/>
      <c r="Q619" s="2"/>
      <c r="R619" s="4"/>
      <c r="S619" s="2"/>
      <c r="T619" s="2"/>
      <c r="U619" s="1"/>
      <c r="V619" s="2"/>
      <c r="W619" s="2"/>
      <c r="X619" s="2"/>
      <c r="Y619" s="2"/>
      <c r="Z619" s="2"/>
    </row>
    <row r="620" spans="1:26" ht="15.75" customHeight="1" x14ac:dyDescent="0.2">
      <c r="A620" s="12"/>
      <c r="B620" s="10"/>
      <c r="C620" s="11"/>
      <c r="D620" s="13"/>
      <c r="E620" s="13"/>
      <c r="F620" s="13"/>
      <c r="G620" s="2"/>
      <c r="H620" s="2"/>
      <c r="I620" s="13"/>
      <c r="J620" s="13"/>
      <c r="K620" s="13"/>
      <c r="L620" s="14"/>
      <c r="M620" s="4"/>
      <c r="N620" s="2"/>
      <c r="O620" s="4"/>
      <c r="P620" s="2"/>
      <c r="Q620" s="2"/>
      <c r="R620" s="4"/>
      <c r="S620" s="2"/>
      <c r="T620" s="2"/>
      <c r="U620" s="1"/>
      <c r="V620" s="2"/>
      <c r="W620" s="2"/>
      <c r="X620" s="2"/>
      <c r="Y620" s="2"/>
      <c r="Z620" s="2"/>
    </row>
    <row r="621" spans="1:26" ht="15.75" customHeight="1" x14ac:dyDescent="0.2">
      <c r="A621" s="12"/>
      <c r="B621" s="10"/>
      <c r="C621" s="11"/>
      <c r="D621" s="13"/>
      <c r="E621" s="13"/>
      <c r="F621" s="13"/>
      <c r="G621" s="2"/>
      <c r="H621" s="2"/>
      <c r="I621" s="13"/>
      <c r="J621" s="13"/>
      <c r="K621" s="13"/>
      <c r="L621" s="14"/>
      <c r="M621" s="4"/>
      <c r="N621" s="2"/>
      <c r="O621" s="4"/>
      <c r="P621" s="2"/>
      <c r="Q621" s="2"/>
      <c r="R621" s="4"/>
      <c r="S621" s="2"/>
      <c r="T621" s="2"/>
      <c r="U621" s="1"/>
      <c r="V621" s="2"/>
      <c r="W621" s="2"/>
      <c r="X621" s="2"/>
      <c r="Y621" s="2"/>
      <c r="Z621" s="2"/>
    </row>
    <row r="622" spans="1:26" ht="15.75" customHeight="1" x14ac:dyDescent="0.2">
      <c r="A622" s="12"/>
      <c r="B622" s="10"/>
      <c r="C622" s="11"/>
      <c r="D622" s="13"/>
      <c r="E622" s="13"/>
      <c r="F622" s="13"/>
      <c r="G622" s="2"/>
      <c r="H622" s="2"/>
      <c r="I622" s="13"/>
      <c r="J622" s="13"/>
      <c r="K622" s="13"/>
      <c r="L622" s="14"/>
      <c r="M622" s="4"/>
      <c r="N622" s="2"/>
      <c r="O622" s="4"/>
      <c r="P622" s="2"/>
      <c r="Q622" s="2"/>
      <c r="R622" s="4"/>
      <c r="S622" s="2"/>
      <c r="T622" s="2"/>
      <c r="U622" s="1"/>
      <c r="V622" s="2"/>
      <c r="W622" s="2"/>
      <c r="X622" s="2"/>
      <c r="Y622" s="2"/>
      <c r="Z622" s="2"/>
    </row>
    <row r="623" spans="1:26" ht="15.75" customHeight="1" x14ac:dyDescent="0.2">
      <c r="A623" s="12"/>
      <c r="B623" s="10"/>
      <c r="C623" s="11"/>
      <c r="D623" s="13"/>
      <c r="E623" s="13"/>
      <c r="F623" s="13"/>
      <c r="G623" s="2"/>
      <c r="H623" s="2"/>
      <c r="I623" s="13"/>
      <c r="J623" s="13"/>
      <c r="K623" s="13"/>
      <c r="L623" s="14"/>
      <c r="M623" s="4"/>
      <c r="N623" s="2"/>
      <c r="O623" s="4"/>
      <c r="P623" s="2"/>
      <c r="Q623" s="2"/>
      <c r="R623" s="4"/>
      <c r="S623" s="2"/>
      <c r="T623" s="2"/>
      <c r="U623" s="1"/>
      <c r="V623" s="2"/>
      <c r="W623" s="2"/>
      <c r="X623" s="2"/>
      <c r="Y623" s="2"/>
      <c r="Z623" s="2"/>
    </row>
    <row r="624" spans="1:26" ht="15.75" customHeight="1" x14ac:dyDescent="0.2">
      <c r="A624" s="12"/>
      <c r="B624" s="10"/>
      <c r="C624" s="11"/>
      <c r="D624" s="13"/>
      <c r="E624" s="13"/>
      <c r="F624" s="13"/>
      <c r="G624" s="2"/>
      <c r="H624" s="2"/>
      <c r="I624" s="13"/>
      <c r="J624" s="13"/>
      <c r="K624" s="13"/>
      <c r="L624" s="14"/>
      <c r="M624" s="4"/>
      <c r="N624" s="2"/>
      <c r="O624" s="4"/>
      <c r="P624" s="2"/>
      <c r="Q624" s="2"/>
      <c r="R624" s="4"/>
      <c r="S624" s="2"/>
      <c r="T624" s="2"/>
      <c r="U624" s="1"/>
      <c r="V624" s="2"/>
      <c r="W624" s="2"/>
      <c r="X624" s="2"/>
      <c r="Y624" s="2"/>
      <c r="Z624" s="2"/>
    </row>
    <row r="625" spans="1:26" ht="15.75" customHeight="1" x14ac:dyDescent="0.2">
      <c r="A625" s="12"/>
      <c r="B625" s="10"/>
      <c r="C625" s="11"/>
      <c r="D625" s="13"/>
      <c r="E625" s="13"/>
      <c r="F625" s="13"/>
      <c r="G625" s="2"/>
      <c r="H625" s="2"/>
      <c r="I625" s="13"/>
      <c r="J625" s="13"/>
      <c r="K625" s="13"/>
      <c r="L625" s="14"/>
      <c r="M625" s="4"/>
      <c r="N625" s="2"/>
      <c r="O625" s="4"/>
      <c r="P625" s="2"/>
      <c r="Q625" s="2"/>
      <c r="R625" s="4"/>
      <c r="S625" s="2"/>
      <c r="T625" s="2"/>
      <c r="U625" s="1"/>
      <c r="V625" s="2"/>
      <c r="W625" s="2"/>
      <c r="X625" s="2"/>
      <c r="Y625" s="2"/>
      <c r="Z625" s="2"/>
    </row>
    <row r="626" spans="1:26" ht="15.75" customHeight="1" x14ac:dyDescent="0.2">
      <c r="A626" s="12"/>
      <c r="B626" s="10"/>
      <c r="C626" s="11"/>
      <c r="D626" s="13"/>
      <c r="E626" s="13"/>
      <c r="F626" s="13"/>
      <c r="G626" s="2"/>
      <c r="H626" s="2"/>
      <c r="I626" s="13"/>
      <c r="J626" s="13"/>
      <c r="K626" s="13"/>
      <c r="L626" s="14"/>
      <c r="M626" s="4"/>
      <c r="N626" s="2"/>
      <c r="O626" s="4"/>
      <c r="P626" s="2"/>
      <c r="Q626" s="2"/>
      <c r="R626" s="4"/>
      <c r="S626" s="2"/>
      <c r="T626" s="2"/>
      <c r="U626" s="1"/>
      <c r="V626" s="2"/>
      <c r="W626" s="2"/>
      <c r="X626" s="2"/>
      <c r="Y626" s="2"/>
      <c r="Z626" s="2"/>
    </row>
    <row r="627" spans="1:26" ht="15.75" customHeight="1" x14ac:dyDescent="0.2">
      <c r="A627" s="12"/>
      <c r="B627" s="10"/>
      <c r="C627" s="11"/>
      <c r="D627" s="13"/>
      <c r="E627" s="13"/>
      <c r="F627" s="13"/>
      <c r="G627" s="2"/>
      <c r="H627" s="2"/>
      <c r="I627" s="13"/>
      <c r="J627" s="13"/>
      <c r="K627" s="13"/>
      <c r="L627" s="14"/>
      <c r="M627" s="4"/>
      <c r="N627" s="2"/>
      <c r="O627" s="4"/>
      <c r="P627" s="2"/>
      <c r="Q627" s="2"/>
      <c r="R627" s="4"/>
      <c r="S627" s="2"/>
      <c r="T627" s="2"/>
      <c r="U627" s="1"/>
      <c r="V627" s="2"/>
      <c r="W627" s="2"/>
      <c r="X627" s="2"/>
      <c r="Y627" s="2"/>
      <c r="Z627" s="2"/>
    </row>
    <row r="628" spans="1:26" ht="15.75" customHeight="1" x14ac:dyDescent="0.2">
      <c r="A628" s="12"/>
      <c r="B628" s="10"/>
      <c r="C628" s="11"/>
      <c r="D628" s="13"/>
      <c r="E628" s="13"/>
      <c r="F628" s="13"/>
      <c r="G628" s="2"/>
      <c r="H628" s="2"/>
      <c r="I628" s="13"/>
      <c r="J628" s="13"/>
      <c r="K628" s="13"/>
      <c r="L628" s="14"/>
      <c r="M628" s="4"/>
      <c r="N628" s="2"/>
      <c r="O628" s="4"/>
      <c r="P628" s="2"/>
      <c r="Q628" s="2"/>
      <c r="R628" s="4"/>
      <c r="S628" s="2"/>
      <c r="T628" s="2"/>
      <c r="U628" s="1"/>
      <c r="V628" s="2"/>
      <c r="W628" s="2"/>
      <c r="X628" s="2"/>
      <c r="Y628" s="2"/>
      <c r="Z628" s="2"/>
    </row>
    <row r="629" spans="1:26" ht="15.75" customHeight="1" x14ac:dyDescent="0.2">
      <c r="A629" s="12"/>
      <c r="B629" s="10"/>
      <c r="C629" s="11"/>
      <c r="D629" s="13"/>
      <c r="E629" s="13"/>
      <c r="F629" s="13"/>
      <c r="G629" s="2"/>
      <c r="H629" s="2"/>
      <c r="I629" s="13"/>
      <c r="J629" s="13"/>
      <c r="K629" s="13"/>
      <c r="L629" s="14"/>
      <c r="M629" s="4"/>
      <c r="N629" s="2"/>
      <c r="O629" s="4"/>
      <c r="P629" s="2"/>
      <c r="Q629" s="2"/>
      <c r="R629" s="4"/>
      <c r="S629" s="2"/>
      <c r="T629" s="2"/>
      <c r="U629" s="1"/>
      <c r="V629" s="2"/>
      <c r="W629" s="2"/>
      <c r="X629" s="2"/>
      <c r="Y629" s="2"/>
      <c r="Z629" s="2"/>
    </row>
    <row r="630" spans="1:26" ht="15.75" customHeight="1" x14ac:dyDescent="0.2">
      <c r="A630" s="12"/>
      <c r="B630" s="10"/>
      <c r="C630" s="11"/>
      <c r="D630" s="13"/>
      <c r="E630" s="13"/>
      <c r="F630" s="13"/>
      <c r="G630" s="2"/>
      <c r="H630" s="2"/>
      <c r="I630" s="13"/>
      <c r="J630" s="13"/>
      <c r="K630" s="13"/>
      <c r="L630" s="14"/>
      <c r="M630" s="4"/>
      <c r="N630" s="2"/>
      <c r="O630" s="4"/>
      <c r="P630" s="2"/>
      <c r="Q630" s="2"/>
      <c r="R630" s="4"/>
      <c r="S630" s="2"/>
      <c r="T630" s="2"/>
      <c r="U630" s="1"/>
      <c r="V630" s="2"/>
      <c r="W630" s="2"/>
      <c r="X630" s="2"/>
      <c r="Y630" s="2"/>
      <c r="Z630" s="2"/>
    </row>
    <row r="631" spans="1:26" ht="15.75" customHeight="1" x14ac:dyDescent="0.2">
      <c r="A631" s="12"/>
      <c r="B631" s="10"/>
      <c r="C631" s="11"/>
      <c r="D631" s="13"/>
      <c r="E631" s="13"/>
      <c r="F631" s="13"/>
      <c r="G631" s="2"/>
      <c r="H631" s="2"/>
      <c r="I631" s="13"/>
      <c r="J631" s="13"/>
      <c r="K631" s="13"/>
      <c r="L631" s="14"/>
      <c r="M631" s="4"/>
      <c r="N631" s="2"/>
      <c r="O631" s="4"/>
      <c r="P631" s="2"/>
      <c r="Q631" s="2"/>
      <c r="R631" s="4"/>
      <c r="S631" s="2"/>
      <c r="T631" s="2"/>
      <c r="U631" s="1"/>
      <c r="V631" s="2"/>
      <c r="W631" s="2"/>
      <c r="X631" s="2"/>
      <c r="Y631" s="2"/>
      <c r="Z631" s="2"/>
    </row>
    <row r="632" spans="1:26" ht="15.75" customHeight="1" x14ac:dyDescent="0.2">
      <c r="A632" s="12"/>
      <c r="B632" s="10"/>
      <c r="C632" s="11"/>
      <c r="D632" s="13"/>
      <c r="E632" s="13"/>
      <c r="F632" s="13"/>
      <c r="G632" s="2"/>
      <c r="H632" s="2"/>
      <c r="I632" s="13"/>
      <c r="J632" s="13"/>
      <c r="K632" s="13"/>
      <c r="L632" s="14"/>
      <c r="M632" s="4"/>
      <c r="N632" s="2"/>
      <c r="O632" s="4"/>
      <c r="P632" s="2"/>
      <c r="Q632" s="2"/>
      <c r="R632" s="4"/>
      <c r="S632" s="2"/>
      <c r="T632" s="2"/>
      <c r="U632" s="1"/>
      <c r="V632" s="2"/>
      <c r="W632" s="2"/>
      <c r="X632" s="2"/>
      <c r="Y632" s="2"/>
      <c r="Z632" s="2"/>
    </row>
    <row r="633" spans="1:26" ht="15.75" customHeight="1" x14ac:dyDescent="0.2">
      <c r="A633" s="12"/>
      <c r="B633" s="10"/>
      <c r="C633" s="11"/>
      <c r="D633" s="13"/>
      <c r="E633" s="13"/>
      <c r="F633" s="13"/>
      <c r="G633" s="2"/>
      <c r="H633" s="2"/>
      <c r="I633" s="13"/>
      <c r="J633" s="13"/>
      <c r="K633" s="13"/>
      <c r="L633" s="14"/>
      <c r="M633" s="4"/>
      <c r="N633" s="2"/>
      <c r="O633" s="4"/>
      <c r="P633" s="2"/>
      <c r="Q633" s="2"/>
      <c r="R633" s="4"/>
      <c r="S633" s="2"/>
      <c r="T633" s="2"/>
      <c r="U633" s="1"/>
      <c r="V633" s="2"/>
      <c r="W633" s="2"/>
      <c r="X633" s="2"/>
      <c r="Y633" s="2"/>
      <c r="Z633" s="2"/>
    </row>
    <row r="634" spans="1:26" ht="15.75" customHeight="1" x14ac:dyDescent="0.2">
      <c r="A634" s="12"/>
      <c r="B634" s="10"/>
      <c r="C634" s="11"/>
      <c r="D634" s="13"/>
      <c r="E634" s="13"/>
      <c r="F634" s="13"/>
      <c r="G634" s="2"/>
      <c r="H634" s="2"/>
      <c r="I634" s="13"/>
      <c r="J634" s="13"/>
      <c r="K634" s="13"/>
      <c r="L634" s="14"/>
      <c r="M634" s="4"/>
      <c r="N634" s="2"/>
      <c r="O634" s="4"/>
      <c r="P634" s="2"/>
      <c r="Q634" s="2"/>
      <c r="R634" s="4"/>
      <c r="S634" s="2"/>
      <c r="T634" s="2"/>
      <c r="U634" s="1"/>
      <c r="V634" s="2"/>
      <c r="W634" s="2"/>
      <c r="X634" s="2"/>
      <c r="Y634" s="2"/>
      <c r="Z634" s="2"/>
    </row>
    <row r="635" spans="1:26" ht="15.75" customHeight="1" x14ac:dyDescent="0.2">
      <c r="A635" s="12"/>
      <c r="B635" s="10"/>
      <c r="C635" s="11"/>
      <c r="D635" s="13"/>
      <c r="E635" s="13"/>
      <c r="F635" s="13"/>
      <c r="G635" s="2"/>
      <c r="H635" s="2"/>
      <c r="I635" s="13"/>
      <c r="J635" s="13"/>
      <c r="K635" s="13"/>
      <c r="L635" s="14"/>
      <c r="M635" s="4"/>
      <c r="N635" s="2"/>
      <c r="O635" s="4"/>
      <c r="P635" s="2"/>
      <c r="Q635" s="2"/>
      <c r="R635" s="4"/>
      <c r="S635" s="2"/>
      <c r="T635" s="2"/>
      <c r="U635" s="1"/>
      <c r="V635" s="2"/>
      <c r="W635" s="2"/>
      <c r="X635" s="2"/>
      <c r="Y635" s="2"/>
      <c r="Z635" s="2"/>
    </row>
    <row r="636" spans="1:26" ht="15.75" customHeight="1" x14ac:dyDescent="0.2">
      <c r="A636" s="12"/>
      <c r="B636" s="10"/>
      <c r="C636" s="11"/>
      <c r="D636" s="13"/>
      <c r="E636" s="13"/>
      <c r="F636" s="13"/>
      <c r="G636" s="2"/>
      <c r="H636" s="2"/>
      <c r="I636" s="13"/>
      <c r="J636" s="13"/>
      <c r="K636" s="13"/>
      <c r="L636" s="14"/>
      <c r="M636" s="4"/>
      <c r="N636" s="2"/>
      <c r="O636" s="4"/>
      <c r="P636" s="2"/>
      <c r="Q636" s="2"/>
      <c r="R636" s="4"/>
      <c r="S636" s="2"/>
      <c r="T636" s="2"/>
      <c r="U636" s="1"/>
      <c r="V636" s="2"/>
      <c r="W636" s="2"/>
      <c r="X636" s="2"/>
      <c r="Y636" s="2"/>
      <c r="Z636" s="2"/>
    </row>
    <row r="637" spans="1:26" ht="15.75" customHeight="1" x14ac:dyDescent="0.2">
      <c r="A637" s="12"/>
      <c r="B637" s="10"/>
      <c r="C637" s="11"/>
      <c r="D637" s="13"/>
      <c r="E637" s="13"/>
      <c r="F637" s="13"/>
      <c r="G637" s="2"/>
      <c r="H637" s="2"/>
      <c r="I637" s="13"/>
      <c r="J637" s="13"/>
      <c r="K637" s="13"/>
      <c r="L637" s="14"/>
      <c r="M637" s="4"/>
      <c r="N637" s="2"/>
      <c r="O637" s="4"/>
      <c r="P637" s="2"/>
      <c r="Q637" s="2"/>
      <c r="R637" s="4"/>
      <c r="S637" s="2"/>
      <c r="T637" s="2"/>
      <c r="U637" s="1"/>
      <c r="V637" s="2"/>
      <c r="W637" s="2"/>
      <c r="X637" s="2"/>
      <c r="Y637" s="2"/>
      <c r="Z637" s="2"/>
    </row>
    <row r="638" spans="1:26" ht="15.75" customHeight="1" x14ac:dyDescent="0.2">
      <c r="A638" s="12"/>
      <c r="B638" s="10"/>
      <c r="C638" s="11"/>
      <c r="D638" s="13"/>
      <c r="E638" s="13"/>
      <c r="F638" s="13"/>
      <c r="G638" s="2"/>
      <c r="H638" s="2"/>
      <c r="I638" s="13"/>
      <c r="J638" s="13"/>
      <c r="K638" s="13"/>
      <c r="L638" s="14"/>
      <c r="M638" s="4"/>
      <c r="N638" s="2"/>
      <c r="O638" s="4"/>
      <c r="P638" s="2"/>
      <c r="Q638" s="2"/>
      <c r="R638" s="4"/>
      <c r="S638" s="2"/>
      <c r="T638" s="2"/>
      <c r="U638" s="1"/>
      <c r="V638" s="2"/>
      <c r="W638" s="2"/>
      <c r="X638" s="2"/>
      <c r="Y638" s="2"/>
      <c r="Z638" s="2"/>
    </row>
    <row r="639" spans="1:26" ht="15.75" customHeight="1" x14ac:dyDescent="0.2">
      <c r="A639" s="12"/>
      <c r="B639" s="10"/>
      <c r="C639" s="11"/>
      <c r="D639" s="13"/>
      <c r="E639" s="13"/>
      <c r="F639" s="13"/>
      <c r="G639" s="2"/>
      <c r="H639" s="2"/>
      <c r="I639" s="13"/>
      <c r="J639" s="13"/>
      <c r="K639" s="13"/>
      <c r="L639" s="14"/>
      <c r="M639" s="4"/>
      <c r="N639" s="2"/>
      <c r="O639" s="4"/>
      <c r="P639" s="2"/>
      <c r="Q639" s="2"/>
      <c r="R639" s="4"/>
      <c r="S639" s="2"/>
      <c r="T639" s="2"/>
      <c r="U639" s="1"/>
      <c r="V639" s="2"/>
      <c r="W639" s="2"/>
      <c r="X639" s="2"/>
      <c r="Y639" s="2"/>
      <c r="Z639" s="2"/>
    </row>
    <row r="640" spans="1:26" ht="15.75" customHeight="1" x14ac:dyDescent="0.2">
      <c r="A640" s="12"/>
      <c r="B640" s="10"/>
      <c r="C640" s="11"/>
      <c r="D640" s="13"/>
      <c r="E640" s="13"/>
      <c r="F640" s="13"/>
      <c r="G640" s="2"/>
      <c r="H640" s="2"/>
      <c r="I640" s="13"/>
      <c r="J640" s="13"/>
      <c r="K640" s="13"/>
      <c r="L640" s="14"/>
      <c r="M640" s="4"/>
      <c r="N640" s="2"/>
      <c r="O640" s="4"/>
      <c r="P640" s="2"/>
      <c r="Q640" s="2"/>
      <c r="R640" s="4"/>
      <c r="S640" s="2"/>
      <c r="T640" s="2"/>
      <c r="U640" s="1"/>
      <c r="V640" s="2"/>
      <c r="W640" s="2"/>
      <c r="X640" s="2"/>
      <c r="Y640" s="2"/>
      <c r="Z640" s="2"/>
    </row>
    <row r="641" spans="1:26" ht="15.75" customHeight="1" x14ac:dyDescent="0.2">
      <c r="A641" s="12"/>
      <c r="B641" s="10"/>
      <c r="C641" s="11"/>
      <c r="D641" s="13"/>
      <c r="E641" s="13"/>
      <c r="F641" s="13"/>
      <c r="G641" s="2"/>
      <c r="H641" s="2"/>
      <c r="I641" s="13"/>
      <c r="J641" s="13"/>
      <c r="K641" s="13"/>
      <c r="L641" s="14"/>
      <c r="M641" s="4"/>
      <c r="N641" s="2"/>
      <c r="O641" s="4"/>
      <c r="P641" s="2"/>
      <c r="Q641" s="2"/>
      <c r="R641" s="4"/>
      <c r="S641" s="2"/>
      <c r="T641" s="2"/>
      <c r="U641" s="1"/>
      <c r="V641" s="2"/>
      <c r="W641" s="2"/>
      <c r="X641" s="2"/>
      <c r="Y641" s="2"/>
      <c r="Z641" s="2"/>
    </row>
    <row r="642" spans="1:26" ht="15.75" customHeight="1" x14ac:dyDescent="0.2">
      <c r="A642" s="12"/>
      <c r="B642" s="10"/>
      <c r="C642" s="11"/>
      <c r="D642" s="13"/>
      <c r="E642" s="13"/>
      <c r="F642" s="13"/>
      <c r="G642" s="2"/>
      <c r="H642" s="2"/>
      <c r="I642" s="13"/>
      <c r="J642" s="13"/>
      <c r="K642" s="13"/>
      <c r="L642" s="14"/>
      <c r="M642" s="4"/>
      <c r="N642" s="2"/>
      <c r="O642" s="4"/>
      <c r="P642" s="2"/>
      <c r="Q642" s="2"/>
      <c r="R642" s="4"/>
      <c r="S642" s="2"/>
      <c r="T642" s="2"/>
      <c r="U642" s="1"/>
      <c r="V642" s="2"/>
      <c r="W642" s="2"/>
      <c r="X642" s="2"/>
      <c r="Y642" s="2"/>
      <c r="Z642" s="2"/>
    </row>
    <row r="643" spans="1:26" ht="15.75" customHeight="1" x14ac:dyDescent="0.2">
      <c r="A643" s="12"/>
      <c r="B643" s="10"/>
      <c r="C643" s="11"/>
      <c r="D643" s="13"/>
      <c r="E643" s="13"/>
      <c r="F643" s="13"/>
      <c r="G643" s="2"/>
      <c r="H643" s="2"/>
      <c r="I643" s="13"/>
      <c r="J643" s="13"/>
      <c r="K643" s="13"/>
      <c r="L643" s="14"/>
      <c r="M643" s="4"/>
      <c r="N643" s="2"/>
      <c r="O643" s="4"/>
      <c r="P643" s="2"/>
      <c r="Q643" s="2"/>
      <c r="R643" s="4"/>
      <c r="S643" s="2"/>
      <c r="T643" s="2"/>
      <c r="U643" s="1"/>
      <c r="V643" s="2"/>
      <c r="W643" s="2"/>
      <c r="X643" s="2"/>
      <c r="Y643" s="2"/>
      <c r="Z643" s="2"/>
    </row>
    <row r="644" spans="1:26" ht="15.75" customHeight="1" x14ac:dyDescent="0.2">
      <c r="A644" s="12"/>
      <c r="B644" s="10"/>
      <c r="C644" s="11"/>
      <c r="D644" s="13"/>
      <c r="E644" s="13"/>
      <c r="F644" s="13"/>
      <c r="G644" s="2"/>
      <c r="H644" s="2"/>
      <c r="I644" s="13"/>
      <c r="J644" s="13"/>
      <c r="K644" s="13"/>
      <c r="L644" s="14"/>
      <c r="M644" s="4"/>
      <c r="N644" s="2"/>
      <c r="O644" s="4"/>
      <c r="P644" s="2"/>
      <c r="Q644" s="2"/>
      <c r="R644" s="4"/>
      <c r="S644" s="2"/>
      <c r="T644" s="2"/>
      <c r="U644" s="1"/>
      <c r="V644" s="2"/>
      <c r="W644" s="2"/>
      <c r="X644" s="2"/>
      <c r="Y644" s="2"/>
      <c r="Z644" s="2"/>
    </row>
    <row r="645" spans="1:26" ht="15.75" customHeight="1" x14ac:dyDescent="0.2">
      <c r="A645" s="12"/>
      <c r="B645" s="10"/>
      <c r="C645" s="11"/>
      <c r="D645" s="13"/>
      <c r="E645" s="13"/>
      <c r="F645" s="13"/>
      <c r="G645" s="2"/>
      <c r="H645" s="2"/>
      <c r="I645" s="13"/>
      <c r="J645" s="13"/>
      <c r="K645" s="13"/>
      <c r="L645" s="14"/>
      <c r="M645" s="4"/>
      <c r="N645" s="2"/>
      <c r="O645" s="4"/>
      <c r="P645" s="2"/>
      <c r="Q645" s="2"/>
      <c r="R645" s="4"/>
      <c r="S645" s="2"/>
      <c r="T645" s="2"/>
      <c r="U645" s="1"/>
      <c r="V645" s="2"/>
      <c r="W645" s="2"/>
      <c r="X645" s="2"/>
      <c r="Y645" s="2"/>
      <c r="Z645" s="2"/>
    </row>
    <row r="646" spans="1:26" ht="15.75" customHeight="1" x14ac:dyDescent="0.2">
      <c r="A646" s="12"/>
      <c r="B646" s="10"/>
      <c r="C646" s="11"/>
      <c r="D646" s="13"/>
      <c r="E646" s="13"/>
      <c r="F646" s="13"/>
      <c r="G646" s="2"/>
      <c r="H646" s="2"/>
      <c r="I646" s="13"/>
      <c r="J646" s="13"/>
      <c r="K646" s="13"/>
      <c r="L646" s="14"/>
      <c r="M646" s="4"/>
      <c r="N646" s="2"/>
      <c r="O646" s="4"/>
      <c r="P646" s="2"/>
      <c r="Q646" s="2"/>
      <c r="R646" s="4"/>
      <c r="S646" s="2"/>
      <c r="T646" s="2"/>
      <c r="U646" s="1"/>
      <c r="V646" s="2"/>
      <c r="W646" s="2"/>
      <c r="X646" s="2"/>
      <c r="Y646" s="2"/>
      <c r="Z646" s="2"/>
    </row>
    <row r="647" spans="1:26" ht="15.75" customHeight="1" x14ac:dyDescent="0.2">
      <c r="A647" s="12"/>
      <c r="B647" s="10"/>
      <c r="C647" s="11"/>
      <c r="D647" s="13"/>
      <c r="E647" s="13"/>
      <c r="F647" s="13"/>
      <c r="G647" s="2"/>
      <c r="H647" s="2"/>
      <c r="I647" s="13"/>
      <c r="J647" s="13"/>
      <c r="K647" s="13"/>
      <c r="L647" s="14"/>
      <c r="M647" s="4"/>
      <c r="N647" s="2"/>
      <c r="O647" s="4"/>
      <c r="P647" s="2"/>
      <c r="Q647" s="2"/>
      <c r="R647" s="4"/>
      <c r="S647" s="2"/>
      <c r="T647" s="2"/>
      <c r="U647" s="1"/>
      <c r="V647" s="2"/>
      <c r="W647" s="2"/>
      <c r="X647" s="2"/>
      <c r="Y647" s="2"/>
      <c r="Z647" s="2"/>
    </row>
    <row r="648" spans="1:26" ht="15.75" customHeight="1" x14ac:dyDescent="0.2">
      <c r="A648" s="12"/>
      <c r="B648" s="10"/>
      <c r="C648" s="11"/>
      <c r="D648" s="13"/>
      <c r="E648" s="13"/>
      <c r="F648" s="13"/>
      <c r="G648" s="2"/>
      <c r="H648" s="2"/>
      <c r="I648" s="13"/>
      <c r="J648" s="13"/>
      <c r="K648" s="13"/>
      <c r="L648" s="14"/>
      <c r="M648" s="4"/>
      <c r="N648" s="2"/>
      <c r="O648" s="4"/>
      <c r="P648" s="2"/>
      <c r="Q648" s="2"/>
      <c r="R648" s="4"/>
      <c r="S648" s="2"/>
      <c r="T648" s="2"/>
      <c r="U648" s="1"/>
      <c r="V648" s="2"/>
      <c r="W648" s="2"/>
      <c r="X648" s="2"/>
      <c r="Y648" s="2"/>
      <c r="Z648" s="2"/>
    </row>
    <row r="649" spans="1:26" ht="15.75" customHeight="1" x14ac:dyDescent="0.2">
      <c r="A649" s="12"/>
      <c r="B649" s="10"/>
      <c r="C649" s="11"/>
      <c r="D649" s="13"/>
      <c r="E649" s="13"/>
      <c r="F649" s="13"/>
      <c r="G649" s="2"/>
      <c r="H649" s="2"/>
      <c r="I649" s="13"/>
      <c r="J649" s="13"/>
      <c r="K649" s="13"/>
      <c r="L649" s="14"/>
      <c r="M649" s="4"/>
      <c r="N649" s="2"/>
      <c r="O649" s="4"/>
      <c r="P649" s="2"/>
      <c r="Q649" s="2"/>
      <c r="R649" s="4"/>
      <c r="S649" s="2"/>
      <c r="T649" s="2"/>
      <c r="U649" s="1"/>
      <c r="V649" s="2"/>
      <c r="W649" s="2"/>
      <c r="X649" s="2"/>
      <c r="Y649" s="2"/>
      <c r="Z649" s="2"/>
    </row>
    <row r="650" spans="1:26" ht="15.75" customHeight="1" x14ac:dyDescent="0.2">
      <c r="A650" s="12"/>
      <c r="B650" s="10"/>
      <c r="C650" s="11"/>
      <c r="D650" s="13"/>
      <c r="E650" s="13"/>
      <c r="F650" s="13"/>
      <c r="G650" s="2"/>
      <c r="H650" s="2"/>
      <c r="I650" s="13"/>
      <c r="J650" s="13"/>
      <c r="K650" s="13"/>
      <c r="L650" s="14"/>
      <c r="M650" s="4"/>
      <c r="N650" s="2"/>
      <c r="O650" s="4"/>
      <c r="P650" s="2"/>
      <c r="Q650" s="2"/>
      <c r="R650" s="4"/>
      <c r="S650" s="2"/>
      <c r="T650" s="2"/>
      <c r="U650" s="1"/>
      <c r="V650" s="2"/>
      <c r="W650" s="2"/>
      <c r="X650" s="2"/>
      <c r="Y650" s="2"/>
      <c r="Z650" s="2"/>
    </row>
    <row r="651" spans="1:26" ht="15.75" customHeight="1" x14ac:dyDescent="0.2">
      <c r="A651" s="12"/>
      <c r="B651" s="10"/>
      <c r="C651" s="11"/>
      <c r="D651" s="13"/>
      <c r="E651" s="13"/>
      <c r="F651" s="13"/>
      <c r="G651" s="2"/>
      <c r="H651" s="2"/>
      <c r="I651" s="13"/>
      <c r="J651" s="13"/>
      <c r="K651" s="13"/>
      <c r="L651" s="14"/>
      <c r="M651" s="4"/>
      <c r="N651" s="2"/>
      <c r="O651" s="4"/>
      <c r="P651" s="2"/>
      <c r="Q651" s="2"/>
      <c r="R651" s="4"/>
      <c r="S651" s="2"/>
      <c r="T651" s="2"/>
      <c r="U651" s="1"/>
      <c r="V651" s="2"/>
      <c r="W651" s="2"/>
      <c r="X651" s="2"/>
      <c r="Y651" s="2"/>
      <c r="Z651" s="2"/>
    </row>
    <row r="652" spans="1:26" ht="15.75" customHeight="1" x14ac:dyDescent="0.2">
      <c r="A652" s="12"/>
      <c r="B652" s="10"/>
      <c r="C652" s="11"/>
      <c r="D652" s="13"/>
      <c r="E652" s="13"/>
      <c r="F652" s="13"/>
      <c r="G652" s="2"/>
      <c r="H652" s="2"/>
      <c r="I652" s="13"/>
      <c r="J652" s="13"/>
      <c r="K652" s="13"/>
      <c r="L652" s="14"/>
      <c r="M652" s="4"/>
      <c r="N652" s="2"/>
      <c r="O652" s="4"/>
      <c r="P652" s="2"/>
      <c r="Q652" s="2"/>
      <c r="R652" s="4"/>
      <c r="S652" s="2"/>
      <c r="T652" s="2"/>
      <c r="U652" s="1"/>
      <c r="V652" s="2"/>
      <c r="W652" s="2"/>
      <c r="X652" s="2"/>
      <c r="Y652" s="2"/>
      <c r="Z652" s="2"/>
    </row>
    <row r="653" spans="1:26" ht="15.75" customHeight="1" x14ac:dyDescent="0.2">
      <c r="A653" s="12"/>
      <c r="B653" s="10"/>
      <c r="C653" s="11"/>
      <c r="D653" s="13"/>
      <c r="E653" s="13"/>
      <c r="F653" s="13"/>
      <c r="G653" s="2"/>
      <c r="H653" s="2"/>
      <c r="I653" s="13"/>
      <c r="J653" s="13"/>
      <c r="K653" s="13"/>
      <c r="L653" s="14"/>
      <c r="M653" s="4"/>
      <c r="N653" s="2"/>
      <c r="O653" s="4"/>
      <c r="P653" s="2"/>
      <c r="Q653" s="2"/>
      <c r="R653" s="4"/>
      <c r="S653" s="2"/>
      <c r="T653" s="2"/>
      <c r="U653" s="1"/>
      <c r="V653" s="2"/>
      <c r="W653" s="2"/>
      <c r="X653" s="2"/>
      <c r="Y653" s="2"/>
      <c r="Z653" s="2"/>
    </row>
    <row r="654" spans="1:26" ht="15.75" customHeight="1" x14ac:dyDescent="0.2">
      <c r="A654" s="12"/>
      <c r="B654" s="10"/>
      <c r="C654" s="11"/>
      <c r="D654" s="13"/>
      <c r="E654" s="13"/>
      <c r="F654" s="13"/>
      <c r="G654" s="2"/>
      <c r="H654" s="2"/>
      <c r="I654" s="13"/>
      <c r="J654" s="13"/>
      <c r="K654" s="13"/>
      <c r="L654" s="14"/>
      <c r="M654" s="4"/>
      <c r="N654" s="2"/>
      <c r="O654" s="4"/>
      <c r="P654" s="2"/>
      <c r="Q654" s="2"/>
      <c r="R654" s="4"/>
      <c r="S654" s="2"/>
      <c r="T654" s="2"/>
      <c r="U654" s="1"/>
      <c r="V654" s="2"/>
      <c r="W654" s="2"/>
      <c r="X654" s="2"/>
      <c r="Y654" s="2"/>
      <c r="Z654" s="2"/>
    </row>
    <row r="655" spans="1:26" ht="15.75" customHeight="1" x14ac:dyDescent="0.2">
      <c r="A655" s="12"/>
      <c r="B655" s="10"/>
      <c r="C655" s="11"/>
      <c r="D655" s="13"/>
      <c r="E655" s="13"/>
      <c r="F655" s="13"/>
      <c r="G655" s="2"/>
      <c r="H655" s="2"/>
      <c r="I655" s="13"/>
      <c r="J655" s="13"/>
      <c r="K655" s="13"/>
      <c r="L655" s="14"/>
      <c r="M655" s="4"/>
      <c r="N655" s="2"/>
      <c r="O655" s="4"/>
      <c r="P655" s="2"/>
      <c r="Q655" s="2"/>
      <c r="R655" s="4"/>
      <c r="S655" s="2"/>
      <c r="T655" s="2"/>
      <c r="U655" s="1"/>
      <c r="V655" s="2"/>
      <c r="W655" s="2"/>
      <c r="X655" s="2"/>
      <c r="Y655" s="2"/>
      <c r="Z655" s="2"/>
    </row>
    <row r="656" spans="1:26" ht="15.75" customHeight="1" x14ac:dyDescent="0.2">
      <c r="A656" s="12"/>
      <c r="B656" s="10"/>
      <c r="C656" s="11"/>
      <c r="D656" s="13"/>
      <c r="E656" s="13"/>
      <c r="F656" s="13"/>
      <c r="G656" s="2"/>
      <c r="H656" s="2"/>
      <c r="I656" s="13"/>
      <c r="J656" s="13"/>
      <c r="K656" s="13"/>
      <c r="L656" s="14"/>
      <c r="M656" s="4"/>
      <c r="N656" s="2"/>
      <c r="O656" s="4"/>
      <c r="P656" s="2"/>
      <c r="Q656" s="2"/>
      <c r="R656" s="4"/>
      <c r="S656" s="2"/>
      <c r="T656" s="2"/>
      <c r="U656" s="1"/>
      <c r="V656" s="2"/>
      <c r="W656" s="2"/>
      <c r="X656" s="2"/>
      <c r="Y656" s="2"/>
      <c r="Z656" s="2"/>
    </row>
    <row r="657" spans="1:26" ht="15.75" customHeight="1" x14ac:dyDescent="0.2">
      <c r="A657" s="12"/>
      <c r="B657" s="10"/>
      <c r="C657" s="11"/>
      <c r="D657" s="13"/>
      <c r="E657" s="13"/>
      <c r="F657" s="13"/>
      <c r="G657" s="2"/>
      <c r="H657" s="2"/>
      <c r="I657" s="13"/>
      <c r="J657" s="13"/>
      <c r="K657" s="13"/>
      <c r="L657" s="14"/>
      <c r="M657" s="4"/>
      <c r="N657" s="2"/>
      <c r="O657" s="4"/>
      <c r="P657" s="2"/>
      <c r="Q657" s="2"/>
      <c r="R657" s="4"/>
      <c r="S657" s="2"/>
      <c r="T657" s="2"/>
      <c r="U657" s="1"/>
      <c r="V657" s="2"/>
      <c r="W657" s="2"/>
      <c r="X657" s="2"/>
      <c r="Y657" s="2"/>
      <c r="Z657" s="2"/>
    </row>
    <row r="658" spans="1:26" ht="15.75" customHeight="1" x14ac:dyDescent="0.2">
      <c r="A658" s="12"/>
      <c r="B658" s="10"/>
      <c r="C658" s="11"/>
      <c r="D658" s="13"/>
      <c r="E658" s="13"/>
      <c r="F658" s="13"/>
      <c r="G658" s="2"/>
      <c r="H658" s="2"/>
      <c r="I658" s="13"/>
      <c r="J658" s="13"/>
      <c r="K658" s="13"/>
      <c r="L658" s="14"/>
      <c r="M658" s="4"/>
      <c r="N658" s="2"/>
      <c r="O658" s="4"/>
      <c r="P658" s="2"/>
      <c r="Q658" s="2"/>
      <c r="R658" s="4"/>
      <c r="S658" s="2"/>
      <c r="T658" s="2"/>
      <c r="U658" s="1"/>
      <c r="V658" s="2"/>
      <c r="W658" s="2"/>
      <c r="X658" s="2"/>
      <c r="Y658" s="2"/>
      <c r="Z658" s="2"/>
    </row>
    <row r="659" spans="1:26" ht="15.75" customHeight="1" x14ac:dyDescent="0.2">
      <c r="A659" s="12"/>
      <c r="B659" s="10"/>
      <c r="C659" s="11"/>
      <c r="D659" s="13"/>
      <c r="E659" s="13"/>
      <c r="F659" s="13"/>
      <c r="G659" s="2"/>
      <c r="H659" s="2"/>
      <c r="I659" s="13"/>
      <c r="J659" s="13"/>
      <c r="K659" s="13"/>
      <c r="L659" s="14"/>
      <c r="M659" s="4"/>
      <c r="N659" s="2"/>
      <c r="O659" s="4"/>
      <c r="P659" s="2"/>
      <c r="Q659" s="2"/>
      <c r="R659" s="4"/>
      <c r="S659" s="2"/>
      <c r="T659" s="2"/>
      <c r="U659" s="1"/>
      <c r="V659" s="2"/>
      <c r="W659" s="2"/>
      <c r="X659" s="2"/>
      <c r="Y659" s="2"/>
      <c r="Z659" s="2"/>
    </row>
    <row r="660" spans="1:26" ht="15.75" customHeight="1" x14ac:dyDescent="0.2">
      <c r="A660" s="12"/>
      <c r="B660" s="10"/>
      <c r="C660" s="11"/>
      <c r="D660" s="13"/>
      <c r="E660" s="13"/>
      <c r="F660" s="13"/>
      <c r="G660" s="2"/>
      <c r="H660" s="2"/>
      <c r="I660" s="13"/>
      <c r="J660" s="13"/>
      <c r="K660" s="13"/>
      <c r="L660" s="14"/>
      <c r="M660" s="4"/>
      <c r="N660" s="2"/>
      <c r="O660" s="4"/>
      <c r="P660" s="2"/>
      <c r="Q660" s="2"/>
      <c r="R660" s="4"/>
      <c r="S660" s="2"/>
      <c r="T660" s="2"/>
      <c r="U660" s="1"/>
      <c r="V660" s="2"/>
      <c r="W660" s="2"/>
      <c r="X660" s="2"/>
      <c r="Y660" s="2"/>
      <c r="Z660" s="2"/>
    </row>
    <row r="661" spans="1:26" ht="15.75" customHeight="1" x14ac:dyDescent="0.2">
      <c r="A661" s="12"/>
      <c r="B661" s="10"/>
      <c r="C661" s="11"/>
      <c r="D661" s="13"/>
      <c r="E661" s="13"/>
      <c r="F661" s="13"/>
      <c r="G661" s="2"/>
      <c r="H661" s="2"/>
      <c r="I661" s="13"/>
      <c r="J661" s="13"/>
      <c r="K661" s="13"/>
      <c r="L661" s="14"/>
      <c r="M661" s="4"/>
      <c r="N661" s="2"/>
      <c r="O661" s="4"/>
      <c r="P661" s="2"/>
      <c r="Q661" s="2"/>
      <c r="R661" s="4"/>
      <c r="S661" s="2"/>
      <c r="T661" s="2"/>
      <c r="U661" s="1"/>
      <c r="V661" s="2"/>
      <c r="W661" s="2"/>
      <c r="X661" s="2"/>
      <c r="Y661" s="2"/>
      <c r="Z661" s="2"/>
    </row>
    <row r="662" spans="1:26" ht="15.75" customHeight="1" x14ac:dyDescent="0.2">
      <c r="A662" s="12"/>
      <c r="B662" s="10"/>
      <c r="C662" s="11"/>
      <c r="D662" s="13"/>
      <c r="E662" s="13"/>
      <c r="F662" s="13"/>
      <c r="G662" s="2"/>
      <c r="H662" s="2"/>
      <c r="I662" s="13"/>
      <c r="J662" s="13"/>
      <c r="K662" s="13"/>
      <c r="L662" s="14"/>
      <c r="M662" s="4"/>
      <c r="N662" s="2"/>
      <c r="O662" s="4"/>
      <c r="P662" s="2"/>
      <c r="Q662" s="2"/>
      <c r="R662" s="4"/>
      <c r="S662" s="2"/>
      <c r="T662" s="2"/>
      <c r="U662" s="1"/>
      <c r="V662" s="2"/>
      <c r="W662" s="2"/>
      <c r="X662" s="2"/>
      <c r="Y662" s="2"/>
      <c r="Z662" s="2"/>
    </row>
    <row r="663" spans="1:26" ht="15.75" customHeight="1" x14ac:dyDescent="0.2">
      <c r="A663" s="12"/>
      <c r="B663" s="10"/>
      <c r="C663" s="11"/>
      <c r="D663" s="13"/>
      <c r="E663" s="13"/>
      <c r="F663" s="13"/>
      <c r="G663" s="2"/>
      <c r="H663" s="2"/>
      <c r="I663" s="13"/>
      <c r="J663" s="13"/>
      <c r="K663" s="13"/>
      <c r="L663" s="14"/>
      <c r="M663" s="4"/>
      <c r="N663" s="2"/>
      <c r="O663" s="4"/>
      <c r="P663" s="2"/>
      <c r="Q663" s="2"/>
      <c r="R663" s="4"/>
      <c r="S663" s="2"/>
      <c r="T663" s="2"/>
      <c r="U663" s="1"/>
      <c r="V663" s="2"/>
      <c r="W663" s="2"/>
      <c r="X663" s="2"/>
      <c r="Y663" s="2"/>
      <c r="Z663" s="2"/>
    </row>
    <row r="664" spans="1:26" ht="15.75" customHeight="1" x14ac:dyDescent="0.2">
      <c r="A664" s="12"/>
      <c r="B664" s="10"/>
      <c r="C664" s="11"/>
      <c r="D664" s="13"/>
      <c r="E664" s="13"/>
      <c r="F664" s="13"/>
      <c r="G664" s="2"/>
      <c r="H664" s="2"/>
      <c r="I664" s="13"/>
      <c r="J664" s="13"/>
      <c r="K664" s="13"/>
      <c r="L664" s="14"/>
      <c r="M664" s="4"/>
      <c r="N664" s="2"/>
      <c r="O664" s="4"/>
      <c r="P664" s="2"/>
      <c r="Q664" s="2"/>
      <c r="R664" s="4"/>
      <c r="S664" s="2"/>
      <c r="T664" s="2"/>
      <c r="U664" s="1"/>
      <c r="V664" s="2"/>
      <c r="W664" s="2"/>
      <c r="X664" s="2"/>
      <c r="Y664" s="2"/>
      <c r="Z664" s="2"/>
    </row>
    <row r="665" spans="1:26" ht="15.75" customHeight="1" x14ac:dyDescent="0.2">
      <c r="A665" s="12"/>
      <c r="B665" s="10"/>
      <c r="C665" s="11"/>
      <c r="D665" s="13"/>
      <c r="E665" s="13"/>
      <c r="F665" s="13"/>
      <c r="G665" s="2"/>
      <c r="H665" s="2"/>
      <c r="I665" s="13"/>
      <c r="J665" s="13"/>
      <c r="K665" s="13"/>
      <c r="L665" s="14"/>
      <c r="M665" s="4"/>
      <c r="N665" s="2"/>
      <c r="O665" s="4"/>
      <c r="P665" s="2"/>
      <c r="Q665" s="2"/>
      <c r="R665" s="4"/>
      <c r="S665" s="2"/>
      <c r="T665" s="2"/>
      <c r="U665" s="1"/>
      <c r="V665" s="2"/>
      <c r="W665" s="2"/>
      <c r="X665" s="2"/>
      <c r="Y665" s="2"/>
      <c r="Z665" s="2"/>
    </row>
    <row r="666" spans="1:26" ht="15.75" customHeight="1" x14ac:dyDescent="0.2">
      <c r="A666" s="12"/>
      <c r="B666" s="10"/>
      <c r="C666" s="11"/>
      <c r="D666" s="13"/>
      <c r="E666" s="13"/>
      <c r="F666" s="13"/>
      <c r="G666" s="2"/>
      <c r="H666" s="2"/>
      <c r="I666" s="13"/>
      <c r="J666" s="13"/>
      <c r="K666" s="13"/>
      <c r="L666" s="14"/>
      <c r="M666" s="4"/>
      <c r="N666" s="2"/>
      <c r="O666" s="4"/>
      <c r="P666" s="2"/>
      <c r="Q666" s="2"/>
      <c r="R666" s="4"/>
      <c r="S666" s="2"/>
      <c r="T666" s="2"/>
      <c r="U666" s="1"/>
      <c r="V666" s="2"/>
      <c r="W666" s="2"/>
      <c r="X666" s="2"/>
      <c r="Y666" s="2"/>
      <c r="Z666" s="2"/>
    </row>
    <row r="667" spans="1:26" ht="15.75" customHeight="1" x14ac:dyDescent="0.2">
      <c r="A667" s="12"/>
      <c r="B667" s="10"/>
      <c r="C667" s="11"/>
      <c r="D667" s="13"/>
      <c r="E667" s="13"/>
      <c r="F667" s="13"/>
      <c r="G667" s="2"/>
      <c r="H667" s="2"/>
      <c r="I667" s="13"/>
      <c r="J667" s="13"/>
      <c r="K667" s="13"/>
      <c r="L667" s="14"/>
      <c r="M667" s="4"/>
      <c r="N667" s="2"/>
      <c r="O667" s="4"/>
      <c r="P667" s="2"/>
      <c r="Q667" s="2"/>
      <c r="R667" s="4"/>
      <c r="S667" s="2"/>
      <c r="T667" s="2"/>
      <c r="U667" s="1"/>
      <c r="V667" s="2"/>
      <c r="W667" s="2"/>
      <c r="X667" s="2"/>
      <c r="Y667" s="2"/>
      <c r="Z667" s="2"/>
    </row>
    <row r="668" spans="1:26" ht="15.75" customHeight="1" x14ac:dyDescent="0.2">
      <c r="A668" s="12"/>
      <c r="B668" s="10"/>
      <c r="C668" s="11"/>
      <c r="D668" s="13"/>
      <c r="E668" s="13"/>
      <c r="F668" s="13"/>
      <c r="G668" s="2"/>
      <c r="H668" s="2"/>
      <c r="I668" s="13"/>
      <c r="J668" s="13"/>
      <c r="K668" s="13"/>
      <c r="L668" s="14"/>
      <c r="M668" s="4"/>
      <c r="N668" s="2"/>
      <c r="O668" s="4"/>
      <c r="P668" s="2"/>
      <c r="Q668" s="2"/>
      <c r="R668" s="4"/>
      <c r="S668" s="2"/>
      <c r="T668" s="2"/>
      <c r="U668" s="1"/>
      <c r="V668" s="2"/>
      <c r="W668" s="2"/>
      <c r="X668" s="2"/>
      <c r="Y668" s="2"/>
      <c r="Z668" s="2"/>
    </row>
    <row r="669" spans="1:26" ht="15.75" customHeight="1" x14ac:dyDescent="0.2">
      <c r="A669" s="12"/>
      <c r="B669" s="10"/>
      <c r="C669" s="11"/>
      <c r="D669" s="13"/>
      <c r="E669" s="13"/>
      <c r="F669" s="13"/>
      <c r="G669" s="2"/>
      <c r="H669" s="2"/>
      <c r="I669" s="13"/>
      <c r="J669" s="13"/>
      <c r="K669" s="13"/>
      <c r="L669" s="14"/>
      <c r="M669" s="4"/>
      <c r="N669" s="2"/>
      <c r="O669" s="4"/>
      <c r="P669" s="2"/>
      <c r="Q669" s="2"/>
      <c r="R669" s="4"/>
      <c r="S669" s="2"/>
      <c r="T669" s="2"/>
      <c r="U669" s="1"/>
      <c r="V669" s="2"/>
      <c r="W669" s="2"/>
      <c r="X669" s="2"/>
      <c r="Y669" s="2"/>
      <c r="Z669" s="2"/>
    </row>
    <row r="670" spans="1:26" ht="15.75" customHeight="1" x14ac:dyDescent="0.2">
      <c r="A670" s="12"/>
      <c r="B670" s="10"/>
      <c r="C670" s="11"/>
      <c r="D670" s="13"/>
      <c r="E670" s="13"/>
      <c r="F670" s="13"/>
      <c r="G670" s="2"/>
      <c r="H670" s="2"/>
      <c r="I670" s="13"/>
      <c r="J670" s="13"/>
      <c r="K670" s="13"/>
      <c r="L670" s="14"/>
      <c r="M670" s="4"/>
      <c r="N670" s="2"/>
      <c r="O670" s="4"/>
      <c r="P670" s="2"/>
      <c r="Q670" s="2"/>
      <c r="R670" s="4"/>
      <c r="S670" s="2"/>
      <c r="T670" s="2"/>
      <c r="U670" s="1"/>
      <c r="V670" s="2"/>
      <c r="W670" s="2"/>
      <c r="X670" s="2"/>
      <c r="Y670" s="2"/>
      <c r="Z670" s="2"/>
    </row>
    <row r="671" spans="1:26" ht="15.75" customHeight="1" x14ac:dyDescent="0.2">
      <c r="A671" s="12"/>
      <c r="B671" s="10"/>
      <c r="C671" s="11"/>
      <c r="D671" s="13"/>
      <c r="E671" s="13"/>
      <c r="F671" s="13"/>
      <c r="G671" s="2"/>
      <c r="H671" s="2"/>
      <c r="I671" s="13"/>
      <c r="J671" s="13"/>
      <c r="K671" s="13"/>
      <c r="L671" s="14"/>
      <c r="M671" s="4"/>
      <c r="N671" s="2"/>
      <c r="O671" s="4"/>
      <c r="P671" s="2"/>
      <c r="Q671" s="2"/>
      <c r="R671" s="4"/>
      <c r="S671" s="2"/>
      <c r="T671" s="2"/>
      <c r="U671" s="1"/>
      <c r="V671" s="2"/>
      <c r="W671" s="2"/>
      <c r="X671" s="2"/>
      <c r="Y671" s="2"/>
      <c r="Z671" s="2"/>
    </row>
    <row r="672" spans="1:26" ht="15.75" customHeight="1" x14ac:dyDescent="0.2">
      <c r="A672" s="12"/>
      <c r="B672" s="10"/>
      <c r="C672" s="11"/>
      <c r="D672" s="13"/>
      <c r="E672" s="13"/>
      <c r="F672" s="13"/>
      <c r="G672" s="2"/>
      <c r="H672" s="2"/>
      <c r="I672" s="13"/>
      <c r="J672" s="13"/>
      <c r="K672" s="13"/>
      <c r="L672" s="14"/>
      <c r="M672" s="4"/>
      <c r="N672" s="2"/>
      <c r="O672" s="4"/>
      <c r="P672" s="2"/>
      <c r="Q672" s="2"/>
      <c r="R672" s="4"/>
      <c r="S672" s="2"/>
      <c r="T672" s="2"/>
      <c r="U672" s="1"/>
      <c r="V672" s="2"/>
      <c r="W672" s="2"/>
      <c r="X672" s="2"/>
      <c r="Y672" s="2"/>
      <c r="Z672" s="2"/>
    </row>
    <row r="673" spans="1:26" ht="15.75" customHeight="1" x14ac:dyDescent="0.2">
      <c r="A673" s="12"/>
      <c r="B673" s="10"/>
      <c r="C673" s="11"/>
      <c r="D673" s="13"/>
      <c r="E673" s="13"/>
      <c r="F673" s="13"/>
      <c r="G673" s="2"/>
      <c r="H673" s="2"/>
      <c r="I673" s="13"/>
      <c r="J673" s="13"/>
      <c r="K673" s="13"/>
      <c r="L673" s="14"/>
      <c r="M673" s="4"/>
      <c r="N673" s="2"/>
      <c r="O673" s="4"/>
      <c r="P673" s="2"/>
      <c r="Q673" s="2"/>
      <c r="R673" s="4"/>
      <c r="S673" s="2"/>
      <c r="T673" s="2"/>
      <c r="U673" s="1"/>
      <c r="V673" s="2"/>
      <c r="W673" s="2"/>
      <c r="X673" s="2"/>
      <c r="Y673" s="2"/>
      <c r="Z673" s="2"/>
    </row>
    <row r="674" spans="1:26" ht="15.75" customHeight="1" x14ac:dyDescent="0.2">
      <c r="A674" s="12"/>
      <c r="B674" s="10"/>
      <c r="C674" s="11"/>
      <c r="D674" s="13"/>
      <c r="E674" s="13"/>
      <c r="F674" s="13"/>
      <c r="G674" s="2"/>
      <c r="H674" s="2"/>
      <c r="I674" s="13"/>
      <c r="J674" s="13"/>
      <c r="K674" s="13"/>
      <c r="L674" s="14"/>
      <c r="M674" s="4"/>
      <c r="N674" s="2"/>
      <c r="O674" s="4"/>
      <c r="P674" s="2"/>
      <c r="Q674" s="2"/>
      <c r="R674" s="4"/>
      <c r="S674" s="2"/>
      <c r="T674" s="2"/>
      <c r="U674" s="1"/>
      <c r="V674" s="2"/>
      <c r="W674" s="2"/>
      <c r="X674" s="2"/>
      <c r="Y674" s="2"/>
      <c r="Z674" s="2"/>
    </row>
    <row r="675" spans="1:26" ht="15.75" customHeight="1" x14ac:dyDescent="0.2">
      <c r="A675" s="12"/>
      <c r="B675" s="10"/>
      <c r="C675" s="11"/>
      <c r="D675" s="13"/>
      <c r="E675" s="13"/>
      <c r="F675" s="13"/>
      <c r="G675" s="2"/>
      <c r="H675" s="2"/>
      <c r="I675" s="13"/>
      <c r="J675" s="13"/>
      <c r="K675" s="13"/>
      <c r="L675" s="14"/>
      <c r="M675" s="4"/>
      <c r="N675" s="2"/>
      <c r="O675" s="4"/>
      <c r="P675" s="2"/>
      <c r="Q675" s="2"/>
      <c r="R675" s="4"/>
      <c r="S675" s="2"/>
      <c r="T675" s="2"/>
      <c r="U675" s="1"/>
      <c r="V675" s="2"/>
      <c r="W675" s="2"/>
      <c r="X675" s="2"/>
      <c r="Y675" s="2"/>
      <c r="Z675" s="2"/>
    </row>
    <row r="676" spans="1:26" ht="15.75" customHeight="1" x14ac:dyDescent="0.2">
      <c r="A676" s="12"/>
      <c r="B676" s="10"/>
      <c r="C676" s="11"/>
      <c r="D676" s="13"/>
      <c r="E676" s="13"/>
      <c r="F676" s="13"/>
      <c r="G676" s="2"/>
      <c r="H676" s="2"/>
      <c r="I676" s="13"/>
      <c r="J676" s="13"/>
      <c r="K676" s="13"/>
      <c r="L676" s="14"/>
      <c r="M676" s="4"/>
      <c r="N676" s="2"/>
      <c r="O676" s="4"/>
      <c r="P676" s="2"/>
      <c r="Q676" s="2"/>
      <c r="R676" s="4"/>
      <c r="S676" s="2"/>
      <c r="T676" s="2"/>
      <c r="U676" s="1"/>
      <c r="V676" s="2"/>
      <c r="W676" s="2"/>
      <c r="X676" s="2"/>
      <c r="Y676" s="2"/>
      <c r="Z676" s="2"/>
    </row>
    <row r="677" spans="1:26" ht="15.75" customHeight="1" x14ac:dyDescent="0.2">
      <c r="A677" s="12"/>
      <c r="B677" s="10"/>
      <c r="C677" s="11"/>
      <c r="D677" s="13"/>
      <c r="E677" s="13"/>
      <c r="F677" s="13"/>
      <c r="G677" s="2"/>
      <c r="H677" s="2"/>
      <c r="I677" s="13"/>
      <c r="J677" s="13"/>
      <c r="K677" s="13"/>
      <c r="L677" s="14"/>
      <c r="M677" s="4"/>
      <c r="N677" s="2"/>
      <c r="O677" s="4"/>
      <c r="P677" s="2"/>
      <c r="Q677" s="2"/>
      <c r="R677" s="4"/>
      <c r="S677" s="2"/>
      <c r="T677" s="2"/>
      <c r="U677" s="1"/>
      <c r="V677" s="2"/>
      <c r="W677" s="2"/>
      <c r="X677" s="2"/>
      <c r="Y677" s="2"/>
      <c r="Z677" s="2"/>
    </row>
    <row r="678" spans="1:26" ht="15.75" customHeight="1" x14ac:dyDescent="0.2">
      <c r="A678" s="12"/>
      <c r="B678" s="10"/>
      <c r="C678" s="11"/>
      <c r="D678" s="13"/>
      <c r="E678" s="13"/>
      <c r="F678" s="13"/>
      <c r="G678" s="2"/>
      <c r="H678" s="2"/>
      <c r="I678" s="13"/>
      <c r="J678" s="13"/>
      <c r="K678" s="13"/>
      <c r="L678" s="14"/>
      <c r="M678" s="4"/>
      <c r="N678" s="2"/>
      <c r="O678" s="4"/>
      <c r="P678" s="2"/>
      <c r="Q678" s="2"/>
      <c r="R678" s="4"/>
      <c r="S678" s="2"/>
      <c r="T678" s="2"/>
      <c r="U678" s="1"/>
      <c r="V678" s="2"/>
      <c r="W678" s="2"/>
      <c r="X678" s="2"/>
      <c r="Y678" s="2"/>
      <c r="Z678" s="2"/>
    </row>
    <row r="679" spans="1:26" ht="15.75" customHeight="1" x14ac:dyDescent="0.2">
      <c r="A679" s="12"/>
      <c r="B679" s="10"/>
      <c r="C679" s="11"/>
      <c r="D679" s="13"/>
      <c r="E679" s="13"/>
      <c r="F679" s="13"/>
      <c r="G679" s="2"/>
      <c r="H679" s="2"/>
      <c r="I679" s="13"/>
      <c r="J679" s="13"/>
      <c r="K679" s="13"/>
      <c r="L679" s="14"/>
      <c r="M679" s="4"/>
      <c r="N679" s="2"/>
      <c r="O679" s="4"/>
      <c r="P679" s="2"/>
      <c r="Q679" s="2"/>
      <c r="R679" s="4"/>
      <c r="S679" s="2"/>
      <c r="T679" s="2"/>
      <c r="U679" s="1"/>
      <c r="V679" s="2"/>
      <c r="W679" s="2"/>
      <c r="X679" s="2"/>
      <c r="Y679" s="2"/>
      <c r="Z679" s="2"/>
    </row>
    <row r="680" spans="1:26" ht="15.75" customHeight="1" x14ac:dyDescent="0.2">
      <c r="A680" s="12"/>
      <c r="B680" s="10"/>
      <c r="C680" s="11"/>
      <c r="D680" s="13"/>
      <c r="E680" s="13"/>
      <c r="F680" s="13"/>
      <c r="G680" s="2"/>
      <c r="H680" s="2"/>
      <c r="I680" s="13"/>
      <c r="J680" s="13"/>
      <c r="K680" s="13"/>
      <c r="L680" s="14"/>
      <c r="M680" s="4"/>
      <c r="N680" s="2"/>
      <c r="O680" s="4"/>
      <c r="P680" s="2"/>
      <c r="Q680" s="2"/>
      <c r="R680" s="4"/>
      <c r="S680" s="2"/>
      <c r="T680" s="2"/>
      <c r="U680" s="1"/>
      <c r="V680" s="2"/>
      <c r="W680" s="2"/>
      <c r="X680" s="2"/>
      <c r="Y680" s="2"/>
      <c r="Z680" s="2"/>
    </row>
    <row r="681" spans="1:26" ht="15.75" customHeight="1" x14ac:dyDescent="0.2">
      <c r="A681" s="12"/>
      <c r="B681" s="10"/>
      <c r="C681" s="11"/>
      <c r="D681" s="13"/>
      <c r="E681" s="13"/>
      <c r="F681" s="13"/>
      <c r="G681" s="2"/>
      <c r="H681" s="2"/>
      <c r="I681" s="13"/>
      <c r="J681" s="13"/>
      <c r="K681" s="13"/>
      <c r="L681" s="14"/>
      <c r="M681" s="4"/>
      <c r="N681" s="2"/>
      <c r="O681" s="4"/>
      <c r="P681" s="2"/>
      <c r="Q681" s="2"/>
      <c r="R681" s="4"/>
      <c r="S681" s="2"/>
      <c r="T681" s="2"/>
      <c r="U681" s="1"/>
      <c r="V681" s="2"/>
      <c r="W681" s="2"/>
      <c r="X681" s="2"/>
      <c r="Y681" s="2"/>
      <c r="Z681" s="2"/>
    </row>
    <row r="682" spans="1:26" ht="15.75" customHeight="1" x14ac:dyDescent="0.2">
      <c r="A682" s="12"/>
      <c r="B682" s="10"/>
      <c r="C682" s="11"/>
      <c r="D682" s="13"/>
      <c r="E682" s="13"/>
      <c r="F682" s="13"/>
      <c r="G682" s="2"/>
      <c r="H682" s="2"/>
      <c r="I682" s="13"/>
      <c r="J682" s="13"/>
      <c r="K682" s="13"/>
      <c r="L682" s="14"/>
      <c r="M682" s="4"/>
      <c r="N682" s="2"/>
      <c r="O682" s="4"/>
      <c r="P682" s="2"/>
      <c r="Q682" s="2"/>
      <c r="R682" s="4"/>
      <c r="S682" s="2"/>
      <c r="T682" s="2"/>
      <c r="U682" s="1"/>
      <c r="V682" s="2"/>
      <c r="W682" s="2"/>
      <c r="X682" s="2"/>
      <c r="Y682" s="2"/>
      <c r="Z682" s="2"/>
    </row>
    <row r="683" spans="1:26" ht="15.75" customHeight="1" x14ac:dyDescent="0.2">
      <c r="A683" s="12"/>
      <c r="B683" s="10"/>
      <c r="C683" s="11"/>
      <c r="D683" s="13"/>
      <c r="E683" s="13"/>
      <c r="F683" s="13"/>
      <c r="G683" s="2"/>
      <c r="H683" s="2"/>
      <c r="I683" s="13"/>
      <c r="J683" s="13"/>
      <c r="K683" s="13"/>
      <c r="L683" s="14"/>
      <c r="M683" s="4"/>
      <c r="N683" s="2"/>
      <c r="O683" s="4"/>
      <c r="P683" s="2"/>
      <c r="Q683" s="2"/>
      <c r="R683" s="4"/>
      <c r="S683" s="2"/>
      <c r="T683" s="2"/>
      <c r="U683" s="1"/>
      <c r="V683" s="2"/>
      <c r="W683" s="2"/>
      <c r="X683" s="2"/>
      <c r="Y683" s="2"/>
      <c r="Z683" s="2"/>
    </row>
    <row r="684" spans="1:26" ht="15.75" customHeight="1" x14ac:dyDescent="0.2">
      <c r="A684" s="12"/>
      <c r="B684" s="10"/>
      <c r="C684" s="11"/>
      <c r="D684" s="13"/>
      <c r="E684" s="13"/>
      <c r="F684" s="13"/>
      <c r="G684" s="2"/>
      <c r="H684" s="2"/>
      <c r="I684" s="13"/>
      <c r="J684" s="13"/>
      <c r="K684" s="13"/>
      <c r="L684" s="14"/>
      <c r="M684" s="4"/>
      <c r="N684" s="2"/>
      <c r="O684" s="4"/>
      <c r="P684" s="2"/>
      <c r="Q684" s="2"/>
      <c r="R684" s="4"/>
      <c r="S684" s="2"/>
      <c r="T684" s="2"/>
      <c r="U684" s="1"/>
      <c r="V684" s="2"/>
      <c r="W684" s="2"/>
      <c r="X684" s="2"/>
      <c r="Y684" s="2"/>
      <c r="Z684" s="2"/>
    </row>
    <row r="685" spans="1:26" ht="15.75" customHeight="1" x14ac:dyDescent="0.2">
      <c r="A685" s="12"/>
      <c r="B685" s="10"/>
      <c r="C685" s="11"/>
      <c r="D685" s="13"/>
      <c r="E685" s="13"/>
      <c r="F685" s="13"/>
      <c r="G685" s="2"/>
      <c r="H685" s="2"/>
      <c r="I685" s="13"/>
      <c r="J685" s="13"/>
      <c r="K685" s="13"/>
      <c r="L685" s="14"/>
      <c r="M685" s="4"/>
      <c r="N685" s="2"/>
      <c r="O685" s="4"/>
      <c r="P685" s="2"/>
      <c r="Q685" s="2"/>
      <c r="R685" s="4"/>
      <c r="S685" s="2"/>
      <c r="T685" s="2"/>
      <c r="U685" s="1"/>
      <c r="V685" s="2"/>
      <c r="W685" s="2"/>
      <c r="X685" s="2"/>
      <c r="Y685" s="2"/>
      <c r="Z685" s="2"/>
    </row>
    <row r="686" spans="1:26" ht="15.75" customHeight="1" x14ac:dyDescent="0.2">
      <c r="A686" s="12"/>
      <c r="B686" s="10"/>
      <c r="C686" s="11"/>
      <c r="D686" s="13"/>
      <c r="E686" s="13"/>
      <c r="F686" s="13"/>
      <c r="G686" s="2"/>
      <c r="H686" s="2"/>
      <c r="I686" s="13"/>
      <c r="J686" s="13"/>
      <c r="K686" s="13"/>
      <c r="L686" s="14"/>
      <c r="M686" s="4"/>
      <c r="N686" s="2"/>
      <c r="O686" s="4"/>
      <c r="P686" s="2"/>
      <c r="Q686" s="2"/>
      <c r="R686" s="4"/>
      <c r="S686" s="2"/>
      <c r="T686" s="2"/>
      <c r="U686" s="1"/>
      <c r="V686" s="2"/>
      <c r="W686" s="2"/>
      <c r="X686" s="2"/>
      <c r="Y686" s="2"/>
      <c r="Z686" s="2"/>
    </row>
    <row r="687" spans="1:26" ht="15.75" customHeight="1" x14ac:dyDescent="0.2">
      <c r="A687" s="12"/>
      <c r="B687" s="10"/>
      <c r="C687" s="11"/>
      <c r="D687" s="13"/>
      <c r="E687" s="13"/>
      <c r="F687" s="13"/>
      <c r="G687" s="2"/>
      <c r="H687" s="2"/>
      <c r="I687" s="13"/>
      <c r="J687" s="13"/>
      <c r="K687" s="13"/>
      <c r="L687" s="14"/>
      <c r="M687" s="4"/>
      <c r="N687" s="2"/>
      <c r="O687" s="4"/>
      <c r="P687" s="2"/>
      <c r="Q687" s="2"/>
      <c r="R687" s="4"/>
      <c r="S687" s="2"/>
      <c r="T687" s="2"/>
      <c r="U687" s="1"/>
      <c r="V687" s="2"/>
      <c r="W687" s="2"/>
      <c r="X687" s="2"/>
      <c r="Y687" s="2"/>
      <c r="Z687" s="2"/>
    </row>
    <row r="688" spans="1:26" ht="15.75" customHeight="1" x14ac:dyDescent="0.2">
      <c r="A688" s="12"/>
      <c r="B688" s="10"/>
      <c r="C688" s="11"/>
      <c r="D688" s="13"/>
      <c r="E688" s="13"/>
      <c r="F688" s="13"/>
      <c r="G688" s="2"/>
      <c r="H688" s="2"/>
      <c r="I688" s="13"/>
      <c r="J688" s="13"/>
      <c r="K688" s="13"/>
      <c r="L688" s="14"/>
      <c r="M688" s="4"/>
      <c r="N688" s="2"/>
      <c r="O688" s="4"/>
      <c r="P688" s="2"/>
      <c r="Q688" s="2"/>
      <c r="R688" s="4"/>
      <c r="S688" s="2"/>
      <c r="T688" s="2"/>
      <c r="U688" s="1"/>
      <c r="V688" s="2"/>
      <c r="W688" s="2"/>
      <c r="X688" s="2"/>
      <c r="Y688" s="2"/>
      <c r="Z688" s="2"/>
    </row>
    <row r="689" spans="1:26" ht="15.75" customHeight="1" x14ac:dyDescent="0.2">
      <c r="A689" s="12"/>
      <c r="B689" s="10"/>
      <c r="C689" s="11"/>
      <c r="D689" s="13"/>
      <c r="E689" s="13"/>
      <c r="F689" s="13"/>
      <c r="G689" s="2"/>
      <c r="H689" s="2"/>
      <c r="I689" s="13"/>
      <c r="J689" s="13"/>
      <c r="K689" s="13"/>
      <c r="L689" s="14"/>
      <c r="M689" s="4"/>
      <c r="N689" s="2"/>
      <c r="O689" s="4"/>
      <c r="P689" s="2"/>
      <c r="Q689" s="2"/>
      <c r="R689" s="4"/>
      <c r="S689" s="2"/>
      <c r="T689" s="2"/>
      <c r="U689" s="1"/>
      <c r="V689" s="2"/>
      <c r="W689" s="2"/>
      <c r="X689" s="2"/>
      <c r="Y689" s="2"/>
      <c r="Z689" s="2"/>
    </row>
    <row r="690" spans="1:26" ht="15.75" customHeight="1" x14ac:dyDescent="0.2">
      <c r="A690" s="12"/>
      <c r="B690" s="10"/>
      <c r="C690" s="11"/>
      <c r="D690" s="13"/>
      <c r="E690" s="13"/>
      <c r="F690" s="13"/>
      <c r="G690" s="2"/>
      <c r="H690" s="2"/>
      <c r="I690" s="13"/>
      <c r="J690" s="13"/>
      <c r="K690" s="13"/>
      <c r="L690" s="14"/>
      <c r="M690" s="4"/>
      <c r="N690" s="2"/>
      <c r="O690" s="4"/>
      <c r="P690" s="2"/>
      <c r="Q690" s="2"/>
      <c r="R690" s="4"/>
      <c r="S690" s="2"/>
      <c r="T690" s="2"/>
      <c r="U690" s="1"/>
      <c r="V690" s="2"/>
      <c r="W690" s="2"/>
      <c r="X690" s="2"/>
      <c r="Y690" s="2"/>
      <c r="Z690" s="2"/>
    </row>
    <row r="691" spans="1:26" ht="15.75" customHeight="1" x14ac:dyDescent="0.2">
      <c r="A691" s="12"/>
      <c r="B691" s="10"/>
      <c r="C691" s="11"/>
      <c r="D691" s="13"/>
      <c r="E691" s="13"/>
      <c r="F691" s="13"/>
      <c r="G691" s="2"/>
      <c r="H691" s="2"/>
      <c r="I691" s="13"/>
      <c r="J691" s="13"/>
      <c r="K691" s="13"/>
      <c r="L691" s="14"/>
      <c r="M691" s="4"/>
      <c r="N691" s="2"/>
      <c r="O691" s="4"/>
      <c r="P691" s="2"/>
      <c r="Q691" s="2"/>
      <c r="R691" s="4"/>
      <c r="S691" s="2"/>
      <c r="T691" s="2"/>
      <c r="U691" s="1"/>
      <c r="V691" s="2"/>
      <c r="W691" s="2"/>
      <c r="X691" s="2"/>
      <c r="Y691" s="2"/>
      <c r="Z691" s="2"/>
    </row>
    <row r="692" spans="1:26" ht="15.75" customHeight="1" x14ac:dyDescent="0.2">
      <c r="A692" s="12"/>
      <c r="B692" s="10"/>
      <c r="C692" s="11"/>
      <c r="D692" s="13"/>
      <c r="E692" s="13"/>
      <c r="F692" s="13"/>
      <c r="G692" s="2"/>
      <c r="H692" s="2"/>
      <c r="I692" s="13"/>
      <c r="J692" s="13"/>
      <c r="K692" s="13"/>
      <c r="L692" s="14"/>
      <c r="M692" s="4"/>
      <c r="N692" s="2"/>
      <c r="O692" s="4"/>
      <c r="P692" s="2"/>
      <c r="Q692" s="2"/>
      <c r="R692" s="4"/>
      <c r="S692" s="2"/>
      <c r="T692" s="2"/>
      <c r="U692" s="1"/>
      <c r="V692" s="2"/>
      <c r="W692" s="2"/>
      <c r="X692" s="2"/>
      <c r="Y692" s="2"/>
      <c r="Z692" s="2"/>
    </row>
    <row r="693" spans="1:26" ht="15.75" customHeight="1" x14ac:dyDescent="0.2">
      <c r="A693" s="12"/>
      <c r="B693" s="10"/>
      <c r="C693" s="11"/>
      <c r="D693" s="13"/>
      <c r="E693" s="13"/>
      <c r="F693" s="13"/>
      <c r="G693" s="2"/>
      <c r="H693" s="2"/>
      <c r="I693" s="13"/>
      <c r="J693" s="13"/>
      <c r="K693" s="13"/>
      <c r="L693" s="14"/>
      <c r="M693" s="4"/>
      <c r="N693" s="2"/>
      <c r="O693" s="4"/>
      <c r="P693" s="2"/>
      <c r="Q693" s="2"/>
      <c r="R693" s="4"/>
      <c r="S693" s="2"/>
      <c r="T693" s="2"/>
      <c r="U693" s="1"/>
      <c r="V693" s="2"/>
      <c r="W693" s="2"/>
      <c r="X693" s="2"/>
      <c r="Y693" s="2"/>
      <c r="Z693" s="2"/>
    </row>
    <row r="694" spans="1:26" ht="15.75" customHeight="1" x14ac:dyDescent="0.2">
      <c r="A694" s="12"/>
      <c r="B694" s="10"/>
      <c r="C694" s="11"/>
      <c r="D694" s="13"/>
      <c r="E694" s="13"/>
      <c r="F694" s="13"/>
      <c r="G694" s="2"/>
      <c r="H694" s="2"/>
      <c r="I694" s="13"/>
      <c r="J694" s="13"/>
      <c r="K694" s="13"/>
      <c r="L694" s="14"/>
      <c r="M694" s="4"/>
      <c r="N694" s="2"/>
      <c r="O694" s="4"/>
      <c r="P694" s="2"/>
      <c r="Q694" s="2"/>
      <c r="R694" s="4"/>
      <c r="S694" s="2"/>
      <c r="T694" s="2"/>
      <c r="U694" s="1"/>
      <c r="V694" s="2"/>
      <c r="W694" s="2"/>
      <c r="X694" s="2"/>
      <c r="Y694" s="2"/>
      <c r="Z694" s="2"/>
    </row>
    <row r="695" spans="1:26" ht="15.75" customHeight="1" x14ac:dyDescent="0.2">
      <c r="A695" s="12"/>
      <c r="B695" s="10"/>
      <c r="C695" s="11"/>
      <c r="D695" s="13"/>
      <c r="E695" s="13"/>
      <c r="F695" s="13"/>
      <c r="G695" s="2"/>
      <c r="H695" s="2"/>
      <c r="I695" s="13"/>
      <c r="J695" s="13"/>
      <c r="K695" s="13"/>
      <c r="L695" s="14"/>
      <c r="M695" s="4"/>
      <c r="N695" s="2"/>
      <c r="O695" s="4"/>
      <c r="P695" s="2"/>
      <c r="Q695" s="2"/>
      <c r="R695" s="4"/>
      <c r="S695" s="2"/>
      <c r="T695" s="2"/>
      <c r="U695" s="1"/>
      <c r="V695" s="2"/>
      <c r="W695" s="2"/>
      <c r="X695" s="2"/>
      <c r="Y695" s="2"/>
      <c r="Z695" s="2"/>
    </row>
    <row r="696" spans="1:26" ht="15.75" customHeight="1" x14ac:dyDescent="0.2">
      <c r="A696" s="12"/>
      <c r="B696" s="10"/>
      <c r="C696" s="11"/>
      <c r="D696" s="13"/>
      <c r="E696" s="13"/>
      <c r="F696" s="13"/>
      <c r="G696" s="2"/>
      <c r="H696" s="2"/>
      <c r="I696" s="13"/>
      <c r="J696" s="13"/>
      <c r="K696" s="13"/>
      <c r="L696" s="14"/>
      <c r="M696" s="4"/>
      <c r="N696" s="2"/>
      <c r="O696" s="4"/>
      <c r="P696" s="2"/>
      <c r="Q696" s="2"/>
      <c r="R696" s="4"/>
      <c r="S696" s="2"/>
      <c r="T696" s="2"/>
      <c r="U696" s="1"/>
      <c r="V696" s="2"/>
      <c r="W696" s="2"/>
      <c r="X696" s="2"/>
      <c r="Y696" s="2"/>
      <c r="Z696" s="2"/>
    </row>
    <row r="697" spans="1:26" ht="15.75" customHeight="1" x14ac:dyDescent="0.2">
      <c r="A697" s="12"/>
      <c r="B697" s="10"/>
      <c r="C697" s="11"/>
      <c r="D697" s="13"/>
      <c r="E697" s="13"/>
      <c r="F697" s="13"/>
      <c r="G697" s="2"/>
      <c r="H697" s="2"/>
      <c r="I697" s="13"/>
      <c r="J697" s="13"/>
      <c r="K697" s="13"/>
      <c r="L697" s="14"/>
      <c r="M697" s="4"/>
      <c r="N697" s="2"/>
      <c r="O697" s="4"/>
      <c r="P697" s="2"/>
      <c r="Q697" s="2"/>
      <c r="R697" s="4"/>
      <c r="S697" s="2"/>
      <c r="T697" s="2"/>
      <c r="U697" s="1"/>
      <c r="V697" s="2"/>
      <c r="W697" s="2"/>
      <c r="X697" s="2"/>
      <c r="Y697" s="2"/>
      <c r="Z697" s="2"/>
    </row>
    <row r="698" spans="1:26" ht="15.75" customHeight="1" x14ac:dyDescent="0.2">
      <c r="A698" s="12"/>
      <c r="B698" s="10"/>
      <c r="C698" s="11"/>
      <c r="D698" s="13"/>
      <c r="E698" s="13"/>
      <c r="F698" s="13"/>
      <c r="G698" s="2"/>
      <c r="H698" s="2"/>
      <c r="I698" s="13"/>
      <c r="J698" s="13"/>
      <c r="K698" s="13"/>
      <c r="L698" s="14"/>
      <c r="M698" s="4"/>
      <c r="N698" s="2"/>
      <c r="O698" s="4"/>
      <c r="P698" s="2"/>
      <c r="Q698" s="2"/>
      <c r="R698" s="4"/>
      <c r="S698" s="2"/>
      <c r="T698" s="2"/>
      <c r="U698" s="1"/>
      <c r="V698" s="2"/>
      <c r="W698" s="2"/>
      <c r="X698" s="2"/>
      <c r="Y698" s="2"/>
      <c r="Z698" s="2"/>
    </row>
    <row r="699" spans="1:26" ht="15.75" customHeight="1" x14ac:dyDescent="0.2">
      <c r="A699" s="12"/>
      <c r="B699" s="10"/>
      <c r="C699" s="11"/>
      <c r="D699" s="13"/>
      <c r="E699" s="13"/>
      <c r="F699" s="13"/>
      <c r="G699" s="2"/>
      <c r="H699" s="2"/>
      <c r="I699" s="13"/>
      <c r="J699" s="13"/>
      <c r="K699" s="13"/>
      <c r="L699" s="14"/>
      <c r="M699" s="4"/>
      <c r="N699" s="2"/>
      <c r="O699" s="4"/>
      <c r="P699" s="2"/>
      <c r="Q699" s="2"/>
      <c r="R699" s="4"/>
      <c r="S699" s="2"/>
      <c r="T699" s="2"/>
      <c r="U699" s="1"/>
      <c r="V699" s="2"/>
      <c r="W699" s="2"/>
      <c r="X699" s="2"/>
      <c r="Y699" s="2"/>
      <c r="Z699" s="2"/>
    </row>
    <row r="700" spans="1:26" ht="15.75" customHeight="1" x14ac:dyDescent="0.2">
      <c r="A700" s="12"/>
      <c r="B700" s="10"/>
      <c r="C700" s="11"/>
      <c r="D700" s="13"/>
      <c r="E700" s="13"/>
      <c r="F700" s="13"/>
      <c r="G700" s="2"/>
      <c r="H700" s="2"/>
      <c r="I700" s="13"/>
      <c r="J700" s="13"/>
      <c r="K700" s="13"/>
      <c r="L700" s="14"/>
      <c r="M700" s="4"/>
      <c r="N700" s="2"/>
      <c r="O700" s="4"/>
      <c r="P700" s="2"/>
      <c r="Q700" s="2"/>
      <c r="R700" s="4"/>
      <c r="S700" s="2"/>
      <c r="T700" s="2"/>
      <c r="U700" s="1"/>
      <c r="V700" s="2"/>
      <c r="W700" s="2"/>
      <c r="X700" s="2"/>
      <c r="Y700" s="2"/>
      <c r="Z700" s="2"/>
    </row>
    <row r="701" spans="1:26" ht="15.75" customHeight="1" x14ac:dyDescent="0.2">
      <c r="A701" s="12"/>
      <c r="B701" s="10"/>
      <c r="C701" s="11"/>
      <c r="D701" s="13"/>
      <c r="E701" s="13"/>
      <c r="F701" s="13"/>
      <c r="G701" s="2"/>
      <c r="H701" s="2"/>
      <c r="I701" s="13"/>
      <c r="J701" s="13"/>
      <c r="K701" s="13"/>
      <c r="L701" s="14"/>
      <c r="M701" s="4"/>
      <c r="N701" s="2"/>
      <c r="O701" s="4"/>
      <c r="P701" s="2"/>
      <c r="Q701" s="2"/>
      <c r="R701" s="4"/>
      <c r="S701" s="2"/>
      <c r="T701" s="2"/>
      <c r="U701" s="1"/>
      <c r="V701" s="2"/>
      <c r="W701" s="2"/>
      <c r="X701" s="2"/>
      <c r="Y701" s="2"/>
      <c r="Z701" s="2"/>
    </row>
    <row r="702" spans="1:26" ht="15.75" customHeight="1" x14ac:dyDescent="0.2">
      <c r="A702" s="12"/>
      <c r="B702" s="10"/>
      <c r="C702" s="11"/>
      <c r="D702" s="13"/>
      <c r="E702" s="13"/>
      <c r="F702" s="13"/>
      <c r="G702" s="2"/>
      <c r="H702" s="2"/>
      <c r="I702" s="13"/>
      <c r="J702" s="13"/>
      <c r="K702" s="13"/>
      <c r="L702" s="14"/>
      <c r="M702" s="4"/>
      <c r="N702" s="2"/>
      <c r="O702" s="4"/>
      <c r="P702" s="2"/>
      <c r="Q702" s="2"/>
      <c r="R702" s="4"/>
      <c r="S702" s="2"/>
      <c r="T702" s="2"/>
      <c r="U702" s="1"/>
      <c r="V702" s="2"/>
      <c r="W702" s="2"/>
      <c r="X702" s="2"/>
      <c r="Y702" s="2"/>
      <c r="Z702" s="2"/>
    </row>
    <row r="703" spans="1:26" ht="15.75" customHeight="1" x14ac:dyDescent="0.2">
      <c r="A703" s="12"/>
      <c r="B703" s="10"/>
      <c r="C703" s="11"/>
      <c r="D703" s="13"/>
      <c r="E703" s="13"/>
      <c r="F703" s="13"/>
      <c r="G703" s="2"/>
      <c r="H703" s="2"/>
      <c r="I703" s="13"/>
      <c r="J703" s="13"/>
      <c r="K703" s="13"/>
      <c r="L703" s="14"/>
      <c r="M703" s="4"/>
      <c r="N703" s="2"/>
      <c r="O703" s="4"/>
      <c r="P703" s="2"/>
      <c r="Q703" s="2"/>
      <c r="R703" s="4"/>
      <c r="S703" s="2"/>
      <c r="T703" s="2"/>
      <c r="U703" s="1"/>
      <c r="V703" s="2"/>
      <c r="W703" s="2"/>
      <c r="X703" s="2"/>
      <c r="Y703" s="2"/>
      <c r="Z703" s="2"/>
    </row>
    <row r="704" spans="1:26" ht="15.75" customHeight="1" x14ac:dyDescent="0.2">
      <c r="A704" s="12"/>
      <c r="B704" s="10"/>
      <c r="C704" s="11"/>
      <c r="D704" s="13"/>
      <c r="E704" s="13"/>
      <c r="F704" s="13"/>
      <c r="G704" s="2"/>
      <c r="H704" s="2"/>
      <c r="I704" s="13"/>
      <c r="J704" s="13"/>
      <c r="K704" s="13"/>
      <c r="L704" s="14"/>
      <c r="M704" s="4"/>
      <c r="N704" s="2"/>
      <c r="O704" s="4"/>
      <c r="P704" s="2"/>
      <c r="Q704" s="2"/>
      <c r="R704" s="4"/>
      <c r="S704" s="2"/>
      <c r="T704" s="2"/>
      <c r="U704" s="1"/>
      <c r="V704" s="2"/>
      <c r="W704" s="2"/>
      <c r="X704" s="2"/>
      <c r="Y704" s="2"/>
      <c r="Z704" s="2"/>
    </row>
    <row r="705" spans="1:26" ht="15.75" customHeight="1" x14ac:dyDescent="0.2">
      <c r="A705" s="12"/>
      <c r="B705" s="10"/>
      <c r="C705" s="11"/>
      <c r="D705" s="13"/>
      <c r="E705" s="13"/>
      <c r="F705" s="13"/>
      <c r="G705" s="2"/>
      <c r="H705" s="2"/>
      <c r="I705" s="13"/>
      <c r="J705" s="13"/>
      <c r="K705" s="13"/>
      <c r="L705" s="14"/>
      <c r="M705" s="4"/>
      <c r="N705" s="2"/>
      <c r="O705" s="4"/>
      <c r="P705" s="2"/>
      <c r="Q705" s="2"/>
      <c r="R705" s="4"/>
      <c r="S705" s="2"/>
      <c r="T705" s="2"/>
      <c r="U705" s="1"/>
      <c r="V705" s="2"/>
      <c r="W705" s="2"/>
      <c r="X705" s="2"/>
      <c r="Y705" s="2"/>
      <c r="Z705" s="2"/>
    </row>
    <row r="706" spans="1:26" ht="15.75" customHeight="1" x14ac:dyDescent="0.2">
      <c r="A706" s="12"/>
      <c r="B706" s="10"/>
      <c r="C706" s="11"/>
      <c r="D706" s="13"/>
      <c r="E706" s="13"/>
      <c r="F706" s="13"/>
      <c r="G706" s="2"/>
      <c r="H706" s="2"/>
      <c r="I706" s="13"/>
      <c r="J706" s="13"/>
      <c r="K706" s="13"/>
      <c r="L706" s="14"/>
      <c r="M706" s="4"/>
      <c r="N706" s="2"/>
      <c r="O706" s="4"/>
      <c r="P706" s="2"/>
      <c r="Q706" s="2"/>
      <c r="R706" s="4"/>
      <c r="S706" s="2"/>
      <c r="T706" s="2"/>
      <c r="U706" s="1"/>
      <c r="V706" s="2"/>
      <c r="W706" s="2"/>
      <c r="X706" s="2"/>
      <c r="Y706" s="2"/>
      <c r="Z706" s="2"/>
    </row>
    <row r="707" spans="1:26" ht="15.75" customHeight="1" x14ac:dyDescent="0.2">
      <c r="A707" s="12"/>
      <c r="B707" s="10"/>
      <c r="C707" s="11"/>
      <c r="D707" s="13"/>
      <c r="E707" s="13"/>
      <c r="F707" s="13"/>
      <c r="G707" s="2"/>
      <c r="H707" s="2"/>
      <c r="I707" s="13"/>
      <c r="J707" s="13"/>
      <c r="K707" s="13"/>
      <c r="L707" s="14"/>
      <c r="M707" s="4"/>
      <c r="N707" s="2"/>
      <c r="O707" s="4"/>
      <c r="P707" s="2"/>
      <c r="Q707" s="2"/>
      <c r="R707" s="4"/>
      <c r="S707" s="2"/>
      <c r="T707" s="2"/>
      <c r="U707" s="1"/>
      <c r="V707" s="2"/>
      <c r="W707" s="2"/>
      <c r="X707" s="2"/>
      <c r="Y707" s="2"/>
      <c r="Z707" s="2"/>
    </row>
    <row r="708" spans="1:26" ht="15.75" customHeight="1" x14ac:dyDescent="0.2">
      <c r="A708" s="12"/>
      <c r="B708" s="10"/>
      <c r="C708" s="11"/>
      <c r="D708" s="13"/>
      <c r="E708" s="13"/>
      <c r="F708" s="13"/>
      <c r="G708" s="2"/>
      <c r="H708" s="2"/>
      <c r="I708" s="13"/>
      <c r="J708" s="13"/>
      <c r="K708" s="13"/>
      <c r="L708" s="14"/>
      <c r="M708" s="4"/>
      <c r="N708" s="2"/>
      <c r="O708" s="4"/>
      <c r="P708" s="2"/>
      <c r="Q708" s="2"/>
      <c r="R708" s="4"/>
      <c r="S708" s="2"/>
      <c r="T708" s="2"/>
      <c r="U708" s="1"/>
      <c r="V708" s="2"/>
      <c r="W708" s="2"/>
      <c r="X708" s="2"/>
      <c r="Y708" s="2"/>
      <c r="Z708" s="2"/>
    </row>
    <row r="709" spans="1:26" ht="15.75" customHeight="1" x14ac:dyDescent="0.2">
      <c r="A709" s="12"/>
      <c r="B709" s="10"/>
      <c r="C709" s="11"/>
      <c r="D709" s="13"/>
      <c r="E709" s="13"/>
      <c r="F709" s="13"/>
      <c r="G709" s="2"/>
      <c r="H709" s="2"/>
      <c r="I709" s="13"/>
      <c r="J709" s="13"/>
      <c r="K709" s="13"/>
      <c r="L709" s="14"/>
      <c r="M709" s="4"/>
      <c r="N709" s="2"/>
      <c r="O709" s="4"/>
      <c r="P709" s="2"/>
      <c r="Q709" s="2"/>
      <c r="R709" s="4"/>
      <c r="S709" s="2"/>
      <c r="T709" s="2"/>
      <c r="U709" s="1"/>
      <c r="V709" s="2"/>
      <c r="W709" s="2"/>
      <c r="X709" s="2"/>
      <c r="Y709" s="2"/>
      <c r="Z709" s="2"/>
    </row>
    <row r="710" spans="1:26" ht="15.75" customHeight="1" x14ac:dyDescent="0.2">
      <c r="A710" s="12"/>
      <c r="B710" s="10"/>
      <c r="C710" s="11"/>
      <c r="D710" s="13"/>
      <c r="E710" s="13"/>
      <c r="F710" s="13"/>
      <c r="G710" s="2"/>
      <c r="H710" s="2"/>
      <c r="I710" s="13"/>
      <c r="J710" s="13"/>
      <c r="K710" s="13"/>
      <c r="L710" s="14"/>
      <c r="M710" s="4"/>
      <c r="N710" s="2"/>
      <c r="O710" s="4"/>
      <c r="P710" s="2"/>
      <c r="Q710" s="2"/>
      <c r="R710" s="4"/>
      <c r="S710" s="2"/>
      <c r="T710" s="2"/>
      <c r="U710" s="1"/>
      <c r="V710" s="2"/>
      <c r="W710" s="2"/>
      <c r="X710" s="2"/>
      <c r="Y710" s="2"/>
      <c r="Z710" s="2"/>
    </row>
    <row r="711" spans="1:26" ht="15.75" customHeight="1" x14ac:dyDescent="0.2">
      <c r="A711" s="12"/>
      <c r="B711" s="10"/>
      <c r="C711" s="11"/>
      <c r="D711" s="13"/>
      <c r="E711" s="13"/>
      <c r="F711" s="13"/>
      <c r="G711" s="2"/>
      <c r="H711" s="2"/>
      <c r="I711" s="13"/>
      <c r="J711" s="13"/>
      <c r="K711" s="13"/>
      <c r="L711" s="14"/>
      <c r="M711" s="4"/>
      <c r="N711" s="2"/>
      <c r="O711" s="4"/>
      <c r="P711" s="2"/>
      <c r="Q711" s="2"/>
      <c r="R711" s="4"/>
      <c r="S711" s="2"/>
      <c r="T711" s="2"/>
      <c r="U711" s="1"/>
      <c r="V711" s="2"/>
      <c r="W711" s="2"/>
      <c r="X711" s="2"/>
      <c r="Y711" s="2"/>
      <c r="Z711" s="2"/>
    </row>
    <row r="712" spans="1:26" ht="15.75" customHeight="1" x14ac:dyDescent="0.2">
      <c r="A712" s="12"/>
      <c r="B712" s="10"/>
      <c r="C712" s="11"/>
      <c r="D712" s="13"/>
      <c r="E712" s="13"/>
      <c r="F712" s="13"/>
      <c r="G712" s="2"/>
      <c r="H712" s="2"/>
      <c r="I712" s="13"/>
      <c r="J712" s="13"/>
      <c r="K712" s="13"/>
      <c r="L712" s="14"/>
      <c r="M712" s="4"/>
      <c r="N712" s="2"/>
      <c r="O712" s="4"/>
      <c r="P712" s="2"/>
      <c r="Q712" s="2"/>
      <c r="R712" s="4"/>
      <c r="S712" s="2"/>
      <c r="T712" s="2"/>
      <c r="U712" s="1"/>
      <c r="V712" s="2"/>
      <c r="W712" s="2"/>
      <c r="X712" s="2"/>
      <c r="Y712" s="2"/>
      <c r="Z712" s="2"/>
    </row>
    <row r="713" spans="1:26" ht="15.75" customHeight="1" x14ac:dyDescent="0.2">
      <c r="A713" s="12"/>
      <c r="B713" s="10"/>
      <c r="C713" s="11"/>
      <c r="D713" s="13"/>
      <c r="E713" s="13"/>
      <c r="F713" s="13"/>
      <c r="G713" s="2"/>
      <c r="H713" s="2"/>
      <c r="I713" s="13"/>
      <c r="J713" s="13"/>
      <c r="K713" s="13"/>
      <c r="L713" s="14"/>
      <c r="M713" s="4"/>
      <c r="N713" s="2"/>
      <c r="O713" s="4"/>
      <c r="P713" s="2"/>
      <c r="Q713" s="2"/>
      <c r="R713" s="4"/>
      <c r="S713" s="2"/>
      <c r="T713" s="2"/>
      <c r="U713" s="1"/>
      <c r="V713" s="2"/>
      <c r="W713" s="2"/>
      <c r="X713" s="2"/>
      <c r="Y713" s="2"/>
      <c r="Z713" s="2"/>
    </row>
    <row r="714" spans="1:26" ht="15.75" customHeight="1" x14ac:dyDescent="0.2">
      <c r="A714" s="12"/>
      <c r="B714" s="10"/>
      <c r="C714" s="11"/>
      <c r="D714" s="13"/>
      <c r="E714" s="13"/>
      <c r="F714" s="13"/>
      <c r="G714" s="2"/>
      <c r="H714" s="2"/>
      <c r="I714" s="13"/>
      <c r="J714" s="13"/>
      <c r="K714" s="13"/>
      <c r="L714" s="14"/>
      <c r="M714" s="4"/>
      <c r="N714" s="2"/>
      <c r="O714" s="4"/>
      <c r="P714" s="2"/>
      <c r="Q714" s="2"/>
      <c r="R714" s="4"/>
      <c r="S714" s="2"/>
      <c r="T714" s="2"/>
      <c r="U714" s="1"/>
      <c r="V714" s="2"/>
      <c r="W714" s="2"/>
      <c r="X714" s="2"/>
      <c r="Y714" s="2"/>
      <c r="Z714" s="2"/>
    </row>
    <row r="715" spans="1:26" ht="15.75" customHeight="1" x14ac:dyDescent="0.2">
      <c r="A715" s="12"/>
      <c r="B715" s="10"/>
      <c r="C715" s="11"/>
      <c r="D715" s="13"/>
      <c r="E715" s="13"/>
      <c r="F715" s="13"/>
      <c r="G715" s="2"/>
      <c r="H715" s="2"/>
      <c r="I715" s="13"/>
      <c r="J715" s="13"/>
      <c r="K715" s="13"/>
      <c r="L715" s="14"/>
      <c r="M715" s="4"/>
      <c r="N715" s="2"/>
      <c r="O715" s="4"/>
      <c r="P715" s="2"/>
      <c r="Q715" s="2"/>
      <c r="R715" s="4"/>
      <c r="S715" s="2"/>
      <c r="T715" s="2"/>
      <c r="U715" s="1"/>
      <c r="V715" s="2"/>
      <c r="W715" s="2"/>
      <c r="X715" s="2"/>
      <c r="Y715" s="2"/>
      <c r="Z715" s="2"/>
    </row>
    <row r="716" spans="1:26" ht="15.75" customHeight="1" x14ac:dyDescent="0.2">
      <c r="A716" s="12"/>
      <c r="B716" s="10"/>
      <c r="C716" s="11"/>
      <c r="D716" s="13"/>
      <c r="E716" s="13"/>
      <c r="F716" s="13"/>
      <c r="G716" s="2"/>
      <c r="H716" s="2"/>
      <c r="I716" s="13"/>
      <c r="J716" s="13"/>
      <c r="K716" s="13"/>
      <c r="L716" s="14"/>
      <c r="M716" s="4"/>
      <c r="N716" s="2"/>
      <c r="O716" s="4"/>
      <c r="P716" s="2"/>
      <c r="Q716" s="2"/>
      <c r="R716" s="4"/>
      <c r="S716" s="2"/>
      <c r="T716" s="2"/>
      <c r="U716" s="1"/>
      <c r="V716" s="2"/>
      <c r="W716" s="2"/>
      <c r="X716" s="2"/>
      <c r="Y716" s="2"/>
      <c r="Z716" s="2"/>
    </row>
    <row r="717" spans="1:26" ht="15.75" customHeight="1" x14ac:dyDescent="0.2">
      <c r="A717" s="12"/>
      <c r="B717" s="10"/>
      <c r="C717" s="11"/>
      <c r="D717" s="13"/>
      <c r="E717" s="13"/>
      <c r="F717" s="13"/>
      <c r="G717" s="2"/>
      <c r="H717" s="2"/>
      <c r="I717" s="13"/>
      <c r="J717" s="13"/>
      <c r="K717" s="13"/>
      <c r="L717" s="14"/>
      <c r="M717" s="4"/>
      <c r="N717" s="2"/>
      <c r="O717" s="4"/>
      <c r="P717" s="2"/>
      <c r="Q717" s="2"/>
      <c r="R717" s="4"/>
      <c r="S717" s="2"/>
      <c r="T717" s="2"/>
      <c r="U717" s="1"/>
      <c r="V717" s="2"/>
      <c r="W717" s="2"/>
      <c r="X717" s="2"/>
      <c r="Y717" s="2"/>
      <c r="Z717" s="2"/>
    </row>
    <row r="718" spans="1:26" ht="15.75" customHeight="1" x14ac:dyDescent="0.2">
      <c r="A718" s="12"/>
      <c r="B718" s="10"/>
      <c r="C718" s="11"/>
      <c r="D718" s="13"/>
      <c r="E718" s="13"/>
      <c r="F718" s="13"/>
      <c r="G718" s="2"/>
      <c r="H718" s="2"/>
      <c r="I718" s="13"/>
      <c r="J718" s="13"/>
      <c r="K718" s="13"/>
      <c r="L718" s="14"/>
      <c r="M718" s="4"/>
      <c r="N718" s="2"/>
      <c r="O718" s="4"/>
      <c r="P718" s="2"/>
      <c r="Q718" s="2"/>
      <c r="R718" s="4"/>
      <c r="S718" s="2"/>
      <c r="T718" s="2"/>
      <c r="U718" s="1"/>
      <c r="V718" s="2"/>
      <c r="W718" s="2"/>
      <c r="X718" s="2"/>
      <c r="Y718" s="2"/>
      <c r="Z718" s="2"/>
    </row>
    <row r="719" spans="1:26" ht="15.75" customHeight="1" x14ac:dyDescent="0.2">
      <c r="A719" s="12"/>
      <c r="B719" s="10"/>
      <c r="C719" s="11"/>
      <c r="D719" s="13"/>
      <c r="E719" s="13"/>
      <c r="F719" s="13"/>
      <c r="G719" s="2"/>
      <c r="H719" s="2"/>
      <c r="I719" s="13"/>
      <c r="J719" s="13"/>
      <c r="K719" s="13"/>
      <c r="L719" s="14"/>
      <c r="M719" s="4"/>
      <c r="N719" s="2"/>
      <c r="O719" s="4"/>
      <c r="P719" s="2"/>
      <c r="Q719" s="2"/>
      <c r="R719" s="4"/>
      <c r="S719" s="2"/>
      <c r="T719" s="2"/>
      <c r="U719" s="1"/>
      <c r="V719" s="2"/>
      <c r="W719" s="2"/>
      <c r="X719" s="2"/>
      <c r="Y719" s="2"/>
      <c r="Z719" s="2"/>
    </row>
    <row r="720" spans="1:26" ht="15.75" customHeight="1" x14ac:dyDescent="0.2">
      <c r="A720" s="12"/>
      <c r="B720" s="10"/>
      <c r="C720" s="11"/>
      <c r="D720" s="13"/>
      <c r="E720" s="13"/>
      <c r="F720" s="13"/>
      <c r="G720" s="2"/>
      <c r="H720" s="2"/>
      <c r="I720" s="13"/>
      <c r="J720" s="13"/>
      <c r="K720" s="13"/>
      <c r="L720" s="14"/>
      <c r="M720" s="4"/>
      <c r="N720" s="2"/>
      <c r="O720" s="4"/>
      <c r="P720" s="2"/>
      <c r="Q720" s="2"/>
      <c r="R720" s="4"/>
      <c r="S720" s="2"/>
      <c r="T720" s="2"/>
      <c r="U720" s="1"/>
      <c r="V720" s="2"/>
      <c r="W720" s="2"/>
      <c r="X720" s="2"/>
      <c r="Y720" s="2"/>
      <c r="Z720" s="2"/>
    </row>
    <row r="721" spans="1:26" ht="15.75" customHeight="1" x14ac:dyDescent="0.2">
      <c r="A721" s="12"/>
      <c r="B721" s="10"/>
      <c r="C721" s="11"/>
      <c r="D721" s="13"/>
      <c r="E721" s="13"/>
      <c r="F721" s="13"/>
      <c r="G721" s="2"/>
      <c r="H721" s="2"/>
      <c r="I721" s="13"/>
      <c r="J721" s="13"/>
      <c r="K721" s="13"/>
      <c r="L721" s="14"/>
      <c r="M721" s="4"/>
      <c r="N721" s="2"/>
      <c r="O721" s="4"/>
      <c r="P721" s="2"/>
      <c r="Q721" s="2"/>
      <c r="R721" s="4"/>
      <c r="S721" s="2"/>
      <c r="T721" s="2"/>
      <c r="U721" s="1"/>
      <c r="V721" s="2"/>
      <c r="W721" s="2"/>
      <c r="X721" s="2"/>
      <c r="Y721" s="2"/>
      <c r="Z721" s="2"/>
    </row>
    <row r="722" spans="1:26" ht="15.75" customHeight="1" x14ac:dyDescent="0.2">
      <c r="A722" s="12"/>
      <c r="B722" s="10"/>
      <c r="C722" s="11"/>
      <c r="D722" s="13"/>
      <c r="E722" s="13"/>
      <c r="F722" s="13"/>
      <c r="G722" s="2"/>
      <c r="H722" s="2"/>
      <c r="I722" s="13"/>
      <c r="J722" s="13"/>
      <c r="K722" s="13"/>
      <c r="L722" s="14"/>
      <c r="M722" s="4"/>
      <c r="N722" s="2"/>
      <c r="O722" s="4"/>
      <c r="P722" s="2"/>
      <c r="Q722" s="2"/>
      <c r="R722" s="4"/>
      <c r="S722" s="2"/>
      <c r="T722" s="2"/>
      <c r="U722" s="1"/>
      <c r="V722" s="2"/>
      <c r="W722" s="2"/>
      <c r="X722" s="2"/>
      <c r="Y722" s="2"/>
      <c r="Z722" s="2"/>
    </row>
    <row r="723" spans="1:26" ht="15.75" customHeight="1" x14ac:dyDescent="0.2">
      <c r="A723" s="12"/>
      <c r="B723" s="10"/>
      <c r="C723" s="11"/>
      <c r="D723" s="13"/>
      <c r="E723" s="13"/>
      <c r="F723" s="13"/>
      <c r="G723" s="2"/>
      <c r="H723" s="2"/>
      <c r="I723" s="13"/>
      <c r="J723" s="13"/>
      <c r="K723" s="13"/>
      <c r="L723" s="14"/>
      <c r="M723" s="4"/>
      <c r="N723" s="2"/>
      <c r="O723" s="4"/>
      <c r="P723" s="2"/>
      <c r="Q723" s="2"/>
      <c r="R723" s="4"/>
      <c r="S723" s="2"/>
      <c r="T723" s="2"/>
      <c r="U723" s="1"/>
      <c r="V723" s="2"/>
      <c r="W723" s="2"/>
      <c r="X723" s="2"/>
      <c r="Y723" s="2"/>
      <c r="Z723" s="2"/>
    </row>
    <row r="724" spans="1:26" ht="15.75" customHeight="1" x14ac:dyDescent="0.2">
      <c r="A724" s="12"/>
      <c r="B724" s="10"/>
      <c r="C724" s="11"/>
      <c r="D724" s="13"/>
      <c r="E724" s="13"/>
      <c r="F724" s="13"/>
      <c r="G724" s="2"/>
      <c r="H724" s="2"/>
      <c r="I724" s="13"/>
      <c r="J724" s="13"/>
      <c r="K724" s="13"/>
      <c r="L724" s="14"/>
      <c r="M724" s="4"/>
      <c r="N724" s="2"/>
      <c r="O724" s="4"/>
      <c r="P724" s="2"/>
      <c r="Q724" s="2"/>
      <c r="R724" s="4"/>
      <c r="S724" s="2"/>
      <c r="T724" s="2"/>
      <c r="U724" s="1"/>
      <c r="V724" s="2"/>
      <c r="W724" s="2"/>
      <c r="X724" s="2"/>
      <c r="Y724" s="2"/>
      <c r="Z724" s="2"/>
    </row>
    <row r="725" spans="1:26" ht="15.75" customHeight="1" x14ac:dyDescent="0.2">
      <c r="A725" s="12"/>
      <c r="B725" s="10"/>
      <c r="C725" s="11"/>
      <c r="D725" s="13"/>
      <c r="E725" s="13"/>
      <c r="F725" s="13"/>
      <c r="G725" s="2"/>
      <c r="H725" s="2"/>
      <c r="I725" s="13"/>
      <c r="J725" s="13"/>
      <c r="K725" s="13"/>
      <c r="L725" s="14"/>
      <c r="M725" s="4"/>
      <c r="N725" s="2"/>
      <c r="O725" s="4"/>
      <c r="P725" s="2"/>
      <c r="Q725" s="2"/>
      <c r="R725" s="4"/>
      <c r="S725" s="2"/>
      <c r="T725" s="2"/>
      <c r="U725" s="1"/>
      <c r="V725" s="2"/>
      <c r="W725" s="2"/>
      <c r="X725" s="2"/>
      <c r="Y725" s="2"/>
      <c r="Z725" s="2"/>
    </row>
    <row r="726" spans="1:26" ht="15.75" customHeight="1" x14ac:dyDescent="0.2">
      <c r="A726" s="12"/>
      <c r="B726" s="10"/>
      <c r="C726" s="11"/>
      <c r="D726" s="13"/>
      <c r="E726" s="13"/>
      <c r="F726" s="13"/>
      <c r="G726" s="2"/>
      <c r="H726" s="2"/>
      <c r="I726" s="13"/>
      <c r="J726" s="13"/>
      <c r="K726" s="13"/>
      <c r="L726" s="14"/>
      <c r="M726" s="4"/>
      <c r="N726" s="2"/>
      <c r="O726" s="4"/>
      <c r="P726" s="2"/>
      <c r="Q726" s="2"/>
      <c r="R726" s="4"/>
      <c r="S726" s="2"/>
      <c r="T726" s="2"/>
      <c r="U726" s="1"/>
      <c r="V726" s="2"/>
      <c r="W726" s="2"/>
      <c r="X726" s="2"/>
      <c r="Y726" s="2"/>
      <c r="Z726" s="2"/>
    </row>
    <row r="727" spans="1:26" ht="15.75" customHeight="1" x14ac:dyDescent="0.2">
      <c r="A727" s="12"/>
      <c r="B727" s="10"/>
      <c r="C727" s="11"/>
      <c r="D727" s="13"/>
      <c r="E727" s="13"/>
      <c r="F727" s="13"/>
      <c r="G727" s="2"/>
      <c r="H727" s="2"/>
      <c r="I727" s="13"/>
      <c r="J727" s="13"/>
      <c r="K727" s="13"/>
      <c r="L727" s="14"/>
      <c r="M727" s="4"/>
      <c r="N727" s="2"/>
      <c r="O727" s="4"/>
      <c r="P727" s="2"/>
      <c r="Q727" s="2"/>
      <c r="R727" s="4"/>
      <c r="S727" s="2"/>
      <c r="T727" s="2"/>
      <c r="U727" s="1"/>
      <c r="V727" s="2"/>
      <c r="W727" s="2"/>
      <c r="X727" s="2"/>
      <c r="Y727" s="2"/>
      <c r="Z727" s="2"/>
    </row>
    <row r="728" spans="1:26" ht="15.75" customHeight="1" x14ac:dyDescent="0.2">
      <c r="A728" s="12"/>
      <c r="B728" s="10"/>
      <c r="C728" s="11"/>
      <c r="D728" s="13"/>
      <c r="E728" s="13"/>
      <c r="F728" s="13"/>
      <c r="G728" s="2"/>
      <c r="H728" s="2"/>
      <c r="I728" s="13"/>
      <c r="J728" s="13"/>
      <c r="K728" s="13"/>
      <c r="L728" s="14"/>
      <c r="M728" s="4"/>
      <c r="N728" s="2"/>
      <c r="O728" s="4"/>
      <c r="P728" s="2"/>
      <c r="Q728" s="2"/>
      <c r="R728" s="4"/>
      <c r="S728" s="2"/>
      <c r="T728" s="2"/>
      <c r="U728" s="1"/>
      <c r="V728" s="2"/>
      <c r="W728" s="2"/>
      <c r="X728" s="2"/>
      <c r="Y728" s="2"/>
      <c r="Z728" s="2"/>
    </row>
    <row r="729" spans="1:26" ht="15.75" customHeight="1" x14ac:dyDescent="0.2">
      <c r="A729" s="12"/>
      <c r="B729" s="10"/>
      <c r="C729" s="11"/>
      <c r="D729" s="13"/>
      <c r="E729" s="13"/>
      <c r="F729" s="13"/>
      <c r="G729" s="2"/>
      <c r="H729" s="2"/>
      <c r="I729" s="13"/>
      <c r="J729" s="13"/>
      <c r="K729" s="13"/>
      <c r="L729" s="14"/>
      <c r="M729" s="4"/>
      <c r="N729" s="2"/>
      <c r="O729" s="4"/>
      <c r="P729" s="2"/>
      <c r="Q729" s="2"/>
      <c r="R729" s="4"/>
      <c r="S729" s="2"/>
      <c r="T729" s="2"/>
      <c r="U729" s="1"/>
      <c r="V729" s="2"/>
      <c r="W729" s="2"/>
      <c r="X729" s="2"/>
      <c r="Y729" s="2"/>
      <c r="Z729" s="2"/>
    </row>
    <row r="730" spans="1:26" ht="15.75" customHeight="1" x14ac:dyDescent="0.2">
      <c r="A730" s="12"/>
      <c r="B730" s="10"/>
      <c r="C730" s="11"/>
      <c r="D730" s="13"/>
      <c r="E730" s="13"/>
      <c r="F730" s="13"/>
      <c r="G730" s="2"/>
      <c r="H730" s="2"/>
      <c r="I730" s="13"/>
      <c r="J730" s="13"/>
      <c r="K730" s="13"/>
      <c r="L730" s="14"/>
      <c r="M730" s="4"/>
      <c r="N730" s="2"/>
      <c r="O730" s="4"/>
      <c r="P730" s="2"/>
      <c r="Q730" s="2"/>
      <c r="R730" s="4"/>
      <c r="S730" s="2"/>
      <c r="T730" s="2"/>
      <c r="U730" s="1"/>
      <c r="V730" s="2"/>
      <c r="W730" s="2"/>
      <c r="X730" s="2"/>
      <c r="Y730" s="2"/>
      <c r="Z730" s="2"/>
    </row>
    <row r="731" spans="1:26" ht="15.75" customHeight="1" x14ac:dyDescent="0.2">
      <c r="A731" s="12"/>
      <c r="B731" s="10"/>
      <c r="C731" s="11"/>
      <c r="D731" s="13"/>
      <c r="E731" s="13"/>
      <c r="F731" s="13"/>
      <c r="G731" s="2"/>
      <c r="H731" s="2"/>
      <c r="I731" s="13"/>
      <c r="J731" s="13"/>
      <c r="K731" s="13"/>
      <c r="L731" s="14"/>
      <c r="M731" s="4"/>
      <c r="N731" s="2"/>
      <c r="O731" s="4"/>
      <c r="P731" s="2"/>
      <c r="Q731" s="2"/>
      <c r="R731" s="4"/>
      <c r="S731" s="2"/>
      <c r="T731" s="2"/>
      <c r="U731" s="1"/>
      <c r="V731" s="2"/>
      <c r="W731" s="2"/>
      <c r="X731" s="2"/>
      <c r="Y731" s="2"/>
      <c r="Z731" s="2"/>
    </row>
    <row r="732" spans="1:26" ht="15.75" customHeight="1" x14ac:dyDescent="0.2">
      <c r="A732" s="12"/>
      <c r="B732" s="10"/>
      <c r="C732" s="11"/>
      <c r="D732" s="13"/>
      <c r="E732" s="13"/>
      <c r="F732" s="13"/>
      <c r="G732" s="2"/>
      <c r="H732" s="2"/>
      <c r="I732" s="13"/>
      <c r="J732" s="13"/>
      <c r="K732" s="13"/>
      <c r="L732" s="14"/>
      <c r="M732" s="4"/>
      <c r="N732" s="2"/>
      <c r="O732" s="4"/>
      <c r="P732" s="2"/>
      <c r="Q732" s="2"/>
      <c r="R732" s="4"/>
      <c r="S732" s="2"/>
      <c r="T732" s="2"/>
      <c r="U732" s="1"/>
      <c r="V732" s="2"/>
      <c r="W732" s="2"/>
      <c r="X732" s="2"/>
      <c r="Y732" s="2"/>
      <c r="Z732" s="2"/>
    </row>
    <row r="733" spans="1:26" ht="15.75" customHeight="1" x14ac:dyDescent="0.2">
      <c r="A733" s="12"/>
      <c r="B733" s="10"/>
      <c r="C733" s="11"/>
      <c r="D733" s="13"/>
      <c r="E733" s="13"/>
      <c r="F733" s="13"/>
      <c r="G733" s="2"/>
      <c r="H733" s="2"/>
      <c r="I733" s="13"/>
      <c r="J733" s="13"/>
      <c r="K733" s="13"/>
      <c r="L733" s="14"/>
      <c r="M733" s="4"/>
      <c r="N733" s="2"/>
      <c r="O733" s="4"/>
      <c r="P733" s="2"/>
      <c r="Q733" s="2"/>
      <c r="R733" s="4"/>
      <c r="S733" s="2"/>
      <c r="T733" s="2"/>
      <c r="U733" s="1"/>
      <c r="V733" s="2"/>
      <c r="W733" s="2"/>
      <c r="X733" s="2"/>
      <c r="Y733" s="2"/>
      <c r="Z733" s="2"/>
    </row>
    <row r="734" spans="1:26" ht="15.75" customHeight="1" x14ac:dyDescent="0.2">
      <c r="A734" s="12"/>
      <c r="B734" s="10"/>
      <c r="C734" s="11"/>
      <c r="D734" s="13"/>
      <c r="E734" s="13"/>
      <c r="F734" s="13"/>
      <c r="G734" s="2"/>
      <c r="H734" s="2"/>
      <c r="I734" s="13"/>
      <c r="J734" s="13"/>
      <c r="K734" s="13"/>
      <c r="L734" s="14"/>
      <c r="M734" s="4"/>
      <c r="N734" s="2"/>
      <c r="O734" s="4"/>
      <c r="P734" s="2"/>
      <c r="Q734" s="2"/>
      <c r="R734" s="4"/>
      <c r="S734" s="2"/>
      <c r="T734" s="2"/>
      <c r="U734" s="1"/>
      <c r="V734" s="2"/>
      <c r="W734" s="2"/>
      <c r="X734" s="2"/>
      <c r="Y734" s="2"/>
      <c r="Z734" s="2"/>
    </row>
    <row r="735" spans="1:26" ht="15.75" customHeight="1" x14ac:dyDescent="0.2">
      <c r="A735" s="12"/>
      <c r="B735" s="10"/>
      <c r="C735" s="11"/>
      <c r="D735" s="13"/>
      <c r="E735" s="13"/>
      <c r="F735" s="13"/>
      <c r="G735" s="2"/>
      <c r="H735" s="2"/>
      <c r="I735" s="13"/>
      <c r="J735" s="13"/>
      <c r="K735" s="13"/>
      <c r="L735" s="14"/>
      <c r="M735" s="4"/>
      <c r="N735" s="2"/>
      <c r="O735" s="4"/>
      <c r="P735" s="2"/>
      <c r="Q735" s="2"/>
      <c r="R735" s="4"/>
      <c r="S735" s="2"/>
      <c r="T735" s="2"/>
      <c r="U735" s="1"/>
      <c r="V735" s="2"/>
      <c r="W735" s="2"/>
      <c r="X735" s="2"/>
      <c r="Y735" s="2"/>
      <c r="Z735" s="2"/>
    </row>
    <row r="736" spans="1:26" ht="15.75" customHeight="1" x14ac:dyDescent="0.2">
      <c r="A736" s="12"/>
      <c r="B736" s="10"/>
      <c r="C736" s="11"/>
      <c r="D736" s="13"/>
      <c r="E736" s="13"/>
      <c r="F736" s="13"/>
      <c r="G736" s="2"/>
      <c r="H736" s="2"/>
      <c r="I736" s="13"/>
      <c r="J736" s="13"/>
      <c r="K736" s="13"/>
      <c r="L736" s="14"/>
      <c r="M736" s="4"/>
      <c r="N736" s="2"/>
      <c r="O736" s="4"/>
      <c r="P736" s="2"/>
      <c r="Q736" s="2"/>
      <c r="R736" s="4"/>
      <c r="S736" s="2"/>
      <c r="T736" s="2"/>
      <c r="U736" s="1"/>
      <c r="V736" s="2"/>
      <c r="W736" s="2"/>
      <c r="X736" s="2"/>
      <c r="Y736" s="2"/>
      <c r="Z736" s="2"/>
    </row>
    <row r="737" spans="1:26" ht="15.75" customHeight="1" x14ac:dyDescent="0.2">
      <c r="A737" s="12"/>
      <c r="B737" s="10"/>
      <c r="C737" s="11"/>
      <c r="D737" s="13"/>
      <c r="E737" s="13"/>
      <c r="F737" s="13"/>
      <c r="G737" s="2"/>
      <c r="H737" s="2"/>
      <c r="I737" s="13"/>
      <c r="J737" s="13"/>
      <c r="K737" s="13"/>
      <c r="L737" s="14"/>
      <c r="M737" s="4"/>
      <c r="N737" s="2"/>
      <c r="O737" s="4"/>
      <c r="P737" s="2"/>
      <c r="Q737" s="2"/>
      <c r="R737" s="4"/>
      <c r="S737" s="2"/>
      <c r="T737" s="2"/>
      <c r="U737" s="1"/>
      <c r="V737" s="2"/>
      <c r="W737" s="2"/>
      <c r="X737" s="2"/>
      <c r="Y737" s="2"/>
      <c r="Z737" s="2"/>
    </row>
    <row r="738" spans="1:26" ht="15.75" customHeight="1" x14ac:dyDescent="0.2">
      <c r="A738" s="12"/>
      <c r="B738" s="10"/>
      <c r="C738" s="11"/>
      <c r="D738" s="13"/>
      <c r="E738" s="13"/>
      <c r="F738" s="13"/>
      <c r="G738" s="2"/>
      <c r="H738" s="2"/>
      <c r="I738" s="13"/>
      <c r="J738" s="13"/>
      <c r="K738" s="13"/>
      <c r="L738" s="14"/>
      <c r="M738" s="4"/>
      <c r="N738" s="2"/>
      <c r="O738" s="4"/>
      <c r="P738" s="2"/>
      <c r="Q738" s="2"/>
      <c r="R738" s="4"/>
      <c r="S738" s="2"/>
      <c r="T738" s="2"/>
      <c r="U738" s="1"/>
      <c r="V738" s="2"/>
      <c r="W738" s="2"/>
      <c r="X738" s="2"/>
      <c r="Y738" s="2"/>
      <c r="Z738" s="2"/>
    </row>
    <row r="739" spans="1:26" ht="15.75" customHeight="1" x14ac:dyDescent="0.2">
      <c r="A739" s="12"/>
      <c r="B739" s="10"/>
      <c r="C739" s="11"/>
      <c r="D739" s="13"/>
      <c r="E739" s="13"/>
      <c r="F739" s="13"/>
      <c r="G739" s="2"/>
      <c r="H739" s="2"/>
      <c r="I739" s="13"/>
      <c r="J739" s="13"/>
      <c r="K739" s="13"/>
      <c r="L739" s="14"/>
      <c r="M739" s="4"/>
      <c r="N739" s="2"/>
      <c r="O739" s="4"/>
      <c r="P739" s="2"/>
      <c r="Q739" s="2"/>
      <c r="R739" s="4"/>
      <c r="S739" s="2"/>
      <c r="T739" s="2"/>
      <c r="U739" s="1"/>
      <c r="V739" s="2"/>
      <c r="W739" s="2"/>
      <c r="X739" s="2"/>
      <c r="Y739" s="2"/>
      <c r="Z739" s="2"/>
    </row>
    <row r="740" spans="1:26" ht="15.75" customHeight="1" x14ac:dyDescent="0.2">
      <c r="A740" s="12"/>
      <c r="B740" s="10"/>
      <c r="C740" s="11"/>
      <c r="D740" s="13"/>
      <c r="E740" s="13"/>
      <c r="F740" s="13"/>
      <c r="G740" s="2"/>
      <c r="H740" s="2"/>
      <c r="I740" s="13"/>
      <c r="J740" s="13"/>
      <c r="K740" s="13"/>
      <c r="L740" s="14"/>
      <c r="M740" s="4"/>
      <c r="N740" s="2"/>
      <c r="O740" s="4"/>
      <c r="P740" s="2"/>
      <c r="Q740" s="2"/>
      <c r="R740" s="4"/>
      <c r="S740" s="2"/>
      <c r="T740" s="2"/>
      <c r="U740" s="1"/>
      <c r="V740" s="2"/>
      <c r="W740" s="2"/>
      <c r="X740" s="2"/>
      <c r="Y740" s="2"/>
      <c r="Z740" s="2"/>
    </row>
    <row r="741" spans="1:26" ht="15.75" customHeight="1" x14ac:dyDescent="0.2">
      <c r="A741" s="12"/>
      <c r="B741" s="10"/>
      <c r="C741" s="11"/>
      <c r="D741" s="13"/>
      <c r="E741" s="13"/>
      <c r="F741" s="13"/>
      <c r="G741" s="2"/>
      <c r="H741" s="2"/>
      <c r="I741" s="13"/>
      <c r="J741" s="13"/>
      <c r="K741" s="13"/>
      <c r="L741" s="14"/>
      <c r="M741" s="4"/>
      <c r="N741" s="2"/>
      <c r="O741" s="4"/>
      <c r="P741" s="2"/>
      <c r="Q741" s="2"/>
      <c r="R741" s="4"/>
      <c r="S741" s="2"/>
      <c r="T741" s="2"/>
      <c r="U741" s="1"/>
      <c r="V741" s="2"/>
      <c r="W741" s="2"/>
      <c r="X741" s="2"/>
      <c r="Y741" s="2"/>
      <c r="Z741" s="2"/>
    </row>
    <row r="742" spans="1:26" ht="15.75" customHeight="1" x14ac:dyDescent="0.2">
      <c r="A742" s="12"/>
      <c r="B742" s="10"/>
      <c r="C742" s="11"/>
      <c r="D742" s="13"/>
      <c r="E742" s="13"/>
      <c r="F742" s="13"/>
      <c r="G742" s="2"/>
      <c r="H742" s="2"/>
      <c r="I742" s="13"/>
      <c r="J742" s="13"/>
      <c r="K742" s="13"/>
      <c r="L742" s="14"/>
      <c r="M742" s="4"/>
      <c r="N742" s="2"/>
      <c r="O742" s="4"/>
      <c r="P742" s="2"/>
      <c r="Q742" s="2"/>
      <c r="R742" s="4"/>
      <c r="S742" s="2"/>
      <c r="T742" s="2"/>
      <c r="U742" s="1"/>
      <c r="V742" s="2"/>
      <c r="W742" s="2"/>
      <c r="X742" s="2"/>
      <c r="Y742" s="2"/>
      <c r="Z742" s="2"/>
    </row>
    <row r="743" spans="1:26" ht="15.75" customHeight="1" x14ac:dyDescent="0.2">
      <c r="A743" s="12"/>
      <c r="B743" s="10"/>
      <c r="C743" s="11"/>
      <c r="D743" s="13"/>
      <c r="E743" s="13"/>
      <c r="F743" s="13"/>
      <c r="G743" s="2"/>
      <c r="H743" s="2"/>
      <c r="I743" s="13"/>
      <c r="J743" s="13"/>
      <c r="K743" s="13"/>
      <c r="L743" s="14"/>
      <c r="M743" s="4"/>
      <c r="N743" s="2"/>
      <c r="O743" s="4"/>
      <c r="P743" s="2"/>
      <c r="Q743" s="2"/>
      <c r="R743" s="4"/>
      <c r="S743" s="2"/>
      <c r="T743" s="2"/>
      <c r="U743" s="1"/>
      <c r="V743" s="2"/>
      <c r="W743" s="2"/>
      <c r="X743" s="2"/>
      <c r="Y743" s="2"/>
      <c r="Z743" s="2"/>
    </row>
    <row r="744" spans="1:26" ht="15.75" customHeight="1" x14ac:dyDescent="0.2">
      <c r="A744" s="12"/>
      <c r="B744" s="10"/>
      <c r="C744" s="11"/>
      <c r="D744" s="13"/>
      <c r="E744" s="13"/>
      <c r="F744" s="13"/>
      <c r="G744" s="2"/>
      <c r="H744" s="2"/>
      <c r="I744" s="13"/>
      <c r="J744" s="13"/>
      <c r="K744" s="13"/>
      <c r="L744" s="14"/>
      <c r="M744" s="4"/>
      <c r="N744" s="2"/>
      <c r="O744" s="4"/>
      <c r="P744" s="2"/>
      <c r="Q744" s="2"/>
      <c r="R744" s="4"/>
      <c r="S744" s="2"/>
      <c r="T744" s="2"/>
      <c r="U744" s="1"/>
      <c r="V744" s="2"/>
      <c r="W744" s="2"/>
      <c r="X744" s="2"/>
      <c r="Y744" s="2"/>
      <c r="Z744" s="2"/>
    </row>
    <row r="745" spans="1:26" ht="15.75" customHeight="1" x14ac:dyDescent="0.2">
      <c r="A745" s="12"/>
      <c r="B745" s="10"/>
      <c r="C745" s="11"/>
      <c r="D745" s="13"/>
      <c r="E745" s="13"/>
      <c r="F745" s="13"/>
      <c r="G745" s="2"/>
      <c r="H745" s="2"/>
      <c r="I745" s="13"/>
      <c r="J745" s="13"/>
      <c r="K745" s="13"/>
      <c r="L745" s="14"/>
      <c r="M745" s="4"/>
      <c r="N745" s="2"/>
      <c r="O745" s="4"/>
      <c r="P745" s="2"/>
      <c r="Q745" s="2"/>
      <c r="R745" s="4"/>
      <c r="S745" s="2"/>
      <c r="T745" s="2"/>
      <c r="U745" s="1"/>
      <c r="V745" s="2"/>
      <c r="W745" s="2"/>
      <c r="X745" s="2"/>
      <c r="Y745" s="2"/>
      <c r="Z745" s="2"/>
    </row>
    <row r="746" spans="1:26" ht="15.75" customHeight="1" x14ac:dyDescent="0.2">
      <c r="A746" s="12"/>
      <c r="B746" s="10"/>
      <c r="C746" s="11"/>
      <c r="D746" s="13"/>
      <c r="E746" s="13"/>
      <c r="F746" s="13"/>
      <c r="G746" s="2"/>
      <c r="H746" s="2"/>
      <c r="I746" s="13"/>
      <c r="J746" s="13"/>
      <c r="K746" s="13"/>
      <c r="L746" s="14"/>
      <c r="M746" s="4"/>
      <c r="N746" s="2"/>
      <c r="O746" s="4"/>
      <c r="P746" s="2"/>
      <c r="Q746" s="2"/>
      <c r="R746" s="4"/>
      <c r="S746" s="2"/>
      <c r="T746" s="2"/>
      <c r="U746" s="1"/>
      <c r="V746" s="2"/>
      <c r="W746" s="2"/>
      <c r="X746" s="2"/>
      <c r="Y746" s="2"/>
      <c r="Z746" s="2"/>
    </row>
    <row r="747" spans="1:26" ht="15.75" customHeight="1" x14ac:dyDescent="0.2">
      <c r="A747" s="12"/>
      <c r="B747" s="10"/>
      <c r="C747" s="11"/>
      <c r="D747" s="13"/>
      <c r="E747" s="13"/>
      <c r="F747" s="13"/>
      <c r="G747" s="2"/>
      <c r="H747" s="2"/>
      <c r="I747" s="13"/>
      <c r="J747" s="13"/>
      <c r="K747" s="13"/>
      <c r="L747" s="14"/>
      <c r="M747" s="4"/>
      <c r="N747" s="2"/>
      <c r="O747" s="4"/>
      <c r="P747" s="2"/>
      <c r="Q747" s="2"/>
      <c r="R747" s="4"/>
      <c r="S747" s="2"/>
      <c r="T747" s="2"/>
      <c r="U747" s="1"/>
      <c r="V747" s="2"/>
      <c r="W747" s="2"/>
      <c r="X747" s="2"/>
      <c r="Y747" s="2"/>
      <c r="Z747" s="2"/>
    </row>
    <row r="748" spans="1:26" ht="15.75" customHeight="1" x14ac:dyDescent="0.2">
      <c r="A748" s="12"/>
      <c r="B748" s="10"/>
      <c r="C748" s="11"/>
      <c r="D748" s="13"/>
      <c r="E748" s="13"/>
      <c r="F748" s="13"/>
      <c r="G748" s="2"/>
      <c r="H748" s="2"/>
      <c r="I748" s="13"/>
      <c r="J748" s="13"/>
      <c r="K748" s="13"/>
      <c r="L748" s="14"/>
      <c r="M748" s="4"/>
      <c r="N748" s="2"/>
      <c r="O748" s="4"/>
      <c r="P748" s="2"/>
      <c r="Q748" s="2"/>
      <c r="R748" s="4"/>
      <c r="S748" s="2"/>
      <c r="T748" s="2"/>
      <c r="U748" s="1"/>
      <c r="V748" s="2"/>
      <c r="W748" s="2"/>
      <c r="X748" s="2"/>
      <c r="Y748" s="2"/>
      <c r="Z748" s="2"/>
    </row>
    <row r="749" spans="1:26" ht="15.75" customHeight="1" x14ac:dyDescent="0.2">
      <c r="A749" s="12"/>
      <c r="B749" s="10"/>
      <c r="C749" s="11"/>
      <c r="D749" s="13"/>
      <c r="E749" s="13"/>
      <c r="F749" s="13"/>
      <c r="G749" s="2"/>
      <c r="H749" s="2"/>
      <c r="I749" s="13"/>
      <c r="J749" s="13"/>
      <c r="K749" s="13"/>
      <c r="L749" s="14"/>
      <c r="M749" s="4"/>
      <c r="N749" s="2"/>
      <c r="O749" s="4"/>
      <c r="P749" s="2"/>
      <c r="Q749" s="2"/>
      <c r="R749" s="4"/>
      <c r="S749" s="2"/>
      <c r="T749" s="2"/>
      <c r="U749" s="1"/>
      <c r="V749" s="2"/>
      <c r="W749" s="2"/>
      <c r="X749" s="2"/>
      <c r="Y749" s="2"/>
      <c r="Z749" s="2"/>
    </row>
    <row r="750" spans="1:26" ht="15.75" customHeight="1" x14ac:dyDescent="0.2">
      <c r="A750" s="12"/>
      <c r="B750" s="10"/>
      <c r="C750" s="11"/>
      <c r="D750" s="13"/>
      <c r="E750" s="13"/>
      <c r="F750" s="13"/>
      <c r="G750" s="2"/>
      <c r="H750" s="2"/>
      <c r="I750" s="13"/>
      <c r="J750" s="13"/>
      <c r="K750" s="13"/>
      <c r="L750" s="14"/>
      <c r="M750" s="4"/>
      <c r="N750" s="2"/>
      <c r="O750" s="4"/>
      <c r="P750" s="2"/>
      <c r="Q750" s="2"/>
      <c r="R750" s="4"/>
      <c r="S750" s="2"/>
      <c r="T750" s="2"/>
      <c r="U750" s="1"/>
      <c r="V750" s="2"/>
      <c r="W750" s="2"/>
      <c r="X750" s="2"/>
      <c r="Y750" s="2"/>
      <c r="Z750" s="2"/>
    </row>
    <row r="751" spans="1:26" ht="15.75" customHeight="1" x14ac:dyDescent="0.2">
      <c r="A751" s="12"/>
      <c r="B751" s="10"/>
      <c r="C751" s="11"/>
      <c r="D751" s="13"/>
      <c r="E751" s="13"/>
      <c r="F751" s="13"/>
      <c r="G751" s="2"/>
      <c r="H751" s="2"/>
      <c r="I751" s="13"/>
      <c r="J751" s="13"/>
      <c r="K751" s="13"/>
      <c r="L751" s="14"/>
      <c r="M751" s="4"/>
      <c r="N751" s="2"/>
      <c r="O751" s="4"/>
      <c r="P751" s="2"/>
      <c r="Q751" s="2"/>
      <c r="R751" s="4"/>
      <c r="S751" s="2"/>
      <c r="T751" s="2"/>
      <c r="U751" s="1"/>
      <c r="V751" s="2"/>
      <c r="W751" s="2"/>
      <c r="X751" s="2"/>
      <c r="Y751" s="2"/>
      <c r="Z751" s="2"/>
    </row>
    <row r="752" spans="1:26" ht="15.75" customHeight="1" x14ac:dyDescent="0.2">
      <c r="A752" s="12"/>
      <c r="B752" s="10"/>
      <c r="C752" s="11"/>
      <c r="D752" s="13"/>
      <c r="E752" s="13"/>
      <c r="F752" s="13"/>
      <c r="G752" s="2"/>
      <c r="H752" s="2"/>
      <c r="I752" s="13"/>
      <c r="J752" s="13"/>
      <c r="K752" s="13"/>
      <c r="L752" s="14"/>
      <c r="M752" s="4"/>
      <c r="N752" s="2"/>
      <c r="O752" s="4"/>
      <c r="P752" s="2"/>
      <c r="Q752" s="2"/>
      <c r="R752" s="4"/>
      <c r="S752" s="2"/>
      <c r="T752" s="2"/>
      <c r="U752" s="1"/>
      <c r="V752" s="2"/>
      <c r="W752" s="2"/>
      <c r="X752" s="2"/>
      <c r="Y752" s="2"/>
      <c r="Z752" s="2"/>
    </row>
    <row r="753" spans="1:26" ht="15.75" customHeight="1" x14ac:dyDescent="0.2">
      <c r="A753" s="12"/>
      <c r="B753" s="10"/>
      <c r="C753" s="11"/>
      <c r="D753" s="13"/>
      <c r="E753" s="13"/>
      <c r="F753" s="13"/>
      <c r="G753" s="2"/>
      <c r="H753" s="2"/>
      <c r="I753" s="13"/>
      <c r="J753" s="13"/>
      <c r="K753" s="13"/>
      <c r="L753" s="14"/>
      <c r="M753" s="4"/>
      <c r="N753" s="2"/>
      <c r="O753" s="4"/>
      <c r="P753" s="2"/>
      <c r="Q753" s="2"/>
      <c r="R753" s="4"/>
      <c r="S753" s="2"/>
      <c r="T753" s="2"/>
      <c r="U753" s="1"/>
      <c r="V753" s="2"/>
      <c r="W753" s="2"/>
      <c r="X753" s="2"/>
      <c r="Y753" s="2"/>
      <c r="Z753" s="2"/>
    </row>
    <row r="754" spans="1:26" ht="15.75" customHeight="1" x14ac:dyDescent="0.2">
      <c r="A754" s="12"/>
      <c r="B754" s="10"/>
      <c r="C754" s="11"/>
      <c r="D754" s="13"/>
      <c r="E754" s="13"/>
      <c r="F754" s="13"/>
      <c r="G754" s="2"/>
      <c r="H754" s="2"/>
      <c r="I754" s="13"/>
      <c r="J754" s="13"/>
      <c r="K754" s="13"/>
      <c r="L754" s="14"/>
      <c r="M754" s="4"/>
      <c r="N754" s="2"/>
      <c r="O754" s="4"/>
      <c r="P754" s="2"/>
      <c r="Q754" s="2"/>
      <c r="R754" s="4"/>
      <c r="S754" s="2"/>
      <c r="T754" s="2"/>
      <c r="U754" s="1"/>
      <c r="V754" s="2"/>
      <c r="W754" s="2"/>
      <c r="X754" s="2"/>
      <c r="Y754" s="2"/>
      <c r="Z754" s="2"/>
    </row>
    <row r="755" spans="1:26" ht="15.75" customHeight="1" x14ac:dyDescent="0.2">
      <c r="A755" s="12"/>
      <c r="B755" s="10"/>
      <c r="C755" s="11"/>
      <c r="D755" s="13"/>
      <c r="E755" s="13"/>
      <c r="F755" s="13"/>
      <c r="G755" s="2"/>
      <c r="H755" s="2"/>
      <c r="I755" s="13"/>
      <c r="J755" s="13"/>
      <c r="K755" s="13"/>
      <c r="L755" s="14"/>
      <c r="M755" s="4"/>
      <c r="N755" s="2"/>
      <c r="O755" s="4"/>
      <c r="P755" s="2"/>
      <c r="Q755" s="2"/>
      <c r="R755" s="4"/>
      <c r="S755" s="2"/>
      <c r="T755" s="2"/>
      <c r="U755" s="1"/>
      <c r="V755" s="2"/>
      <c r="W755" s="2"/>
      <c r="X755" s="2"/>
      <c r="Y755" s="2"/>
      <c r="Z755" s="2"/>
    </row>
    <row r="756" spans="1:26" ht="15.75" customHeight="1" x14ac:dyDescent="0.2">
      <c r="A756" s="12"/>
      <c r="B756" s="10"/>
      <c r="C756" s="11"/>
      <c r="D756" s="13"/>
      <c r="E756" s="13"/>
      <c r="F756" s="13"/>
      <c r="G756" s="2"/>
      <c r="H756" s="2"/>
      <c r="I756" s="13"/>
      <c r="J756" s="13"/>
      <c r="K756" s="13"/>
      <c r="L756" s="14"/>
      <c r="M756" s="4"/>
      <c r="N756" s="2"/>
      <c r="O756" s="4"/>
      <c r="P756" s="2"/>
      <c r="Q756" s="2"/>
      <c r="R756" s="4"/>
      <c r="S756" s="2"/>
      <c r="T756" s="2"/>
      <c r="U756" s="1"/>
      <c r="V756" s="2"/>
      <c r="W756" s="2"/>
      <c r="X756" s="2"/>
      <c r="Y756" s="2"/>
      <c r="Z756" s="2"/>
    </row>
    <row r="757" spans="1:26" ht="15.75" customHeight="1" x14ac:dyDescent="0.2">
      <c r="A757" s="12"/>
      <c r="B757" s="10"/>
      <c r="C757" s="11"/>
      <c r="D757" s="13"/>
      <c r="E757" s="13"/>
      <c r="F757" s="13"/>
      <c r="G757" s="2"/>
      <c r="H757" s="2"/>
      <c r="I757" s="13"/>
      <c r="J757" s="13"/>
      <c r="K757" s="13"/>
      <c r="L757" s="14"/>
      <c r="M757" s="4"/>
      <c r="N757" s="2"/>
      <c r="O757" s="4"/>
      <c r="P757" s="2"/>
      <c r="Q757" s="2"/>
      <c r="R757" s="4"/>
      <c r="S757" s="2"/>
      <c r="T757" s="2"/>
      <c r="U757" s="1"/>
      <c r="V757" s="2"/>
      <c r="W757" s="2"/>
      <c r="X757" s="2"/>
      <c r="Y757" s="2"/>
      <c r="Z757" s="2"/>
    </row>
    <row r="758" spans="1:26" ht="15.75" customHeight="1" x14ac:dyDescent="0.2">
      <c r="A758" s="12"/>
      <c r="B758" s="10"/>
      <c r="C758" s="11"/>
      <c r="D758" s="13"/>
      <c r="E758" s="13"/>
      <c r="F758" s="13"/>
      <c r="G758" s="2"/>
      <c r="H758" s="2"/>
      <c r="I758" s="13"/>
      <c r="J758" s="13"/>
      <c r="K758" s="13"/>
      <c r="L758" s="14"/>
      <c r="M758" s="4"/>
      <c r="N758" s="2"/>
      <c r="O758" s="4"/>
      <c r="P758" s="2"/>
      <c r="Q758" s="2"/>
      <c r="R758" s="4"/>
      <c r="S758" s="2"/>
      <c r="T758" s="2"/>
      <c r="U758" s="1"/>
      <c r="V758" s="2"/>
      <c r="W758" s="2"/>
      <c r="X758" s="2"/>
      <c r="Y758" s="2"/>
      <c r="Z758" s="2"/>
    </row>
    <row r="759" spans="1:26" ht="15.75" customHeight="1" x14ac:dyDescent="0.2">
      <c r="A759" s="12"/>
      <c r="B759" s="10"/>
      <c r="C759" s="11"/>
      <c r="D759" s="13"/>
      <c r="E759" s="13"/>
      <c r="F759" s="13"/>
      <c r="G759" s="2"/>
      <c r="H759" s="2"/>
      <c r="I759" s="13"/>
      <c r="J759" s="13"/>
      <c r="K759" s="13"/>
      <c r="L759" s="14"/>
      <c r="M759" s="4"/>
      <c r="N759" s="2"/>
      <c r="O759" s="4"/>
      <c r="P759" s="2"/>
      <c r="Q759" s="2"/>
      <c r="R759" s="4"/>
      <c r="S759" s="2"/>
      <c r="T759" s="2"/>
      <c r="U759" s="1"/>
      <c r="V759" s="2"/>
      <c r="W759" s="2"/>
      <c r="X759" s="2"/>
      <c r="Y759" s="2"/>
      <c r="Z759" s="2"/>
    </row>
    <row r="760" spans="1:26" ht="15.75" customHeight="1" x14ac:dyDescent="0.2">
      <c r="A760" s="12"/>
      <c r="B760" s="10"/>
      <c r="C760" s="11"/>
      <c r="D760" s="13"/>
      <c r="E760" s="13"/>
      <c r="F760" s="13"/>
      <c r="G760" s="2"/>
      <c r="H760" s="2"/>
      <c r="I760" s="13"/>
      <c r="J760" s="13"/>
      <c r="K760" s="13"/>
      <c r="L760" s="14"/>
      <c r="M760" s="4"/>
      <c r="N760" s="2"/>
      <c r="O760" s="4"/>
      <c r="P760" s="2"/>
      <c r="Q760" s="2"/>
      <c r="R760" s="4"/>
      <c r="S760" s="2"/>
      <c r="T760" s="2"/>
      <c r="U760" s="1"/>
      <c r="V760" s="2"/>
      <c r="W760" s="2"/>
      <c r="X760" s="2"/>
      <c r="Y760" s="2"/>
      <c r="Z760" s="2"/>
    </row>
    <row r="761" spans="1:26" ht="15.75" customHeight="1" x14ac:dyDescent="0.2">
      <c r="A761" s="12"/>
      <c r="B761" s="10"/>
      <c r="C761" s="11"/>
      <c r="D761" s="13"/>
      <c r="E761" s="13"/>
      <c r="F761" s="13"/>
      <c r="G761" s="2"/>
      <c r="H761" s="2"/>
      <c r="I761" s="13"/>
      <c r="J761" s="13"/>
      <c r="K761" s="13"/>
      <c r="L761" s="14"/>
      <c r="M761" s="4"/>
      <c r="N761" s="2"/>
      <c r="O761" s="4"/>
      <c r="P761" s="2"/>
      <c r="Q761" s="2"/>
      <c r="R761" s="4"/>
      <c r="S761" s="2"/>
      <c r="T761" s="2"/>
      <c r="U761" s="1"/>
      <c r="V761" s="2"/>
      <c r="W761" s="2"/>
      <c r="X761" s="2"/>
      <c r="Y761" s="2"/>
      <c r="Z761" s="2"/>
    </row>
    <row r="762" spans="1:26" ht="15.75" customHeight="1" x14ac:dyDescent="0.2">
      <c r="A762" s="12"/>
      <c r="B762" s="10"/>
      <c r="C762" s="11"/>
      <c r="D762" s="13"/>
      <c r="E762" s="13"/>
      <c r="F762" s="13"/>
      <c r="G762" s="2"/>
      <c r="H762" s="2"/>
      <c r="I762" s="13"/>
      <c r="J762" s="13"/>
      <c r="K762" s="13"/>
      <c r="L762" s="14"/>
      <c r="M762" s="4"/>
      <c r="N762" s="2"/>
      <c r="O762" s="4"/>
      <c r="P762" s="2"/>
      <c r="Q762" s="2"/>
      <c r="R762" s="4"/>
      <c r="S762" s="2"/>
      <c r="T762" s="2"/>
      <c r="U762" s="1"/>
      <c r="V762" s="2"/>
      <c r="W762" s="2"/>
      <c r="X762" s="2"/>
      <c r="Y762" s="2"/>
      <c r="Z762" s="2"/>
    </row>
    <row r="763" spans="1:26" ht="15.75" customHeight="1" x14ac:dyDescent="0.2">
      <c r="A763" s="12"/>
      <c r="B763" s="10"/>
      <c r="C763" s="11"/>
      <c r="D763" s="13"/>
      <c r="E763" s="13"/>
      <c r="F763" s="13"/>
      <c r="G763" s="2"/>
      <c r="H763" s="2"/>
      <c r="I763" s="13"/>
      <c r="J763" s="13"/>
      <c r="K763" s="13"/>
      <c r="L763" s="14"/>
      <c r="M763" s="4"/>
      <c r="N763" s="2"/>
      <c r="O763" s="4"/>
      <c r="P763" s="2"/>
      <c r="Q763" s="2"/>
      <c r="R763" s="4"/>
      <c r="S763" s="2"/>
      <c r="T763" s="2"/>
      <c r="U763" s="1"/>
      <c r="V763" s="2"/>
      <c r="W763" s="2"/>
      <c r="X763" s="2"/>
      <c r="Y763" s="2"/>
      <c r="Z763" s="2"/>
    </row>
    <row r="764" spans="1:26" ht="15.75" customHeight="1" x14ac:dyDescent="0.2">
      <c r="A764" s="12"/>
      <c r="B764" s="10"/>
      <c r="C764" s="11"/>
      <c r="D764" s="13"/>
      <c r="E764" s="13"/>
      <c r="F764" s="13"/>
      <c r="G764" s="2"/>
      <c r="H764" s="2"/>
      <c r="I764" s="13"/>
      <c r="J764" s="13"/>
      <c r="K764" s="13"/>
      <c r="L764" s="14"/>
      <c r="M764" s="4"/>
      <c r="N764" s="2"/>
      <c r="O764" s="4"/>
      <c r="P764" s="2"/>
      <c r="Q764" s="2"/>
      <c r="R764" s="4"/>
      <c r="S764" s="2"/>
      <c r="T764" s="2"/>
      <c r="U764" s="1"/>
      <c r="V764" s="2"/>
      <c r="W764" s="2"/>
      <c r="X764" s="2"/>
      <c r="Y764" s="2"/>
      <c r="Z764" s="2"/>
    </row>
    <row r="765" spans="1:26" ht="15.75" customHeight="1" x14ac:dyDescent="0.2">
      <c r="A765" s="12"/>
      <c r="B765" s="10"/>
      <c r="C765" s="11"/>
      <c r="D765" s="13"/>
      <c r="E765" s="13"/>
      <c r="F765" s="13"/>
      <c r="G765" s="2"/>
      <c r="H765" s="2"/>
      <c r="I765" s="13"/>
      <c r="J765" s="13"/>
      <c r="K765" s="13"/>
      <c r="L765" s="14"/>
      <c r="M765" s="4"/>
      <c r="N765" s="2"/>
      <c r="O765" s="4"/>
      <c r="P765" s="2"/>
      <c r="Q765" s="2"/>
      <c r="R765" s="4"/>
      <c r="S765" s="2"/>
      <c r="T765" s="2"/>
      <c r="U765" s="1"/>
      <c r="V765" s="2"/>
      <c r="W765" s="2"/>
      <c r="X765" s="2"/>
      <c r="Y765" s="2"/>
      <c r="Z765" s="2"/>
    </row>
    <row r="766" spans="1:26" ht="15.75" customHeight="1" x14ac:dyDescent="0.2">
      <c r="A766" s="12"/>
      <c r="B766" s="10"/>
      <c r="C766" s="11"/>
      <c r="D766" s="13"/>
      <c r="E766" s="13"/>
      <c r="F766" s="13"/>
      <c r="G766" s="2"/>
      <c r="H766" s="2"/>
      <c r="I766" s="13"/>
      <c r="J766" s="13"/>
      <c r="K766" s="13"/>
      <c r="L766" s="14"/>
      <c r="M766" s="4"/>
      <c r="N766" s="2"/>
      <c r="O766" s="4"/>
      <c r="P766" s="2"/>
      <c r="Q766" s="2"/>
      <c r="R766" s="4"/>
      <c r="S766" s="2"/>
      <c r="T766" s="2"/>
      <c r="U766" s="1"/>
      <c r="V766" s="2"/>
      <c r="W766" s="2"/>
      <c r="X766" s="2"/>
      <c r="Y766" s="2"/>
      <c r="Z766" s="2"/>
    </row>
    <row r="767" spans="1:26" ht="15.75" customHeight="1" x14ac:dyDescent="0.2">
      <c r="A767" s="12"/>
      <c r="B767" s="10"/>
      <c r="C767" s="11"/>
      <c r="D767" s="13"/>
      <c r="E767" s="13"/>
      <c r="F767" s="13"/>
      <c r="G767" s="2"/>
      <c r="H767" s="2"/>
      <c r="I767" s="13"/>
      <c r="J767" s="13"/>
      <c r="K767" s="13"/>
      <c r="L767" s="14"/>
      <c r="M767" s="4"/>
      <c r="N767" s="2"/>
      <c r="O767" s="4"/>
      <c r="P767" s="2"/>
      <c r="Q767" s="2"/>
      <c r="R767" s="4"/>
      <c r="S767" s="2"/>
      <c r="T767" s="2"/>
      <c r="U767" s="1"/>
      <c r="V767" s="2"/>
      <c r="W767" s="2"/>
      <c r="X767" s="2"/>
      <c r="Y767" s="2"/>
      <c r="Z767" s="2"/>
    </row>
    <row r="768" spans="1:26" ht="15.75" customHeight="1" x14ac:dyDescent="0.2">
      <c r="A768" s="12"/>
      <c r="B768" s="10"/>
      <c r="C768" s="11"/>
      <c r="D768" s="13"/>
      <c r="E768" s="13"/>
      <c r="F768" s="13"/>
      <c r="G768" s="2"/>
      <c r="H768" s="2"/>
      <c r="I768" s="13"/>
      <c r="J768" s="13"/>
      <c r="K768" s="13"/>
      <c r="L768" s="14"/>
      <c r="M768" s="4"/>
      <c r="N768" s="2"/>
      <c r="O768" s="4"/>
      <c r="P768" s="2"/>
      <c r="Q768" s="2"/>
      <c r="R768" s="4"/>
      <c r="S768" s="2"/>
      <c r="T768" s="2"/>
      <c r="U768" s="1"/>
      <c r="V768" s="2"/>
      <c r="W768" s="2"/>
      <c r="X768" s="2"/>
      <c r="Y768" s="2"/>
      <c r="Z768" s="2"/>
    </row>
    <row r="769" spans="1:26" ht="15.75" customHeight="1" x14ac:dyDescent="0.2">
      <c r="A769" s="12"/>
      <c r="B769" s="10"/>
      <c r="C769" s="11"/>
      <c r="D769" s="13"/>
      <c r="E769" s="13"/>
      <c r="F769" s="13"/>
      <c r="G769" s="2"/>
      <c r="H769" s="2"/>
      <c r="I769" s="13"/>
      <c r="J769" s="13"/>
      <c r="K769" s="13"/>
      <c r="L769" s="14"/>
      <c r="M769" s="4"/>
      <c r="N769" s="2"/>
      <c r="O769" s="4"/>
      <c r="P769" s="2"/>
      <c r="Q769" s="2"/>
      <c r="R769" s="4"/>
      <c r="S769" s="2"/>
      <c r="T769" s="2"/>
      <c r="U769" s="1"/>
      <c r="V769" s="2"/>
      <c r="W769" s="2"/>
      <c r="X769" s="2"/>
      <c r="Y769" s="2"/>
      <c r="Z769" s="2"/>
    </row>
    <row r="770" spans="1:26" ht="15.75" customHeight="1" x14ac:dyDescent="0.2">
      <c r="A770" s="12"/>
      <c r="B770" s="10"/>
      <c r="C770" s="11"/>
      <c r="D770" s="13"/>
      <c r="E770" s="13"/>
      <c r="F770" s="13"/>
      <c r="G770" s="2"/>
      <c r="H770" s="2"/>
      <c r="I770" s="13"/>
      <c r="J770" s="13"/>
      <c r="K770" s="13"/>
      <c r="L770" s="14"/>
      <c r="M770" s="4"/>
      <c r="N770" s="2"/>
      <c r="O770" s="4"/>
      <c r="P770" s="2"/>
      <c r="Q770" s="2"/>
      <c r="R770" s="4"/>
      <c r="S770" s="2"/>
      <c r="T770" s="2"/>
      <c r="U770" s="1"/>
      <c r="V770" s="2"/>
      <c r="W770" s="2"/>
      <c r="X770" s="2"/>
      <c r="Y770" s="2"/>
      <c r="Z770" s="2"/>
    </row>
    <row r="771" spans="1:26" ht="15.75" customHeight="1" x14ac:dyDescent="0.2">
      <c r="A771" s="12"/>
      <c r="B771" s="10"/>
      <c r="C771" s="11"/>
      <c r="D771" s="13"/>
      <c r="E771" s="13"/>
      <c r="F771" s="13"/>
      <c r="G771" s="2"/>
      <c r="H771" s="2"/>
      <c r="I771" s="13"/>
      <c r="J771" s="13"/>
      <c r="K771" s="13"/>
      <c r="L771" s="14"/>
      <c r="M771" s="4"/>
      <c r="N771" s="2"/>
      <c r="O771" s="4"/>
      <c r="P771" s="2"/>
      <c r="Q771" s="2"/>
      <c r="R771" s="4"/>
      <c r="S771" s="2"/>
      <c r="T771" s="2"/>
      <c r="U771" s="1"/>
      <c r="V771" s="2"/>
      <c r="W771" s="2"/>
      <c r="X771" s="2"/>
      <c r="Y771" s="2"/>
      <c r="Z771" s="2"/>
    </row>
    <row r="772" spans="1:26" ht="15.75" customHeight="1" x14ac:dyDescent="0.2">
      <c r="A772" s="12"/>
      <c r="B772" s="10"/>
      <c r="C772" s="11"/>
      <c r="D772" s="13"/>
      <c r="E772" s="13"/>
      <c r="F772" s="13"/>
      <c r="G772" s="2"/>
      <c r="H772" s="2"/>
      <c r="I772" s="13"/>
      <c r="J772" s="13"/>
      <c r="K772" s="13"/>
      <c r="L772" s="14"/>
      <c r="M772" s="4"/>
      <c r="N772" s="2"/>
      <c r="O772" s="4"/>
      <c r="P772" s="2"/>
      <c r="Q772" s="2"/>
      <c r="R772" s="4"/>
      <c r="S772" s="2"/>
      <c r="T772" s="2"/>
      <c r="U772" s="1"/>
      <c r="V772" s="2"/>
      <c r="W772" s="2"/>
      <c r="X772" s="2"/>
      <c r="Y772" s="2"/>
      <c r="Z772" s="2"/>
    </row>
    <row r="773" spans="1:26" ht="15.75" customHeight="1" x14ac:dyDescent="0.2">
      <c r="A773" s="12"/>
      <c r="B773" s="10"/>
      <c r="C773" s="11"/>
      <c r="D773" s="13"/>
      <c r="E773" s="13"/>
      <c r="F773" s="13"/>
      <c r="G773" s="2"/>
      <c r="H773" s="2"/>
      <c r="I773" s="13"/>
      <c r="J773" s="13"/>
      <c r="K773" s="13"/>
      <c r="L773" s="14"/>
      <c r="M773" s="4"/>
      <c r="N773" s="2"/>
      <c r="O773" s="4"/>
      <c r="P773" s="2"/>
      <c r="Q773" s="2"/>
      <c r="R773" s="4"/>
      <c r="S773" s="2"/>
      <c r="T773" s="2"/>
      <c r="U773" s="1"/>
      <c r="V773" s="2"/>
      <c r="W773" s="2"/>
      <c r="X773" s="2"/>
      <c r="Y773" s="2"/>
      <c r="Z773" s="2"/>
    </row>
    <row r="774" spans="1:26" ht="15.75" customHeight="1" x14ac:dyDescent="0.2">
      <c r="A774" s="12"/>
      <c r="B774" s="10"/>
      <c r="C774" s="11"/>
      <c r="D774" s="13"/>
      <c r="E774" s="13"/>
      <c r="F774" s="13"/>
      <c r="G774" s="2"/>
      <c r="H774" s="2"/>
      <c r="I774" s="13"/>
      <c r="J774" s="13"/>
      <c r="K774" s="13"/>
      <c r="L774" s="14"/>
      <c r="M774" s="4"/>
      <c r="N774" s="2"/>
      <c r="O774" s="4"/>
      <c r="P774" s="2"/>
      <c r="Q774" s="2"/>
      <c r="R774" s="4"/>
      <c r="S774" s="2"/>
      <c r="T774" s="2"/>
      <c r="U774" s="1"/>
      <c r="V774" s="2"/>
      <c r="W774" s="2"/>
      <c r="X774" s="2"/>
      <c r="Y774" s="2"/>
      <c r="Z774" s="2"/>
    </row>
    <row r="775" spans="1:26" ht="15.75" customHeight="1" x14ac:dyDescent="0.2">
      <c r="A775" s="12"/>
      <c r="B775" s="10"/>
      <c r="C775" s="11"/>
      <c r="D775" s="13"/>
      <c r="E775" s="13"/>
      <c r="F775" s="13"/>
      <c r="G775" s="2"/>
      <c r="H775" s="2"/>
      <c r="I775" s="13"/>
      <c r="J775" s="13"/>
      <c r="K775" s="13"/>
      <c r="L775" s="14"/>
      <c r="M775" s="4"/>
      <c r="N775" s="2"/>
      <c r="O775" s="4"/>
      <c r="P775" s="2"/>
      <c r="Q775" s="2"/>
      <c r="R775" s="4"/>
      <c r="S775" s="2"/>
      <c r="T775" s="2"/>
      <c r="U775" s="1"/>
      <c r="V775" s="2"/>
      <c r="W775" s="2"/>
      <c r="X775" s="2"/>
      <c r="Y775" s="2"/>
      <c r="Z775" s="2"/>
    </row>
    <row r="776" spans="1:26" ht="15.75" customHeight="1" x14ac:dyDescent="0.2">
      <c r="A776" s="12"/>
      <c r="B776" s="10"/>
      <c r="C776" s="11"/>
      <c r="D776" s="13"/>
      <c r="E776" s="13"/>
      <c r="F776" s="13"/>
      <c r="G776" s="2"/>
      <c r="H776" s="2"/>
      <c r="I776" s="13"/>
      <c r="J776" s="13"/>
      <c r="K776" s="13"/>
      <c r="L776" s="14"/>
      <c r="M776" s="4"/>
      <c r="N776" s="2"/>
      <c r="O776" s="4"/>
      <c r="P776" s="2"/>
      <c r="Q776" s="2"/>
      <c r="R776" s="4"/>
      <c r="S776" s="2"/>
      <c r="T776" s="2"/>
      <c r="U776" s="1"/>
      <c r="V776" s="2"/>
      <c r="W776" s="2"/>
      <c r="X776" s="2"/>
      <c r="Y776" s="2"/>
      <c r="Z776" s="2"/>
    </row>
    <row r="777" spans="1:26" ht="15.75" customHeight="1" x14ac:dyDescent="0.2">
      <c r="A777" s="12"/>
      <c r="B777" s="10"/>
      <c r="C777" s="11"/>
      <c r="D777" s="13"/>
      <c r="E777" s="13"/>
      <c r="F777" s="13"/>
      <c r="G777" s="2"/>
      <c r="H777" s="2"/>
      <c r="I777" s="13"/>
      <c r="J777" s="13"/>
      <c r="K777" s="13"/>
      <c r="L777" s="14"/>
      <c r="M777" s="4"/>
      <c r="N777" s="2"/>
      <c r="O777" s="4"/>
      <c r="P777" s="2"/>
      <c r="Q777" s="2"/>
      <c r="R777" s="4"/>
      <c r="S777" s="2"/>
      <c r="T777" s="2"/>
      <c r="U777" s="1"/>
      <c r="V777" s="2"/>
      <c r="W777" s="2"/>
      <c r="X777" s="2"/>
      <c r="Y777" s="2"/>
      <c r="Z777" s="2"/>
    </row>
    <row r="778" spans="1:26" ht="15.75" customHeight="1" x14ac:dyDescent="0.2">
      <c r="A778" s="12"/>
      <c r="B778" s="10"/>
      <c r="C778" s="11"/>
      <c r="D778" s="13"/>
      <c r="E778" s="13"/>
      <c r="F778" s="13"/>
      <c r="G778" s="2"/>
      <c r="H778" s="2"/>
      <c r="I778" s="13"/>
      <c r="J778" s="13"/>
      <c r="K778" s="13"/>
      <c r="L778" s="14"/>
      <c r="M778" s="4"/>
      <c r="N778" s="2"/>
      <c r="O778" s="4"/>
      <c r="P778" s="2"/>
      <c r="Q778" s="2"/>
      <c r="R778" s="4"/>
      <c r="S778" s="2"/>
      <c r="T778" s="2"/>
      <c r="U778" s="1"/>
      <c r="V778" s="2"/>
      <c r="W778" s="2"/>
      <c r="X778" s="2"/>
      <c r="Y778" s="2"/>
      <c r="Z778" s="2"/>
    </row>
    <row r="779" spans="1:26" ht="15.75" customHeight="1" x14ac:dyDescent="0.2">
      <c r="A779" s="12"/>
      <c r="B779" s="10"/>
      <c r="C779" s="11"/>
      <c r="D779" s="13"/>
      <c r="E779" s="13"/>
      <c r="F779" s="13"/>
      <c r="G779" s="2"/>
      <c r="H779" s="2"/>
      <c r="I779" s="13"/>
      <c r="J779" s="13"/>
      <c r="K779" s="13"/>
      <c r="L779" s="14"/>
      <c r="M779" s="4"/>
      <c r="N779" s="2"/>
      <c r="O779" s="4"/>
      <c r="P779" s="2"/>
      <c r="Q779" s="2"/>
      <c r="R779" s="4"/>
      <c r="S779" s="2"/>
      <c r="T779" s="2"/>
      <c r="U779" s="1"/>
      <c r="V779" s="2"/>
      <c r="W779" s="2"/>
      <c r="X779" s="2"/>
      <c r="Y779" s="2"/>
      <c r="Z779" s="2"/>
    </row>
    <row r="780" spans="1:26" ht="15.75" customHeight="1" x14ac:dyDescent="0.2">
      <c r="A780" s="12"/>
      <c r="B780" s="10"/>
      <c r="C780" s="11"/>
      <c r="D780" s="13"/>
      <c r="E780" s="13"/>
      <c r="F780" s="13"/>
      <c r="G780" s="2"/>
      <c r="H780" s="2"/>
      <c r="I780" s="13"/>
      <c r="J780" s="13"/>
      <c r="K780" s="13"/>
      <c r="L780" s="14"/>
      <c r="M780" s="4"/>
      <c r="N780" s="2"/>
      <c r="O780" s="4"/>
      <c r="P780" s="2"/>
      <c r="Q780" s="2"/>
      <c r="R780" s="4"/>
      <c r="S780" s="2"/>
      <c r="T780" s="2"/>
      <c r="U780" s="1"/>
      <c r="V780" s="2"/>
      <c r="W780" s="2"/>
      <c r="X780" s="2"/>
      <c r="Y780" s="2"/>
      <c r="Z780" s="2"/>
    </row>
    <row r="781" spans="1:26" ht="15.75" customHeight="1" x14ac:dyDescent="0.2">
      <c r="A781" s="12"/>
      <c r="B781" s="10"/>
      <c r="C781" s="11"/>
      <c r="D781" s="13"/>
      <c r="E781" s="13"/>
      <c r="F781" s="13"/>
      <c r="G781" s="2"/>
      <c r="H781" s="2"/>
      <c r="I781" s="13"/>
      <c r="J781" s="13"/>
      <c r="K781" s="13"/>
      <c r="L781" s="14"/>
      <c r="M781" s="4"/>
      <c r="N781" s="2"/>
      <c r="O781" s="4"/>
      <c r="P781" s="2"/>
      <c r="Q781" s="2"/>
      <c r="R781" s="4"/>
      <c r="S781" s="2"/>
      <c r="T781" s="2"/>
      <c r="U781" s="1"/>
      <c r="V781" s="2"/>
      <c r="W781" s="2"/>
      <c r="X781" s="2"/>
      <c r="Y781" s="2"/>
      <c r="Z781" s="2"/>
    </row>
    <row r="782" spans="1:26" ht="15.75" customHeight="1" x14ac:dyDescent="0.2">
      <c r="A782" s="12"/>
      <c r="B782" s="10"/>
      <c r="C782" s="11"/>
      <c r="D782" s="13"/>
      <c r="E782" s="13"/>
      <c r="F782" s="13"/>
      <c r="G782" s="2"/>
      <c r="H782" s="2"/>
      <c r="I782" s="13"/>
      <c r="J782" s="13"/>
      <c r="K782" s="13"/>
      <c r="L782" s="14"/>
      <c r="M782" s="4"/>
      <c r="N782" s="2"/>
      <c r="O782" s="4"/>
      <c r="P782" s="2"/>
      <c r="Q782" s="2"/>
      <c r="R782" s="4"/>
      <c r="S782" s="2"/>
      <c r="T782" s="2"/>
      <c r="U782" s="1"/>
      <c r="V782" s="2"/>
      <c r="W782" s="2"/>
      <c r="X782" s="2"/>
      <c r="Y782" s="2"/>
      <c r="Z782" s="2"/>
    </row>
    <row r="783" spans="1:26" ht="15.75" customHeight="1" x14ac:dyDescent="0.2">
      <c r="A783" s="12"/>
      <c r="B783" s="10"/>
      <c r="C783" s="11"/>
      <c r="D783" s="13"/>
      <c r="E783" s="13"/>
      <c r="F783" s="13"/>
      <c r="G783" s="2"/>
      <c r="H783" s="2"/>
      <c r="I783" s="13"/>
      <c r="J783" s="13"/>
      <c r="K783" s="13"/>
      <c r="L783" s="14"/>
      <c r="M783" s="4"/>
      <c r="N783" s="2"/>
      <c r="O783" s="4"/>
      <c r="P783" s="2"/>
      <c r="Q783" s="2"/>
      <c r="R783" s="4"/>
      <c r="S783" s="2"/>
      <c r="T783" s="2"/>
      <c r="U783" s="1"/>
      <c r="V783" s="2"/>
      <c r="W783" s="2"/>
      <c r="X783" s="2"/>
      <c r="Y783" s="2"/>
      <c r="Z783" s="2"/>
    </row>
    <row r="784" spans="1:26" ht="15.75" customHeight="1" x14ac:dyDescent="0.2">
      <c r="A784" s="12"/>
      <c r="B784" s="10"/>
      <c r="C784" s="11"/>
      <c r="D784" s="13"/>
      <c r="E784" s="13"/>
      <c r="F784" s="13"/>
      <c r="G784" s="2"/>
      <c r="H784" s="2"/>
      <c r="I784" s="13"/>
      <c r="J784" s="13"/>
      <c r="K784" s="13"/>
      <c r="L784" s="14"/>
      <c r="M784" s="4"/>
      <c r="N784" s="2"/>
      <c r="O784" s="4"/>
      <c r="P784" s="2"/>
      <c r="Q784" s="2"/>
      <c r="R784" s="4"/>
      <c r="S784" s="2"/>
      <c r="T784" s="2"/>
      <c r="U784" s="1"/>
      <c r="V784" s="2"/>
      <c r="W784" s="2"/>
      <c r="X784" s="2"/>
      <c r="Y784" s="2"/>
      <c r="Z784" s="2"/>
    </row>
    <row r="785" spans="1:26" ht="15.75" customHeight="1" x14ac:dyDescent="0.2">
      <c r="A785" s="12"/>
      <c r="B785" s="10"/>
      <c r="C785" s="11"/>
      <c r="D785" s="13"/>
      <c r="E785" s="13"/>
      <c r="F785" s="13"/>
      <c r="G785" s="2"/>
      <c r="H785" s="2"/>
      <c r="I785" s="13"/>
      <c r="J785" s="13"/>
      <c r="K785" s="13"/>
      <c r="L785" s="14"/>
      <c r="M785" s="4"/>
      <c r="N785" s="2"/>
      <c r="O785" s="4"/>
      <c r="P785" s="2"/>
      <c r="Q785" s="2"/>
      <c r="R785" s="4"/>
      <c r="S785" s="2"/>
      <c r="T785" s="2"/>
      <c r="U785" s="1"/>
      <c r="V785" s="2"/>
      <c r="W785" s="2"/>
      <c r="X785" s="2"/>
      <c r="Y785" s="2"/>
      <c r="Z785" s="2"/>
    </row>
    <row r="786" spans="1:26" ht="15.75" customHeight="1" x14ac:dyDescent="0.2">
      <c r="A786" s="12"/>
      <c r="B786" s="10"/>
      <c r="C786" s="11"/>
      <c r="D786" s="13"/>
      <c r="E786" s="13"/>
      <c r="F786" s="13"/>
      <c r="G786" s="2"/>
      <c r="H786" s="2"/>
      <c r="I786" s="13"/>
      <c r="J786" s="13"/>
      <c r="K786" s="13"/>
      <c r="L786" s="14"/>
      <c r="M786" s="4"/>
      <c r="N786" s="2"/>
      <c r="O786" s="4"/>
      <c r="P786" s="2"/>
      <c r="Q786" s="2"/>
      <c r="R786" s="4"/>
      <c r="S786" s="2"/>
      <c r="T786" s="2"/>
      <c r="U786" s="1"/>
      <c r="V786" s="2"/>
      <c r="W786" s="2"/>
      <c r="X786" s="2"/>
      <c r="Y786" s="2"/>
      <c r="Z786" s="2"/>
    </row>
    <row r="787" spans="1:26" ht="15.75" customHeight="1" x14ac:dyDescent="0.2">
      <c r="A787" s="12"/>
      <c r="B787" s="10"/>
      <c r="C787" s="11"/>
      <c r="D787" s="13"/>
      <c r="E787" s="13"/>
      <c r="F787" s="13"/>
      <c r="G787" s="2"/>
      <c r="H787" s="2"/>
      <c r="I787" s="13"/>
      <c r="J787" s="13"/>
      <c r="K787" s="13"/>
      <c r="L787" s="14"/>
      <c r="M787" s="4"/>
      <c r="N787" s="2"/>
      <c r="O787" s="4"/>
      <c r="P787" s="2"/>
      <c r="Q787" s="2"/>
      <c r="R787" s="4"/>
      <c r="S787" s="2"/>
      <c r="T787" s="2"/>
      <c r="U787" s="1"/>
      <c r="V787" s="2"/>
      <c r="W787" s="2"/>
      <c r="X787" s="2"/>
      <c r="Y787" s="2"/>
      <c r="Z787" s="2"/>
    </row>
    <row r="788" spans="1:26" ht="15.75" customHeight="1" x14ac:dyDescent="0.2">
      <c r="A788" s="12"/>
      <c r="B788" s="10"/>
      <c r="C788" s="11"/>
      <c r="D788" s="13"/>
      <c r="E788" s="13"/>
      <c r="F788" s="13"/>
      <c r="G788" s="2"/>
      <c r="H788" s="2"/>
      <c r="I788" s="13"/>
      <c r="J788" s="13"/>
      <c r="K788" s="13"/>
      <c r="L788" s="14"/>
      <c r="M788" s="4"/>
      <c r="N788" s="2"/>
      <c r="O788" s="4"/>
      <c r="P788" s="2"/>
      <c r="Q788" s="2"/>
      <c r="R788" s="4"/>
      <c r="S788" s="2"/>
      <c r="T788" s="2"/>
      <c r="U788" s="1"/>
      <c r="V788" s="2"/>
      <c r="W788" s="2"/>
      <c r="X788" s="2"/>
      <c r="Y788" s="2"/>
      <c r="Z788" s="2"/>
    </row>
    <row r="789" spans="1:26" ht="15.75" customHeight="1" x14ac:dyDescent="0.2">
      <c r="A789" s="12"/>
      <c r="B789" s="10"/>
      <c r="C789" s="11"/>
      <c r="D789" s="13"/>
      <c r="E789" s="13"/>
      <c r="F789" s="13"/>
      <c r="G789" s="2"/>
      <c r="H789" s="2"/>
      <c r="I789" s="13"/>
      <c r="J789" s="13"/>
      <c r="K789" s="13"/>
      <c r="L789" s="14"/>
      <c r="M789" s="4"/>
      <c r="N789" s="2"/>
      <c r="O789" s="4"/>
      <c r="P789" s="2"/>
      <c r="Q789" s="2"/>
      <c r="R789" s="4"/>
      <c r="S789" s="2"/>
      <c r="T789" s="2"/>
      <c r="U789" s="1"/>
      <c r="V789" s="2"/>
      <c r="W789" s="2"/>
      <c r="X789" s="2"/>
      <c r="Y789" s="2"/>
      <c r="Z789" s="2"/>
    </row>
    <row r="790" spans="1:26" ht="15.75" customHeight="1" x14ac:dyDescent="0.2">
      <c r="A790" s="12"/>
      <c r="B790" s="10"/>
      <c r="C790" s="11"/>
      <c r="D790" s="13"/>
      <c r="E790" s="13"/>
      <c r="F790" s="13"/>
      <c r="G790" s="2"/>
      <c r="H790" s="2"/>
      <c r="I790" s="13"/>
      <c r="J790" s="13"/>
      <c r="K790" s="13"/>
      <c r="L790" s="14"/>
      <c r="M790" s="4"/>
      <c r="N790" s="2"/>
      <c r="O790" s="4"/>
      <c r="P790" s="2"/>
      <c r="Q790" s="2"/>
      <c r="R790" s="4"/>
      <c r="S790" s="2"/>
      <c r="T790" s="2"/>
      <c r="U790" s="1"/>
      <c r="V790" s="2"/>
      <c r="W790" s="2"/>
      <c r="X790" s="2"/>
      <c r="Y790" s="2"/>
      <c r="Z790" s="2"/>
    </row>
    <row r="791" spans="1:26" ht="15.75" customHeight="1" x14ac:dyDescent="0.2">
      <c r="A791" s="12"/>
      <c r="B791" s="10"/>
      <c r="C791" s="11"/>
      <c r="D791" s="13"/>
      <c r="E791" s="13"/>
      <c r="F791" s="13"/>
      <c r="G791" s="2"/>
      <c r="H791" s="2"/>
      <c r="I791" s="13"/>
      <c r="J791" s="13"/>
      <c r="K791" s="13"/>
      <c r="L791" s="14"/>
      <c r="M791" s="4"/>
      <c r="N791" s="2"/>
      <c r="O791" s="4"/>
      <c r="P791" s="2"/>
      <c r="Q791" s="2"/>
      <c r="R791" s="4"/>
      <c r="S791" s="2"/>
      <c r="T791" s="2"/>
      <c r="U791" s="1"/>
      <c r="V791" s="2"/>
      <c r="W791" s="2"/>
      <c r="X791" s="2"/>
      <c r="Y791" s="2"/>
      <c r="Z791" s="2"/>
    </row>
    <row r="792" spans="1:26" ht="15.75" customHeight="1" x14ac:dyDescent="0.2">
      <c r="A792" s="12"/>
      <c r="B792" s="10"/>
      <c r="C792" s="11"/>
      <c r="D792" s="13"/>
      <c r="E792" s="13"/>
      <c r="F792" s="13"/>
      <c r="G792" s="2"/>
      <c r="H792" s="2"/>
      <c r="I792" s="13"/>
      <c r="J792" s="13"/>
      <c r="K792" s="13"/>
      <c r="L792" s="14"/>
      <c r="M792" s="4"/>
      <c r="N792" s="2"/>
      <c r="O792" s="4"/>
      <c r="P792" s="2"/>
      <c r="Q792" s="2"/>
      <c r="R792" s="4"/>
      <c r="S792" s="2"/>
      <c r="T792" s="2"/>
      <c r="U792" s="1"/>
      <c r="V792" s="2"/>
      <c r="W792" s="2"/>
      <c r="X792" s="2"/>
      <c r="Y792" s="2"/>
      <c r="Z792" s="2"/>
    </row>
    <row r="793" spans="1:26" ht="15.75" customHeight="1" x14ac:dyDescent="0.2">
      <c r="A793" s="12"/>
      <c r="B793" s="10"/>
      <c r="C793" s="11"/>
      <c r="D793" s="13"/>
      <c r="E793" s="13"/>
      <c r="F793" s="13"/>
      <c r="G793" s="2"/>
      <c r="H793" s="2"/>
      <c r="I793" s="13"/>
      <c r="J793" s="13"/>
      <c r="K793" s="13"/>
      <c r="L793" s="14"/>
      <c r="M793" s="4"/>
      <c r="N793" s="2"/>
      <c r="O793" s="4"/>
      <c r="P793" s="2"/>
      <c r="Q793" s="2"/>
      <c r="R793" s="4"/>
      <c r="S793" s="2"/>
      <c r="T793" s="2"/>
      <c r="U793" s="1"/>
      <c r="V793" s="2"/>
      <c r="W793" s="2"/>
      <c r="X793" s="2"/>
      <c r="Y793" s="2"/>
      <c r="Z793" s="2"/>
    </row>
    <row r="794" spans="1:26" ht="15.75" customHeight="1" x14ac:dyDescent="0.2">
      <c r="A794" s="12"/>
      <c r="B794" s="10"/>
      <c r="C794" s="11"/>
      <c r="D794" s="13"/>
      <c r="E794" s="13"/>
      <c r="F794" s="13"/>
      <c r="G794" s="2"/>
      <c r="H794" s="2"/>
      <c r="I794" s="13"/>
      <c r="J794" s="13"/>
      <c r="K794" s="13"/>
      <c r="L794" s="14"/>
      <c r="M794" s="4"/>
      <c r="N794" s="2"/>
      <c r="O794" s="4"/>
      <c r="P794" s="2"/>
      <c r="Q794" s="2"/>
      <c r="R794" s="4"/>
      <c r="S794" s="2"/>
      <c r="T794" s="2"/>
      <c r="U794" s="1"/>
      <c r="V794" s="2"/>
      <c r="W794" s="2"/>
      <c r="X794" s="2"/>
      <c r="Y794" s="2"/>
      <c r="Z794" s="2"/>
    </row>
    <row r="795" spans="1:26" ht="15.75" customHeight="1" x14ac:dyDescent="0.2">
      <c r="A795" s="12"/>
      <c r="B795" s="10"/>
      <c r="C795" s="11"/>
      <c r="D795" s="13"/>
      <c r="E795" s="13"/>
      <c r="F795" s="13"/>
      <c r="G795" s="2"/>
      <c r="H795" s="2"/>
      <c r="I795" s="13"/>
      <c r="J795" s="13"/>
      <c r="K795" s="13"/>
      <c r="L795" s="14"/>
      <c r="M795" s="4"/>
      <c r="N795" s="2"/>
      <c r="O795" s="4"/>
      <c r="P795" s="2"/>
      <c r="Q795" s="2"/>
      <c r="R795" s="4"/>
      <c r="S795" s="2"/>
      <c r="T795" s="2"/>
      <c r="U795" s="1"/>
      <c r="V795" s="2"/>
      <c r="W795" s="2"/>
      <c r="X795" s="2"/>
      <c r="Y795" s="2"/>
      <c r="Z795" s="2"/>
    </row>
    <row r="796" spans="1:26" ht="15.75" customHeight="1" x14ac:dyDescent="0.2">
      <c r="A796" s="12"/>
      <c r="B796" s="10"/>
      <c r="C796" s="11"/>
      <c r="D796" s="13"/>
      <c r="E796" s="13"/>
      <c r="F796" s="13"/>
      <c r="G796" s="2"/>
      <c r="H796" s="2"/>
      <c r="I796" s="13"/>
      <c r="J796" s="13"/>
      <c r="K796" s="13"/>
      <c r="L796" s="14"/>
      <c r="M796" s="4"/>
      <c r="N796" s="2"/>
      <c r="O796" s="4"/>
      <c r="P796" s="2"/>
      <c r="Q796" s="2"/>
      <c r="R796" s="4"/>
      <c r="S796" s="2"/>
      <c r="T796" s="2"/>
      <c r="U796" s="1"/>
      <c r="V796" s="2"/>
      <c r="W796" s="2"/>
      <c r="X796" s="2"/>
      <c r="Y796" s="2"/>
      <c r="Z796" s="2"/>
    </row>
    <row r="797" spans="1:26" ht="15.75" customHeight="1" x14ac:dyDescent="0.2">
      <c r="A797" s="12"/>
      <c r="B797" s="10"/>
      <c r="C797" s="11"/>
      <c r="D797" s="13"/>
      <c r="E797" s="13"/>
      <c r="F797" s="13"/>
      <c r="G797" s="2"/>
      <c r="H797" s="2"/>
      <c r="I797" s="13"/>
      <c r="J797" s="13"/>
      <c r="K797" s="13"/>
      <c r="L797" s="14"/>
      <c r="M797" s="4"/>
      <c r="N797" s="2"/>
      <c r="O797" s="4"/>
      <c r="P797" s="2"/>
      <c r="Q797" s="2"/>
      <c r="R797" s="4"/>
      <c r="S797" s="2"/>
      <c r="T797" s="2"/>
      <c r="U797" s="1"/>
      <c r="V797" s="2"/>
      <c r="W797" s="2"/>
      <c r="X797" s="2"/>
      <c r="Y797" s="2"/>
      <c r="Z797" s="2"/>
    </row>
    <row r="798" spans="1:26" ht="15.75" customHeight="1" x14ac:dyDescent="0.2">
      <c r="A798" s="12"/>
      <c r="B798" s="10"/>
      <c r="C798" s="11"/>
      <c r="D798" s="13"/>
      <c r="E798" s="13"/>
      <c r="F798" s="13"/>
      <c r="G798" s="2"/>
      <c r="H798" s="2"/>
      <c r="I798" s="13"/>
      <c r="J798" s="13"/>
      <c r="K798" s="13"/>
      <c r="L798" s="14"/>
      <c r="M798" s="4"/>
      <c r="N798" s="2"/>
      <c r="O798" s="4"/>
      <c r="P798" s="2"/>
      <c r="Q798" s="2"/>
      <c r="R798" s="4"/>
      <c r="S798" s="2"/>
      <c r="T798" s="2"/>
      <c r="U798" s="1"/>
      <c r="V798" s="2"/>
      <c r="W798" s="2"/>
      <c r="X798" s="2"/>
      <c r="Y798" s="2"/>
      <c r="Z798" s="2"/>
    </row>
    <row r="799" spans="1:26" ht="15.75" customHeight="1" x14ac:dyDescent="0.2">
      <c r="A799" s="12"/>
      <c r="B799" s="10"/>
      <c r="C799" s="11"/>
      <c r="D799" s="13"/>
      <c r="E799" s="13"/>
      <c r="F799" s="13"/>
      <c r="G799" s="2"/>
      <c r="H799" s="2"/>
      <c r="I799" s="13"/>
      <c r="J799" s="13"/>
      <c r="K799" s="13"/>
      <c r="L799" s="14"/>
      <c r="M799" s="4"/>
      <c r="N799" s="2"/>
      <c r="O799" s="4"/>
      <c r="P799" s="2"/>
      <c r="Q799" s="2"/>
      <c r="R799" s="4"/>
      <c r="S799" s="2"/>
      <c r="T799" s="2"/>
      <c r="U799" s="1"/>
      <c r="V799" s="2"/>
      <c r="W799" s="2"/>
      <c r="X799" s="2"/>
      <c r="Y799" s="2"/>
      <c r="Z799" s="2"/>
    </row>
    <row r="800" spans="1:26" ht="15.75" customHeight="1" x14ac:dyDescent="0.2">
      <c r="A800" s="12"/>
      <c r="B800" s="10"/>
      <c r="C800" s="11"/>
      <c r="D800" s="13"/>
      <c r="E800" s="13"/>
      <c r="F800" s="13"/>
      <c r="G800" s="2"/>
      <c r="H800" s="2"/>
      <c r="I800" s="13"/>
      <c r="J800" s="13"/>
      <c r="K800" s="13"/>
      <c r="L800" s="14"/>
      <c r="M800" s="4"/>
      <c r="N800" s="2"/>
      <c r="O800" s="4"/>
      <c r="P800" s="2"/>
      <c r="Q800" s="2"/>
      <c r="R800" s="4"/>
      <c r="S800" s="2"/>
      <c r="T800" s="2"/>
      <c r="U800" s="1"/>
      <c r="V800" s="2"/>
      <c r="W800" s="2"/>
      <c r="X800" s="2"/>
      <c r="Y800" s="2"/>
      <c r="Z800" s="2"/>
    </row>
    <row r="801" spans="1:26" ht="15.75" customHeight="1" x14ac:dyDescent="0.2">
      <c r="A801" s="12"/>
      <c r="B801" s="10"/>
      <c r="C801" s="11"/>
      <c r="D801" s="13"/>
      <c r="E801" s="13"/>
      <c r="F801" s="13"/>
      <c r="G801" s="2"/>
      <c r="H801" s="2"/>
      <c r="I801" s="13"/>
      <c r="J801" s="13"/>
      <c r="K801" s="13"/>
      <c r="L801" s="14"/>
      <c r="M801" s="4"/>
      <c r="N801" s="2"/>
      <c r="O801" s="4"/>
      <c r="P801" s="2"/>
      <c r="Q801" s="2"/>
      <c r="R801" s="4"/>
      <c r="S801" s="2"/>
      <c r="T801" s="2"/>
      <c r="U801" s="1"/>
      <c r="V801" s="2"/>
      <c r="W801" s="2"/>
      <c r="X801" s="2"/>
      <c r="Y801" s="2"/>
      <c r="Z801" s="2"/>
    </row>
    <row r="802" spans="1:26" ht="15.75" customHeight="1" x14ac:dyDescent="0.2">
      <c r="A802" s="12"/>
      <c r="B802" s="10"/>
      <c r="C802" s="11"/>
      <c r="D802" s="13"/>
      <c r="E802" s="13"/>
      <c r="F802" s="13"/>
      <c r="G802" s="2"/>
      <c r="H802" s="2"/>
      <c r="I802" s="13"/>
      <c r="J802" s="13"/>
      <c r="K802" s="13"/>
      <c r="L802" s="14"/>
      <c r="M802" s="4"/>
      <c r="N802" s="2"/>
      <c r="O802" s="4"/>
      <c r="P802" s="2"/>
      <c r="Q802" s="2"/>
      <c r="R802" s="4"/>
      <c r="S802" s="2"/>
      <c r="T802" s="2"/>
      <c r="U802" s="1"/>
      <c r="V802" s="2"/>
      <c r="W802" s="2"/>
      <c r="X802" s="2"/>
      <c r="Y802" s="2"/>
      <c r="Z802" s="2"/>
    </row>
    <row r="803" spans="1:26" ht="15.75" customHeight="1" x14ac:dyDescent="0.2">
      <c r="A803" s="12"/>
      <c r="B803" s="10"/>
      <c r="C803" s="11"/>
      <c r="D803" s="13"/>
      <c r="E803" s="13"/>
      <c r="F803" s="13"/>
      <c r="G803" s="2"/>
      <c r="H803" s="2"/>
      <c r="I803" s="13"/>
      <c r="J803" s="13"/>
      <c r="K803" s="13"/>
      <c r="L803" s="14"/>
      <c r="M803" s="4"/>
      <c r="N803" s="2"/>
      <c r="O803" s="4"/>
      <c r="P803" s="2"/>
      <c r="Q803" s="2"/>
      <c r="R803" s="4"/>
      <c r="S803" s="2"/>
      <c r="T803" s="2"/>
      <c r="U803" s="1"/>
      <c r="V803" s="2"/>
      <c r="W803" s="2"/>
      <c r="X803" s="2"/>
      <c r="Y803" s="2"/>
      <c r="Z803" s="2"/>
    </row>
    <row r="804" spans="1:26" ht="15.75" customHeight="1" x14ac:dyDescent="0.2">
      <c r="A804" s="12"/>
      <c r="B804" s="10"/>
      <c r="C804" s="11"/>
      <c r="D804" s="13"/>
      <c r="E804" s="13"/>
      <c r="F804" s="13"/>
      <c r="G804" s="2"/>
      <c r="H804" s="2"/>
      <c r="I804" s="13"/>
      <c r="J804" s="13"/>
      <c r="K804" s="13"/>
      <c r="L804" s="14"/>
      <c r="M804" s="4"/>
      <c r="N804" s="2"/>
      <c r="O804" s="4"/>
      <c r="P804" s="2"/>
      <c r="Q804" s="2"/>
      <c r="R804" s="4"/>
      <c r="S804" s="2"/>
      <c r="T804" s="2"/>
      <c r="U804" s="1"/>
      <c r="V804" s="2"/>
      <c r="W804" s="2"/>
      <c r="X804" s="2"/>
      <c r="Y804" s="2"/>
      <c r="Z804" s="2"/>
    </row>
    <row r="805" spans="1:26" ht="15.75" customHeight="1" x14ac:dyDescent="0.2">
      <c r="A805" s="12"/>
      <c r="B805" s="10"/>
      <c r="C805" s="11"/>
      <c r="D805" s="13"/>
      <c r="E805" s="13"/>
      <c r="F805" s="13"/>
      <c r="G805" s="2"/>
      <c r="H805" s="2"/>
      <c r="I805" s="13"/>
      <c r="J805" s="13"/>
      <c r="K805" s="13"/>
      <c r="L805" s="14"/>
      <c r="M805" s="4"/>
      <c r="N805" s="2"/>
      <c r="O805" s="4"/>
      <c r="P805" s="2"/>
      <c r="Q805" s="2"/>
      <c r="R805" s="4"/>
      <c r="S805" s="2"/>
      <c r="T805" s="2"/>
      <c r="U805" s="1"/>
      <c r="V805" s="2"/>
      <c r="W805" s="2"/>
      <c r="X805" s="2"/>
      <c r="Y805" s="2"/>
      <c r="Z805" s="2"/>
    </row>
    <row r="806" spans="1:26" ht="15.75" customHeight="1" x14ac:dyDescent="0.2">
      <c r="A806" s="12"/>
      <c r="B806" s="10"/>
      <c r="C806" s="11"/>
      <c r="D806" s="13"/>
      <c r="E806" s="13"/>
      <c r="F806" s="13"/>
      <c r="G806" s="2"/>
      <c r="H806" s="2"/>
      <c r="I806" s="13"/>
      <c r="J806" s="13"/>
      <c r="K806" s="13"/>
      <c r="L806" s="14"/>
      <c r="M806" s="4"/>
      <c r="N806" s="2"/>
      <c r="O806" s="4"/>
      <c r="P806" s="2"/>
      <c r="Q806" s="2"/>
      <c r="R806" s="4"/>
      <c r="S806" s="2"/>
      <c r="T806" s="2"/>
      <c r="U806" s="1"/>
      <c r="V806" s="2"/>
      <c r="W806" s="2"/>
      <c r="X806" s="2"/>
      <c r="Y806" s="2"/>
      <c r="Z806" s="2"/>
    </row>
    <row r="807" spans="1:26" ht="15.75" customHeight="1" x14ac:dyDescent="0.2">
      <c r="A807" s="12"/>
      <c r="B807" s="10"/>
      <c r="C807" s="11"/>
      <c r="D807" s="13"/>
      <c r="E807" s="13"/>
      <c r="F807" s="13"/>
      <c r="G807" s="2"/>
      <c r="H807" s="2"/>
      <c r="I807" s="13"/>
      <c r="J807" s="13"/>
      <c r="K807" s="13"/>
      <c r="L807" s="14"/>
      <c r="M807" s="4"/>
      <c r="N807" s="2"/>
      <c r="O807" s="4"/>
      <c r="P807" s="2"/>
      <c r="Q807" s="2"/>
      <c r="R807" s="4"/>
      <c r="S807" s="2"/>
      <c r="T807" s="2"/>
      <c r="U807" s="1"/>
      <c r="V807" s="2"/>
      <c r="W807" s="2"/>
      <c r="X807" s="2"/>
      <c r="Y807" s="2"/>
      <c r="Z807" s="2"/>
    </row>
    <row r="808" spans="1:26" ht="15.75" customHeight="1" x14ac:dyDescent="0.2">
      <c r="A808" s="12"/>
      <c r="B808" s="10"/>
      <c r="C808" s="11"/>
      <c r="D808" s="13"/>
      <c r="E808" s="13"/>
      <c r="F808" s="13"/>
      <c r="G808" s="2"/>
      <c r="H808" s="2"/>
      <c r="I808" s="13"/>
      <c r="J808" s="13"/>
      <c r="K808" s="13"/>
      <c r="L808" s="14"/>
      <c r="M808" s="4"/>
      <c r="N808" s="2"/>
      <c r="O808" s="4"/>
      <c r="P808" s="2"/>
      <c r="Q808" s="2"/>
      <c r="R808" s="4"/>
      <c r="S808" s="2"/>
      <c r="T808" s="2"/>
      <c r="U808" s="1"/>
      <c r="V808" s="2"/>
      <c r="W808" s="2"/>
      <c r="X808" s="2"/>
      <c r="Y808" s="2"/>
      <c r="Z808" s="2"/>
    </row>
    <row r="809" spans="1:26" ht="15.75" customHeight="1" x14ac:dyDescent="0.2">
      <c r="A809" s="12"/>
      <c r="B809" s="10"/>
      <c r="C809" s="11"/>
      <c r="D809" s="13"/>
      <c r="E809" s="13"/>
      <c r="F809" s="13"/>
      <c r="G809" s="2"/>
      <c r="H809" s="2"/>
      <c r="I809" s="13"/>
      <c r="J809" s="13"/>
      <c r="K809" s="13"/>
      <c r="L809" s="14"/>
      <c r="M809" s="4"/>
      <c r="N809" s="2"/>
      <c r="O809" s="4"/>
      <c r="P809" s="2"/>
      <c r="Q809" s="2"/>
      <c r="R809" s="4"/>
      <c r="S809" s="2"/>
      <c r="T809" s="2"/>
      <c r="U809" s="1"/>
      <c r="V809" s="2"/>
      <c r="W809" s="2"/>
      <c r="X809" s="2"/>
      <c r="Y809" s="2"/>
      <c r="Z809" s="2"/>
    </row>
    <row r="810" spans="1:26" ht="15.75" customHeight="1" x14ac:dyDescent="0.2">
      <c r="A810" s="12"/>
      <c r="B810" s="10"/>
      <c r="C810" s="11"/>
      <c r="D810" s="13"/>
      <c r="E810" s="13"/>
      <c r="F810" s="13"/>
      <c r="G810" s="2"/>
      <c r="H810" s="2"/>
      <c r="I810" s="13"/>
      <c r="J810" s="13"/>
      <c r="K810" s="13"/>
      <c r="L810" s="14"/>
      <c r="M810" s="4"/>
      <c r="N810" s="2"/>
      <c r="O810" s="4"/>
      <c r="P810" s="2"/>
      <c r="Q810" s="2"/>
      <c r="R810" s="4"/>
      <c r="S810" s="2"/>
      <c r="T810" s="2"/>
      <c r="U810" s="1"/>
      <c r="V810" s="2"/>
      <c r="W810" s="2"/>
      <c r="X810" s="2"/>
      <c r="Y810" s="2"/>
      <c r="Z810" s="2"/>
    </row>
    <row r="811" spans="1:26" ht="15.75" customHeight="1" x14ac:dyDescent="0.2">
      <c r="A811" s="12"/>
      <c r="B811" s="10"/>
      <c r="C811" s="11"/>
      <c r="D811" s="13"/>
      <c r="E811" s="13"/>
      <c r="F811" s="13"/>
      <c r="G811" s="2"/>
      <c r="H811" s="2"/>
      <c r="I811" s="13"/>
      <c r="J811" s="13"/>
      <c r="K811" s="13"/>
      <c r="L811" s="14"/>
      <c r="M811" s="4"/>
      <c r="N811" s="2"/>
      <c r="O811" s="4"/>
      <c r="P811" s="2"/>
      <c r="Q811" s="2"/>
      <c r="R811" s="4"/>
      <c r="S811" s="2"/>
      <c r="T811" s="2"/>
      <c r="U811" s="1"/>
      <c r="V811" s="2"/>
      <c r="W811" s="2"/>
      <c r="X811" s="2"/>
      <c r="Y811" s="2"/>
      <c r="Z811" s="2"/>
    </row>
    <row r="812" spans="1:26" ht="15.75" customHeight="1" x14ac:dyDescent="0.2">
      <c r="A812" s="12"/>
      <c r="B812" s="10"/>
      <c r="C812" s="11"/>
      <c r="D812" s="13"/>
      <c r="E812" s="13"/>
      <c r="F812" s="13"/>
      <c r="G812" s="2"/>
      <c r="H812" s="2"/>
      <c r="I812" s="13"/>
      <c r="J812" s="13"/>
      <c r="K812" s="13"/>
      <c r="L812" s="14"/>
      <c r="M812" s="4"/>
      <c r="N812" s="2"/>
      <c r="O812" s="4"/>
      <c r="P812" s="2"/>
      <c r="Q812" s="2"/>
      <c r="R812" s="4"/>
      <c r="S812" s="2"/>
      <c r="T812" s="2"/>
      <c r="U812" s="1"/>
      <c r="V812" s="2"/>
      <c r="W812" s="2"/>
      <c r="X812" s="2"/>
      <c r="Y812" s="2"/>
      <c r="Z812" s="2"/>
    </row>
    <row r="813" spans="1:26" ht="15.75" customHeight="1" x14ac:dyDescent="0.2">
      <c r="A813" s="12"/>
      <c r="B813" s="10"/>
      <c r="C813" s="11"/>
      <c r="D813" s="13"/>
      <c r="E813" s="13"/>
      <c r="F813" s="13"/>
      <c r="G813" s="2"/>
      <c r="H813" s="2"/>
      <c r="I813" s="13"/>
      <c r="J813" s="13"/>
      <c r="K813" s="13"/>
      <c r="L813" s="14"/>
      <c r="M813" s="4"/>
      <c r="N813" s="2"/>
      <c r="O813" s="4"/>
      <c r="P813" s="2"/>
      <c r="Q813" s="2"/>
      <c r="R813" s="4"/>
      <c r="S813" s="2"/>
      <c r="T813" s="2"/>
      <c r="U813" s="1"/>
      <c r="V813" s="2"/>
      <c r="W813" s="2"/>
      <c r="X813" s="2"/>
      <c r="Y813" s="2"/>
      <c r="Z813" s="2"/>
    </row>
    <row r="814" spans="1:26" ht="15.75" customHeight="1" x14ac:dyDescent="0.2">
      <c r="A814" s="12"/>
      <c r="B814" s="10"/>
      <c r="C814" s="11"/>
      <c r="D814" s="13"/>
      <c r="E814" s="13"/>
      <c r="F814" s="13"/>
      <c r="G814" s="2"/>
      <c r="H814" s="2"/>
      <c r="I814" s="13"/>
      <c r="J814" s="13"/>
      <c r="K814" s="13"/>
      <c r="L814" s="14"/>
      <c r="M814" s="4"/>
      <c r="N814" s="2"/>
      <c r="O814" s="4"/>
      <c r="P814" s="2"/>
      <c r="Q814" s="2"/>
      <c r="R814" s="4"/>
      <c r="S814" s="2"/>
      <c r="T814" s="2"/>
      <c r="U814" s="1"/>
      <c r="V814" s="2"/>
      <c r="W814" s="2"/>
      <c r="X814" s="2"/>
      <c r="Y814" s="2"/>
      <c r="Z814" s="2"/>
    </row>
    <row r="815" spans="1:26" ht="15.75" customHeight="1" x14ac:dyDescent="0.2">
      <c r="A815" s="12"/>
      <c r="B815" s="10"/>
      <c r="C815" s="11"/>
      <c r="D815" s="13"/>
      <c r="E815" s="13"/>
      <c r="F815" s="13"/>
      <c r="G815" s="2"/>
      <c r="H815" s="2"/>
      <c r="I815" s="13"/>
      <c r="J815" s="13"/>
      <c r="K815" s="13"/>
      <c r="L815" s="14"/>
      <c r="M815" s="4"/>
      <c r="N815" s="2"/>
      <c r="O815" s="4"/>
      <c r="P815" s="2"/>
      <c r="Q815" s="2"/>
      <c r="R815" s="4"/>
      <c r="S815" s="2"/>
      <c r="T815" s="2"/>
      <c r="U815" s="1"/>
      <c r="V815" s="2"/>
      <c r="W815" s="2"/>
      <c r="X815" s="2"/>
      <c r="Y815" s="2"/>
      <c r="Z815" s="2"/>
    </row>
    <row r="816" spans="1:26" ht="15.75" customHeight="1" x14ac:dyDescent="0.2">
      <c r="A816" s="12"/>
      <c r="B816" s="10"/>
      <c r="C816" s="11"/>
      <c r="D816" s="13"/>
      <c r="E816" s="13"/>
      <c r="F816" s="13"/>
      <c r="G816" s="2"/>
      <c r="H816" s="2"/>
      <c r="I816" s="13"/>
      <c r="J816" s="13"/>
      <c r="K816" s="13"/>
      <c r="L816" s="14"/>
      <c r="M816" s="4"/>
      <c r="N816" s="2"/>
      <c r="O816" s="4"/>
      <c r="P816" s="2"/>
      <c r="Q816" s="2"/>
      <c r="R816" s="4"/>
      <c r="S816" s="2"/>
      <c r="T816" s="2"/>
      <c r="U816" s="1"/>
      <c r="V816" s="2"/>
      <c r="W816" s="2"/>
      <c r="X816" s="2"/>
      <c r="Y816" s="2"/>
      <c r="Z816" s="2"/>
    </row>
    <row r="817" spans="1:26" ht="15.75" customHeight="1" x14ac:dyDescent="0.2">
      <c r="A817" s="12"/>
      <c r="B817" s="10"/>
      <c r="C817" s="11"/>
      <c r="D817" s="13"/>
      <c r="E817" s="13"/>
      <c r="F817" s="13"/>
      <c r="G817" s="2"/>
      <c r="H817" s="2"/>
      <c r="I817" s="13"/>
      <c r="J817" s="13"/>
      <c r="K817" s="13"/>
      <c r="L817" s="14"/>
      <c r="M817" s="4"/>
      <c r="N817" s="2"/>
      <c r="O817" s="4"/>
      <c r="P817" s="2"/>
      <c r="Q817" s="2"/>
      <c r="R817" s="4"/>
      <c r="S817" s="2"/>
      <c r="T817" s="2"/>
      <c r="U817" s="1"/>
      <c r="V817" s="2"/>
      <c r="W817" s="2"/>
      <c r="X817" s="2"/>
      <c r="Y817" s="2"/>
      <c r="Z817" s="2"/>
    </row>
    <row r="818" spans="1:26" ht="15.75" customHeight="1" x14ac:dyDescent="0.2">
      <c r="A818" s="12"/>
      <c r="B818" s="10"/>
      <c r="C818" s="11"/>
      <c r="D818" s="13"/>
      <c r="E818" s="13"/>
      <c r="F818" s="13"/>
      <c r="G818" s="2"/>
      <c r="H818" s="2"/>
      <c r="I818" s="13"/>
      <c r="J818" s="13"/>
      <c r="K818" s="13"/>
      <c r="L818" s="14"/>
      <c r="M818" s="4"/>
      <c r="N818" s="2"/>
      <c r="O818" s="4"/>
      <c r="P818" s="2"/>
      <c r="Q818" s="2"/>
      <c r="R818" s="4"/>
      <c r="S818" s="2"/>
      <c r="T818" s="2"/>
      <c r="U818" s="1"/>
      <c r="V818" s="2"/>
      <c r="W818" s="2"/>
      <c r="X818" s="2"/>
      <c r="Y818" s="2"/>
      <c r="Z818" s="2"/>
    </row>
    <row r="819" spans="1:26" ht="15.75" customHeight="1" x14ac:dyDescent="0.2">
      <c r="A819" s="12"/>
      <c r="B819" s="10"/>
      <c r="C819" s="11"/>
      <c r="D819" s="13"/>
      <c r="E819" s="13"/>
      <c r="F819" s="13"/>
      <c r="G819" s="2"/>
      <c r="H819" s="2"/>
      <c r="I819" s="13"/>
      <c r="J819" s="13"/>
      <c r="K819" s="13"/>
      <c r="L819" s="14"/>
      <c r="M819" s="4"/>
      <c r="N819" s="2"/>
      <c r="O819" s="4"/>
      <c r="P819" s="2"/>
      <c r="Q819" s="2"/>
      <c r="R819" s="4"/>
      <c r="S819" s="2"/>
      <c r="T819" s="2"/>
      <c r="U819" s="1"/>
      <c r="V819" s="2"/>
      <c r="W819" s="2"/>
      <c r="X819" s="2"/>
      <c r="Y819" s="2"/>
      <c r="Z819" s="2"/>
    </row>
    <row r="820" spans="1:26" ht="15.75" customHeight="1" x14ac:dyDescent="0.2">
      <c r="A820" s="12"/>
      <c r="B820" s="10"/>
      <c r="C820" s="11"/>
      <c r="D820" s="13"/>
      <c r="E820" s="13"/>
      <c r="F820" s="13"/>
      <c r="G820" s="2"/>
      <c r="H820" s="2"/>
      <c r="I820" s="13"/>
      <c r="J820" s="13"/>
      <c r="K820" s="13"/>
      <c r="L820" s="14"/>
      <c r="M820" s="4"/>
      <c r="N820" s="2"/>
      <c r="O820" s="4"/>
      <c r="P820" s="2"/>
      <c r="Q820" s="2"/>
      <c r="R820" s="4"/>
      <c r="S820" s="2"/>
      <c r="T820" s="2"/>
      <c r="U820" s="1"/>
      <c r="V820" s="2"/>
      <c r="W820" s="2"/>
      <c r="X820" s="2"/>
      <c r="Y820" s="2"/>
      <c r="Z820" s="2"/>
    </row>
    <row r="821" spans="1:26" ht="15.75" customHeight="1" x14ac:dyDescent="0.2">
      <c r="A821" s="12"/>
      <c r="B821" s="10"/>
      <c r="C821" s="11"/>
      <c r="D821" s="13"/>
      <c r="E821" s="13"/>
      <c r="F821" s="13"/>
      <c r="G821" s="2"/>
      <c r="H821" s="2"/>
      <c r="I821" s="13"/>
      <c r="J821" s="13"/>
      <c r="K821" s="13"/>
      <c r="L821" s="14"/>
      <c r="M821" s="4"/>
      <c r="N821" s="2"/>
      <c r="O821" s="4"/>
      <c r="P821" s="2"/>
      <c r="Q821" s="2"/>
      <c r="R821" s="4"/>
      <c r="S821" s="2"/>
      <c r="T821" s="2"/>
      <c r="U821" s="1"/>
      <c r="V821" s="2"/>
      <c r="W821" s="2"/>
      <c r="X821" s="2"/>
      <c r="Y821" s="2"/>
      <c r="Z821" s="2"/>
    </row>
    <row r="822" spans="1:26" ht="15.75" customHeight="1" x14ac:dyDescent="0.2">
      <c r="A822" s="12"/>
      <c r="B822" s="10"/>
      <c r="C822" s="11"/>
      <c r="D822" s="13"/>
      <c r="E822" s="13"/>
      <c r="F822" s="13"/>
      <c r="G822" s="2"/>
      <c r="H822" s="2"/>
      <c r="I822" s="13"/>
      <c r="J822" s="13"/>
      <c r="K822" s="13"/>
      <c r="L822" s="14"/>
      <c r="M822" s="4"/>
      <c r="N822" s="2"/>
      <c r="O822" s="4"/>
      <c r="P822" s="2"/>
      <c r="Q822" s="2"/>
      <c r="R822" s="4"/>
      <c r="S822" s="2"/>
      <c r="T822" s="2"/>
      <c r="U822" s="1"/>
      <c r="V822" s="2"/>
      <c r="W822" s="2"/>
      <c r="X822" s="2"/>
      <c r="Y822" s="2"/>
      <c r="Z822" s="2"/>
    </row>
    <row r="823" spans="1:26" ht="15.75" customHeight="1" x14ac:dyDescent="0.2">
      <c r="A823" s="12"/>
      <c r="B823" s="10"/>
      <c r="C823" s="11"/>
      <c r="D823" s="13"/>
      <c r="E823" s="13"/>
      <c r="F823" s="13"/>
      <c r="G823" s="2"/>
      <c r="H823" s="2"/>
      <c r="I823" s="13"/>
      <c r="J823" s="13"/>
      <c r="K823" s="13"/>
      <c r="L823" s="14"/>
      <c r="M823" s="4"/>
      <c r="N823" s="2"/>
      <c r="O823" s="4"/>
      <c r="P823" s="2"/>
      <c r="Q823" s="2"/>
      <c r="R823" s="4"/>
      <c r="S823" s="2"/>
      <c r="T823" s="2"/>
      <c r="U823" s="1"/>
      <c r="V823" s="2"/>
      <c r="W823" s="2"/>
      <c r="X823" s="2"/>
      <c r="Y823" s="2"/>
      <c r="Z823" s="2"/>
    </row>
    <row r="824" spans="1:26" ht="15.75" customHeight="1" x14ac:dyDescent="0.2">
      <c r="A824" s="12"/>
      <c r="B824" s="10"/>
      <c r="C824" s="11"/>
      <c r="D824" s="13"/>
      <c r="E824" s="13"/>
      <c r="F824" s="13"/>
      <c r="G824" s="2"/>
      <c r="H824" s="2"/>
      <c r="I824" s="13"/>
      <c r="J824" s="13"/>
      <c r="K824" s="13"/>
      <c r="L824" s="14"/>
      <c r="M824" s="4"/>
      <c r="N824" s="2"/>
      <c r="O824" s="4"/>
      <c r="P824" s="2"/>
      <c r="Q824" s="2"/>
      <c r="R824" s="4"/>
      <c r="S824" s="2"/>
      <c r="T824" s="2"/>
      <c r="U824" s="1"/>
      <c r="V824" s="2"/>
      <c r="W824" s="2"/>
      <c r="X824" s="2"/>
      <c r="Y824" s="2"/>
      <c r="Z824" s="2"/>
    </row>
    <row r="825" spans="1:26" ht="15.75" customHeight="1" x14ac:dyDescent="0.2">
      <c r="A825" s="12"/>
      <c r="B825" s="10"/>
      <c r="C825" s="11"/>
      <c r="D825" s="13"/>
      <c r="E825" s="13"/>
      <c r="F825" s="13"/>
      <c r="G825" s="2"/>
      <c r="H825" s="2"/>
      <c r="I825" s="13"/>
      <c r="J825" s="13"/>
      <c r="K825" s="13"/>
      <c r="L825" s="14"/>
      <c r="M825" s="4"/>
      <c r="N825" s="2"/>
      <c r="O825" s="4"/>
      <c r="P825" s="2"/>
      <c r="Q825" s="2"/>
      <c r="R825" s="4"/>
      <c r="S825" s="2"/>
      <c r="T825" s="2"/>
      <c r="U825" s="1"/>
      <c r="V825" s="2"/>
      <c r="W825" s="2"/>
      <c r="X825" s="2"/>
      <c r="Y825" s="2"/>
      <c r="Z825" s="2"/>
    </row>
    <row r="826" spans="1:26" ht="15.75" customHeight="1" x14ac:dyDescent="0.2">
      <c r="A826" s="12"/>
      <c r="B826" s="10"/>
      <c r="C826" s="11"/>
      <c r="D826" s="13"/>
      <c r="E826" s="13"/>
      <c r="F826" s="13"/>
      <c r="G826" s="2"/>
      <c r="H826" s="2"/>
      <c r="I826" s="13"/>
      <c r="J826" s="13"/>
      <c r="K826" s="13"/>
      <c r="L826" s="14"/>
      <c r="M826" s="4"/>
      <c r="N826" s="2"/>
      <c r="O826" s="4"/>
      <c r="P826" s="2"/>
      <c r="Q826" s="2"/>
      <c r="R826" s="4"/>
      <c r="S826" s="2"/>
      <c r="T826" s="2"/>
      <c r="U826" s="1"/>
      <c r="V826" s="2"/>
      <c r="W826" s="2"/>
      <c r="X826" s="2"/>
      <c r="Y826" s="2"/>
      <c r="Z826" s="2"/>
    </row>
    <row r="827" spans="1:26" ht="15.75" customHeight="1" x14ac:dyDescent="0.2">
      <c r="A827" s="12"/>
      <c r="B827" s="10"/>
      <c r="C827" s="11"/>
      <c r="D827" s="13"/>
      <c r="E827" s="13"/>
      <c r="F827" s="13"/>
      <c r="G827" s="2"/>
      <c r="H827" s="2"/>
      <c r="I827" s="13"/>
      <c r="J827" s="13"/>
      <c r="K827" s="13"/>
      <c r="L827" s="14"/>
      <c r="M827" s="4"/>
      <c r="N827" s="2"/>
      <c r="O827" s="4"/>
      <c r="P827" s="2"/>
      <c r="Q827" s="2"/>
      <c r="R827" s="4"/>
      <c r="S827" s="2"/>
      <c r="T827" s="2"/>
      <c r="U827" s="1"/>
      <c r="V827" s="2"/>
      <c r="W827" s="2"/>
      <c r="X827" s="2"/>
      <c r="Y827" s="2"/>
      <c r="Z827" s="2"/>
    </row>
    <row r="828" spans="1:26" ht="15.75" customHeight="1" x14ac:dyDescent="0.2">
      <c r="A828" s="12"/>
      <c r="B828" s="10"/>
      <c r="C828" s="11"/>
      <c r="D828" s="13"/>
      <c r="E828" s="13"/>
      <c r="F828" s="13"/>
      <c r="G828" s="2"/>
      <c r="H828" s="2"/>
      <c r="I828" s="13"/>
      <c r="J828" s="13"/>
      <c r="K828" s="13"/>
      <c r="L828" s="14"/>
      <c r="M828" s="4"/>
      <c r="N828" s="2"/>
      <c r="O828" s="4"/>
      <c r="P828" s="2"/>
      <c r="Q828" s="2"/>
      <c r="R828" s="4"/>
      <c r="S828" s="2"/>
      <c r="T828" s="2"/>
      <c r="U828" s="1"/>
      <c r="V828" s="2"/>
      <c r="W828" s="2"/>
      <c r="X828" s="2"/>
      <c r="Y828" s="2"/>
      <c r="Z828" s="2"/>
    </row>
    <row r="829" spans="1:26" ht="15.75" customHeight="1" x14ac:dyDescent="0.2">
      <c r="A829" s="12"/>
      <c r="B829" s="10"/>
      <c r="C829" s="11"/>
      <c r="D829" s="13"/>
      <c r="E829" s="13"/>
      <c r="F829" s="13"/>
      <c r="G829" s="2"/>
      <c r="H829" s="2"/>
      <c r="I829" s="13"/>
      <c r="J829" s="13"/>
      <c r="K829" s="13"/>
      <c r="L829" s="14"/>
      <c r="M829" s="4"/>
      <c r="N829" s="2"/>
      <c r="O829" s="4"/>
      <c r="P829" s="2"/>
      <c r="Q829" s="2"/>
      <c r="R829" s="4"/>
      <c r="S829" s="2"/>
      <c r="T829" s="2"/>
      <c r="U829" s="1"/>
      <c r="V829" s="2"/>
      <c r="W829" s="2"/>
      <c r="X829" s="2"/>
      <c r="Y829" s="2"/>
      <c r="Z829" s="2"/>
    </row>
    <row r="830" spans="1:26" ht="15.75" customHeight="1" x14ac:dyDescent="0.2">
      <c r="A830" s="12"/>
      <c r="B830" s="10"/>
      <c r="C830" s="11"/>
      <c r="D830" s="13"/>
      <c r="E830" s="13"/>
      <c r="F830" s="13"/>
      <c r="G830" s="2"/>
      <c r="H830" s="2"/>
      <c r="I830" s="13"/>
      <c r="J830" s="13"/>
      <c r="K830" s="13"/>
      <c r="L830" s="14"/>
      <c r="M830" s="4"/>
      <c r="N830" s="2"/>
      <c r="O830" s="4"/>
      <c r="P830" s="2"/>
      <c r="Q830" s="2"/>
      <c r="R830" s="4"/>
      <c r="S830" s="2"/>
      <c r="T830" s="2"/>
      <c r="U830" s="1"/>
      <c r="V830" s="2"/>
      <c r="W830" s="2"/>
      <c r="X830" s="2"/>
      <c r="Y830" s="2"/>
      <c r="Z830" s="2"/>
    </row>
    <row r="831" spans="1:26" ht="15.75" customHeight="1" x14ac:dyDescent="0.2">
      <c r="A831" s="12"/>
      <c r="B831" s="10"/>
      <c r="C831" s="11"/>
      <c r="D831" s="13"/>
      <c r="E831" s="13"/>
      <c r="F831" s="13"/>
      <c r="G831" s="2"/>
      <c r="H831" s="2"/>
      <c r="I831" s="13"/>
      <c r="J831" s="13"/>
      <c r="K831" s="13"/>
      <c r="L831" s="14"/>
      <c r="M831" s="4"/>
      <c r="N831" s="2"/>
      <c r="O831" s="4"/>
      <c r="P831" s="2"/>
      <c r="Q831" s="2"/>
      <c r="R831" s="4"/>
      <c r="S831" s="2"/>
      <c r="T831" s="2"/>
      <c r="U831" s="1"/>
      <c r="V831" s="2"/>
      <c r="W831" s="2"/>
      <c r="X831" s="2"/>
      <c r="Y831" s="2"/>
      <c r="Z831" s="2"/>
    </row>
    <row r="832" spans="1:26" ht="15.75" customHeight="1" x14ac:dyDescent="0.2">
      <c r="A832" s="12"/>
      <c r="B832" s="10"/>
      <c r="C832" s="11"/>
      <c r="D832" s="13"/>
      <c r="E832" s="13"/>
      <c r="F832" s="13"/>
      <c r="G832" s="2"/>
      <c r="H832" s="2"/>
      <c r="I832" s="13"/>
      <c r="J832" s="13"/>
      <c r="K832" s="13"/>
      <c r="L832" s="14"/>
      <c r="M832" s="4"/>
      <c r="N832" s="2"/>
      <c r="O832" s="4"/>
      <c r="P832" s="2"/>
      <c r="Q832" s="2"/>
      <c r="R832" s="4"/>
      <c r="S832" s="2"/>
      <c r="T832" s="2"/>
      <c r="U832" s="1"/>
      <c r="V832" s="2"/>
      <c r="W832" s="2"/>
      <c r="X832" s="2"/>
      <c r="Y832" s="2"/>
      <c r="Z832" s="2"/>
    </row>
    <row r="833" spans="1:26" ht="15.75" customHeight="1" x14ac:dyDescent="0.2">
      <c r="A833" s="12"/>
      <c r="B833" s="10"/>
      <c r="C833" s="11"/>
      <c r="D833" s="13"/>
      <c r="E833" s="13"/>
      <c r="F833" s="13"/>
      <c r="G833" s="2"/>
      <c r="H833" s="2"/>
      <c r="I833" s="13"/>
      <c r="J833" s="13"/>
      <c r="K833" s="13"/>
      <c r="L833" s="14"/>
      <c r="M833" s="4"/>
      <c r="N833" s="2"/>
      <c r="O833" s="4"/>
      <c r="P833" s="2"/>
      <c r="Q833" s="2"/>
      <c r="R833" s="4"/>
      <c r="S833" s="2"/>
      <c r="T833" s="2"/>
      <c r="U833" s="1"/>
      <c r="V833" s="2"/>
      <c r="W833" s="2"/>
      <c r="X833" s="2"/>
      <c r="Y833" s="2"/>
      <c r="Z833" s="2"/>
    </row>
    <row r="834" spans="1:26" ht="15.75" customHeight="1" x14ac:dyDescent="0.2">
      <c r="A834" s="12"/>
      <c r="B834" s="10"/>
      <c r="C834" s="11"/>
      <c r="D834" s="13"/>
      <c r="E834" s="13"/>
      <c r="F834" s="13"/>
      <c r="G834" s="2"/>
      <c r="H834" s="2"/>
      <c r="I834" s="13"/>
      <c r="J834" s="13"/>
      <c r="K834" s="13"/>
      <c r="L834" s="14"/>
      <c r="M834" s="4"/>
      <c r="N834" s="2"/>
      <c r="O834" s="4"/>
      <c r="P834" s="2"/>
      <c r="Q834" s="2"/>
      <c r="R834" s="4"/>
      <c r="S834" s="2"/>
      <c r="T834" s="2"/>
      <c r="U834" s="1"/>
      <c r="V834" s="2"/>
      <c r="W834" s="2"/>
      <c r="X834" s="2"/>
      <c r="Y834" s="2"/>
      <c r="Z834" s="2"/>
    </row>
    <row r="835" spans="1:26" ht="15.75" customHeight="1" x14ac:dyDescent="0.2">
      <c r="A835" s="12"/>
      <c r="B835" s="10"/>
      <c r="C835" s="11"/>
      <c r="D835" s="13"/>
      <c r="E835" s="13"/>
      <c r="F835" s="13"/>
      <c r="G835" s="2"/>
      <c r="H835" s="2"/>
      <c r="I835" s="13"/>
      <c r="J835" s="13"/>
      <c r="K835" s="13"/>
      <c r="L835" s="14"/>
      <c r="M835" s="4"/>
      <c r="N835" s="2"/>
      <c r="O835" s="4"/>
      <c r="P835" s="2"/>
      <c r="Q835" s="2"/>
      <c r="R835" s="4"/>
      <c r="S835" s="2"/>
      <c r="T835" s="2"/>
      <c r="U835" s="1"/>
      <c r="V835" s="2"/>
      <c r="W835" s="2"/>
      <c r="X835" s="2"/>
      <c r="Y835" s="2"/>
      <c r="Z835" s="2"/>
    </row>
    <row r="836" spans="1:26" ht="15.75" customHeight="1" x14ac:dyDescent="0.2">
      <c r="A836" s="12"/>
      <c r="B836" s="10"/>
      <c r="C836" s="11"/>
      <c r="D836" s="13"/>
      <c r="E836" s="13"/>
      <c r="F836" s="13"/>
      <c r="G836" s="2"/>
      <c r="H836" s="2"/>
      <c r="I836" s="13"/>
      <c r="J836" s="13"/>
      <c r="K836" s="13"/>
      <c r="L836" s="14"/>
      <c r="M836" s="4"/>
      <c r="N836" s="2"/>
      <c r="O836" s="4"/>
      <c r="P836" s="2"/>
      <c r="Q836" s="2"/>
      <c r="R836" s="4"/>
      <c r="S836" s="2"/>
      <c r="T836" s="2"/>
      <c r="U836" s="1"/>
      <c r="V836" s="2"/>
      <c r="W836" s="2"/>
      <c r="X836" s="2"/>
      <c r="Y836" s="2"/>
      <c r="Z836" s="2"/>
    </row>
    <row r="837" spans="1:26" ht="15.75" customHeight="1" x14ac:dyDescent="0.2">
      <c r="A837" s="12"/>
      <c r="B837" s="10"/>
      <c r="C837" s="11"/>
      <c r="D837" s="13"/>
      <c r="E837" s="13"/>
      <c r="F837" s="13"/>
      <c r="G837" s="2"/>
      <c r="H837" s="2"/>
      <c r="I837" s="13"/>
      <c r="J837" s="13"/>
      <c r="K837" s="13"/>
      <c r="L837" s="14"/>
      <c r="M837" s="4"/>
      <c r="N837" s="2"/>
      <c r="O837" s="4"/>
      <c r="P837" s="2"/>
      <c r="Q837" s="2"/>
      <c r="R837" s="4"/>
      <c r="S837" s="2"/>
      <c r="T837" s="2"/>
      <c r="U837" s="1"/>
      <c r="V837" s="2"/>
      <c r="W837" s="2"/>
      <c r="X837" s="2"/>
      <c r="Y837" s="2"/>
      <c r="Z837" s="2"/>
    </row>
    <row r="838" spans="1:26" ht="15.75" customHeight="1" x14ac:dyDescent="0.2">
      <c r="A838" s="12"/>
      <c r="B838" s="10"/>
      <c r="C838" s="11"/>
      <c r="D838" s="13"/>
      <c r="E838" s="13"/>
      <c r="F838" s="13"/>
      <c r="G838" s="2"/>
      <c r="H838" s="2"/>
      <c r="I838" s="13"/>
      <c r="J838" s="13"/>
      <c r="K838" s="13"/>
      <c r="L838" s="14"/>
      <c r="M838" s="4"/>
      <c r="N838" s="2"/>
      <c r="O838" s="4"/>
      <c r="P838" s="2"/>
      <c r="Q838" s="2"/>
      <c r="R838" s="4"/>
      <c r="S838" s="2"/>
      <c r="T838" s="2"/>
      <c r="U838" s="1"/>
      <c r="V838" s="2"/>
      <c r="W838" s="2"/>
      <c r="X838" s="2"/>
      <c r="Y838" s="2"/>
      <c r="Z838" s="2"/>
    </row>
    <row r="839" spans="1:26" ht="15.75" customHeight="1" x14ac:dyDescent="0.2">
      <c r="A839" s="12"/>
      <c r="B839" s="10"/>
      <c r="C839" s="11"/>
      <c r="D839" s="13"/>
      <c r="E839" s="13"/>
      <c r="F839" s="13"/>
      <c r="G839" s="2"/>
      <c r="H839" s="2"/>
      <c r="I839" s="13"/>
      <c r="J839" s="13"/>
      <c r="K839" s="13"/>
      <c r="L839" s="14"/>
      <c r="M839" s="4"/>
      <c r="N839" s="2"/>
      <c r="O839" s="4"/>
      <c r="P839" s="2"/>
      <c r="Q839" s="2"/>
      <c r="R839" s="4"/>
      <c r="S839" s="2"/>
      <c r="T839" s="2"/>
      <c r="U839" s="1"/>
      <c r="V839" s="2"/>
      <c r="W839" s="2"/>
      <c r="X839" s="2"/>
      <c r="Y839" s="2"/>
      <c r="Z839" s="2"/>
    </row>
    <row r="840" spans="1:26" ht="15.75" customHeight="1" x14ac:dyDescent="0.2">
      <c r="A840" s="12"/>
      <c r="B840" s="10"/>
      <c r="C840" s="11"/>
      <c r="D840" s="13"/>
      <c r="E840" s="13"/>
      <c r="F840" s="13"/>
      <c r="G840" s="2"/>
      <c r="H840" s="2"/>
      <c r="I840" s="13"/>
      <c r="J840" s="13"/>
      <c r="K840" s="13"/>
      <c r="L840" s="14"/>
      <c r="M840" s="4"/>
      <c r="N840" s="2"/>
      <c r="O840" s="4"/>
      <c r="P840" s="2"/>
      <c r="Q840" s="2"/>
      <c r="R840" s="4"/>
      <c r="S840" s="2"/>
      <c r="T840" s="2"/>
      <c r="U840" s="1"/>
      <c r="V840" s="2"/>
      <c r="W840" s="2"/>
      <c r="X840" s="2"/>
      <c r="Y840" s="2"/>
      <c r="Z840" s="2"/>
    </row>
    <row r="841" spans="1:26" ht="15.75" customHeight="1" x14ac:dyDescent="0.2">
      <c r="A841" s="12"/>
      <c r="B841" s="10"/>
      <c r="C841" s="11"/>
      <c r="D841" s="13"/>
      <c r="E841" s="13"/>
      <c r="F841" s="13"/>
      <c r="G841" s="2"/>
      <c r="H841" s="2"/>
      <c r="I841" s="13"/>
      <c r="J841" s="13"/>
      <c r="K841" s="13"/>
      <c r="L841" s="14"/>
      <c r="M841" s="4"/>
      <c r="N841" s="2"/>
      <c r="O841" s="4"/>
      <c r="P841" s="2"/>
      <c r="Q841" s="2"/>
      <c r="R841" s="4"/>
      <c r="S841" s="2"/>
      <c r="T841" s="2"/>
      <c r="U841" s="1"/>
      <c r="V841" s="2"/>
      <c r="W841" s="2"/>
      <c r="X841" s="2"/>
      <c r="Y841" s="2"/>
      <c r="Z841" s="2"/>
    </row>
    <row r="842" spans="1:26" ht="15.75" customHeight="1" x14ac:dyDescent="0.2">
      <c r="A842" s="12"/>
      <c r="B842" s="10"/>
      <c r="C842" s="11"/>
      <c r="D842" s="13"/>
      <c r="E842" s="13"/>
      <c r="F842" s="13"/>
      <c r="G842" s="2"/>
      <c r="H842" s="2"/>
      <c r="I842" s="13"/>
      <c r="J842" s="13"/>
      <c r="K842" s="13"/>
      <c r="L842" s="14"/>
      <c r="M842" s="4"/>
      <c r="N842" s="2"/>
      <c r="O842" s="4"/>
      <c r="P842" s="2"/>
      <c r="Q842" s="2"/>
      <c r="R842" s="4"/>
      <c r="S842" s="2"/>
      <c r="T842" s="2"/>
      <c r="U842" s="1"/>
      <c r="V842" s="2"/>
      <c r="W842" s="2"/>
      <c r="X842" s="2"/>
      <c r="Y842" s="2"/>
      <c r="Z842" s="2"/>
    </row>
    <row r="843" spans="1:26" ht="15.75" customHeight="1" x14ac:dyDescent="0.2">
      <c r="A843" s="12"/>
      <c r="B843" s="10"/>
      <c r="C843" s="11"/>
      <c r="D843" s="13"/>
      <c r="E843" s="13"/>
      <c r="F843" s="13"/>
      <c r="G843" s="2"/>
      <c r="H843" s="2"/>
      <c r="I843" s="13"/>
      <c r="J843" s="13"/>
      <c r="K843" s="13"/>
      <c r="L843" s="14"/>
      <c r="M843" s="4"/>
      <c r="N843" s="2"/>
      <c r="O843" s="4"/>
      <c r="P843" s="2"/>
      <c r="Q843" s="2"/>
      <c r="R843" s="4"/>
      <c r="S843" s="2"/>
      <c r="T843" s="2"/>
      <c r="U843" s="1"/>
      <c r="V843" s="2"/>
      <c r="W843" s="2"/>
      <c r="X843" s="2"/>
      <c r="Y843" s="2"/>
      <c r="Z843" s="2"/>
    </row>
    <row r="844" spans="1:26" ht="15.75" customHeight="1" x14ac:dyDescent="0.2">
      <c r="A844" s="12"/>
      <c r="B844" s="10"/>
      <c r="C844" s="11"/>
      <c r="D844" s="13"/>
      <c r="E844" s="13"/>
      <c r="F844" s="13"/>
      <c r="G844" s="2"/>
      <c r="H844" s="2"/>
      <c r="I844" s="13"/>
      <c r="J844" s="13"/>
      <c r="K844" s="13"/>
      <c r="L844" s="14"/>
      <c r="M844" s="4"/>
      <c r="N844" s="2"/>
      <c r="O844" s="4"/>
      <c r="P844" s="2"/>
      <c r="Q844" s="2"/>
      <c r="R844" s="4"/>
      <c r="S844" s="2"/>
      <c r="T844" s="2"/>
      <c r="U844" s="1"/>
      <c r="V844" s="2"/>
      <c r="W844" s="2"/>
      <c r="X844" s="2"/>
      <c r="Y844" s="2"/>
      <c r="Z844" s="2"/>
    </row>
    <row r="845" spans="1:26" ht="15.75" customHeight="1" x14ac:dyDescent="0.2">
      <c r="A845" s="12"/>
      <c r="B845" s="10"/>
      <c r="C845" s="11"/>
      <c r="D845" s="13"/>
      <c r="E845" s="13"/>
      <c r="F845" s="13"/>
      <c r="G845" s="2"/>
      <c r="H845" s="2"/>
      <c r="I845" s="13"/>
      <c r="J845" s="13"/>
      <c r="K845" s="13"/>
      <c r="L845" s="14"/>
      <c r="M845" s="4"/>
      <c r="N845" s="2"/>
      <c r="O845" s="4"/>
      <c r="P845" s="2"/>
      <c r="Q845" s="2"/>
      <c r="R845" s="4"/>
      <c r="S845" s="2"/>
      <c r="T845" s="2"/>
      <c r="U845" s="1"/>
      <c r="V845" s="2"/>
      <c r="W845" s="2"/>
      <c r="X845" s="2"/>
      <c r="Y845" s="2"/>
      <c r="Z845" s="2"/>
    </row>
    <row r="846" spans="1:26" ht="15.75" customHeight="1" x14ac:dyDescent="0.2">
      <c r="A846" s="12"/>
      <c r="B846" s="10"/>
      <c r="C846" s="11"/>
      <c r="D846" s="13"/>
      <c r="E846" s="13"/>
      <c r="F846" s="13"/>
      <c r="G846" s="2"/>
      <c r="H846" s="2"/>
      <c r="I846" s="13"/>
      <c r="J846" s="13"/>
      <c r="K846" s="13"/>
      <c r="L846" s="14"/>
      <c r="M846" s="4"/>
      <c r="N846" s="2"/>
      <c r="O846" s="4"/>
      <c r="P846" s="2"/>
      <c r="Q846" s="2"/>
      <c r="R846" s="4"/>
      <c r="S846" s="2"/>
      <c r="T846" s="2"/>
      <c r="U846" s="1"/>
      <c r="V846" s="2"/>
      <c r="W846" s="2"/>
      <c r="X846" s="2"/>
      <c r="Y846" s="2"/>
      <c r="Z846" s="2"/>
    </row>
    <row r="847" spans="1:26" ht="15.75" customHeight="1" x14ac:dyDescent="0.2">
      <c r="A847" s="12"/>
      <c r="B847" s="10"/>
      <c r="C847" s="11"/>
      <c r="D847" s="13"/>
      <c r="E847" s="13"/>
      <c r="F847" s="13"/>
      <c r="G847" s="2"/>
      <c r="H847" s="2"/>
      <c r="I847" s="13"/>
      <c r="J847" s="13"/>
      <c r="K847" s="13"/>
      <c r="L847" s="14"/>
      <c r="M847" s="4"/>
      <c r="N847" s="2"/>
      <c r="O847" s="4"/>
      <c r="P847" s="2"/>
      <c r="Q847" s="2"/>
      <c r="R847" s="4"/>
      <c r="S847" s="2"/>
      <c r="T847" s="2"/>
      <c r="U847" s="1"/>
      <c r="V847" s="2"/>
      <c r="W847" s="2"/>
      <c r="X847" s="2"/>
      <c r="Y847" s="2"/>
      <c r="Z847" s="2"/>
    </row>
    <row r="848" spans="1:26" ht="15.75" customHeight="1" x14ac:dyDescent="0.2">
      <c r="A848" s="12"/>
      <c r="B848" s="10"/>
      <c r="C848" s="11"/>
      <c r="D848" s="13"/>
      <c r="E848" s="13"/>
      <c r="F848" s="13"/>
      <c r="G848" s="2"/>
      <c r="H848" s="2"/>
      <c r="I848" s="13"/>
      <c r="J848" s="13"/>
      <c r="K848" s="13"/>
      <c r="L848" s="14"/>
      <c r="M848" s="4"/>
      <c r="N848" s="2"/>
      <c r="O848" s="4"/>
      <c r="P848" s="2"/>
      <c r="Q848" s="2"/>
      <c r="R848" s="4"/>
      <c r="S848" s="2"/>
      <c r="T848" s="2"/>
      <c r="U848" s="1"/>
      <c r="V848" s="2"/>
      <c r="W848" s="2"/>
      <c r="X848" s="2"/>
      <c r="Y848" s="2"/>
      <c r="Z848" s="2"/>
    </row>
    <row r="849" spans="1:26" ht="15.75" customHeight="1" x14ac:dyDescent="0.2">
      <c r="A849" s="12"/>
      <c r="B849" s="10"/>
      <c r="C849" s="11"/>
      <c r="D849" s="13"/>
      <c r="E849" s="13"/>
      <c r="F849" s="13"/>
      <c r="G849" s="2"/>
      <c r="H849" s="2"/>
      <c r="I849" s="13"/>
      <c r="J849" s="13"/>
      <c r="K849" s="13"/>
      <c r="L849" s="14"/>
      <c r="M849" s="4"/>
      <c r="N849" s="2"/>
      <c r="O849" s="4"/>
      <c r="P849" s="2"/>
      <c r="Q849" s="2"/>
      <c r="R849" s="4"/>
      <c r="S849" s="2"/>
      <c r="T849" s="2"/>
      <c r="U849" s="1"/>
      <c r="V849" s="2"/>
      <c r="W849" s="2"/>
      <c r="X849" s="2"/>
      <c r="Y849" s="2"/>
      <c r="Z849" s="2"/>
    </row>
    <row r="850" spans="1:26" ht="15.75" customHeight="1" x14ac:dyDescent="0.2">
      <c r="A850" s="12"/>
      <c r="B850" s="10"/>
      <c r="C850" s="11"/>
      <c r="D850" s="13"/>
      <c r="E850" s="13"/>
      <c r="F850" s="13"/>
      <c r="G850" s="2"/>
      <c r="H850" s="2"/>
      <c r="I850" s="13"/>
      <c r="J850" s="13"/>
      <c r="K850" s="13"/>
      <c r="L850" s="14"/>
      <c r="M850" s="4"/>
      <c r="N850" s="2"/>
      <c r="O850" s="4"/>
      <c r="P850" s="2"/>
      <c r="Q850" s="2"/>
      <c r="R850" s="4"/>
      <c r="S850" s="2"/>
      <c r="T850" s="2"/>
      <c r="U850" s="1"/>
      <c r="V850" s="2"/>
      <c r="W850" s="2"/>
      <c r="X850" s="2"/>
      <c r="Y850" s="2"/>
      <c r="Z850" s="2"/>
    </row>
    <row r="851" spans="1:26" ht="15.75" customHeight="1" x14ac:dyDescent="0.2">
      <c r="A851" s="12"/>
      <c r="B851" s="10"/>
      <c r="C851" s="11"/>
      <c r="D851" s="13"/>
      <c r="E851" s="13"/>
      <c r="F851" s="13"/>
      <c r="G851" s="2"/>
      <c r="H851" s="2"/>
      <c r="I851" s="13"/>
      <c r="J851" s="13"/>
      <c r="K851" s="13"/>
      <c r="L851" s="14"/>
      <c r="M851" s="4"/>
      <c r="N851" s="2"/>
      <c r="O851" s="4"/>
      <c r="P851" s="2"/>
      <c r="Q851" s="2"/>
      <c r="R851" s="4"/>
      <c r="S851" s="2"/>
      <c r="T851" s="2"/>
      <c r="U851" s="1"/>
      <c r="V851" s="2"/>
      <c r="W851" s="2"/>
      <c r="X851" s="2"/>
      <c r="Y851" s="2"/>
      <c r="Z851" s="2"/>
    </row>
    <row r="852" spans="1:26" ht="15.75" customHeight="1" x14ac:dyDescent="0.2">
      <c r="A852" s="12"/>
      <c r="B852" s="10"/>
      <c r="C852" s="11"/>
      <c r="D852" s="13"/>
      <c r="E852" s="13"/>
      <c r="F852" s="13"/>
      <c r="G852" s="2"/>
      <c r="H852" s="2"/>
      <c r="I852" s="13"/>
      <c r="J852" s="13"/>
      <c r="K852" s="13"/>
      <c r="L852" s="14"/>
      <c r="M852" s="4"/>
      <c r="N852" s="2"/>
      <c r="O852" s="4"/>
      <c r="P852" s="2"/>
      <c r="Q852" s="2"/>
      <c r="R852" s="4"/>
      <c r="S852" s="2"/>
      <c r="T852" s="2"/>
      <c r="U852" s="1"/>
      <c r="V852" s="2"/>
      <c r="W852" s="2"/>
      <c r="X852" s="2"/>
      <c r="Y852" s="2"/>
      <c r="Z852" s="2"/>
    </row>
    <row r="853" spans="1:26" ht="15.75" customHeight="1" x14ac:dyDescent="0.2">
      <c r="A853" s="12"/>
      <c r="B853" s="10"/>
      <c r="C853" s="11"/>
      <c r="D853" s="13"/>
      <c r="E853" s="13"/>
      <c r="F853" s="13"/>
      <c r="G853" s="2"/>
      <c r="H853" s="2"/>
      <c r="I853" s="13"/>
      <c r="J853" s="13"/>
      <c r="K853" s="13"/>
      <c r="L853" s="14"/>
      <c r="M853" s="4"/>
      <c r="N853" s="2"/>
      <c r="O853" s="4"/>
      <c r="P853" s="2"/>
      <c r="Q853" s="2"/>
      <c r="R853" s="4"/>
      <c r="S853" s="2"/>
      <c r="T853" s="2"/>
      <c r="U853" s="1"/>
      <c r="V853" s="2"/>
      <c r="W853" s="2"/>
      <c r="X853" s="2"/>
      <c r="Y853" s="2"/>
      <c r="Z853" s="2"/>
    </row>
    <row r="854" spans="1:26" ht="15.75" customHeight="1" x14ac:dyDescent="0.2">
      <c r="A854" s="12"/>
      <c r="B854" s="10"/>
      <c r="C854" s="11"/>
      <c r="D854" s="13"/>
      <c r="E854" s="13"/>
      <c r="F854" s="13"/>
      <c r="G854" s="2"/>
      <c r="H854" s="2"/>
      <c r="I854" s="13"/>
      <c r="J854" s="13"/>
      <c r="K854" s="13"/>
      <c r="L854" s="14"/>
      <c r="M854" s="4"/>
      <c r="N854" s="2"/>
      <c r="O854" s="4"/>
      <c r="P854" s="2"/>
      <c r="Q854" s="2"/>
      <c r="R854" s="4"/>
      <c r="S854" s="2"/>
      <c r="T854" s="2"/>
      <c r="U854" s="1"/>
      <c r="V854" s="2"/>
      <c r="W854" s="2"/>
      <c r="X854" s="2"/>
      <c r="Y854" s="2"/>
      <c r="Z854" s="2"/>
    </row>
    <row r="855" spans="1:26" ht="15.75" customHeight="1" x14ac:dyDescent="0.2">
      <c r="A855" s="12"/>
      <c r="B855" s="10"/>
      <c r="C855" s="11"/>
      <c r="D855" s="13"/>
      <c r="E855" s="13"/>
      <c r="F855" s="13"/>
      <c r="G855" s="2"/>
      <c r="H855" s="2"/>
      <c r="I855" s="13"/>
      <c r="J855" s="13"/>
      <c r="K855" s="13"/>
      <c r="L855" s="14"/>
      <c r="M855" s="4"/>
      <c r="N855" s="2"/>
      <c r="O855" s="4"/>
      <c r="P855" s="2"/>
      <c r="Q855" s="2"/>
      <c r="R855" s="4"/>
      <c r="S855" s="2"/>
      <c r="T855" s="2"/>
      <c r="U855" s="1"/>
      <c r="V855" s="2"/>
      <c r="W855" s="2"/>
      <c r="X855" s="2"/>
      <c r="Y855" s="2"/>
      <c r="Z855" s="2"/>
    </row>
    <row r="856" spans="1:26" ht="15.75" customHeight="1" x14ac:dyDescent="0.2">
      <c r="A856" s="12"/>
      <c r="B856" s="10"/>
      <c r="C856" s="11"/>
      <c r="D856" s="13"/>
      <c r="E856" s="13"/>
      <c r="F856" s="13"/>
      <c r="G856" s="2"/>
      <c r="H856" s="2"/>
      <c r="I856" s="13"/>
      <c r="J856" s="13"/>
      <c r="K856" s="13"/>
      <c r="L856" s="14"/>
      <c r="M856" s="4"/>
      <c r="N856" s="2"/>
      <c r="O856" s="4"/>
      <c r="P856" s="2"/>
      <c r="Q856" s="2"/>
      <c r="R856" s="4"/>
      <c r="S856" s="2"/>
      <c r="T856" s="2"/>
      <c r="U856" s="1"/>
      <c r="V856" s="2"/>
      <c r="W856" s="2"/>
      <c r="X856" s="2"/>
      <c r="Y856" s="2"/>
      <c r="Z856" s="2"/>
    </row>
    <row r="857" spans="1:26" ht="15.75" customHeight="1" x14ac:dyDescent="0.2">
      <c r="A857" s="12"/>
      <c r="B857" s="10"/>
      <c r="C857" s="11"/>
      <c r="D857" s="13"/>
      <c r="E857" s="13"/>
      <c r="F857" s="13"/>
      <c r="G857" s="2"/>
      <c r="H857" s="2"/>
      <c r="I857" s="13"/>
      <c r="J857" s="13"/>
      <c r="K857" s="13"/>
      <c r="L857" s="14"/>
      <c r="M857" s="4"/>
      <c r="N857" s="2"/>
      <c r="O857" s="4"/>
      <c r="P857" s="2"/>
      <c r="Q857" s="2"/>
      <c r="R857" s="4"/>
      <c r="S857" s="2"/>
      <c r="T857" s="2"/>
      <c r="U857" s="1"/>
      <c r="V857" s="2"/>
      <c r="W857" s="2"/>
      <c r="X857" s="2"/>
      <c r="Y857" s="2"/>
      <c r="Z857" s="2"/>
    </row>
    <row r="858" spans="1:26" ht="15.75" customHeight="1" x14ac:dyDescent="0.2">
      <c r="A858" s="12"/>
      <c r="B858" s="10"/>
      <c r="C858" s="11"/>
      <c r="D858" s="13"/>
      <c r="E858" s="13"/>
      <c r="F858" s="13"/>
      <c r="G858" s="2"/>
      <c r="H858" s="2"/>
      <c r="I858" s="13"/>
      <c r="J858" s="13"/>
      <c r="K858" s="13"/>
      <c r="L858" s="14"/>
      <c r="M858" s="4"/>
      <c r="N858" s="2"/>
      <c r="O858" s="4"/>
      <c r="P858" s="2"/>
      <c r="Q858" s="2"/>
      <c r="R858" s="4"/>
      <c r="S858" s="2"/>
      <c r="T858" s="2"/>
      <c r="U858" s="1"/>
      <c r="V858" s="2"/>
      <c r="W858" s="2"/>
      <c r="X858" s="2"/>
      <c r="Y858" s="2"/>
      <c r="Z858" s="2"/>
    </row>
    <row r="859" spans="1:26" ht="15.75" customHeight="1" x14ac:dyDescent="0.2">
      <c r="A859" s="12"/>
      <c r="B859" s="10"/>
      <c r="C859" s="11"/>
      <c r="D859" s="13"/>
      <c r="E859" s="13"/>
      <c r="F859" s="13"/>
      <c r="G859" s="2"/>
      <c r="H859" s="2"/>
      <c r="I859" s="13"/>
      <c r="J859" s="13"/>
      <c r="K859" s="13"/>
      <c r="L859" s="14"/>
      <c r="M859" s="4"/>
      <c r="N859" s="2"/>
      <c r="O859" s="4"/>
      <c r="P859" s="2"/>
      <c r="Q859" s="2"/>
      <c r="R859" s="4"/>
      <c r="S859" s="2"/>
      <c r="T859" s="2"/>
      <c r="U859" s="1"/>
      <c r="V859" s="2"/>
      <c r="W859" s="2"/>
      <c r="X859" s="2"/>
      <c r="Y859" s="2"/>
      <c r="Z859" s="2"/>
    </row>
    <row r="860" spans="1:26" ht="15.75" customHeight="1" x14ac:dyDescent="0.2">
      <c r="A860" s="12"/>
      <c r="B860" s="10"/>
      <c r="C860" s="11"/>
      <c r="D860" s="13"/>
      <c r="E860" s="13"/>
      <c r="F860" s="13"/>
      <c r="G860" s="2"/>
      <c r="H860" s="2"/>
      <c r="I860" s="13"/>
      <c r="J860" s="13"/>
      <c r="K860" s="13"/>
      <c r="L860" s="14"/>
      <c r="M860" s="4"/>
      <c r="N860" s="2"/>
      <c r="O860" s="4"/>
      <c r="P860" s="2"/>
      <c r="Q860" s="2"/>
      <c r="R860" s="4"/>
      <c r="S860" s="2"/>
      <c r="T860" s="2"/>
      <c r="U860" s="1"/>
      <c r="V860" s="2"/>
      <c r="W860" s="2"/>
      <c r="X860" s="2"/>
      <c r="Y860" s="2"/>
      <c r="Z860" s="2"/>
    </row>
    <row r="861" spans="1:26" ht="15.75" customHeight="1" x14ac:dyDescent="0.2">
      <c r="A861" s="12"/>
      <c r="B861" s="10"/>
      <c r="C861" s="11"/>
      <c r="D861" s="13"/>
      <c r="E861" s="13"/>
      <c r="F861" s="13"/>
      <c r="G861" s="2"/>
      <c r="H861" s="2"/>
      <c r="I861" s="13"/>
      <c r="J861" s="13"/>
      <c r="K861" s="13"/>
      <c r="L861" s="14"/>
      <c r="M861" s="4"/>
      <c r="N861" s="2"/>
      <c r="O861" s="4"/>
      <c r="P861" s="2"/>
      <c r="Q861" s="2"/>
      <c r="R861" s="4"/>
      <c r="S861" s="2"/>
      <c r="T861" s="2"/>
      <c r="U861" s="1"/>
      <c r="V861" s="2"/>
      <c r="W861" s="2"/>
      <c r="X861" s="2"/>
      <c r="Y861" s="2"/>
      <c r="Z861" s="2"/>
    </row>
    <row r="862" spans="1:26" ht="15.75" customHeight="1" x14ac:dyDescent="0.2">
      <c r="A862" s="12"/>
      <c r="B862" s="10"/>
      <c r="C862" s="11"/>
      <c r="D862" s="13"/>
      <c r="E862" s="13"/>
      <c r="F862" s="13"/>
      <c r="G862" s="2"/>
      <c r="H862" s="2"/>
      <c r="I862" s="13"/>
      <c r="J862" s="13"/>
      <c r="K862" s="13"/>
      <c r="L862" s="14"/>
      <c r="M862" s="4"/>
      <c r="N862" s="2"/>
      <c r="O862" s="4"/>
      <c r="P862" s="2"/>
      <c r="Q862" s="2"/>
      <c r="R862" s="4"/>
      <c r="S862" s="2"/>
      <c r="T862" s="2"/>
      <c r="U862" s="1"/>
      <c r="V862" s="2"/>
      <c r="W862" s="2"/>
      <c r="X862" s="2"/>
      <c r="Y862" s="2"/>
      <c r="Z862" s="2"/>
    </row>
    <row r="863" spans="1:26" ht="15.75" customHeight="1" x14ac:dyDescent="0.2">
      <c r="A863" s="12"/>
      <c r="B863" s="10"/>
      <c r="C863" s="11"/>
      <c r="D863" s="13"/>
      <c r="E863" s="13"/>
      <c r="F863" s="13"/>
      <c r="G863" s="2"/>
      <c r="H863" s="2"/>
      <c r="I863" s="13"/>
      <c r="J863" s="13"/>
      <c r="K863" s="13"/>
      <c r="L863" s="14"/>
      <c r="M863" s="4"/>
      <c r="N863" s="2"/>
      <c r="O863" s="4"/>
      <c r="P863" s="2"/>
      <c r="Q863" s="2"/>
      <c r="R863" s="4"/>
      <c r="S863" s="2"/>
      <c r="T863" s="2"/>
      <c r="U863" s="1"/>
      <c r="V863" s="2"/>
      <c r="W863" s="2"/>
      <c r="X863" s="2"/>
      <c r="Y863" s="2"/>
      <c r="Z863" s="2"/>
    </row>
    <row r="864" spans="1:26" ht="15.75" customHeight="1" x14ac:dyDescent="0.2">
      <c r="A864" s="12"/>
      <c r="B864" s="10"/>
      <c r="C864" s="11"/>
      <c r="D864" s="13"/>
      <c r="E864" s="13"/>
      <c r="F864" s="13"/>
      <c r="G864" s="2"/>
      <c r="H864" s="2"/>
      <c r="I864" s="13"/>
      <c r="J864" s="13"/>
      <c r="K864" s="13"/>
      <c r="L864" s="14"/>
      <c r="M864" s="4"/>
      <c r="N864" s="2"/>
      <c r="O864" s="4"/>
      <c r="P864" s="2"/>
      <c r="Q864" s="2"/>
      <c r="R864" s="4"/>
      <c r="S864" s="2"/>
      <c r="T864" s="2"/>
      <c r="U864" s="1"/>
      <c r="V864" s="2"/>
      <c r="W864" s="2"/>
      <c r="X864" s="2"/>
      <c r="Y864" s="2"/>
      <c r="Z864" s="2"/>
    </row>
    <row r="865" spans="1:26" ht="15.75" customHeight="1" x14ac:dyDescent="0.2">
      <c r="A865" s="12"/>
      <c r="B865" s="10"/>
      <c r="C865" s="11"/>
      <c r="D865" s="13"/>
      <c r="E865" s="13"/>
      <c r="F865" s="13"/>
      <c r="G865" s="2"/>
      <c r="H865" s="2"/>
      <c r="I865" s="13"/>
      <c r="J865" s="13"/>
      <c r="K865" s="13"/>
      <c r="L865" s="14"/>
      <c r="M865" s="4"/>
      <c r="N865" s="2"/>
      <c r="O865" s="4"/>
      <c r="P865" s="2"/>
      <c r="Q865" s="2"/>
      <c r="R865" s="4"/>
      <c r="S865" s="2"/>
      <c r="T865" s="2"/>
      <c r="U865" s="1"/>
      <c r="V865" s="2"/>
      <c r="W865" s="2"/>
      <c r="X865" s="2"/>
      <c r="Y865" s="2"/>
      <c r="Z865" s="2"/>
    </row>
    <row r="866" spans="1:26" ht="15.75" customHeight="1" x14ac:dyDescent="0.2">
      <c r="A866" s="12"/>
      <c r="B866" s="10"/>
      <c r="C866" s="11"/>
      <c r="D866" s="13"/>
      <c r="E866" s="13"/>
      <c r="F866" s="13"/>
      <c r="G866" s="2"/>
      <c r="H866" s="2"/>
      <c r="I866" s="13"/>
      <c r="J866" s="13"/>
      <c r="K866" s="13"/>
      <c r="L866" s="14"/>
      <c r="M866" s="4"/>
      <c r="N866" s="2"/>
      <c r="O866" s="4"/>
      <c r="P866" s="2"/>
      <c r="Q866" s="2"/>
      <c r="R866" s="4"/>
      <c r="S866" s="2"/>
      <c r="T866" s="2"/>
      <c r="U866" s="1"/>
      <c r="V866" s="2"/>
      <c r="W866" s="2"/>
      <c r="X866" s="2"/>
      <c r="Y866" s="2"/>
      <c r="Z866" s="2"/>
    </row>
    <row r="867" spans="1:26" ht="15.75" customHeight="1" x14ac:dyDescent="0.2">
      <c r="A867" s="12"/>
      <c r="B867" s="10"/>
      <c r="C867" s="11"/>
      <c r="D867" s="13"/>
      <c r="E867" s="13"/>
      <c r="F867" s="13"/>
      <c r="G867" s="2"/>
      <c r="H867" s="2"/>
      <c r="I867" s="13"/>
      <c r="J867" s="13"/>
      <c r="K867" s="13"/>
      <c r="L867" s="14"/>
      <c r="M867" s="4"/>
      <c r="N867" s="2"/>
      <c r="O867" s="4"/>
      <c r="P867" s="2"/>
      <c r="Q867" s="2"/>
      <c r="R867" s="4"/>
      <c r="S867" s="2"/>
      <c r="T867" s="2"/>
      <c r="U867" s="1"/>
      <c r="V867" s="2"/>
      <c r="W867" s="2"/>
      <c r="X867" s="2"/>
      <c r="Y867" s="2"/>
      <c r="Z867" s="2"/>
    </row>
    <row r="868" spans="1:26" ht="15.75" customHeight="1" x14ac:dyDescent="0.2">
      <c r="A868" s="12"/>
      <c r="B868" s="10"/>
      <c r="C868" s="11"/>
      <c r="D868" s="13"/>
      <c r="E868" s="13"/>
      <c r="F868" s="13"/>
      <c r="G868" s="2"/>
      <c r="H868" s="2"/>
      <c r="I868" s="13"/>
      <c r="J868" s="13"/>
      <c r="K868" s="13"/>
      <c r="L868" s="14"/>
      <c r="M868" s="4"/>
      <c r="N868" s="2"/>
      <c r="O868" s="4"/>
      <c r="P868" s="2"/>
      <c r="Q868" s="2"/>
      <c r="R868" s="4"/>
      <c r="S868" s="2"/>
      <c r="T868" s="2"/>
      <c r="U868" s="1"/>
      <c r="V868" s="2"/>
      <c r="W868" s="2"/>
      <c r="X868" s="2"/>
      <c r="Y868" s="2"/>
      <c r="Z868" s="2"/>
    </row>
    <row r="869" spans="1:26" ht="15.75" customHeight="1" x14ac:dyDescent="0.2">
      <c r="A869" s="12"/>
      <c r="B869" s="10"/>
      <c r="C869" s="11"/>
      <c r="D869" s="13"/>
      <c r="E869" s="13"/>
      <c r="F869" s="13"/>
      <c r="G869" s="2"/>
      <c r="H869" s="2"/>
      <c r="I869" s="13"/>
      <c r="J869" s="13"/>
      <c r="K869" s="13"/>
      <c r="L869" s="14"/>
      <c r="M869" s="4"/>
      <c r="N869" s="2"/>
      <c r="O869" s="4"/>
      <c r="P869" s="2"/>
      <c r="Q869" s="2"/>
      <c r="R869" s="4"/>
      <c r="S869" s="2"/>
      <c r="T869" s="2"/>
      <c r="U869" s="1"/>
      <c r="V869" s="2"/>
      <c r="W869" s="2"/>
      <c r="X869" s="2"/>
      <c r="Y869" s="2"/>
      <c r="Z869" s="2"/>
    </row>
    <row r="870" spans="1:26" ht="15.75" customHeight="1" x14ac:dyDescent="0.2">
      <c r="A870" s="12"/>
      <c r="B870" s="10"/>
      <c r="C870" s="11"/>
      <c r="D870" s="13"/>
      <c r="E870" s="13"/>
      <c r="F870" s="13"/>
      <c r="G870" s="2"/>
      <c r="H870" s="2"/>
      <c r="I870" s="13"/>
      <c r="J870" s="13"/>
      <c r="K870" s="13"/>
      <c r="L870" s="14"/>
      <c r="M870" s="4"/>
      <c r="N870" s="2"/>
      <c r="O870" s="4"/>
      <c r="P870" s="2"/>
      <c r="Q870" s="2"/>
      <c r="R870" s="4"/>
      <c r="S870" s="2"/>
      <c r="T870" s="2"/>
      <c r="U870" s="1"/>
      <c r="V870" s="2"/>
      <c r="W870" s="2"/>
      <c r="X870" s="2"/>
      <c r="Y870" s="2"/>
      <c r="Z870" s="2"/>
    </row>
    <row r="871" spans="1:26" ht="15.75" customHeight="1" x14ac:dyDescent="0.2">
      <c r="A871" s="12"/>
      <c r="B871" s="10"/>
      <c r="C871" s="11"/>
      <c r="D871" s="13"/>
      <c r="E871" s="13"/>
      <c r="F871" s="13"/>
      <c r="G871" s="2"/>
      <c r="H871" s="2"/>
      <c r="I871" s="13"/>
      <c r="J871" s="13"/>
      <c r="K871" s="13"/>
      <c r="L871" s="14"/>
      <c r="M871" s="4"/>
      <c r="N871" s="2"/>
      <c r="O871" s="4"/>
      <c r="P871" s="2"/>
      <c r="Q871" s="2"/>
      <c r="R871" s="4"/>
      <c r="S871" s="2"/>
      <c r="T871" s="2"/>
      <c r="U871" s="1"/>
      <c r="V871" s="2"/>
      <c r="W871" s="2"/>
      <c r="X871" s="2"/>
      <c r="Y871" s="2"/>
      <c r="Z871" s="2"/>
    </row>
    <row r="872" spans="1:26" ht="15.75" customHeight="1" x14ac:dyDescent="0.2">
      <c r="A872" s="12"/>
      <c r="B872" s="10"/>
      <c r="C872" s="11"/>
      <c r="D872" s="13"/>
      <c r="E872" s="13"/>
      <c r="F872" s="13"/>
      <c r="G872" s="2"/>
      <c r="H872" s="2"/>
      <c r="I872" s="13"/>
      <c r="J872" s="13"/>
      <c r="K872" s="13"/>
      <c r="L872" s="14"/>
      <c r="M872" s="4"/>
      <c r="N872" s="2"/>
      <c r="O872" s="4"/>
      <c r="P872" s="2"/>
      <c r="Q872" s="2"/>
      <c r="R872" s="4"/>
      <c r="S872" s="2"/>
      <c r="T872" s="2"/>
      <c r="U872" s="1"/>
      <c r="V872" s="2"/>
      <c r="W872" s="2"/>
      <c r="X872" s="2"/>
      <c r="Y872" s="2"/>
      <c r="Z872" s="2"/>
    </row>
    <row r="873" spans="1:26" ht="15.75" customHeight="1" x14ac:dyDescent="0.2">
      <c r="A873" s="12"/>
      <c r="B873" s="10"/>
      <c r="C873" s="11"/>
      <c r="D873" s="13"/>
      <c r="E873" s="13"/>
      <c r="F873" s="13"/>
      <c r="G873" s="2"/>
      <c r="H873" s="2"/>
      <c r="I873" s="13"/>
      <c r="J873" s="13"/>
      <c r="K873" s="13"/>
      <c r="L873" s="14"/>
      <c r="M873" s="4"/>
      <c r="N873" s="2"/>
      <c r="O873" s="4"/>
      <c r="P873" s="2"/>
      <c r="Q873" s="2"/>
      <c r="R873" s="4"/>
      <c r="S873" s="2"/>
      <c r="T873" s="2"/>
      <c r="U873" s="1"/>
      <c r="V873" s="2"/>
      <c r="W873" s="2"/>
      <c r="X873" s="2"/>
      <c r="Y873" s="2"/>
      <c r="Z873" s="2"/>
    </row>
    <row r="874" spans="1:26" ht="15.75" customHeight="1" x14ac:dyDescent="0.2">
      <c r="A874" s="12"/>
      <c r="B874" s="10"/>
      <c r="C874" s="11"/>
      <c r="D874" s="13"/>
      <c r="E874" s="13"/>
      <c r="F874" s="13"/>
      <c r="G874" s="2"/>
      <c r="H874" s="2"/>
      <c r="I874" s="13"/>
      <c r="J874" s="13"/>
      <c r="K874" s="13"/>
      <c r="L874" s="14"/>
      <c r="M874" s="4"/>
      <c r="N874" s="2"/>
      <c r="O874" s="4"/>
      <c r="P874" s="2"/>
      <c r="Q874" s="2"/>
      <c r="R874" s="4"/>
      <c r="S874" s="2"/>
      <c r="T874" s="2"/>
      <c r="U874" s="1"/>
      <c r="V874" s="2"/>
      <c r="W874" s="2"/>
      <c r="X874" s="2"/>
      <c r="Y874" s="2"/>
      <c r="Z874" s="2"/>
    </row>
    <row r="875" spans="1:26" ht="15.75" customHeight="1" x14ac:dyDescent="0.2">
      <c r="A875" s="12"/>
      <c r="B875" s="10"/>
      <c r="C875" s="11"/>
      <c r="D875" s="13"/>
      <c r="E875" s="13"/>
      <c r="F875" s="13"/>
      <c r="G875" s="2"/>
      <c r="H875" s="2"/>
      <c r="I875" s="13"/>
      <c r="J875" s="13"/>
      <c r="K875" s="13"/>
      <c r="L875" s="14"/>
      <c r="M875" s="4"/>
      <c r="N875" s="2"/>
      <c r="O875" s="4"/>
      <c r="P875" s="2"/>
      <c r="Q875" s="2"/>
      <c r="R875" s="4"/>
      <c r="S875" s="2"/>
      <c r="T875" s="2"/>
      <c r="U875" s="1"/>
      <c r="V875" s="2"/>
      <c r="W875" s="2"/>
      <c r="X875" s="2"/>
      <c r="Y875" s="2"/>
      <c r="Z875" s="2"/>
    </row>
    <row r="876" spans="1:26" ht="15.75" customHeight="1" x14ac:dyDescent="0.2">
      <c r="A876" s="12"/>
      <c r="B876" s="10"/>
      <c r="C876" s="11"/>
      <c r="D876" s="13"/>
      <c r="E876" s="13"/>
      <c r="F876" s="13"/>
      <c r="G876" s="2"/>
      <c r="H876" s="2"/>
      <c r="I876" s="13"/>
      <c r="J876" s="13"/>
      <c r="K876" s="13"/>
      <c r="L876" s="14"/>
      <c r="M876" s="4"/>
      <c r="N876" s="2"/>
      <c r="O876" s="4"/>
      <c r="P876" s="2"/>
      <c r="Q876" s="2"/>
      <c r="R876" s="4"/>
      <c r="S876" s="2"/>
      <c r="T876" s="2"/>
      <c r="U876" s="1"/>
      <c r="V876" s="2"/>
      <c r="W876" s="2"/>
      <c r="X876" s="2"/>
      <c r="Y876" s="2"/>
      <c r="Z876" s="2"/>
    </row>
    <row r="877" spans="1:26" ht="15.75" customHeight="1" x14ac:dyDescent="0.2">
      <c r="A877" s="12"/>
      <c r="B877" s="10"/>
      <c r="C877" s="11"/>
      <c r="D877" s="13"/>
      <c r="E877" s="13"/>
      <c r="F877" s="13"/>
      <c r="G877" s="2"/>
      <c r="H877" s="2"/>
      <c r="I877" s="13"/>
      <c r="J877" s="13"/>
      <c r="K877" s="13"/>
      <c r="L877" s="14"/>
      <c r="M877" s="4"/>
      <c r="N877" s="2"/>
      <c r="O877" s="4"/>
      <c r="P877" s="2"/>
      <c r="Q877" s="2"/>
      <c r="R877" s="4"/>
      <c r="S877" s="2"/>
      <c r="T877" s="2"/>
      <c r="U877" s="1"/>
      <c r="V877" s="2"/>
      <c r="W877" s="2"/>
      <c r="X877" s="2"/>
      <c r="Y877" s="2"/>
      <c r="Z877" s="2"/>
    </row>
    <row r="878" spans="1:26" ht="15.75" customHeight="1" x14ac:dyDescent="0.2">
      <c r="A878" s="12"/>
      <c r="B878" s="10"/>
      <c r="C878" s="11"/>
      <c r="D878" s="13"/>
      <c r="E878" s="13"/>
      <c r="F878" s="13"/>
      <c r="G878" s="2"/>
      <c r="H878" s="2"/>
      <c r="I878" s="13"/>
      <c r="J878" s="13"/>
      <c r="K878" s="13"/>
      <c r="L878" s="14"/>
      <c r="M878" s="4"/>
      <c r="N878" s="2"/>
      <c r="O878" s="4"/>
      <c r="P878" s="2"/>
      <c r="Q878" s="2"/>
      <c r="R878" s="4"/>
      <c r="S878" s="2"/>
      <c r="T878" s="2"/>
      <c r="U878" s="1"/>
      <c r="V878" s="2"/>
      <c r="W878" s="2"/>
      <c r="X878" s="2"/>
      <c r="Y878" s="2"/>
      <c r="Z878" s="2"/>
    </row>
    <row r="879" spans="1:26" ht="15.75" customHeight="1" x14ac:dyDescent="0.2">
      <c r="A879" s="12"/>
      <c r="B879" s="10"/>
      <c r="C879" s="11"/>
      <c r="D879" s="13"/>
      <c r="E879" s="13"/>
      <c r="F879" s="13"/>
      <c r="G879" s="2"/>
      <c r="H879" s="2"/>
      <c r="I879" s="13"/>
      <c r="J879" s="13"/>
      <c r="K879" s="13"/>
      <c r="L879" s="14"/>
      <c r="M879" s="4"/>
      <c r="N879" s="2"/>
      <c r="O879" s="4"/>
      <c r="P879" s="2"/>
      <c r="Q879" s="2"/>
      <c r="R879" s="4"/>
      <c r="S879" s="2"/>
      <c r="T879" s="2"/>
      <c r="U879" s="1"/>
      <c r="V879" s="2"/>
      <c r="W879" s="2"/>
      <c r="X879" s="2"/>
      <c r="Y879" s="2"/>
      <c r="Z879" s="2"/>
    </row>
    <row r="880" spans="1:26" ht="15.75" customHeight="1" x14ac:dyDescent="0.2">
      <c r="A880" s="12"/>
      <c r="B880" s="10"/>
      <c r="C880" s="11"/>
      <c r="D880" s="13"/>
      <c r="E880" s="13"/>
      <c r="F880" s="13"/>
      <c r="G880" s="2"/>
      <c r="H880" s="2"/>
      <c r="I880" s="13"/>
      <c r="J880" s="13"/>
      <c r="K880" s="13"/>
      <c r="L880" s="14"/>
      <c r="M880" s="4"/>
      <c r="N880" s="2"/>
      <c r="O880" s="4"/>
      <c r="P880" s="2"/>
      <c r="Q880" s="2"/>
      <c r="R880" s="4"/>
      <c r="S880" s="2"/>
      <c r="T880" s="2"/>
      <c r="U880" s="1"/>
      <c r="V880" s="2"/>
      <c r="W880" s="2"/>
      <c r="X880" s="2"/>
      <c r="Y880" s="2"/>
      <c r="Z880" s="2"/>
    </row>
    <row r="881" spans="1:26" ht="15.75" customHeight="1" x14ac:dyDescent="0.2">
      <c r="A881" s="12"/>
      <c r="B881" s="10"/>
      <c r="C881" s="11"/>
      <c r="D881" s="13"/>
      <c r="E881" s="13"/>
      <c r="F881" s="13"/>
      <c r="G881" s="2"/>
      <c r="H881" s="2"/>
      <c r="I881" s="13"/>
      <c r="J881" s="13"/>
      <c r="K881" s="13"/>
      <c r="L881" s="14"/>
      <c r="M881" s="4"/>
      <c r="N881" s="2"/>
      <c r="O881" s="4"/>
      <c r="P881" s="2"/>
      <c r="Q881" s="2"/>
      <c r="R881" s="4"/>
      <c r="S881" s="2"/>
      <c r="T881" s="2"/>
      <c r="U881" s="1"/>
      <c r="V881" s="2"/>
      <c r="W881" s="2"/>
      <c r="X881" s="2"/>
      <c r="Y881" s="2"/>
      <c r="Z881" s="2"/>
    </row>
    <row r="882" spans="1:26" ht="15.75" customHeight="1" x14ac:dyDescent="0.2">
      <c r="A882" s="12"/>
      <c r="B882" s="10"/>
      <c r="C882" s="11"/>
      <c r="D882" s="13"/>
      <c r="E882" s="13"/>
      <c r="F882" s="13"/>
      <c r="G882" s="2"/>
      <c r="H882" s="2"/>
      <c r="I882" s="13"/>
      <c r="J882" s="13"/>
      <c r="K882" s="13"/>
      <c r="L882" s="14"/>
      <c r="M882" s="4"/>
      <c r="N882" s="2"/>
      <c r="O882" s="4"/>
      <c r="P882" s="2"/>
      <c r="Q882" s="2"/>
      <c r="R882" s="4"/>
      <c r="S882" s="2"/>
      <c r="T882" s="2"/>
      <c r="U882" s="1"/>
      <c r="V882" s="2"/>
      <c r="W882" s="2"/>
      <c r="X882" s="2"/>
      <c r="Y882" s="2"/>
      <c r="Z882" s="2"/>
    </row>
    <row r="883" spans="1:26" ht="15.75" customHeight="1" x14ac:dyDescent="0.2">
      <c r="A883" s="12"/>
      <c r="B883" s="10"/>
      <c r="C883" s="11"/>
      <c r="D883" s="13"/>
      <c r="E883" s="13"/>
      <c r="F883" s="13"/>
      <c r="G883" s="2"/>
      <c r="H883" s="2"/>
      <c r="I883" s="13"/>
      <c r="J883" s="13"/>
      <c r="K883" s="13"/>
      <c r="L883" s="14"/>
      <c r="M883" s="4"/>
      <c r="N883" s="2"/>
      <c r="O883" s="4"/>
      <c r="P883" s="2"/>
      <c r="Q883" s="2"/>
      <c r="R883" s="4"/>
      <c r="S883" s="2"/>
      <c r="T883" s="2"/>
      <c r="U883" s="1"/>
      <c r="V883" s="2"/>
      <c r="W883" s="2"/>
      <c r="X883" s="2"/>
      <c r="Y883" s="2"/>
      <c r="Z883" s="2"/>
    </row>
    <row r="884" spans="1:26" ht="15.75" customHeight="1" x14ac:dyDescent="0.2">
      <c r="A884" s="12"/>
      <c r="B884" s="10"/>
      <c r="C884" s="11"/>
      <c r="D884" s="13"/>
      <c r="E884" s="13"/>
      <c r="F884" s="13"/>
      <c r="G884" s="2"/>
      <c r="H884" s="2"/>
      <c r="I884" s="13"/>
      <c r="J884" s="13"/>
      <c r="K884" s="13"/>
      <c r="L884" s="14"/>
      <c r="M884" s="4"/>
      <c r="N884" s="2"/>
      <c r="O884" s="4"/>
      <c r="P884" s="2"/>
      <c r="Q884" s="2"/>
      <c r="R884" s="4"/>
      <c r="S884" s="2"/>
      <c r="T884" s="2"/>
      <c r="U884" s="1"/>
      <c r="V884" s="2"/>
      <c r="W884" s="2"/>
      <c r="X884" s="2"/>
      <c r="Y884" s="2"/>
      <c r="Z884" s="2"/>
    </row>
    <row r="885" spans="1:26" ht="15.75" customHeight="1" x14ac:dyDescent="0.2">
      <c r="A885" s="12"/>
      <c r="B885" s="10"/>
      <c r="C885" s="11"/>
      <c r="D885" s="13"/>
      <c r="E885" s="13"/>
      <c r="F885" s="13"/>
      <c r="G885" s="2"/>
      <c r="H885" s="2"/>
      <c r="I885" s="13"/>
      <c r="J885" s="13"/>
      <c r="K885" s="13"/>
      <c r="L885" s="14"/>
      <c r="M885" s="4"/>
      <c r="N885" s="2"/>
      <c r="O885" s="4"/>
      <c r="P885" s="2"/>
      <c r="Q885" s="2"/>
      <c r="R885" s="4"/>
      <c r="S885" s="2"/>
      <c r="T885" s="2"/>
      <c r="U885" s="1"/>
      <c r="V885" s="2"/>
      <c r="W885" s="2"/>
      <c r="X885" s="2"/>
      <c r="Y885" s="2"/>
      <c r="Z885" s="2"/>
    </row>
    <row r="886" spans="1:26" ht="15.75" customHeight="1" x14ac:dyDescent="0.2">
      <c r="A886" s="12"/>
      <c r="B886" s="10"/>
      <c r="C886" s="11"/>
      <c r="D886" s="13"/>
      <c r="E886" s="13"/>
      <c r="F886" s="13"/>
      <c r="G886" s="2"/>
      <c r="H886" s="2"/>
      <c r="I886" s="13"/>
      <c r="J886" s="13"/>
      <c r="K886" s="13"/>
      <c r="L886" s="14"/>
      <c r="M886" s="4"/>
      <c r="N886" s="2"/>
      <c r="O886" s="4"/>
      <c r="P886" s="2"/>
      <c r="Q886" s="2"/>
      <c r="R886" s="4"/>
      <c r="S886" s="2"/>
      <c r="T886" s="2"/>
      <c r="U886" s="1"/>
      <c r="V886" s="2"/>
      <c r="W886" s="2"/>
      <c r="X886" s="2"/>
      <c r="Y886" s="2"/>
      <c r="Z886" s="2"/>
    </row>
    <row r="887" spans="1:26" ht="15.75" customHeight="1" x14ac:dyDescent="0.2">
      <c r="A887" s="12"/>
      <c r="B887" s="10"/>
      <c r="C887" s="11"/>
      <c r="D887" s="13"/>
      <c r="E887" s="13"/>
      <c r="F887" s="13"/>
      <c r="G887" s="2"/>
      <c r="H887" s="2"/>
      <c r="I887" s="13"/>
      <c r="J887" s="13"/>
      <c r="K887" s="13"/>
      <c r="L887" s="14"/>
      <c r="M887" s="4"/>
      <c r="N887" s="2"/>
      <c r="O887" s="4"/>
      <c r="P887" s="2"/>
      <c r="Q887" s="2"/>
      <c r="R887" s="4"/>
      <c r="S887" s="2"/>
      <c r="T887" s="2"/>
      <c r="U887" s="1"/>
      <c r="V887" s="2"/>
      <c r="W887" s="2"/>
      <c r="X887" s="2"/>
      <c r="Y887" s="2"/>
      <c r="Z887" s="2"/>
    </row>
    <row r="888" spans="1:26" ht="15.75" customHeight="1" x14ac:dyDescent="0.2">
      <c r="A888" s="12"/>
      <c r="B888" s="10"/>
      <c r="C888" s="11"/>
      <c r="D888" s="13"/>
      <c r="E888" s="13"/>
      <c r="F888" s="13"/>
      <c r="G888" s="2"/>
      <c r="H888" s="2"/>
      <c r="I888" s="13"/>
      <c r="J888" s="13"/>
      <c r="K888" s="13"/>
      <c r="L888" s="14"/>
      <c r="M888" s="4"/>
      <c r="N888" s="2"/>
      <c r="O888" s="4"/>
      <c r="P888" s="2"/>
      <c r="Q888" s="2"/>
      <c r="R888" s="4"/>
      <c r="S888" s="2"/>
      <c r="T888" s="2"/>
      <c r="U888" s="1"/>
      <c r="V888" s="2"/>
      <c r="W888" s="2"/>
      <c r="X888" s="2"/>
      <c r="Y888" s="2"/>
      <c r="Z888" s="2"/>
    </row>
    <row r="889" spans="1:26" ht="15.75" customHeight="1" x14ac:dyDescent="0.2">
      <c r="A889" s="12"/>
      <c r="B889" s="10"/>
      <c r="C889" s="11"/>
      <c r="D889" s="13"/>
      <c r="E889" s="13"/>
      <c r="F889" s="13"/>
      <c r="G889" s="2"/>
      <c r="H889" s="2"/>
      <c r="I889" s="13"/>
      <c r="J889" s="13"/>
      <c r="K889" s="13"/>
      <c r="L889" s="14"/>
      <c r="M889" s="4"/>
      <c r="N889" s="2"/>
      <c r="O889" s="4"/>
      <c r="P889" s="2"/>
      <c r="Q889" s="2"/>
      <c r="R889" s="4"/>
      <c r="S889" s="2"/>
      <c r="T889" s="2"/>
      <c r="U889" s="1"/>
      <c r="V889" s="2"/>
      <c r="W889" s="2"/>
      <c r="X889" s="2"/>
      <c r="Y889" s="2"/>
      <c r="Z889" s="2"/>
    </row>
    <row r="890" spans="1:26" ht="15.75" customHeight="1" x14ac:dyDescent="0.2">
      <c r="A890" s="12"/>
      <c r="B890" s="10"/>
      <c r="C890" s="11"/>
      <c r="D890" s="13"/>
      <c r="E890" s="13"/>
      <c r="F890" s="13"/>
      <c r="G890" s="2"/>
      <c r="H890" s="2"/>
      <c r="I890" s="13"/>
      <c r="J890" s="13"/>
      <c r="K890" s="13"/>
      <c r="L890" s="14"/>
      <c r="M890" s="4"/>
      <c r="N890" s="2"/>
      <c r="O890" s="4"/>
      <c r="P890" s="2"/>
      <c r="Q890" s="2"/>
      <c r="R890" s="4"/>
      <c r="S890" s="2"/>
      <c r="T890" s="2"/>
      <c r="U890" s="1"/>
      <c r="V890" s="2"/>
      <c r="W890" s="2"/>
      <c r="X890" s="2"/>
      <c r="Y890" s="2"/>
      <c r="Z890" s="2"/>
    </row>
    <row r="891" spans="1:26" ht="15.75" customHeight="1" x14ac:dyDescent="0.2">
      <c r="A891" s="12"/>
      <c r="B891" s="10"/>
      <c r="C891" s="11"/>
      <c r="D891" s="13"/>
      <c r="E891" s="13"/>
      <c r="F891" s="13"/>
      <c r="G891" s="2"/>
      <c r="H891" s="2"/>
      <c r="I891" s="13"/>
      <c r="J891" s="13"/>
      <c r="K891" s="13"/>
      <c r="L891" s="14"/>
      <c r="M891" s="4"/>
      <c r="N891" s="2"/>
      <c r="O891" s="4"/>
      <c r="P891" s="2"/>
      <c r="Q891" s="2"/>
      <c r="R891" s="4"/>
      <c r="S891" s="2"/>
      <c r="T891" s="2"/>
      <c r="U891" s="1"/>
      <c r="V891" s="2"/>
      <c r="W891" s="2"/>
      <c r="X891" s="2"/>
      <c r="Y891" s="2"/>
      <c r="Z891" s="2"/>
    </row>
    <row r="892" spans="1:26" ht="15.75" customHeight="1" x14ac:dyDescent="0.2">
      <c r="A892" s="12"/>
      <c r="B892" s="10"/>
      <c r="C892" s="11"/>
      <c r="D892" s="13"/>
      <c r="E892" s="13"/>
      <c r="F892" s="13"/>
      <c r="G892" s="2"/>
      <c r="H892" s="2"/>
      <c r="I892" s="13"/>
      <c r="J892" s="13"/>
      <c r="K892" s="13"/>
      <c r="L892" s="14"/>
      <c r="M892" s="4"/>
      <c r="N892" s="2"/>
      <c r="O892" s="4"/>
      <c r="P892" s="2"/>
      <c r="Q892" s="2"/>
      <c r="R892" s="4"/>
      <c r="S892" s="2"/>
      <c r="T892" s="2"/>
      <c r="U892" s="1"/>
      <c r="V892" s="2"/>
      <c r="W892" s="2"/>
      <c r="X892" s="2"/>
      <c r="Y892" s="2"/>
      <c r="Z892" s="2"/>
    </row>
    <row r="893" spans="1:26" ht="15.75" customHeight="1" x14ac:dyDescent="0.2">
      <c r="A893" s="12"/>
      <c r="B893" s="10"/>
      <c r="C893" s="11"/>
      <c r="D893" s="13"/>
      <c r="E893" s="13"/>
      <c r="F893" s="13"/>
      <c r="G893" s="2"/>
      <c r="H893" s="2"/>
      <c r="I893" s="13"/>
      <c r="J893" s="13"/>
      <c r="K893" s="13"/>
      <c r="L893" s="14"/>
      <c r="M893" s="4"/>
      <c r="N893" s="2"/>
      <c r="O893" s="4"/>
      <c r="P893" s="2"/>
      <c r="Q893" s="2"/>
      <c r="R893" s="4"/>
      <c r="S893" s="2"/>
      <c r="T893" s="2"/>
      <c r="U893" s="1"/>
      <c r="V893" s="2"/>
      <c r="W893" s="2"/>
      <c r="X893" s="2"/>
      <c r="Y893" s="2"/>
      <c r="Z893" s="2"/>
    </row>
    <row r="894" spans="1:26" ht="15.75" customHeight="1" x14ac:dyDescent="0.2">
      <c r="A894" s="12"/>
      <c r="B894" s="10"/>
      <c r="C894" s="11"/>
      <c r="D894" s="13"/>
      <c r="E894" s="13"/>
      <c r="F894" s="13"/>
      <c r="G894" s="2"/>
      <c r="H894" s="2"/>
      <c r="I894" s="13"/>
      <c r="J894" s="13"/>
      <c r="K894" s="13"/>
      <c r="L894" s="14"/>
      <c r="M894" s="4"/>
      <c r="N894" s="2"/>
      <c r="O894" s="4"/>
      <c r="P894" s="2"/>
      <c r="Q894" s="2"/>
      <c r="R894" s="4"/>
      <c r="S894" s="2"/>
      <c r="T894" s="2"/>
      <c r="U894" s="1"/>
      <c r="V894" s="2"/>
      <c r="W894" s="2"/>
      <c r="X894" s="2"/>
      <c r="Y894" s="2"/>
      <c r="Z894" s="2"/>
    </row>
    <row r="895" spans="1:26" ht="15.75" customHeight="1" x14ac:dyDescent="0.2">
      <c r="A895" s="12"/>
      <c r="B895" s="10"/>
      <c r="C895" s="11"/>
      <c r="D895" s="13"/>
      <c r="E895" s="13"/>
      <c r="F895" s="13"/>
      <c r="G895" s="2"/>
      <c r="H895" s="2"/>
      <c r="I895" s="13"/>
      <c r="J895" s="13"/>
      <c r="K895" s="13"/>
      <c r="L895" s="14"/>
      <c r="M895" s="4"/>
      <c r="N895" s="2"/>
      <c r="O895" s="4"/>
      <c r="P895" s="2"/>
      <c r="Q895" s="2"/>
      <c r="R895" s="4"/>
      <c r="S895" s="2"/>
      <c r="T895" s="2"/>
      <c r="U895" s="1"/>
      <c r="V895" s="2"/>
      <c r="W895" s="2"/>
      <c r="X895" s="2"/>
      <c r="Y895" s="2"/>
      <c r="Z895" s="2"/>
    </row>
    <row r="896" spans="1:26" ht="15.75" customHeight="1" x14ac:dyDescent="0.2">
      <c r="A896" s="12"/>
      <c r="B896" s="10"/>
      <c r="C896" s="11"/>
      <c r="D896" s="13"/>
      <c r="E896" s="13"/>
      <c r="F896" s="13"/>
      <c r="G896" s="2"/>
      <c r="H896" s="2"/>
      <c r="I896" s="13"/>
      <c r="J896" s="13"/>
      <c r="K896" s="13"/>
      <c r="L896" s="14"/>
      <c r="M896" s="4"/>
      <c r="N896" s="2"/>
      <c r="O896" s="4"/>
      <c r="P896" s="2"/>
      <c r="Q896" s="2"/>
      <c r="R896" s="4"/>
      <c r="S896" s="2"/>
      <c r="T896" s="2"/>
      <c r="U896" s="1"/>
      <c r="V896" s="2"/>
      <c r="W896" s="2"/>
      <c r="X896" s="2"/>
      <c r="Y896" s="2"/>
      <c r="Z896" s="2"/>
    </row>
    <row r="897" spans="1:26" ht="15.75" customHeight="1" x14ac:dyDescent="0.2">
      <c r="A897" s="12"/>
      <c r="B897" s="10"/>
      <c r="C897" s="11"/>
      <c r="D897" s="13"/>
      <c r="E897" s="13"/>
      <c r="F897" s="13"/>
      <c r="G897" s="2"/>
      <c r="H897" s="2"/>
      <c r="I897" s="13"/>
      <c r="J897" s="13"/>
      <c r="K897" s="13"/>
      <c r="L897" s="14"/>
      <c r="M897" s="4"/>
      <c r="N897" s="2"/>
      <c r="O897" s="4"/>
      <c r="P897" s="2"/>
      <c r="Q897" s="2"/>
      <c r="R897" s="4"/>
      <c r="S897" s="2"/>
      <c r="T897" s="2"/>
      <c r="U897" s="1"/>
      <c r="V897" s="2"/>
      <c r="W897" s="2"/>
      <c r="X897" s="2"/>
      <c r="Y897" s="2"/>
      <c r="Z897" s="2"/>
    </row>
    <row r="898" spans="1:26" ht="15.75" customHeight="1" x14ac:dyDescent="0.2">
      <c r="A898" s="12"/>
      <c r="B898" s="10"/>
      <c r="C898" s="11"/>
      <c r="D898" s="13"/>
      <c r="E898" s="13"/>
      <c r="F898" s="13"/>
      <c r="G898" s="2"/>
      <c r="H898" s="2"/>
      <c r="I898" s="13"/>
      <c r="J898" s="13"/>
      <c r="K898" s="13"/>
      <c r="L898" s="14"/>
      <c r="M898" s="4"/>
      <c r="N898" s="2"/>
      <c r="O898" s="4"/>
      <c r="P898" s="2"/>
      <c r="Q898" s="2"/>
      <c r="R898" s="4"/>
      <c r="S898" s="2"/>
      <c r="T898" s="2"/>
      <c r="U898" s="1"/>
      <c r="V898" s="2"/>
      <c r="W898" s="2"/>
      <c r="X898" s="2"/>
      <c r="Y898" s="2"/>
      <c r="Z898" s="2"/>
    </row>
    <row r="899" spans="1:26" ht="15.75" customHeight="1" x14ac:dyDescent="0.2">
      <c r="A899" s="12"/>
      <c r="B899" s="10"/>
      <c r="C899" s="11"/>
      <c r="D899" s="13"/>
      <c r="E899" s="13"/>
      <c r="F899" s="13"/>
      <c r="G899" s="2"/>
      <c r="H899" s="2"/>
      <c r="I899" s="13"/>
      <c r="J899" s="13"/>
      <c r="K899" s="13"/>
      <c r="L899" s="14"/>
      <c r="M899" s="4"/>
      <c r="N899" s="2"/>
      <c r="O899" s="4"/>
      <c r="P899" s="2"/>
      <c r="Q899" s="2"/>
      <c r="R899" s="4"/>
      <c r="S899" s="2"/>
      <c r="T899" s="2"/>
      <c r="U899" s="1"/>
      <c r="V899" s="2"/>
      <c r="W899" s="2"/>
      <c r="X899" s="2"/>
      <c r="Y899" s="2"/>
      <c r="Z899" s="2"/>
    </row>
    <row r="900" spans="1:26" ht="15.75" customHeight="1" x14ac:dyDescent="0.2">
      <c r="A900" s="12"/>
      <c r="B900" s="10"/>
      <c r="C900" s="11"/>
      <c r="D900" s="13"/>
      <c r="E900" s="13"/>
      <c r="F900" s="13"/>
      <c r="G900" s="2"/>
      <c r="H900" s="2"/>
      <c r="I900" s="13"/>
      <c r="J900" s="13"/>
      <c r="K900" s="13"/>
      <c r="L900" s="14"/>
      <c r="M900" s="4"/>
      <c r="N900" s="2"/>
      <c r="O900" s="4"/>
      <c r="P900" s="2"/>
      <c r="Q900" s="2"/>
      <c r="R900" s="4"/>
      <c r="S900" s="2"/>
      <c r="T900" s="2"/>
      <c r="U900" s="1"/>
      <c r="V900" s="2"/>
      <c r="W900" s="2"/>
      <c r="X900" s="2"/>
      <c r="Y900" s="2"/>
      <c r="Z900" s="2"/>
    </row>
    <row r="901" spans="1:26" ht="15.75" customHeight="1" x14ac:dyDescent="0.2">
      <c r="A901" s="12"/>
      <c r="B901" s="10"/>
      <c r="C901" s="11"/>
      <c r="D901" s="13"/>
      <c r="E901" s="13"/>
      <c r="F901" s="13"/>
      <c r="G901" s="2"/>
      <c r="H901" s="2"/>
      <c r="I901" s="13"/>
      <c r="J901" s="13"/>
      <c r="K901" s="13"/>
      <c r="L901" s="14"/>
      <c r="M901" s="4"/>
      <c r="N901" s="2"/>
      <c r="O901" s="4"/>
      <c r="P901" s="2"/>
      <c r="Q901" s="2"/>
      <c r="R901" s="4"/>
      <c r="S901" s="2"/>
      <c r="T901" s="2"/>
      <c r="U901" s="1"/>
      <c r="V901" s="2"/>
      <c r="W901" s="2"/>
      <c r="X901" s="2"/>
      <c r="Y901" s="2"/>
      <c r="Z901" s="2"/>
    </row>
    <row r="902" spans="1:26" ht="15.75" customHeight="1" x14ac:dyDescent="0.2">
      <c r="A902" s="12"/>
      <c r="B902" s="10"/>
      <c r="C902" s="11"/>
      <c r="D902" s="13"/>
      <c r="E902" s="13"/>
      <c r="F902" s="13"/>
      <c r="G902" s="2"/>
      <c r="H902" s="2"/>
      <c r="I902" s="13"/>
      <c r="J902" s="13"/>
      <c r="K902" s="13"/>
      <c r="L902" s="14"/>
      <c r="M902" s="4"/>
      <c r="N902" s="2"/>
      <c r="O902" s="4"/>
      <c r="P902" s="2"/>
      <c r="Q902" s="2"/>
      <c r="R902" s="4"/>
      <c r="S902" s="2"/>
      <c r="T902" s="2"/>
      <c r="U902" s="1"/>
      <c r="V902" s="2"/>
      <c r="W902" s="2"/>
      <c r="X902" s="2"/>
      <c r="Y902" s="2"/>
      <c r="Z902" s="2"/>
    </row>
    <row r="903" spans="1:26" ht="15.75" customHeight="1" x14ac:dyDescent="0.2">
      <c r="A903" s="12"/>
      <c r="B903" s="10"/>
      <c r="C903" s="11"/>
      <c r="D903" s="13"/>
      <c r="E903" s="13"/>
      <c r="F903" s="13"/>
      <c r="G903" s="2"/>
      <c r="H903" s="2"/>
      <c r="I903" s="13"/>
      <c r="J903" s="13"/>
      <c r="K903" s="13"/>
      <c r="L903" s="14"/>
      <c r="M903" s="4"/>
      <c r="N903" s="2"/>
      <c r="O903" s="4"/>
      <c r="P903" s="2"/>
      <c r="Q903" s="2"/>
      <c r="R903" s="4"/>
      <c r="S903" s="2"/>
      <c r="T903" s="2"/>
      <c r="U903" s="1"/>
      <c r="V903" s="2"/>
      <c r="W903" s="2"/>
      <c r="X903" s="2"/>
      <c r="Y903" s="2"/>
      <c r="Z903" s="2"/>
    </row>
    <row r="904" spans="1:26" ht="15.75" customHeight="1" x14ac:dyDescent="0.2">
      <c r="A904" s="12"/>
      <c r="B904" s="10"/>
      <c r="C904" s="11"/>
      <c r="D904" s="13"/>
      <c r="E904" s="13"/>
      <c r="F904" s="13"/>
      <c r="G904" s="2"/>
      <c r="H904" s="2"/>
      <c r="I904" s="13"/>
      <c r="J904" s="13"/>
      <c r="K904" s="13"/>
      <c r="L904" s="14"/>
      <c r="M904" s="4"/>
      <c r="N904" s="2"/>
      <c r="O904" s="4"/>
      <c r="P904" s="2"/>
      <c r="Q904" s="2"/>
      <c r="R904" s="4"/>
      <c r="S904" s="2"/>
      <c r="T904" s="2"/>
      <c r="U904" s="1"/>
      <c r="V904" s="2"/>
      <c r="W904" s="2"/>
      <c r="X904" s="2"/>
      <c r="Y904" s="2"/>
      <c r="Z904" s="2"/>
    </row>
    <row r="905" spans="1:26" ht="15.75" customHeight="1" x14ac:dyDescent="0.2">
      <c r="A905" s="12"/>
      <c r="B905" s="10"/>
      <c r="C905" s="11"/>
      <c r="D905" s="13"/>
      <c r="E905" s="13"/>
      <c r="F905" s="13"/>
      <c r="G905" s="2"/>
      <c r="H905" s="2"/>
      <c r="I905" s="13"/>
      <c r="J905" s="13"/>
      <c r="K905" s="13"/>
      <c r="L905" s="14"/>
      <c r="M905" s="4"/>
      <c r="N905" s="2"/>
      <c r="O905" s="4"/>
      <c r="P905" s="2"/>
      <c r="Q905" s="2"/>
      <c r="R905" s="4"/>
      <c r="S905" s="2"/>
      <c r="T905" s="2"/>
      <c r="U905" s="1"/>
      <c r="V905" s="2"/>
      <c r="W905" s="2"/>
      <c r="X905" s="2"/>
      <c r="Y905" s="2"/>
      <c r="Z905" s="2"/>
    </row>
    <row r="906" spans="1:26" ht="15.75" customHeight="1" x14ac:dyDescent="0.2">
      <c r="A906" s="12"/>
      <c r="B906" s="10"/>
      <c r="C906" s="11"/>
      <c r="D906" s="13"/>
      <c r="E906" s="13"/>
      <c r="F906" s="13"/>
      <c r="G906" s="2"/>
      <c r="H906" s="2"/>
      <c r="I906" s="13"/>
      <c r="J906" s="13"/>
      <c r="K906" s="13"/>
      <c r="L906" s="14"/>
      <c r="M906" s="4"/>
      <c r="N906" s="2"/>
      <c r="O906" s="4"/>
      <c r="P906" s="2"/>
      <c r="Q906" s="2"/>
      <c r="R906" s="4"/>
      <c r="S906" s="2"/>
      <c r="T906" s="2"/>
      <c r="U906" s="1"/>
      <c r="V906" s="2"/>
      <c r="W906" s="2"/>
      <c r="X906" s="2"/>
      <c r="Y906" s="2"/>
      <c r="Z906" s="2"/>
    </row>
    <row r="907" spans="1:26" ht="15.75" customHeight="1" x14ac:dyDescent="0.2">
      <c r="A907" s="12"/>
      <c r="B907" s="10"/>
      <c r="C907" s="11"/>
      <c r="D907" s="13"/>
      <c r="E907" s="13"/>
      <c r="F907" s="13"/>
      <c r="G907" s="2"/>
      <c r="H907" s="2"/>
      <c r="I907" s="13"/>
      <c r="J907" s="13"/>
      <c r="K907" s="13"/>
      <c r="L907" s="14"/>
      <c r="M907" s="4"/>
      <c r="N907" s="2"/>
      <c r="O907" s="4"/>
      <c r="P907" s="2"/>
      <c r="Q907" s="2"/>
      <c r="R907" s="4"/>
      <c r="S907" s="2"/>
      <c r="T907" s="2"/>
      <c r="U907" s="1"/>
      <c r="V907" s="2"/>
      <c r="W907" s="2"/>
      <c r="X907" s="2"/>
      <c r="Y907" s="2"/>
      <c r="Z907" s="2"/>
    </row>
    <row r="908" spans="1:26" ht="15.75" customHeight="1" x14ac:dyDescent="0.2">
      <c r="A908" s="12"/>
      <c r="B908" s="10"/>
      <c r="C908" s="11"/>
      <c r="D908" s="13"/>
      <c r="E908" s="13"/>
      <c r="F908" s="13"/>
      <c r="G908" s="2"/>
      <c r="H908" s="2"/>
      <c r="I908" s="13"/>
      <c r="J908" s="13"/>
      <c r="K908" s="13"/>
      <c r="L908" s="14"/>
      <c r="M908" s="4"/>
      <c r="N908" s="2"/>
      <c r="O908" s="4"/>
      <c r="P908" s="2"/>
      <c r="Q908" s="2"/>
      <c r="R908" s="4"/>
      <c r="S908" s="2"/>
      <c r="T908" s="2"/>
      <c r="U908" s="1"/>
      <c r="V908" s="2"/>
      <c r="W908" s="2"/>
      <c r="X908" s="2"/>
      <c r="Y908" s="2"/>
      <c r="Z908" s="2"/>
    </row>
    <row r="909" spans="1:26" ht="15.75" customHeight="1" x14ac:dyDescent="0.2">
      <c r="A909" s="12"/>
      <c r="B909" s="10"/>
      <c r="C909" s="11"/>
      <c r="D909" s="13"/>
      <c r="E909" s="13"/>
      <c r="F909" s="13"/>
      <c r="G909" s="2"/>
      <c r="H909" s="2"/>
      <c r="I909" s="13"/>
      <c r="J909" s="13"/>
      <c r="K909" s="13"/>
      <c r="L909" s="14"/>
      <c r="M909" s="4"/>
      <c r="N909" s="2"/>
      <c r="O909" s="4"/>
      <c r="P909" s="2"/>
      <c r="Q909" s="2"/>
      <c r="R909" s="4"/>
      <c r="S909" s="2"/>
      <c r="T909" s="2"/>
      <c r="U909" s="1"/>
      <c r="V909" s="2"/>
      <c r="W909" s="2"/>
      <c r="X909" s="2"/>
      <c r="Y909" s="2"/>
      <c r="Z909" s="2"/>
    </row>
    <row r="910" spans="1:26" ht="15.75" customHeight="1" x14ac:dyDescent="0.2">
      <c r="A910" s="12"/>
      <c r="B910" s="10"/>
      <c r="C910" s="11"/>
      <c r="D910" s="13"/>
      <c r="E910" s="13"/>
      <c r="F910" s="13"/>
      <c r="G910" s="2"/>
      <c r="H910" s="2"/>
      <c r="I910" s="13"/>
      <c r="J910" s="13"/>
      <c r="K910" s="13"/>
      <c r="L910" s="14"/>
      <c r="M910" s="4"/>
      <c r="N910" s="2"/>
      <c r="O910" s="4"/>
      <c r="P910" s="2"/>
      <c r="Q910" s="2"/>
      <c r="R910" s="4"/>
      <c r="S910" s="2"/>
      <c r="T910" s="2"/>
      <c r="U910" s="1"/>
      <c r="V910" s="2"/>
      <c r="W910" s="2"/>
      <c r="X910" s="2"/>
      <c r="Y910" s="2"/>
      <c r="Z910" s="2"/>
    </row>
    <row r="911" spans="1:26" ht="15.75" customHeight="1" x14ac:dyDescent="0.2">
      <c r="A911" s="12"/>
      <c r="B911" s="10"/>
      <c r="C911" s="11"/>
      <c r="D911" s="13"/>
      <c r="E911" s="13"/>
      <c r="F911" s="13"/>
      <c r="G911" s="2"/>
      <c r="H911" s="2"/>
      <c r="I911" s="13"/>
      <c r="J911" s="13"/>
      <c r="K911" s="13"/>
      <c r="L911" s="14"/>
      <c r="M911" s="4"/>
      <c r="N911" s="2"/>
      <c r="O911" s="4"/>
      <c r="P911" s="2"/>
      <c r="Q911" s="2"/>
      <c r="R911" s="4"/>
      <c r="S911" s="2"/>
      <c r="T911" s="2"/>
      <c r="U911" s="1"/>
      <c r="V911" s="2"/>
      <c r="W911" s="2"/>
      <c r="X911" s="2"/>
      <c r="Y911" s="2"/>
      <c r="Z911" s="2"/>
    </row>
    <row r="912" spans="1:26" ht="15.75" customHeight="1" x14ac:dyDescent="0.2">
      <c r="A912" s="12"/>
      <c r="B912" s="10"/>
      <c r="C912" s="11"/>
      <c r="D912" s="13"/>
      <c r="E912" s="13"/>
      <c r="F912" s="13"/>
      <c r="G912" s="2"/>
      <c r="H912" s="2"/>
      <c r="I912" s="13"/>
      <c r="J912" s="13"/>
      <c r="K912" s="13"/>
      <c r="L912" s="14"/>
      <c r="M912" s="4"/>
      <c r="N912" s="2"/>
      <c r="O912" s="4"/>
      <c r="P912" s="2"/>
      <c r="Q912" s="2"/>
      <c r="R912" s="4"/>
      <c r="S912" s="2"/>
      <c r="T912" s="2"/>
      <c r="U912" s="1"/>
      <c r="V912" s="2"/>
      <c r="W912" s="2"/>
      <c r="X912" s="2"/>
      <c r="Y912" s="2"/>
      <c r="Z912" s="2"/>
    </row>
    <row r="913" spans="1:26" ht="15.75" customHeight="1" x14ac:dyDescent="0.2">
      <c r="A913" s="12"/>
      <c r="B913" s="10"/>
      <c r="C913" s="11"/>
      <c r="D913" s="13"/>
      <c r="E913" s="13"/>
      <c r="F913" s="13"/>
      <c r="G913" s="2"/>
      <c r="H913" s="2"/>
      <c r="I913" s="13"/>
      <c r="J913" s="13"/>
      <c r="K913" s="13"/>
      <c r="L913" s="14"/>
      <c r="M913" s="4"/>
      <c r="N913" s="2"/>
      <c r="O913" s="4"/>
      <c r="P913" s="2"/>
      <c r="Q913" s="2"/>
      <c r="R913" s="4"/>
      <c r="S913" s="2"/>
      <c r="T913" s="2"/>
      <c r="U913" s="1"/>
      <c r="V913" s="2"/>
      <c r="W913" s="2"/>
      <c r="X913" s="2"/>
      <c r="Y913" s="2"/>
      <c r="Z913" s="2"/>
    </row>
    <row r="914" spans="1:26" ht="15.75" customHeight="1" x14ac:dyDescent="0.2">
      <c r="A914" s="12"/>
      <c r="B914" s="10"/>
      <c r="C914" s="11"/>
      <c r="D914" s="13"/>
      <c r="E914" s="13"/>
      <c r="F914" s="13"/>
      <c r="G914" s="2"/>
      <c r="H914" s="2"/>
      <c r="I914" s="13"/>
      <c r="J914" s="13"/>
      <c r="K914" s="13"/>
      <c r="L914" s="14"/>
      <c r="M914" s="4"/>
      <c r="N914" s="2"/>
      <c r="O914" s="4"/>
      <c r="P914" s="2"/>
      <c r="Q914" s="2"/>
      <c r="R914" s="4"/>
      <c r="S914" s="2"/>
      <c r="T914" s="2"/>
      <c r="U914" s="1"/>
      <c r="V914" s="2"/>
      <c r="W914" s="2"/>
      <c r="X914" s="2"/>
      <c r="Y914" s="2"/>
      <c r="Z914" s="2"/>
    </row>
    <row r="915" spans="1:26" ht="15.75" customHeight="1" x14ac:dyDescent="0.2">
      <c r="A915" s="12"/>
      <c r="B915" s="10"/>
      <c r="C915" s="11"/>
      <c r="D915" s="13"/>
      <c r="E915" s="13"/>
      <c r="F915" s="13"/>
      <c r="G915" s="2"/>
      <c r="H915" s="2"/>
      <c r="I915" s="13"/>
      <c r="J915" s="13"/>
      <c r="K915" s="13"/>
      <c r="L915" s="14"/>
      <c r="M915" s="4"/>
      <c r="N915" s="2"/>
      <c r="O915" s="4"/>
      <c r="P915" s="2"/>
      <c r="Q915" s="2"/>
      <c r="R915" s="4"/>
      <c r="S915" s="2"/>
      <c r="T915" s="2"/>
      <c r="U915" s="1"/>
      <c r="V915" s="2"/>
      <c r="W915" s="2"/>
      <c r="X915" s="2"/>
      <c r="Y915" s="2"/>
      <c r="Z915" s="2"/>
    </row>
    <row r="916" spans="1:26" ht="15.75" customHeight="1" x14ac:dyDescent="0.2">
      <c r="A916" s="12"/>
      <c r="B916" s="10"/>
      <c r="C916" s="11"/>
      <c r="D916" s="13"/>
      <c r="E916" s="13"/>
      <c r="F916" s="13"/>
      <c r="G916" s="2"/>
      <c r="H916" s="2"/>
      <c r="I916" s="13"/>
      <c r="J916" s="13"/>
      <c r="K916" s="13"/>
      <c r="L916" s="14"/>
      <c r="M916" s="4"/>
      <c r="N916" s="2"/>
      <c r="O916" s="4"/>
      <c r="P916" s="2"/>
      <c r="Q916" s="2"/>
      <c r="R916" s="4"/>
      <c r="S916" s="2"/>
      <c r="T916" s="2"/>
      <c r="U916" s="1"/>
      <c r="V916" s="2"/>
      <c r="W916" s="2"/>
      <c r="X916" s="2"/>
      <c r="Y916" s="2"/>
      <c r="Z916" s="2"/>
    </row>
    <row r="917" spans="1:26" ht="15.75" customHeight="1" x14ac:dyDescent="0.2">
      <c r="A917" s="12"/>
      <c r="B917" s="10"/>
      <c r="C917" s="11"/>
      <c r="D917" s="13"/>
      <c r="E917" s="13"/>
      <c r="F917" s="13"/>
      <c r="G917" s="2"/>
      <c r="H917" s="2"/>
      <c r="I917" s="13"/>
      <c r="J917" s="13"/>
      <c r="K917" s="13"/>
      <c r="L917" s="14"/>
      <c r="M917" s="4"/>
      <c r="N917" s="2"/>
      <c r="O917" s="4"/>
      <c r="P917" s="2"/>
      <c r="Q917" s="2"/>
      <c r="R917" s="4"/>
      <c r="S917" s="2"/>
      <c r="T917" s="2"/>
      <c r="U917" s="1"/>
      <c r="V917" s="2"/>
      <c r="W917" s="2"/>
      <c r="X917" s="2"/>
      <c r="Y917" s="2"/>
      <c r="Z917" s="2"/>
    </row>
    <row r="918" spans="1:26" ht="15.75" customHeight="1" x14ac:dyDescent="0.2">
      <c r="A918" s="12"/>
      <c r="B918" s="10"/>
      <c r="C918" s="11"/>
      <c r="D918" s="13"/>
      <c r="E918" s="13"/>
      <c r="F918" s="13"/>
      <c r="G918" s="2"/>
      <c r="H918" s="2"/>
      <c r="I918" s="13"/>
      <c r="J918" s="13"/>
      <c r="K918" s="13"/>
      <c r="L918" s="14"/>
      <c r="M918" s="4"/>
      <c r="N918" s="2"/>
      <c r="O918" s="4"/>
      <c r="P918" s="2"/>
      <c r="Q918" s="2"/>
      <c r="R918" s="4"/>
      <c r="S918" s="2"/>
      <c r="T918" s="2"/>
      <c r="U918" s="1"/>
      <c r="V918" s="2"/>
      <c r="W918" s="2"/>
      <c r="X918" s="2"/>
      <c r="Y918" s="2"/>
      <c r="Z918" s="2"/>
    </row>
    <row r="919" spans="1:26" ht="15.75" customHeight="1" x14ac:dyDescent="0.2">
      <c r="A919" s="12"/>
      <c r="B919" s="10"/>
      <c r="C919" s="11"/>
      <c r="D919" s="13"/>
      <c r="E919" s="13"/>
      <c r="F919" s="13"/>
      <c r="G919" s="2"/>
      <c r="H919" s="2"/>
      <c r="I919" s="13"/>
      <c r="J919" s="13"/>
      <c r="K919" s="13"/>
      <c r="L919" s="14"/>
      <c r="M919" s="4"/>
      <c r="N919" s="2"/>
      <c r="O919" s="4"/>
      <c r="P919" s="2"/>
      <c r="Q919" s="2"/>
      <c r="R919" s="4"/>
      <c r="S919" s="2"/>
      <c r="T919" s="2"/>
      <c r="U919" s="1"/>
      <c r="V919" s="2"/>
      <c r="W919" s="2"/>
      <c r="X919" s="2"/>
      <c r="Y919" s="2"/>
      <c r="Z919" s="2"/>
    </row>
    <row r="920" spans="1:26" ht="15.75" customHeight="1" x14ac:dyDescent="0.2">
      <c r="A920" s="12"/>
      <c r="B920" s="10"/>
      <c r="C920" s="11"/>
      <c r="D920" s="13"/>
      <c r="E920" s="13"/>
      <c r="F920" s="13"/>
      <c r="G920" s="2"/>
      <c r="H920" s="2"/>
      <c r="I920" s="13"/>
      <c r="J920" s="13"/>
      <c r="K920" s="13"/>
      <c r="L920" s="14"/>
      <c r="M920" s="4"/>
      <c r="N920" s="2"/>
      <c r="O920" s="4"/>
      <c r="P920" s="2"/>
      <c r="Q920" s="2"/>
      <c r="R920" s="4"/>
      <c r="S920" s="2"/>
      <c r="T920" s="2"/>
      <c r="U920" s="1"/>
      <c r="V920" s="2"/>
      <c r="W920" s="2"/>
      <c r="X920" s="2"/>
      <c r="Y920" s="2"/>
      <c r="Z920" s="2"/>
    </row>
    <row r="921" spans="1:26" ht="15.75" customHeight="1" x14ac:dyDescent="0.2">
      <c r="A921" s="12"/>
      <c r="B921" s="10"/>
      <c r="C921" s="11"/>
      <c r="D921" s="13"/>
      <c r="E921" s="13"/>
      <c r="F921" s="13"/>
      <c r="G921" s="2"/>
      <c r="H921" s="2"/>
      <c r="I921" s="13"/>
      <c r="J921" s="13"/>
      <c r="K921" s="13"/>
      <c r="L921" s="14"/>
      <c r="M921" s="4"/>
      <c r="N921" s="2"/>
      <c r="O921" s="4"/>
      <c r="P921" s="2"/>
      <c r="Q921" s="2"/>
      <c r="R921" s="4"/>
      <c r="S921" s="2"/>
      <c r="T921" s="2"/>
      <c r="U921" s="1"/>
      <c r="V921" s="2"/>
      <c r="W921" s="2"/>
      <c r="X921" s="2"/>
      <c r="Y921" s="2"/>
      <c r="Z921" s="2"/>
    </row>
    <row r="922" spans="1:26" ht="15.75" customHeight="1" x14ac:dyDescent="0.2">
      <c r="A922" s="12"/>
      <c r="B922" s="10"/>
      <c r="C922" s="11"/>
      <c r="D922" s="13"/>
      <c r="E922" s="13"/>
      <c r="F922" s="13"/>
      <c r="G922" s="2"/>
      <c r="H922" s="2"/>
      <c r="I922" s="13"/>
      <c r="J922" s="13"/>
      <c r="K922" s="13"/>
      <c r="L922" s="14"/>
      <c r="M922" s="4"/>
      <c r="N922" s="2"/>
      <c r="O922" s="4"/>
      <c r="P922" s="2"/>
      <c r="Q922" s="2"/>
      <c r="R922" s="4"/>
      <c r="S922" s="2"/>
      <c r="T922" s="2"/>
      <c r="U922" s="1"/>
      <c r="V922" s="2"/>
      <c r="W922" s="2"/>
      <c r="X922" s="2"/>
      <c r="Y922" s="2"/>
      <c r="Z922" s="2"/>
    </row>
    <row r="923" spans="1:26" ht="15.75" customHeight="1" x14ac:dyDescent="0.2">
      <c r="A923" s="12"/>
      <c r="B923" s="10"/>
      <c r="C923" s="11"/>
      <c r="D923" s="13"/>
      <c r="E923" s="13"/>
      <c r="F923" s="13"/>
      <c r="G923" s="2"/>
      <c r="H923" s="2"/>
      <c r="I923" s="13"/>
      <c r="J923" s="13"/>
      <c r="K923" s="13"/>
      <c r="L923" s="14"/>
      <c r="M923" s="4"/>
      <c r="N923" s="2"/>
      <c r="O923" s="4"/>
      <c r="P923" s="2"/>
      <c r="Q923" s="2"/>
      <c r="R923" s="4"/>
      <c r="S923" s="2"/>
      <c r="T923" s="2"/>
      <c r="U923" s="1"/>
      <c r="V923" s="2"/>
      <c r="W923" s="2"/>
      <c r="X923" s="2"/>
      <c r="Y923" s="2"/>
      <c r="Z923" s="2"/>
    </row>
    <row r="924" spans="1:26" ht="15.75" customHeight="1" x14ac:dyDescent="0.2">
      <c r="A924" s="12"/>
      <c r="B924" s="10"/>
      <c r="C924" s="11"/>
      <c r="D924" s="13"/>
      <c r="E924" s="13"/>
      <c r="F924" s="13"/>
      <c r="G924" s="2"/>
      <c r="H924" s="2"/>
      <c r="I924" s="13"/>
      <c r="J924" s="13"/>
      <c r="K924" s="13"/>
      <c r="L924" s="14"/>
      <c r="M924" s="4"/>
      <c r="N924" s="2"/>
      <c r="O924" s="4"/>
      <c r="P924" s="2"/>
      <c r="Q924" s="2"/>
      <c r="R924" s="4"/>
      <c r="S924" s="2"/>
      <c r="T924" s="2"/>
      <c r="U924" s="1"/>
      <c r="V924" s="2"/>
      <c r="W924" s="2"/>
      <c r="X924" s="2"/>
      <c r="Y924" s="2"/>
      <c r="Z924" s="2"/>
    </row>
    <row r="925" spans="1:26" ht="15.75" customHeight="1" x14ac:dyDescent="0.2">
      <c r="A925" s="12"/>
      <c r="B925" s="10"/>
      <c r="C925" s="11"/>
      <c r="D925" s="13"/>
      <c r="E925" s="13"/>
      <c r="F925" s="13"/>
      <c r="G925" s="2"/>
      <c r="H925" s="2"/>
      <c r="I925" s="13"/>
      <c r="J925" s="13"/>
      <c r="K925" s="13"/>
      <c r="L925" s="14"/>
      <c r="M925" s="4"/>
      <c r="N925" s="2"/>
      <c r="O925" s="4"/>
      <c r="P925" s="2"/>
      <c r="Q925" s="2"/>
      <c r="R925" s="4"/>
      <c r="S925" s="2"/>
      <c r="T925" s="2"/>
      <c r="U925" s="1"/>
      <c r="V925" s="2"/>
      <c r="W925" s="2"/>
      <c r="X925" s="2"/>
      <c r="Y925" s="2"/>
      <c r="Z925" s="2"/>
    </row>
    <row r="926" spans="1:26" ht="15.75" customHeight="1" x14ac:dyDescent="0.2">
      <c r="A926" s="12"/>
      <c r="B926" s="10"/>
      <c r="C926" s="11"/>
      <c r="D926" s="13"/>
      <c r="E926" s="13"/>
      <c r="F926" s="13"/>
      <c r="G926" s="2"/>
      <c r="H926" s="2"/>
      <c r="I926" s="13"/>
      <c r="J926" s="13"/>
      <c r="K926" s="13"/>
      <c r="L926" s="14"/>
      <c r="M926" s="4"/>
      <c r="N926" s="2"/>
      <c r="O926" s="4"/>
      <c r="P926" s="2"/>
      <c r="Q926" s="2"/>
      <c r="R926" s="4"/>
      <c r="S926" s="2"/>
      <c r="T926" s="2"/>
      <c r="U926" s="1"/>
      <c r="V926" s="2"/>
      <c r="W926" s="2"/>
      <c r="X926" s="2"/>
      <c r="Y926" s="2"/>
      <c r="Z926" s="2"/>
    </row>
    <row r="927" spans="1:26" ht="15.75" customHeight="1" x14ac:dyDescent="0.2">
      <c r="A927" s="12"/>
      <c r="B927" s="10"/>
      <c r="C927" s="11"/>
      <c r="D927" s="13"/>
      <c r="E927" s="13"/>
      <c r="F927" s="13"/>
      <c r="G927" s="2"/>
      <c r="H927" s="2"/>
      <c r="I927" s="13"/>
      <c r="J927" s="13"/>
      <c r="K927" s="13"/>
      <c r="L927" s="14"/>
      <c r="M927" s="4"/>
      <c r="N927" s="2"/>
      <c r="O927" s="4"/>
      <c r="P927" s="2"/>
      <c r="Q927" s="2"/>
      <c r="R927" s="4"/>
      <c r="S927" s="2"/>
      <c r="T927" s="2"/>
      <c r="U927" s="1"/>
      <c r="V927" s="2"/>
      <c r="W927" s="2"/>
      <c r="X927" s="2"/>
      <c r="Y927" s="2"/>
      <c r="Z927" s="2"/>
    </row>
    <row r="928" spans="1:26" ht="15.75" customHeight="1" x14ac:dyDescent="0.2">
      <c r="A928" s="12"/>
      <c r="B928" s="10"/>
      <c r="C928" s="11"/>
      <c r="D928" s="13"/>
      <c r="E928" s="13"/>
      <c r="F928" s="13"/>
      <c r="G928" s="2"/>
      <c r="H928" s="2"/>
      <c r="I928" s="13"/>
      <c r="J928" s="13"/>
      <c r="K928" s="13"/>
      <c r="L928" s="14"/>
      <c r="M928" s="4"/>
      <c r="N928" s="2"/>
      <c r="O928" s="4"/>
      <c r="P928" s="2"/>
      <c r="Q928" s="2"/>
      <c r="R928" s="4"/>
      <c r="S928" s="2"/>
      <c r="T928" s="2"/>
      <c r="U928" s="1"/>
      <c r="V928" s="2"/>
      <c r="W928" s="2"/>
      <c r="X928" s="2"/>
      <c r="Y928" s="2"/>
      <c r="Z928" s="2"/>
    </row>
    <row r="929" spans="1:26" ht="15.75" customHeight="1" x14ac:dyDescent="0.2">
      <c r="A929" s="12"/>
      <c r="B929" s="10"/>
      <c r="C929" s="11"/>
      <c r="D929" s="13"/>
      <c r="E929" s="13"/>
      <c r="F929" s="13"/>
      <c r="G929" s="2"/>
      <c r="H929" s="2"/>
      <c r="I929" s="13"/>
      <c r="J929" s="13"/>
      <c r="K929" s="13"/>
      <c r="L929" s="14"/>
      <c r="M929" s="4"/>
      <c r="N929" s="2"/>
      <c r="O929" s="4"/>
      <c r="P929" s="2"/>
      <c r="Q929" s="2"/>
      <c r="R929" s="4"/>
      <c r="S929" s="2"/>
      <c r="T929" s="2"/>
      <c r="U929" s="1"/>
      <c r="V929" s="2"/>
      <c r="W929" s="2"/>
      <c r="X929" s="2"/>
      <c r="Y929" s="2"/>
      <c r="Z929" s="2"/>
    </row>
    <row r="930" spans="1:26" ht="15.75" customHeight="1" x14ac:dyDescent="0.2">
      <c r="A930" s="12"/>
      <c r="B930" s="10"/>
      <c r="C930" s="11"/>
      <c r="D930" s="13"/>
      <c r="E930" s="13"/>
      <c r="F930" s="13"/>
      <c r="G930" s="2"/>
      <c r="H930" s="2"/>
      <c r="I930" s="13"/>
      <c r="J930" s="13"/>
      <c r="K930" s="13"/>
      <c r="L930" s="14"/>
      <c r="M930" s="4"/>
      <c r="N930" s="2"/>
      <c r="O930" s="4"/>
      <c r="P930" s="2"/>
      <c r="Q930" s="2"/>
      <c r="R930" s="4"/>
      <c r="S930" s="2"/>
      <c r="T930" s="2"/>
      <c r="U930" s="1"/>
      <c r="V930" s="2"/>
      <c r="W930" s="2"/>
      <c r="X930" s="2"/>
      <c r="Y930" s="2"/>
      <c r="Z930" s="2"/>
    </row>
    <row r="931" spans="1:26" ht="15.75" customHeight="1" x14ac:dyDescent="0.2">
      <c r="A931" s="12"/>
      <c r="B931" s="10"/>
      <c r="C931" s="11"/>
      <c r="D931" s="13"/>
      <c r="E931" s="13"/>
      <c r="F931" s="13"/>
      <c r="G931" s="2"/>
      <c r="H931" s="2"/>
      <c r="I931" s="13"/>
      <c r="J931" s="13"/>
      <c r="K931" s="13"/>
      <c r="L931" s="14"/>
      <c r="M931" s="4"/>
      <c r="N931" s="2"/>
      <c r="O931" s="4"/>
      <c r="P931" s="2"/>
      <c r="Q931" s="2"/>
      <c r="R931" s="4"/>
      <c r="S931" s="2"/>
      <c r="T931" s="2"/>
      <c r="U931" s="1"/>
      <c r="V931" s="2"/>
      <c r="W931" s="2"/>
      <c r="X931" s="2"/>
      <c r="Y931" s="2"/>
      <c r="Z931" s="2"/>
    </row>
    <row r="932" spans="1:26" ht="15.75" customHeight="1" x14ac:dyDescent="0.2">
      <c r="A932" s="12"/>
      <c r="B932" s="10"/>
      <c r="C932" s="11"/>
      <c r="D932" s="13"/>
      <c r="E932" s="13"/>
      <c r="F932" s="13"/>
      <c r="G932" s="2"/>
      <c r="H932" s="2"/>
      <c r="I932" s="13"/>
      <c r="J932" s="13"/>
      <c r="K932" s="13"/>
      <c r="L932" s="14"/>
      <c r="M932" s="4"/>
      <c r="N932" s="2"/>
      <c r="O932" s="4"/>
      <c r="P932" s="2"/>
      <c r="Q932" s="2"/>
      <c r="R932" s="4"/>
      <c r="S932" s="2"/>
      <c r="T932" s="2"/>
      <c r="U932" s="1"/>
      <c r="V932" s="2"/>
      <c r="W932" s="2"/>
      <c r="X932" s="2"/>
      <c r="Y932" s="2"/>
      <c r="Z932" s="2"/>
    </row>
    <row r="933" spans="1:26" ht="15.75" customHeight="1" x14ac:dyDescent="0.2">
      <c r="A933" s="12"/>
      <c r="B933" s="10"/>
      <c r="C933" s="11"/>
      <c r="D933" s="13"/>
      <c r="E933" s="13"/>
      <c r="F933" s="13"/>
      <c r="G933" s="2"/>
      <c r="H933" s="2"/>
      <c r="I933" s="13"/>
      <c r="J933" s="13"/>
      <c r="K933" s="13"/>
      <c r="L933" s="14"/>
      <c r="M933" s="4"/>
      <c r="N933" s="2"/>
      <c r="O933" s="4"/>
      <c r="P933" s="2"/>
      <c r="Q933" s="2"/>
      <c r="R933" s="4"/>
      <c r="S933" s="2"/>
      <c r="T933" s="2"/>
      <c r="U933" s="1"/>
      <c r="V933" s="2"/>
      <c r="W933" s="2"/>
      <c r="X933" s="2"/>
      <c r="Y933" s="2"/>
      <c r="Z933" s="2"/>
    </row>
    <row r="934" spans="1:26" ht="15.75" customHeight="1" x14ac:dyDescent="0.2">
      <c r="A934" s="12"/>
      <c r="B934" s="10"/>
      <c r="C934" s="11"/>
      <c r="D934" s="13"/>
      <c r="E934" s="13"/>
      <c r="F934" s="13"/>
      <c r="G934" s="2"/>
      <c r="H934" s="2"/>
      <c r="I934" s="13"/>
      <c r="J934" s="13"/>
      <c r="K934" s="13"/>
      <c r="L934" s="14"/>
      <c r="M934" s="4"/>
      <c r="N934" s="2"/>
      <c r="O934" s="4"/>
      <c r="P934" s="2"/>
      <c r="Q934" s="2"/>
      <c r="R934" s="4"/>
      <c r="S934" s="2"/>
      <c r="T934" s="2"/>
      <c r="U934" s="1"/>
      <c r="V934" s="2"/>
      <c r="W934" s="2"/>
      <c r="X934" s="2"/>
      <c r="Y934" s="2"/>
      <c r="Z934" s="2"/>
    </row>
    <row r="935" spans="1:26" ht="15.75" customHeight="1" x14ac:dyDescent="0.2">
      <c r="A935" s="12"/>
      <c r="B935" s="10"/>
      <c r="C935" s="11"/>
      <c r="D935" s="13"/>
      <c r="E935" s="13"/>
      <c r="F935" s="13"/>
      <c r="G935" s="2"/>
      <c r="H935" s="2"/>
      <c r="I935" s="13"/>
      <c r="J935" s="13"/>
      <c r="K935" s="13"/>
      <c r="L935" s="14"/>
      <c r="M935" s="4"/>
      <c r="N935" s="2"/>
      <c r="O935" s="4"/>
      <c r="P935" s="2"/>
      <c r="Q935" s="2"/>
      <c r="R935" s="4"/>
      <c r="S935" s="2"/>
      <c r="T935" s="2"/>
      <c r="U935" s="1"/>
      <c r="V935" s="2"/>
      <c r="W935" s="2"/>
      <c r="X935" s="2"/>
      <c r="Y935" s="2"/>
      <c r="Z935" s="2"/>
    </row>
    <row r="936" spans="1:26" ht="15.75" customHeight="1" x14ac:dyDescent="0.2">
      <c r="A936" s="12"/>
      <c r="B936" s="10"/>
      <c r="C936" s="11"/>
      <c r="D936" s="13"/>
      <c r="E936" s="13"/>
      <c r="F936" s="13"/>
      <c r="G936" s="2"/>
      <c r="H936" s="2"/>
      <c r="I936" s="13"/>
      <c r="J936" s="13"/>
      <c r="K936" s="13"/>
      <c r="L936" s="14"/>
      <c r="M936" s="4"/>
      <c r="N936" s="2"/>
      <c r="O936" s="4"/>
      <c r="P936" s="2"/>
      <c r="Q936" s="2"/>
      <c r="R936" s="4"/>
      <c r="S936" s="2"/>
      <c r="T936" s="2"/>
      <c r="U936" s="1"/>
      <c r="V936" s="2"/>
      <c r="W936" s="2"/>
      <c r="X936" s="2"/>
      <c r="Y936" s="2"/>
      <c r="Z936" s="2"/>
    </row>
    <row r="937" spans="1:26" ht="15.75" customHeight="1" x14ac:dyDescent="0.2">
      <c r="A937" s="12"/>
      <c r="B937" s="10"/>
      <c r="C937" s="11"/>
      <c r="D937" s="13"/>
      <c r="E937" s="13"/>
      <c r="F937" s="13"/>
      <c r="G937" s="2"/>
      <c r="H937" s="2"/>
      <c r="I937" s="13"/>
      <c r="J937" s="13"/>
      <c r="K937" s="13"/>
      <c r="L937" s="14"/>
      <c r="M937" s="4"/>
      <c r="N937" s="2"/>
      <c r="O937" s="4"/>
      <c r="P937" s="2"/>
      <c r="Q937" s="2"/>
      <c r="R937" s="4"/>
      <c r="S937" s="2"/>
      <c r="T937" s="2"/>
      <c r="U937" s="1"/>
      <c r="V937" s="2"/>
      <c r="W937" s="2"/>
      <c r="X937" s="2"/>
      <c r="Y937" s="2"/>
      <c r="Z937" s="2"/>
    </row>
    <row r="938" spans="1:26" ht="15.75" customHeight="1" x14ac:dyDescent="0.2">
      <c r="A938" s="12"/>
      <c r="B938" s="10"/>
      <c r="C938" s="11"/>
      <c r="D938" s="13"/>
      <c r="E938" s="13"/>
      <c r="F938" s="13"/>
      <c r="G938" s="2"/>
      <c r="H938" s="2"/>
      <c r="I938" s="13"/>
      <c r="J938" s="13"/>
      <c r="K938" s="13"/>
      <c r="L938" s="14"/>
      <c r="M938" s="4"/>
      <c r="N938" s="2"/>
      <c r="O938" s="4"/>
      <c r="P938" s="2"/>
      <c r="Q938" s="2"/>
      <c r="R938" s="4"/>
      <c r="S938" s="2"/>
      <c r="T938" s="2"/>
      <c r="U938" s="1"/>
      <c r="V938" s="2"/>
      <c r="W938" s="2"/>
      <c r="X938" s="2"/>
      <c r="Y938" s="2"/>
      <c r="Z938" s="2"/>
    </row>
    <row r="939" spans="1:26" ht="15.75" customHeight="1" x14ac:dyDescent="0.2">
      <c r="A939" s="12"/>
      <c r="B939" s="10"/>
      <c r="C939" s="11"/>
      <c r="D939" s="13"/>
      <c r="E939" s="13"/>
      <c r="F939" s="13"/>
      <c r="G939" s="2"/>
      <c r="H939" s="2"/>
      <c r="I939" s="13"/>
      <c r="J939" s="13"/>
      <c r="K939" s="13"/>
      <c r="L939" s="14"/>
      <c r="M939" s="4"/>
      <c r="N939" s="2"/>
      <c r="O939" s="4"/>
      <c r="P939" s="2"/>
      <c r="Q939" s="2"/>
      <c r="R939" s="4"/>
      <c r="S939" s="2"/>
      <c r="T939" s="2"/>
      <c r="U939" s="1"/>
      <c r="V939" s="2"/>
      <c r="W939" s="2"/>
      <c r="X939" s="2"/>
      <c r="Y939" s="2"/>
      <c r="Z939" s="2"/>
    </row>
    <row r="940" spans="1:26" ht="15.75" customHeight="1" x14ac:dyDescent="0.2">
      <c r="A940" s="12"/>
      <c r="B940" s="10"/>
      <c r="C940" s="11"/>
      <c r="D940" s="13"/>
      <c r="E940" s="13"/>
      <c r="F940" s="13"/>
      <c r="G940" s="2"/>
      <c r="H940" s="2"/>
      <c r="I940" s="13"/>
      <c r="J940" s="13"/>
      <c r="K940" s="13"/>
      <c r="L940" s="14"/>
      <c r="M940" s="4"/>
      <c r="N940" s="2"/>
      <c r="O940" s="4"/>
      <c r="P940" s="2"/>
      <c r="Q940" s="2"/>
      <c r="R940" s="4"/>
      <c r="S940" s="2"/>
      <c r="T940" s="2"/>
      <c r="U940" s="1"/>
      <c r="V940" s="2"/>
      <c r="W940" s="2"/>
      <c r="X940" s="2"/>
      <c r="Y940" s="2"/>
      <c r="Z940" s="2"/>
    </row>
    <row r="941" spans="1:26" ht="15.75" customHeight="1" x14ac:dyDescent="0.2">
      <c r="A941" s="12"/>
      <c r="B941" s="10"/>
      <c r="C941" s="11"/>
      <c r="D941" s="13"/>
      <c r="E941" s="13"/>
      <c r="F941" s="13"/>
      <c r="G941" s="2"/>
      <c r="H941" s="2"/>
      <c r="I941" s="13"/>
      <c r="J941" s="13"/>
      <c r="K941" s="13"/>
      <c r="L941" s="14"/>
      <c r="M941" s="4"/>
      <c r="N941" s="2"/>
      <c r="O941" s="4"/>
      <c r="P941" s="2"/>
      <c r="Q941" s="2"/>
      <c r="R941" s="4"/>
      <c r="S941" s="2"/>
      <c r="T941" s="2"/>
      <c r="U941" s="1"/>
      <c r="V941" s="2"/>
      <c r="W941" s="2"/>
      <c r="X941" s="2"/>
      <c r="Y941" s="2"/>
      <c r="Z941" s="2"/>
    </row>
    <row r="942" spans="1:26" ht="15.75" customHeight="1" x14ac:dyDescent="0.2">
      <c r="A942" s="12"/>
      <c r="B942" s="10"/>
      <c r="C942" s="11"/>
      <c r="D942" s="13"/>
      <c r="E942" s="13"/>
      <c r="F942" s="13"/>
      <c r="G942" s="2"/>
      <c r="H942" s="2"/>
      <c r="I942" s="13"/>
      <c r="J942" s="13"/>
      <c r="K942" s="13"/>
      <c r="L942" s="14"/>
      <c r="M942" s="4"/>
      <c r="N942" s="2"/>
      <c r="O942" s="4"/>
      <c r="P942" s="2"/>
      <c r="Q942" s="2"/>
      <c r="R942" s="4"/>
      <c r="S942" s="2"/>
      <c r="T942" s="2"/>
      <c r="U942" s="1"/>
      <c r="V942" s="2"/>
      <c r="W942" s="2"/>
      <c r="X942" s="2"/>
      <c r="Y942" s="2"/>
      <c r="Z942" s="2"/>
    </row>
    <row r="943" spans="1:26" ht="15.75" customHeight="1" x14ac:dyDescent="0.2">
      <c r="A943" s="12"/>
      <c r="B943" s="10"/>
      <c r="C943" s="11"/>
      <c r="D943" s="13"/>
      <c r="E943" s="13"/>
      <c r="F943" s="13"/>
      <c r="G943" s="2"/>
      <c r="H943" s="2"/>
      <c r="I943" s="13"/>
      <c r="J943" s="13"/>
      <c r="K943" s="13"/>
      <c r="L943" s="14"/>
      <c r="M943" s="4"/>
      <c r="N943" s="2"/>
      <c r="O943" s="4"/>
      <c r="P943" s="2"/>
      <c r="Q943" s="2"/>
      <c r="R943" s="4"/>
      <c r="S943" s="2"/>
      <c r="T943" s="2"/>
      <c r="U943" s="1"/>
      <c r="V943" s="2"/>
      <c r="W943" s="2"/>
      <c r="X943" s="2"/>
      <c r="Y943" s="2"/>
      <c r="Z943" s="2"/>
    </row>
    <row r="944" spans="1:26" ht="15.75" customHeight="1" x14ac:dyDescent="0.2">
      <c r="A944" s="12"/>
      <c r="B944" s="10"/>
      <c r="C944" s="11"/>
      <c r="D944" s="13"/>
      <c r="E944" s="13"/>
      <c r="F944" s="13"/>
      <c r="G944" s="2"/>
      <c r="H944" s="2"/>
      <c r="I944" s="13"/>
      <c r="J944" s="13"/>
      <c r="K944" s="13"/>
      <c r="L944" s="14"/>
      <c r="M944" s="4"/>
      <c r="N944" s="2"/>
      <c r="O944" s="4"/>
      <c r="P944" s="2"/>
      <c r="Q944" s="2"/>
      <c r="R944" s="4"/>
      <c r="S944" s="2"/>
      <c r="T944" s="2"/>
      <c r="U944" s="1"/>
      <c r="V944" s="2"/>
      <c r="W944" s="2"/>
      <c r="X944" s="2"/>
      <c r="Y944" s="2"/>
      <c r="Z944" s="2"/>
    </row>
    <row r="945" spans="1:26" ht="15.75" customHeight="1" x14ac:dyDescent="0.2">
      <c r="A945" s="12"/>
      <c r="B945" s="10"/>
      <c r="C945" s="11"/>
      <c r="D945" s="13"/>
      <c r="E945" s="13"/>
      <c r="F945" s="13"/>
      <c r="G945" s="2"/>
      <c r="H945" s="2"/>
      <c r="I945" s="13"/>
      <c r="J945" s="13"/>
      <c r="K945" s="13"/>
      <c r="L945" s="14"/>
      <c r="M945" s="4"/>
      <c r="N945" s="2"/>
      <c r="O945" s="4"/>
      <c r="P945" s="2"/>
      <c r="Q945" s="2"/>
      <c r="R945" s="4"/>
      <c r="S945" s="2"/>
      <c r="T945" s="2"/>
      <c r="U945" s="1"/>
      <c r="V945" s="2"/>
      <c r="W945" s="2"/>
      <c r="X945" s="2"/>
      <c r="Y945" s="2"/>
      <c r="Z945" s="2"/>
    </row>
    <row r="946" spans="1:26" ht="15.75" customHeight="1" x14ac:dyDescent="0.2">
      <c r="A946" s="12"/>
      <c r="B946" s="10"/>
      <c r="C946" s="11"/>
      <c r="D946" s="13"/>
      <c r="E946" s="13"/>
      <c r="F946" s="13"/>
      <c r="G946" s="2"/>
      <c r="H946" s="2"/>
      <c r="I946" s="13"/>
      <c r="J946" s="13"/>
      <c r="K946" s="13"/>
      <c r="L946" s="14"/>
      <c r="M946" s="4"/>
      <c r="N946" s="2"/>
      <c r="O946" s="4"/>
      <c r="P946" s="2"/>
      <c r="Q946" s="2"/>
      <c r="R946" s="4"/>
      <c r="S946" s="2"/>
      <c r="T946" s="2"/>
      <c r="U946" s="1"/>
      <c r="V946" s="2"/>
      <c r="W946" s="2"/>
      <c r="X946" s="2"/>
      <c r="Y946" s="2"/>
      <c r="Z946" s="2"/>
    </row>
    <row r="947" spans="1:26" ht="15.75" customHeight="1" x14ac:dyDescent="0.2">
      <c r="A947" s="12"/>
      <c r="B947" s="10"/>
      <c r="C947" s="11"/>
      <c r="D947" s="13"/>
      <c r="E947" s="13"/>
      <c r="F947" s="13"/>
      <c r="G947" s="2"/>
      <c r="H947" s="2"/>
      <c r="I947" s="13"/>
      <c r="J947" s="13"/>
      <c r="K947" s="13"/>
      <c r="L947" s="14"/>
      <c r="M947" s="4"/>
      <c r="N947" s="2"/>
      <c r="O947" s="4"/>
      <c r="P947" s="2"/>
      <c r="Q947" s="2"/>
      <c r="R947" s="4"/>
      <c r="S947" s="2"/>
      <c r="T947" s="2"/>
      <c r="U947" s="1"/>
      <c r="V947" s="2"/>
      <c r="W947" s="2"/>
      <c r="X947" s="2"/>
      <c r="Y947" s="2"/>
      <c r="Z947" s="2"/>
    </row>
    <row r="948" spans="1:26" ht="15.75" customHeight="1" x14ac:dyDescent="0.2">
      <c r="A948" s="12"/>
      <c r="B948" s="10"/>
      <c r="C948" s="11"/>
      <c r="D948" s="13"/>
      <c r="E948" s="13"/>
      <c r="F948" s="13"/>
      <c r="G948" s="2"/>
      <c r="H948" s="2"/>
      <c r="I948" s="13"/>
      <c r="J948" s="13"/>
      <c r="K948" s="13"/>
      <c r="L948" s="14"/>
      <c r="M948" s="4"/>
      <c r="N948" s="2"/>
      <c r="O948" s="4"/>
      <c r="P948" s="2"/>
      <c r="Q948" s="2"/>
      <c r="R948" s="4"/>
      <c r="S948" s="2"/>
      <c r="T948" s="2"/>
      <c r="U948" s="1"/>
      <c r="V948" s="2"/>
      <c r="W948" s="2"/>
      <c r="X948" s="2"/>
      <c r="Y948" s="2"/>
      <c r="Z948" s="2"/>
    </row>
    <row r="949" spans="1:26" ht="15.75" customHeight="1" x14ac:dyDescent="0.2">
      <c r="A949" s="12"/>
      <c r="B949" s="10"/>
      <c r="C949" s="11"/>
      <c r="D949" s="13"/>
      <c r="E949" s="13"/>
      <c r="F949" s="13"/>
      <c r="G949" s="2"/>
      <c r="H949" s="2"/>
      <c r="I949" s="13"/>
      <c r="J949" s="13"/>
      <c r="K949" s="13"/>
      <c r="L949" s="14"/>
      <c r="M949" s="4"/>
      <c r="N949" s="2"/>
      <c r="O949" s="4"/>
      <c r="P949" s="2"/>
      <c r="Q949" s="2"/>
      <c r="R949" s="4"/>
      <c r="S949" s="2"/>
      <c r="T949" s="2"/>
      <c r="U949" s="1"/>
      <c r="V949" s="2"/>
      <c r="W949" s="2"/>
      <c r="X949" s="2"/>
      <c r="Y949" s="2"/>
      <c r="Z949" s="2"/>
    </row>
    <row r="950" spans="1:26" ht="15.75" customHeight="1" x14ac:dyDescent="0.2">
      <c r="A950" s="12"/>
      <c r="B950" s="10"/>
      <c r="C950" s="11"/>
      <c r="D950" s="13"/>
      <c r="E950" s="13"/>
      <c r="F950" s="13"/>
      <c r="G950" s="2"/>
      <c r="H950" s="2"/>
      <c r="I950" s="13"/>
      <c r="J950" s="13"/>
      <c r="K950" s="13"/>
      <c r="L950" s="14"/>
      <c r="M950" s="4"/>
      <c r="N950" s="2"/>
      <c r="O950" s="4"/>
      <c r="P950" s="2"/>
      <c r="Q950" s="2"/>
      <c r="R950" s="4"/>
      <c r="S950" s="2"/>
      <c r="T950" s="2"/>
      <c r="U950" s="1"/>
      <c r="V950" s="2"/>
      <c r="W950" s="2"/>
      <c r="X950" s="2"/>
      <c r="Y950" s="2"/>
      <c r="Z950" s="2"/>
    </row>
    <row r="951" spans="1:26" ht="15.75" customHeight="1" x14ac:dyDescent="0.2">
      <c r="A951" s="12"/>
      <c r="B951" s="10"/>
      <c r="C951" s="11"/>
      <c r="D951" s="13"/>
      <c r="E951" s="13"/>
      <c r="F951" s="13"/>
      <c r="G951" s="2"/>
      <c r="H951" s="2"/>
      <c r="I951" s="13"/>
      <c r="J951" s="13"/>
      <c r="K951" s="13"/>
      <c r="L951" s="14"/>
      <c r="M951" s="4"/>
      <c r="N951" s="2"/>
      <c r="O951" s="4"/>
      <c r="P951" s="2"/>
      <c r="Q951" s="2"/>
      <c r="R951" s="4"/>
      <c r="S951" s="2"/>
      <c r="T951" s="2"/>
      <c r="U951" s="1"/>
      <c r="V951" s="2"/>
      <c r="W951" s="2"/>
      <c r="X951" s="2"/>
      <c r="Y951" s="2"/>
      <c r="Z951" s="2"/>
    </row>
    <row r="952" spans="1:26" ht="15.75" customHeight="1" x14ac:dyDescent="0.2">
      <c r="A952" s="12"/>
      <c r="B952" s="10"/>
      <c r="C952" s="11"/>
      <c r="D952" s="13"/>
      <c r="E952" s="13"/>
      <c r="F952" s="13"/>
      <c r="G952" s="2"/>
      <c r="H952" s="2"/>
      <c r="I952" s="13"/>
      <c r="J952" s="13"/>
      <c r="K952" s="13"/>
      <c r="L952" s="14"/>
      <c r="M952" s="4"/>
      <c r="N952" s="2"/>
      <c r="O952" s="4"/>
      <c r="P952" s="2"/>
      <c r="Q952" s="2"/>
      <c r="R952" s="4"/>
      <c r="S952" s="2"/>
      <c r="T952" s="2"/>
      <c r="U952" s="1"/>
      <c r="V952" s="2"/>
      <c r="W952" s="2"/>
      <c r="X952" s="2"/>
      <c r="Y952" s="2"/>
      <c r="Z952" s="2"/>
    </row>
    <row r="953" spans="1:26" ht="15.75" customHeight="1" x14ac:dyDescent="0.2">
      <c r="A953" s="12"/>
      <c r="B953" s="10"/>
      <c r="C953" s="11"/>
      <c r="D953" s="13"/>
      <c r="E953" s="13"/>
      <c r="F953" s="13"/>
      <c r="G953" s="2"/>
      <c r="H953" s="2"/>
      <c r="I953" s="13"/>
      <c r="J953" s="13"/>
      <c r="K953" s="13"/>
      <c r="L953" s="14"/>
      <c r="M953" s="4"/>
      <c r="N953" s="2"/>
      <c r="O953" s="4"/>
      <c r="P953" s="2"/>
      <c r="Q953" s="2"/>
      <c r="R953" s="4"/>
      <c r="S953" s="2"/>
      <c r="T953" s="2"/>
      <c r="U953" s="1"/>
      <c r="V953" s="2"/>
      <c r="W953" s="2"/>
      <c r="X953" s="2"/>
      <c r="Y953" s="2"/>
      <c r="Z953" s="2"/>
    </row>
    <row r="954" spans="1:26" ht="15.75" customHeight="1" x14ac:dyDescent="0.2">
      <c r="A954" s="12"/>
      <c r="B954" s="10"/>
      <c r="C954" s="11"/>
      <c r="D954" s="13"/>
      <c r="E954" s="13"/>
      <c r="F954" s="13"/>
      <c r="G954" s="2"/>
      <c r="H954" s="2"/>
      <c r="I954" s="13"/>
      <c r="J954" s="13"/>
      <c r="K954" s="13"/>
      <c r="L954" s="14"/>
      <c r="M954" s="4"/>
      <c r="N954" s="2"/>
      <c r="O954" s="4"/>
      <c r="P954" s="2"/>
      <c r="Q954" s="2"/>
      <c r="R954" s="4"/>
      <c r="S954" s="2"/>
      <c r="T954" s="2"/>
      <c r="U954" s="1"/>
      <c r="V954" s="2"/>
      <c r="W954" s="2"/>
      <c r="X954" s="2"/>
      <c r="Y954" s="2"/>
      <c r="Z954" s="2"/>
    </row>
    <row r="955" spans="1:26" ht="15.75" customHeight="1" x14ac:dyDescent="0.2">
      <c r="A955" s="12"/>
      <c r="B955" s="10"/>
      <c r="C955" s="11"/>
      <c r="D955" s="13"/>
      <c r="E955" s="13"/>
      <c r="F955" s="13"/>
      <c r="G955" s="2"/>
      <c r="H955" s="2"/>
      <c r="I955" s="13"/>
      <c r="J955" s="13"/>
      <c r="K955" s="13"/>
      <c r="L955" s="14"/>
      <c r="M955" s="4"/>
      <c r="N955" s="2"/>
      <c r="O955" s="4"/>
      <c r="P955" s="2"/>
      <c r="Q955" s="2"/>
      <c r="R955" s="4"/>
      <c r="S955" s="2"/>
      <c r="T955" s="2"/>
      <c r="U955" s="1"/>
      <c r="V955" s="2"/>
      <c r="W955" s="2"/>
      <c r="X955" s="2"/>
      <c r="Y955" s="2"/>
      <c r="Z955" s="2"/>
    </row>
    <row r="956" spans="1:26" ht="15.75" customHeight="1" x14ac:dyDescent="0.2">
      <c r="A956" s="12"/>
      <c r="B956" s="10"/>
      <c r="C956" s="11"/>
      <c r="D956" s="13"/>
      <c r="E956" s="13"/>
      <c r="F956" s="13"/>
      <c r="G956" s="2"/>
      <c r="H956" s="2"/>
      <c r="I956" s="13"/>
      <c r="J956" s="13"/>
      <c r="K956" s="13"/>
      <c r="L956" s="14"/>
      <c r="M956" s="4"/>
      <c r="N956" s="2"/>
      <c r="O956" s="4"/>
      <c r="P956" s="2"/>
      <c r="Q956" s="2"/>
      <c r="R956" s="4"/>
      <c r="S956" s="2"/>
      <c r="T956" s="2"/>
      <c r="U956" s="1"/>
      <c r="V956" s="2"/>
      <c r="W956" s="2"/>
      <c r="X956" s="2"/>
      <c r="Y956" s="2"/>
      <c r="Z956" s="2"/>
    </row>
    <row r="957" spans="1:26" ht="15.75" customHeight="1" x14ac:dyDescent="0.2">
      <c r="A957" s="12"/>
      <c r="B957" s="10"/>
      <c r="C957" s="11"/>
      <c r="D957" s="13"/>
      <c r="E957" s="13"/>
      <c r="F957" s="13"/>
      <c r="G957" s="2"/>
      <c r="H957" s="2"/>
      <c r="I957" s="13"/>
      <c r="J957" s="13"/>
      <c r="K957" s="13"/>
      <c r="L957" s="14"/>
      <c r="M957" s="4"/>
      <c r="N957" s="2"/>
      <c r="O957" s="4"/>
      <c r="P957" s="2"/>
      <c r="Q957" s="2"/>
      <c r="R957" s="4"/>
      <c r="S957" s="2"/>
      <c r="T957" s="2"/>
      <c r="U957" s="1"/>
      <c r="V957" s="2"/>
      <c r="W957" s="2"/>
      <c r="X957" s="2"/>
      <c r="Y957" s="2"/>
      <c r="Z957" s="2"/>
    </row>
    <row r="958" spans="1:26" ht="15.75" customHeight="1" x14ac:dyDescent="0.2">
      <c r="A958" s="12"/>
      <c r="B958" s="10"/>
      <c r="C958" s="11"/>
      <c r="D958" s="13"/>
      <c r="E958" s="13"/>
      <c r="F958" s="13"/>
      <c r="G958" s="2"/>
      <c r="H958" s="2"/>
      <c r="I958" s="13"/>
      <c r="J958" s="13"/>
      <c r="K958" s="13"/>
      <c r="L958" s="14"/>
      <c r="M958" s="4"/>
      <c r="N958" s="2"/>
      <c r="O958" s="4"/>
      <c r="P958" s="2"/>
      <c r="Q958" s="2"/>
      <c r="R958" s="4"/>
      <c r="S958" s="2"/>
      <c r="T958" s="2"/>
      <c r="U958" s="1"/>
      <c r="V958" s="2"/>
      <c r="W958" s="2"/>
      <c r="X958" s="2"/>
      <c r="Y958" s="2"/>
      <c r="Z958" s="2"/>
    </row>
    <row r="959" spans="1:26" ht="15.75" customHeight="1" x14ac:dyDescent="0.2">
      <c r="A959" s="12"/>
      <c r="B959" s="10"/>
      <c r="C959" s="11"/>
      <c r="D959" s="13"/>
      <c r="E959" s="13"/>
      <c r="F959" s="13"/>
      <c r="G959" s="2"/>
      <c r="H959" s="2"/>
      <c r="I959" s="13"/>
      <c r="J959" s="13"/>
      <c r="K959" s="13"/>
      <c r="L959" s="14"/>
      <c r="M959" s="4"/>
      <c r="N959" s="2"/>
      <c r="O959" s="4"/>
      <c r="P959" s="2"/>
      <c r="Q959" s="2"/>
      <c r="R959" s="4"/>
      <c r="S959" s="2"/>
      <c r="T959" s="2"/>
      <c r="U959" s="1"/>
      <c r="V959" s="2"/>
      <c r="W959" s="2"/>
      <c r="X959" s="2"/>
      <c r="Y959" s="2"/>
      <c r="Z959" s="2"/>
    </row>
    <row r="960" spans="1:26" ht="15.75" customHeight="1" x14ac:dyDescent="0.2">
      <c r="A960" s="12"/>
      <c r="B960" s="10"/>
      <c r="C960" s="11"/>
      <c r="D960" s="13"/>
      <c r="E960" s="13"/>
      <c r="F960" s="13"/>
      <c r="G960" s="2"/>
      <c r="H960" s="2"/>
      <c r="I960" s="13"/>
      <c r="J960" s="13"/>
      <c r="K960" s="13"/>
      <c r="L960" s="14"/>
      <c r="M960" s="4"/>
      <c r="N960" s="2"/>
      <c r="O960" s="4"/>
      <c r="P960" s="2"/>
      <c r="Q960" s="2"/>
      <c r="R960" s="4"/>
      <c r="S960" s="2"/>
      <c r="T960" s="2"/>
      <c r="U960" s="1"/>
      <c r="V960" s="2"/>
      <c r="W960" s="2"/>
      <c r="X960" s="2"/>
      <c r="Y960" s="2"/>
      <c r="Z960" s="2"/>
    </row>
    <row r="961" spans="1:26" ht="15.75" customHeight="1" x14ac:dyDescent="0.2">
      <c r="A961" s="12"/>
      <c r="B961" s="10"/>
      <c r="C961" s="11"/>
      <c r="D961" s="13"/>
      <c r="E961" s="13"/>
      <c r="F961" s="13"/>
      <c r="G961" s="2"/>
      <c r="H961" s="2"/>
      <c r="I961" s="13"/>
      <c r="J961" s="13"/>
      <c r="K961" s="13"/>
      <c r="L961" s="14"/>
      <c r="M961" s="4"/>
      <c r="N961" s="2"/>
      <c r="O961" s="4"/>
      <c r="P961" s="2"/>
      <c r="Q961" s="2"/>
      <c r="R961" s="4"/>
      <c r="S961" s="2"/>
      <c r="T961" s="2"/>
      <c r="U961" s="1"/>
      <c r="V961" s="2"/>
      <c r="W961" s="2"/>
      <c r="X961" s="2"/>
      <c r="Y961" s="2"/>
      <c r="Z961" s="2"/>
    </row>
    <row r="962" spans="1:26" ht="15.75" customHeight="1" x14ac:dyDescent="0.2">
      <c r="A962" s="12"/>
      <c r="B962" s="10"/>
      <c r="C962" s="11"/>
      <c r="D962" s="13"/>
      <c r="E962" s="13"/>
      <c r="F962" s="13"/>
      <c r="G962" s="2"/>
      <c r="H962" s="2"/>
      <c r="I962" s="13"/>
      <c r="J962" s="13"/>
      <c r="K962" s="13"/>
      <c r="L962" s="14"/>
      <c r="M962" s="4"/>
      <c r="N962" s="2"/>
      <c r="O962" s="4"/>
      <c r="P962" s="2"/>
      <c r="Q962" s="2"/>
      <c r="R962" s="4"/>
      <c r="S962" s="2"/>
      <c r="T962" s="2"/>
      <c r="U962" s="1"/>
      <c r="V962" s="2"/>
      <c r="W962" s="2"/>
      <c r="X962" s="2"/>
      <c r="Y962" s="2"/>
      <c r="Z962" s="2"/>
    </row>
    <row r="963" spans="1:26" ht="15.75" customHeight="1" x14ac:dyDescent="0.2">
      <c r="A963" s="12"/>
      <c r="B963" s="10"/>
      <c r="C963" s="11"/>
      <c r="D963" s="13"/>
      <c r="E963" s="13"/>
      <c r="F963" s="13"/>
      <c r="G963" s="2"/>
      <c r="H963" s="2"/>
      <c r="I963" s="13"/>
      <c r="J963" s="13"/>
      <c r="K963" s="13"/>
      <c r="L963" s="14"/>
      <c r="M963" s="4"/>
      <c r="N963" s="2"/>
      <c r="O963" s="4"/>
      <c r="P963" s="2"/>
      <c r="Q963" s="2"/>
      <c r="R963" s="4"/>
      <c r="S963" s="2"/>
      <c r="T963" s="2"/>
      <c r="U963" s="1"/>
      <c r="V963" s="2"/>
      <c r="W963" s="2"/>
      <c r="X963" s="2"/>
      <c r="Y963" s="2"/>
      <c r="Z963" s="2"/>
    </row>
    <row r="964" spans="1:26" ht="15.75" customHeight="1" x14ac:dyDescent="0.2">
      <c r="A964" s="12"/>
      <c r="B964" s="10"/>
      <c r="C964" s="11"/>
      <c r="D964" s="13"/>
      <c r="E964" s="13"/>
      <c r="F964" s="13"/>
      <c r="G964" s="2"/>
      <c r="H964" s="2"/>
      <c r="I964" s="13"/>
      <c r="J964" s="13"/>
      <c r="K964" s="13"/>
      <c r="L964" s="14"/>
      <c r="M964" s="4"/>
      <c r="N964" s="2"/>
      <c r="O964" s="4"/>
      <c r="P964" s="2"/>
      <c r="Q964" s="2"/>
      <c r="R964" s="4"/>
      <c r="S964" s="2"/>
      <c r="T964" s="2"/>
      <c r="U964" s="1"/>
      <c r="V964" s="2"/>
      <c r="W964" s="2"/>
      <c r="X964" s="2"/>
      <c r="Y964" s="2"/>
      <c r="Z964" s="2"/>
    </row>
    <row r="965" spans="1:26" ht="15.75" customHeight="1" x14ac:dyDescent="0.2">
      <c r="A965" s="12"/>
      <c r="B965" s="10"/>
      <c r="C965" s="11"/>
      <c r="D965" s="13"/>
      <c r="E965" s="13"/>
      <c r="F965" s="13"/>
      <c r="G965" s="2"/>
      <c r="H965" s="2"/>
      <c r="I965" s="13"/>
      <c r="J965" s="13"/>
      <c r="K965" s="13"/>
      <c r="L965" s="14"/>
      <c r="M965" s="4"/>
      <c r="N965" s="2"/>
      <c r="O965" s="4"/>
      <c r="P965" s="2"/>
      <c r="Q965" s="2"/>
      <c r="R965" s="4"/>
      <c r="S965" s="2"/>
      <c r="T965" s="2"/>
      <c r="U965" s="1"/>
      <c r="V965" s="2"/>
      <c r="W965" s="2"/>
      <c r="X965" s="2"/>
      <c r="Y965" s="2"/>
      <c r="Z965" s="2"/>
    </row>
    <row r="966" spans="1:26" ht="15.75" customHeight="1" x14ac:dyDescent="0.2">
      <c r="A966" s="12"/>
      <c r="B966" s="10"/>
      <c r="C966" s="11"/>
      <c r="D966" s="13"/>
      <c r="E966" s="13"/>
      <c r="F966" s="13"/>
      <c r="G966" s="2"/>
      <c r="H966" s="2"/>
      <c r="I966" s="13"/>
      <c r="J966" s="13"/>
      <c r="K966" s="13"/>
      <c r="L966" s="14"/>
      <c r="M966" s="4"/>
      <c r="N966" s="2"/>
      <c r="O966" s="4"/>
      <c r="P966" s="2"/>
      <c r="Q966" s="2"/>
      <c r="R966" s="4"/>
      <c r="S966" s="2"/>
      <c r="T966" s="2"/>
      <c r="U966" s="1"/>
      <c r="V966" s="2"/>
      <c r="W966" s="2"/>
      <c r="X966" s="2"/>
      <c r="Y966" s="2"/>
      <c r="Z966" s="2"/>
    </row>
    <row r="967" spans="1:26" ht="15.75" customHeight="1" x14ac:dyDescent="0.2">
      <c r="A967" s="12"/>
      <c r="B967" s="10"/>
      <c r="C967" s="11"/>
      <c r="D967" s="13"/>
      <c r="E967" s="13"/>
      <c r="F967" s="13"/>
      <c r="G967" s="2"/>
      <c r="H967" s="2"/>
      <c r="I967" s="13"/>
      <c r="J967" s="13"/>
      <c r="K967" s="13"/>
      <c r="L967" s="14"/>
      <c r="M967" s="4"/>
      <c r="N967" s="2"/>
      <c r="O967" s="4"/>
      <c r="P967" s="2"/>
      <c r="Q967" s="2"/>
      <c r="R967" s="4"/>
      <c r="S967" s="2"/>
      <c r="T967" s="2"/>
      <c r="U967" s="1"/>
      <c r="V967" s="2"/>
      <c r="W967" s="2"/>
      <c r="X967" s="2"/>
      <c r="Y967" s="2"/>
      <c r="Z967" s="2"/>
    </row>
    <row r="968" spans="1:26" ht="15.75" customHeight="1" x14ac:dyDescent="0.2">
      <c r="A968" s="12"/>
      <c r="B968" s="10"/>
      <c r="C968" s="11"/>
      <c r="D968" s="13"/>
      <c r="E968" s="13"/>
      <c r="F968" s="13"/>
      <c r="G968" s="2"/>
      <c r="H968" s="2"/>
      <c r="I968" s="13"/>
      <c r="J968" s="13"/>
      <c r="K968" s="13"/>
      <c r="L968" s="14"/>
      <c r="M968" s="4"/>
      <c r="N968" s="2"/>
      <c r="O968" s="4"/>
      <c r="P968" s="2"/>
      <c r="Q968" s="2"/>
      <c r="R968" s="4"/>
      <c r="S968" s="2"/>
      <c r="T968" s="2"/>
      <c r="U968" s="1"/>
      <c r="V968" s="2"/>
      <c r="W968" s="2"/>
      <c r="X968" s="2"/>
      <c r="Y968" s="2"/>
      <c r="Z968" s="2"/>
    </row>
    <row r="969" spans="1:26" ht="15.75" customHeight="1" x14ac:dyDescent="0.2">
      <c r="A969" s="12"/>
      <c r="B969" s="10"/>
      <c r="C969" s="11"/>
      <c r="D969" s="13"/>
      <c r="E969" s="13"/>
      <c r="F969" s="13"/>
      <c r="G969" s="2"/>
      <c r="H969" s="2"/>
      <c r="I969" s="13"/>
      <c r="J969" s="13"/>
      <c r="K969" s="13"/>
      <c r="L969" s="14"/>
      <c r="M969" s="4"/>
      <c r="N969" s="2"/>
      <c r="O969" s="4"/>
      <c r="P969" s="2"/>
      <c r="Q969" s="2"/>
      <c r="R969" s="4"/>
      <c r="S969" s="2"/>
      <c r="T969" s="2"/>
      <c r="U969" s="1"/>
      <c r="V969" s="2"/>
      <c r="W969" s="2"/>
      <c r="X969" s="2"/>
      <c r="Y969" s="2"/>
      <c r="Z969" s="2"/>
    </row>
    <row r="970" spans="1:26" ht="15.75" customHeight="1" x14ac:dyDescent="0.2">
      <c r="A970" s="12"/>
      <c r="B970" s="10"/>
      <c r="C970" s="11"/>
      <c r="D970" s="13"/>
      <c r="E970" s="13"/>
      <c r="F970" s="13"/>
      <c r="G970" s="2"/>
      <c r="H970" s="2"/>
      <c r="I970" s="13"/>
      <c r="J970" s="13"/>
      <c r="K970" s="13"/>
      <c r="L970" s="14"/>
      <c r="M970" s="4"/>
      <c r="N970" s="2"/>
      <c r="O970" s="4"/>
      <c r="P970" s="2"/>
      <c r="Q970" s="2"/>
      <c r="R970" s="4"/>
      <c r="S970" s="2"/>
      <c r="T970" s="2"/>
      <c r="U970" s="1"/>
      <c r="V970" s="2"/>
      <c r="W970" s="2"/>
      <c r="X970" s="2"/>
      <c r="Y970" s="2"/>
      <c r="Z970" s="2"/>
    </row>
    <row r="971" spans="1:26" ht="15.75" customHeight="1" x14ac:dyDescent="0.2">
      <c r="A971" s="12"/>
      <c r="B971" s="10"/>
      <c r="C971" s="11"/>
      <c r="D971" s="13"/>
      <c r="E971" s="13"/>
      <c r="F971" s="13"/>
      <c r="G971" s="2"/>
      <c r="H971" s="2"/>
      <c r="I971" s="13"/>
      <c r="J971" s="13"/>
      <c r="K971" s="13"/>
      <c r="L971" s="14"/>
      <c r="M971" s="4"/>
      <c r="N971" s="2"/>
      <c r="O971" s="4"/>
      <c r="P971" s="2"/>
      <c r="Q971" s="2"/>
      <c r="R971" s="4"/>
      <c r="S971" s="2"/>
      <c r="T971" s="2"/>
      <c r="U971" s="1"/>
      <c r="V971" s="2"/>
      <c r="W971" s="2"/>
      <c r="X971" s="2"/>
      <c r="Y971" s="2"/>
      <c r="Z971" s="2"/>
    </row>
    <row r="972" spans="1:26" ht="15.75" customHeight="1" x14ac:dyDescent="0.2">
      <c r="A972" s="12"/>
      <c r="B972" s="10"/>
      <c r="C972" s="11"/>
      <c r="D972" s="13"/>
      <c r="E972" s="13"/>
      <c r="F972" s="13"/>
      <c r="G972" s="2"/>
      <c r="H972" s="2"/>
      <c r="I972" s="13"/>
      <c r="J972" s="13"/>
      <c r="K972" s="13"/>
      <c r="L972" s="14"/>
      <c r="M972" s="4"/>
      <c r="N972" s="2"/>
      <c r="O972" s="4"/>
      <c r="P972" s="2"/>
      <c r="Q972" s="2"/>
      <c r="R972" s="4"/>
      <c r="S972" s="2"/>
      <c r="T972" s="2"/>
      <c r="U972" s="1"/>
      <c r="V972" s="2"/>
      <c r="W972" s="2"/>
      <c r="X972" s="2"/>
      <c r="Y972" s="2"/>
      <c r="Z972" s="2"/>
    </row>
    <row r="973" spans="1:26" ht="15.75" customHeight="1" x14ac:dyDescent="0.2">
      <c r="A973" s="12"/>
      <c r="B973" s="10"/>
      <c r="C973" s="11"/>
      <c r="D973" s="13"/>
      <c r="E973" s="13"/>
      <c r="F973" s="13"/>
      <c r="G973" s="2"/>
      <c r="H973" s="2"/>
      <c r="I973" s="13"/>
      <c r="J973" s="13"/>
      <c r="K973" s="13"/>
      <c r="L973" s="14"/>
      <c r="M973" s="4"/>
      <c r="N973" s="2"/>
      <c r="O973" s="4"/>
      <c r="P973" s="2"/>
      <c r="Q973" s="2"/>
      <c r="R973" s="4"/>
      <c r="S973" s="2"/>
      <c r="T973" s="2"/>
      <c r="U973" s="1"/>
      <c r="V973" s="2"/>
      <c r="W973" s="2"/>
      <c r="X973" s="2"/>
      <c r="Y973" s="2"/>
      <c r="Z973" s="2"/>
    </row>
    <row r="974" spans="1:26" ht="15.75" customHeight="1" x14ac:dyDescent="0.2">
      <c r="A974" s="12"/>
      <c r="B974" s="10"/>
      <c r="C974" s="11"/>
      <c r="D974" s="13"/>
      <c r="E974" s="13"/>
      <c r="F974" s="13"/>
      <c r="G974" s="2"/>
      <c r="H974" s="2"/>
      <c r="I974" s="13"/>
      <c r="J974" s="13"/>
      <c r="K974" s="13"/>
      <c r="L974" s="14"/>
      <c r="M974" s="4"/>
      <c r="N974" s="2"/>
      <c r="O974" s="4"/>
      <c r="P974" s="2"/>
      <c r="Q974" s="2"/>
      <c r="R974" s="4"/>
      <c r="S974" s="2"/>
      <c r="T974" s="2"/>
      <c r="U974" s="1"/>
      <c r="V974" s="2"/>
      <c r="W974" s="2"/>
      <c r="X974" s="2"/>
      <c r="Y974" s="2"/>
      <c r="Z974" s="2"/>
    </row>
    <row r="975" spans="1:26" ht="15.75" customHeight="1" x14ac:dyDescent="0.2">
      <c r="A975" s="12"/>
      <c r="B975" s="10"/>
      <c r="C975" s="11"/>
      <c r="D975" s="13"/>
      <c r="E975" s="13"/>
      <c r="F975" s="13"/>
      <c r="G975" s="2"/>
      <c r="H975" s="2"/>
      <c r="I975" s="13"/>
      <c r="J975" s="13"/>
      <c r="K975" s="13"/>
      <c r="L975" s="14"/>
      <c r="M975" s="4"/>
      <c r="N975" s="2"/>
      <c r="O975" s="4"/>
      <c r="P975" s="2"/>
      <c r="Q975" s="2"/>
      <c r="R975" s="4"/>
      <c r="S975" s="2"/>
      <c r="T975" s="2"/>
      <c r="U975" s="1"/>
      <c r="V975" s="2"/>
      <c r="W975" s="2"/>
      <c r="X975" s="2"/>
      <c r="Y975" s="2"/>
      <c r="Z975" s="2"/>
    </row>
    <row r="976" spans="1:26" ht="15.75" customHeight="1" x14ac:dyDescent="0.2">
      <c r="A976" s="12"/>
      <c r="B976" s="10"/>
      <c r="C976" s="11"/>
      <c r="D976" s="13"/>
      <c r="E976" s="13"/>
      <c r="F976" s="13"/>
      <c r="G976" s="2"/>
      <c r="H976" s="2"/>
      <c r="I976" s="13"/>
      <c r="J976" s="13"/>
      <c r="K976" s="13"/>
      <c r="L976" s="14"/>
      <c r="M976" s="4"/>
      <c r="N976" s="2"/>
      <c r="O976" s="4"/>
      <c r="P976" s="2"/>
      <c r="Q976" s="2"/>
      <c r="R976" s="4"/>
      <c r="S976" s="2"/>
      <c r="T976" s="2"/>
      <c r="U976" s="1"/>
      <c r="V976" s="2"/>
      <c r="W976" s="2"/>
      <c r="X976" s="2"/>
      <c r="Y976" s="2"/>
      <c r="Z976" s="2"/>
    </row>
    <row r="977" spans="1:26" ht="15.75" customHeight="1" x14ac:dyDescent="0.2">
      <c r="A977" s="12"/>
      <c r="B977" s="10"/>
      <c r="C977" s="11"/>
      <c r="D977" s="13"/>
      <c r="E977" s="13"/>
      <c r="F977" s="13"/>
      <c r="G977" s="2"/>
      <c r="H977" s="2"/>
      <c r="I977" s="13"/>
      <c r="J977" s="13"/>
      <c r="K977" s="13"/>
      <c r="L977" s="14"/>
      <c r="M977" s="4"/>
      <c r="N977" s="2"/>
      <c r="O977" s="4"/>
      <c r="P977" s="2"/>
      <c r="Q977" s="2"/>
      <c r="R977" s="4"/>
      <c r="S977" s="2"/>
      <c r="T977" s="2"/>
      <c r="U977" s="1"/>
      <c r="V977" s="2"/>
      <c r="W977" s="2"/>
      <c r="X977" s="2"/>
      <c r="Y977" s="2"/>
      <c r="Z977" s="2"/>
    </row>
    <row r="978" spans="1:26" ht="15.75" customHeight="1" x14ac:dyDescent="0.2">
      <c r="A978" s="12"/>
      <c r="B978" s="10"/>
      <c r="C978" s="11"/>
      <c r="D978" s="13"/>
      <c r="E978" s="13"/>
      <c r="F978" s="13"/>
      <c r="G978" s="2"/>
      <c r="H978" s="2"/>
      <c r="I978" s="13"/>
      <c r="J978" s="13"/>
      <c r="K978" s="13"/>
      <c r="L978" s="14"/>
      <c r="M978" s="4"/>
      <c r="N978" s="2"/>
      <c r="O978" s="4"/>
      <c r="P978" s="2"/>
      <c r="Q978" s="2"/>
      <c r="R978" s="4"/>
      <c r="S978" s="2"/>
      <c r="T978" s="2"/>
      <c r="U978" s="1"/>
      <c r="V978" s="2"/>
      <c r="W978" s="2"/>
      <c r="X978" s="2"/>
      <c r="Y978" s="2"/>
      <c r="Z978" s="2"/>
    </row>
    <row r="979" spans="1:26" ht="15.75" customHeight="1" x14ac:dyDescent="0.2">
      <c r="A979" s="12"/>
      <c r="B979" s="10"/>
      <c r="C979" s="11"/>
      <c r="D979" s="13"/>
      <c r="E979" s="13"/>
      <c r="F979" s="13"/>
      <c r="G979" s="2"/>
      <c r="H979" s="2"/>
      <c r="I979" s="13"/>
      <c r="J979" s="13"/>
      <c r="K979" s="13"/>
      <c r="L979" s="14"/>
      <c r="M979" s="4"/>
      <c r="N979" s="2"/>
      <c r="O979" s="4"/>
      <c r="P979" s="2"/>
      <c r="Q979" s="2"/>
      <c r="R979" s="4"/>
      <c r="S979" s="2"/>
      <c r="T979" s="2"/>
      <c r="U979" s="1"/>
      <c r="V979" s="2"/>
      <c r="W979" s="2"/>
      <c r="X979" s="2"/>
      <c r="Y979" s="2"/>
      <c r="Z979" s="2"/>
    </row>
    <row r="980" spans="1:26" ht="15.75" customHeight="1" x14ac:dyDescent="0.2">
      <c r="A980" s="12"/>
      <c r="B980" s="10"/>
      <c r="C980" s="11"/>
      <c r="D980" s="13"/>
      <c r="E980" s="13"/>
      <c r="F980" s="13"/>
      <c r="G980" s="2"/>
      <c r="H980" s="2"/>
      <c r="I980" s="13"/>
      <c r="J980" s="13"/>
      <c r="K980" s="13"/>
      <c r="L980" s="14"/>
      <c r="M980" s="4"/>
      <c r="N980" s="2"/>
      <c r="O980" s="4"/>
      <c r="P980" s="2"/>
      <c r="Q980" s="2"/>
      <c r="R980" s="4"/>
      <c r="S980" s="2"/>
      <c r="T980" s="2"/>
      <c r="U980" s="1"/>
      <c r="V980" s="2"/>
      <c r="W980" s="2"/>
      <c r="X980" s="2"/>
      <c r="Y980" s="2"/>
      <c r="Z980" s="2"/>
    </row>
    <row r="981" spans="1:26" ht="15.75" customHeight="1" x14ac:dyDescent="0.2">
      <c r="A981" s="12"/>
      <c r="B981" s="10"/>
      <c r="C981" s="11"/>
      <c r="D981" s="13"/>
      <c r="E981" s="13"/>
      <c r="F981" s="13"/>
      <c r="G981" s="2"/>
      <c r="H981" s="2"/>
      <c r="I981" s="13"/>
      <c r="J981" s="13"/>
      <c r="K981" s="13"/>
      <c r="L981" s="14"/>
      <c r="M981" s="4"/>
      <c r="N981" s="2"/>
      <c r="O981" s="4"/>
      <c r="P981" s="2"/>
      <c r="Q981" s="2"/>
      <c r="R981" s="4"/>
      <c r="S981" s="2"/>
      <c r="T981" s="2"/>
      <c r="U981" s="1"/>
      <c r="V981" s="2"/>
      <c r="W981" s="2"/>
      <c r="X981" s="2"/>
      <c r="Y981" s="2"/>
      <c r="Z981" s="2"/>
    </row>
    <row r="982" spans="1:26" ht="15.75" customHeight="1" x14ac:dyDescent="0.2">
      <c r="A982" s="12"/>
      <c r="B982" s="10"/>
      <c r="C982" s="11"/>
      <c r="D982" s="13"/>
      <c r="E982" s="13"/>
      <c r="F982" s="13"/>
      <c r="G982" s="2"/>
      <c r="H982" s="2"/>
      <c r="I982" s="13"/>
      <c r="J982" s="13"/>
      <c r="K982" s="13"/>
      <c r="L982" s="14"/>
      <c r="M982" s="4"/>
      <c r="N982" s="2"/>
      <c r="O982" s="4"/>
      <c r="P982" s="2"/>
      <c r="Q982" s="2"/>
      <c r="R982" s="4"/>
      <c r="S982" s="2"/>
      <c r="T982" s="2"/>
      <c r="U982" s="1"/>
      <c r="V982" s="2"/>
      <c r="W982" s="2"/>
      <c r="X982" s="2"/>
      <c r="Y982" s="2"/>
      <c r="Z982" s="2"/>
    </row>
    <row r="983" spans="1:26" ht="15.75" customHeight="1" x14ac:dyDescent="0.2">
      <c r="A983" s="12"/>
      <c r="B983" s="10"/>
      <c r="C983" s="11"/>
      <c r="D983" s="13"/>
      <c r="E983" s="13"/>
      <c r="F983" s="13"/>
      <c r="G983" s="2"/>
      <c r="H983" s="2"/>
      <c r="I983" s="13"/>
      <c r="J983" s="13"/>
      <c r="K983" s="13"/>
      <c r="L983" s="14"/>
      <c r="M983" s="4"/>
      <c r="N983" s="2"/>
      <c r="O983" s="4"/>
      <c r="P983" s="2"/>
      <c r="Q983" s="2"/>
      <c r="R983" s="4"/>
      <c r="S983" s="2"/>
      <c r="T983" s="2"/>
      <c r="U983" s="1"/>
      <c r="V983" s="2"/>
      <c r="W983" s="2"/>
      <c r="X983" s="2"/>
      <c r="Y983" s="2"/>
      <c r="Z983" s="2"/>
    </row>
    <row r="984" spans="1:26" ht="15.75" customHeight="1" x14ac:dyDescent="0.2">
      <c r="A984" s="12"/>
      <c r="B984" s="10"/>
      <c r="C984" s="11"/>
      <c r="D984" s="13"/>
      <c r="E984" s="13"/>
      <c r="F984" s="13"/>
      <c r="G984" s="2"/>
      <c r="H984" s="2"/>
      <c r="I984" s="13"/>
      <c r="J984" s="13"/>
      <c r="K984" s="13"/>
      <c r="L984" s="14"/>
      <c r="M984" s="4"/>
      <c r="N984" s="2"/>
      <c r="O984" s="4"/>
      <c r="P984" s="2"/>
      <c r="Q984" s="2"/>
      <c r="R984" s="4"/>
      <c r="S984" s="2"/>
      <c r="T984" s="2"/>
      <c r="U984" s="1"/>
      <c r="V984" s="2"/>
      <c r="W984" s="2"/>
      <c r="X984" s="2"/>
      <c r="Y984" s="2"/>
      <c r="Z984" s="2"/>
    </row>
    <row r="985" spans="1:26" ht="15.75" customHeight="1" x14ac:dyDescent="0.2">
      <c r="A985" s="12"/>
      <c r="B985" s="10"/>
      <c r="C985" s="11"/>
      <c r="D985" s="13"/>
      <c r="E985" s="13"/>
      <c r="F985" s="13"/>
      <c r="G985" s="2"/>
      <c r="H985" s="2"/>
      <c r="I985" s="13"/>
      <c r="J985" s="13"/>
      <c r="K985" s="13"/>
      <c r="L985" s="14"/>
      <c r="M985" s="4"/>
      <c r="N985" s="2"/>
      <c r="O985" s="4"/>
      <c r="P985" s="2"/>
      <c r="Q985" s="2"/>
      <c r="R985" s="4"/>
      <c r="S985" s="2"/>
      <c r="T985" s="2"/>
      <c r="U985" s="1"/>
      <c r="V985" s="2"/>
      <c r="W985" s="2"/>
      <c r="X985" s="2"/>
      <c r="Y985" s="2"/>
      <c r="Z985" s="2"/>
    </row>
    <row r="986" spans="1:26" ht="15.75" customHeight="1" x14ac:dyDescent="0.2">
      <c r="A986" s="12"/>
      <c r="B986" s="10"/>
      <c r="C986" s="11"/>
      <c r="D986" s="13"/>
      <c r="E986" s="13"/>
      <c r="F986" s="13"/>
      <c r="G986" s="2"/>
      <c r="H986" s="2"/>
      <c r="I986" s="13"/>
      <c r="J986" s="13"/>
      <c r="K986" s="13"/>
      <c r="L986" s="14"/>
      <c r="M986" s="4"/>
      <c r="N986" s="2"/>
      <c r="O986" s="4"/>
      <c r="P986" s="2"/>
      <c r="Q986" s="2"/>
      <c r="R986" s="4"/>
      <c r="S986" s="2"/>
      <c r="T986" s="2"/>
      <c r="U986" s="1"/>
      <c r="V986" s="2"/>
      <c r="W986" s="2"/>
      <c r="X986" s="2"/>
      <c r="Y986" s="2"/>
      <c r="Z986" s="2"/>
    </row>
    <row r="987" spans="1:26" ht="15.75" customHeight="1" x14ac:dyDescent="0.2">
      <c r="A987" s="12"/>
      <c r="B987" s="10"/>
      <c r="C987" s="11"/>
      <c r="D987" s="13"/>
      <c r="E987" s="13"/>
      <c r="F987" s="13"/>
      <c r="G987" s="2"/>
      <c r="H987" s="2"/>
      <c r="I987" s="13"/>
      <c r="J987" s="13"/>
      <c r="K987" s="13"/>
      <c r="L987" s="14"/>
      <c r="M987" s="4"/>
      <c r="N987" s="2"/>
      <c r="O987" s="4"/>
      <c r="P987" s="2"/>
      <c r="Q987" s="2"/>
      <c r="R987" s="4"/>
      <c r="S987" s="2"/>
      <c r="T987" s="2"/>
      <c r="U987" s="1"/>
      <c r="V987" s="2"/>
      <c r="W987" s="2"/>
      <c r="X987" s="2"/>
      <c r="Y987" s="2"/>
      <c r="Z987" s="2"/>
    </row>
    <row r="988" spans="1:26" ht="15.75" customHeight="1" x14ac:dyDescent="0.2">
      <c r="A988" s="12"/>
      <c r="B988" s="10"/>
      <c r="C988" s="11"/>
      <c r="D988" s="13"/>
      <c r="E988" s="13"/>
      <c r="F988" s="13"/>
      <c r="G988" s="2"/>
      <c r="H988" s="2"/>
      <c r="I988" s="13"/>
      <c r="J988" s="13"/>
      <c r="K988" s="13"/>
      <c r="L988" s="14"/>
      <c r="M988" s="4"/>
      <c r="N988" s="2"/>
      <c r="O988" s="4"/>
      <c r="P988" s="2"/>
      <c r="Q988" s="2"/>
      <c r="R988" s="4"/>
      <c r="S988" s="2"/>
      <c r="T988" s="2"/>
      <c r="U988" s="1"/>
      <c r="V988" s="2"/>
      <c r="W988" s="2"/>
      <c r="X988" s="2"/>
      <c r="Y988" s="2"/>
      <c r="Z988" s="2"/>
    </row>
    <row r="989" spans="1:26" ht="15.75" customHeight="1" x14ac:dyDescent="0.2">
      <c r="A989" s="12"/>
      <c r="B989" s="10"/>
      <c r="C989" s="11"/>
      <c r="D989" s="13"/>
      <c r="E989" s="13"/>
      <c r="F989" s="13"/>
      <c r="G989" s="2"/>
      <c r="H989" s="2"/>
      <c r="I989" s="13"/>
      <c r="J989" s="13"/>
      <c r="K989" s="13"/>
      <c r="L989" s="14"/>
      <c r="M989" s="4"/>
      <c r="N989" s="2"/>
      <c r="O989" s="4"/>
      <c r="P989" s="2"/>
      <c r="Q989" s="2"/>
      <c r="R989" s="4"/>
      <c r="S989" s="2"/>
      <c r="T989" s="2"/>
      <c r="U989" s="1"/>
      <c r="V989" s="2"/>
      <c r="W989" s="2"/>
      <c r="X989" s="2"/>
      <c r="Y989" s="2"/>
      <c r="Z989" s="2"/>
    </row>
    <row r="990" spans="1:26" ht="15.75" customHeight="1" x14ac:dyDescent="0.2">
      <c r="A990" s="12"/>
      <c r="B990" s="10"/>
      <c r="C990" s="11"/>
      <c r="D990" s="13"/>
      <c r="E990" s="13"/>
      <c r="F990" s="13"/>
      <c r="G990" s="2"/>
      <c r="H990" s="2"/>
      <c r="I990" s="13"/>
      <c r="J990" s="13"/>
      <c r="K990" s="13"/>
      <c r="L990" s="14"/>
      <c r="M990" s="4"/>
      <c r="N990" s="2"/>
      <c r="O990" s="4"/>
      <c r="P990" s="2"/>
      <c r="Q990" s="2"/>
      <c r="R990" s="4"/>
      <c r="S990" s="2"/>
      <c r="T990" s="2"/>
      <c r="U990" s="1"/>
      <c r="V990" s="2"/>
      <c r="W990" s="2"/>
      <c r="X990" s="2"/>
      <c r="Y990" s="2"/>
      <c r="Z990" s="2"/>
    </row>
    <row r="991" spans="1:26" ht="15.75" customHeight="1" x14ac:dyDescent="0.2">
      <c r="A991" s="12"/>
      <c r="B991" s="10"/>
      <c r="C991" s="11"/>
      <c r="D991" s="13"/>
      <c r="E991" s="13"/>
      <c r="F991" s="13"/>
      <c r="G991" s="2"/>
      <c r="H991" s="2"/>
      <c r="I991" s="13"/>
      <c r="J991" s="13"/>
      <c r="K991" s="13"/>
      <c r="L991" s="14"/>
      <c r="M991" s="4"/>
      <c r="N991" s="2"/>
      <c r="O991" s="4"/>
      <c r="P991" s="2"/>
      <c r="Q991" s="2"/>
      <c r="R991" s="4"/>
      <c r="S991" s="2"/>
      <c r="T991" s="2"/>
      <c r="U991" s="1"/>
      <c r="V991" s="2"/>
      <c r="W991" s="2"/>
      <c r="X991" s="2"/>
      <c r="Y991" s="2"/>
      <c r="Z991" s="2"/>
    </row>
    <row r="992" spans="1:26" ht="15.75" customHeight="1" x14ac:dyDescent="0.2">
      <c r="A992" s="12"/>
      <c r="B992" s="10"/>
      <c r="C992" s="11"/>
      <c r="D992" s="13"/>
      <c r="E992" s="13"/>
      <c r="F992" s="13"/>
      <c r="G992" s="2"/>
      <c r="H992" s="2"/>
      <c r="I992" s="13"/>
      <c r="J992" s="13"/>
      <c r="K992" s="13"/>
      <c r="L992" s="14"/>
      <c r="M992" s="4"/>
      <c r="N992" s="2"/>
      <c r="O992" s="4"/>
      <c r="P992" s="2"/>
      <c r="Q992" s="2"/>
      <c r="R992" s="4"/>
      <c r="S992" s="2"/>
      <c r="T992" s="2"/>
      <c r="U992" s="1"/>
      <c r="V992" s="2"/>
      <c r="W992" s="2"/>
      <c r="X992" s="2"/>
      <c r="Y992" s="2"/>
      <c r="Z992" s="2"/>
    </row>
    <row r="993" spans="1:26" ht="15.75" customHeight="1" x14ac:dyDescent="0.2">
      <c r="A993" s="12"/>
      <c r="B993" s="10"/>
      <c r="C993" s="11"/>
      <c r="D993" s="13"/>
      <c r="E993" s="13"/>
      <c r="F993" s="13"/>
      <c r="G993" s="2"/>
      <c r="H993" s="2"/>
      <c r="I993" s="13"/>
      <c r="J993" s="13"/>
      <c r="K993" s="13"/>
      <c r="L993" s="14"/>
      <c r="M993" s="4"/>
      <c r="N993" s="2"/>
      <c r="O993" s="4"/>
      <c r="P993" s="2"/>
      <c r="Q993" s="2"/>
      <c r="R993" s="4"/>
      <c r="S993" s="2"/>
      <c r="T993" s="2"/>
      <c r="U993" s="1"/>
      <c r="V993" s="2"/>
      <c r="W993" s="2"/>
      <c r="X993" s="2"/>
      <c r="Y993" s="2"/>
      <c r="Z993" s="2"/>
    </row>
    <row r="994" spans="1:26" ht="15.75" customHeight="1" x14ac:dyDescent="0.2">
      <c r="A994" s="12"/>
      <c r="B994" s="10"/>
      <c r="C994" s="11"/>
      <c r="D994" s="13"/>
      <c r="E994" s="13"/>
      <c r="F994" s="13"/>
      <c r="G994" s="2"/>
      <c r="H994" s="2"/>
      <c r="I994" s="13"/>
      <c r="J994" s="13"/>
      <c r="K994" s="13"/>
      <c r="L994" s="14"/>
      <c r="M994" s="4"/>
      <c r="N994" s="2"/>
      <c r="O994" s="4"/>
      <c r="P994" s="2"/>
      <c r="Q994" s="2"/>
      <c r="R994" s="4"/>
      <c r="S994" s="2"/>
      <c r="T994" s="2"/>
      <c r="U994" s="1"/>
      <c r="V994" s="2"/>
      <c r="W994" s="2"/>
      <c r="X994" s="2"/>
      <c r="Y994" s="2"/>
      <c r="Z994" s="2"/>
    </row>
    <row r="995" spans="1:26" ht="15.75" customHeight="1" x14ac:dyDescent="0.2">
      <c r="A995" s="12"/>
      <c r="B995" s="10"/>
      <c r="C995" s="11"/>
      <c r="D995" s="13"/>
      <c r="E995" s="13"/>
      <c r="F995" s="13"/>
      <c r="G995" s="2"/>
      <c r="H995" s="2"/>
      <c r="I995" s="13"/>
      <c r="J995" s="13"/>
      <c r="K995" s="13"/>
      <c r="L995" s="14"/>
      <c r="M995" s="4"/>
      <c r="N995" s="2"/>
      <c r="O995" s="4"/>
      <c r="P995" s="2"/>
      <c r="Q995" s="2"/>
      <c r="R995" s="4"/>
      <c r="S995" s="2"/>
      <c r="T995" s="2"/>
      <c r="U995" s="1"/>
      <c r="V995" s="2"/>
      <c r="W995" s="2"/>
      <c r="X995" s="2"/>
      <c r="Y995" s="2"/>
      <c r="Z995" s="2"/>
    </row>
    <row r="996" spans="1:26" ht="15.75" customHeight="1" x14ac:dyDescent="0.2">
      <c r="A996" s="12"/>
      <c r="B996" s="10"/>
      <c r="C996" s="11"/>
      <c r="D996" s="13"/>
      <c r="E996" s="13"/>
      <c r="F996" s="13"/>
      <c r="G996" s="2"/>
      <c r="H996" s="2"/>
      <c r="I996" s="13"/>
      <c r="J996" s="13"/>
      <c r="K996" s="13"/>
      <c r="L996" s="14"/>
      <c r="M996" s="4"/>
      <c r="N996" s="2"/>
      <c r="O996" s="4"/>
      <c r="P996" s="2"/>
      <c r="Q996" s="2"/>
      <c r="R996" s="4"/>
      <c r="S996" s="2"/>
      <c r="T996" s="2"/>
      <c r="U996" s="1"/>
      <c r="V996" s="2"/>
      <c r="W996" s="2"/>
      <c r="X996" s="2"/>
      <c r="Y996" s="2"/>
      <c r="Z996" s="2"/>
    </row>
    <row r="997" spans="1:26" ht="15.75" customHeight="1" x14ac:dyDescent="0.2">
      <c r="A997" s="12"/>
      <c r="B997" s="10"/>
      <c r="C997" s="11"/>
      <c r="D997" s="13"/>
      <c r="E997" s="13"/>
      <c r="F997" s="13"/>
      <c r="G997" s="2"/>
      <c r="H997" s="2"/>
      <c r="I997" s="13"/>
      <c r="J997" s="13"/>
      <c r="K997" s="13"/>
      <c r="L997" s="14"/>
      <c r="M997" s="4"/>
      <c r="N997" s="2"/>
      <c r="O997" s="4"/>
      <c r="P997" s="2"/>
      <c r="Q997" s="2"/>
      <c r="R997" s="4"/>
      <c r="S997" s="2"/>
      <c r="T997" s="2"/>
      <c r="U997" s="1"/>
      <c r="V997" s="2"/>
      <c r="W997" s="2"/>
      <c r="X997" s="2"/>
      <c r="Y997" s="2"/>
      <c r="Z997" s="2"/>
    </row>
    <row r="998" spans="1:26" ht="15.75" customHeight="1" x14ac:dyDescent="0.2">
      <c r="A998" s="12"/>
      <c r="B998" s="10"/>
      <c r="C998" s="11"/>
      <c r="D998" s="13"/>
      <c r="E998" s="13"/>
      <c r="F998" s="13"/>
      <c r="G998" s="2"/>
      <c r="H998" s="2"/>
      <c r="I998" s="13"/>
      <c r="J998" s="13"/>
      <c r="K998" s="13"/>
      <c r="L998" s="14"/>
      <c r="M998" s="4"/>
      <c r="N998" s="2"/>
      <c r="O998" s="4"/>
      <c r="P998" s="2"/>
      <c r="Q998" s="2"/>
      <c r="R998" s="4"/>
      <c r="S998" s="2"/>
      <c r="T998" s="2"/>
      <c r="U998" s="1"/>
      <c r="V998" s="2"/>
      <c r="W998" s="2"/>
      <c r="X998" s="2"/>
      <c r="Y998" s="2"/>
      <c r="Z998" s="2"/>
    </row>
    <row r="999" spans="1:26" ht="15.75" customHeight="1" x14ac:dyDescent="0.2">
      <c r="A999" s="12"/>
      <c r="B999" s="10"/>
      <c r="C999" s="11"/>
      <c r="D999" s="13"/>
      <c r="E999" s="13"/>
      <c r="F999" s="13"/>
      <c r="G999" s="2"/>
      <c r="H999" s="2"/>
      <c r="I999" s="13"/>
      <c r="J999" s="13"/>
      <c r="K999" s="13"/>
      <c r="L999" s="14"/>
      <c r="M999" s="4"/>
      <c r="N999" s="2"/>
      <c r="O999" s="4"/>
      <c r="P999" s="2"/>
      <c r="Q999" s="2"/>
      <c r="R999" s="4"/>
      <c r="S999" s="2"/>
      <c r="T999" s="2"/>
      <c r="U999" s="1"/>
      <c r="V999" s="2"/>
      <c r="W999" s="2"/>
      <c r="X999" s="2"/>
      <c r="Y999" s="2"/>
      <c r="Z999" s="2"/>
    </row>
    <row r="1000" spans="1:26" ht="15.75" customHeight="1" x14ac:dyDescent="0.2">
      <c r="A1000" s="12"/>
      <c r="B1000" s="10"/>
      <c r="C1000" s="11"/>
      <c r="D1000" s="13"/>
      <c r="E1000" s="13"/>
      <c r="F1000" s="13"/>
      <c r="G1000" s="2"/>
      <c r="H1000" s="2"/>
      <c r="I1000" s="13"/>
      <c r="J1000" s="13"/>
      <c r="K1000" s="13"/>
      <c r="L1000" s="14"/>
      <c r="M1000" s="4"/>
      <c r="N1000" s="2"/>
      <c r="O1000" s="4"/>
      <c r="P1000" s="2"/>
      <c r="Q1000" s="2"/>
      <c r="R1000" s="4"/>
      <c r="S1000" s="2"/>
      <c r="T1000" s="2"/>
      <c r="U1000" s="1"/>
      <c r="V1000" s="2"/>
      <c r="W1000" s="2"/>
      <c r="X1000" s="2"/>
      <c r="Y1000" s="2"/>
      <c r="Z1000" s="2"/>
    </row>
    <row r="1001" spans="1:26" ht="15.75" customHeight="1" x14ac:dyDescent="0.2">
      <c r="A1001" s="12"/>
      <c r="B1001" s="10"/>
      <c r="C1001" s="11"/>
      <c r="D1001" s="13"/>
      <c r="E1001" s="13"/>
      <c r="F1001" s="13"/>
      <c r="G1001" s="2"/>
      <c r="H1001" s="2"/>
      <c r="I1001" s="13"/>
      <c r="J1001" s="13"/>
      <c r="K1001" s="13"/>
      <c r="L1001" s="14"/>
      <c r="M1001" s="4"/>
      <c r="N1001" s="2"/>
      <c r="O1001" s="4"/>
      <c r="P1001" s="2"/>
      <c r="Q1001" s="2"/>
      <c r="R1001" s="4"/>
      <c r="S1001" s="2"/>
      <c r="T1001" s="2"/>
      <c r="U1001" s="1"/>
      <c r="V1001" s="2"/>
      <c r="W1001" s="2"/>
      <c r="X1001" s="2"/>
      <c r="Y1001" s="2"/>
      <c r="Z1001" s="2"/>
    </row>
    <row r="1002" spans="1:26" ht="15.75" customHeight="1" x14ac:dyDescent="0.2">
      <c r="A1002" s="12"/>
      <c r="B1002" s="10"/>
      <c r="C1002" s="11"/>
      <c r="D1002" s="13"/>
      <c r="E1002" s="13"/>
      <c r="F1002" s="13"/>
      <c r="G1002" s="2"/>
      <c r="H1002" s="2"/>
      <c r="I1002" s="13"/>
      <c r="J1002" s="13"/>
      <c r="K1002" s="13"/>
      <c r="L1002" s="14"/>
      <c r="M1002" s="4"/>
      <c r="N1002" s="2"/>
      <c r="O1002" s="4"/>
      <c r="P1002" s="2"/>
      <c r="Q1002" s="2"/>
      <c r="R1002" s="4"/>
      <c r="S1002" s="2"/>
      <c r="T1002" s="2"/>
      <c r="U1002" s="1"/>
      <c r="V1002" s="2"/>
      <c r="W1002" s="2"/>
      <c r="X1002" s="2"/>
      <c r="Y1002" s="2"/>
      <c r="Z1002" s="2"/>
    </row>
    <row r="1003" spans="1:26" ht="15.75" customHeight="1" x14ac:dyDescent="0.2">
      <c r="A1003" s="12"/>
      <c r="B1003" s="10"/>
      <c r="C1003" s="11"/>
      <c r="D1003" s="13"/>
      <c r="E1003" s="13"/>
      <c r="F1003" s="13"/>
      <c r="G1003" s="2"/>
      <c r="H1003" s="2"/>
      <c r="I1003" s="13"/>
      <c r="J1003" s="13"/>
      <c r="K1003" s="13"/>
      <c r="L1003" s="14"/>
      <c r="M1003" s="4"/>
      <c r="N1003" s="2"/>
      <c r="O1003" s="4"/>
      <c r="P1003" s="2"/>
      <c r="Q1003" s="2"/>
      <c r="R1003" s="4"/>
      <c r="S1003" s="2"/>
      <c r="T1003" s="2"/>
      <c r="U1003" s="1"/>
      <c r="V1003" s="2"/>
      <c r="W1003" s="2"/>
      <c r="X1003" s="2"/>
      <c r="Y1003" s="2"/>
      <c r="Z1003" s="2"/>
    </row>
    <row r="1004" spans="1:26" ht="15.75" customHeight="1" x14ac:dyDescent="0.2">
      <c r="A1004" s="12"/>
      <c r="B1004" s="10"/>
      <c r="C1004" s="11"/>
      <c r="D1004" s="13"/>
      <c r="E1004" s="13"/>
      <c r="F1004" s="13"/>
      <c r="G1004" s="2"/>
      <c r="H1004" s="2"/>
      <c r="I1004" s="13"/>
      <c r="J1004" s="13"/>
      <c r="K1004" s="13"/>
      <c r="L1004" s="14"/>
      <c r="M1004" s="4"/>
      <c r="N1004" s="2"/>
      <c r="O1004" s="4"/>
      <c r="P1004" s="2"/>
      <c r="Q1004" s="2"/>
      <c r="R1004" s="4"/>
      <c r="S1004" s="2"/>
      <c r="T1004" s="2"/>
      <c r="U1004" s="1"/>
      <c r="V1004" s="2"/>
      <c r="W1004" s="2"/>
      <c r="X1004" s="2"/>
      <c r="Y1004" s="2"/>
      <c r="Z1004" s="2"/>
    </row>
    <row r="1005" spans="1:26" ht="15.75" customHeight="1" x14ac:dyDescent="0.2">
      <c r="A1005" s="12"/>
      <c r="B1005" s="10"/>
      <c r="C1005" s="11"/>
      <c r="D1005" s="13"/>
      <c r="E1005" s="13"/>
      <c r="F1005" s="13"/>
      <c r="G1005" s="2"/>
      <c r="H1005" s="2"/>
      <c r="I1005" s="13"/>
      <c r="J1005" s="13"/>
      <c r="K1005" s="13"/>
      <c r="L1005" s="14"/>
      <c r="M1005" s="4"/>
      <c r="N1005" s="2"/>
      <c r="O1005" s="4"/>
      <c r="P1005" s="2"/>
      <c r="Q1005" s="2"/>
      <c r="R1005" s="4"/>
      <c r="S1005" s="2"/>
      <c r="T1005" s="2"/>
      <c r="U1005" s="1"/>
      <c r="V1005" s="2"/>
      <c r="W1005" s="2"/>
      <c r="X1005" s="2"/>
      <c r="Y1005" s="2"/>
      <c r="Z1005" s="2"/>
    </row>
    <row r="1006" spans="1:26" ht="15.75" customHeight="1" x14ac:dyDescent="0.2">
      <c r="A1006" s="12"/>
      <c r="B1006" s="10"/>
      <c r="C1006" s="11"/>
      <c r="D1006" s="13"/>
      <c r="E1006" s="13"/>
      <c r="F1006" s="13"/>
      <c r="G1006" s="2"/>
      <c r="H1006" s="2"/>
      <c r="I1006" s="13"/>
      <c r="J1006" s="13"/>
      <c r="K1006" s="13"/>
      <c r="L1006" s="14"/>
      <c r="M1006" s="4"/>
      <c r="N1006" s="2"/>
      <c r="O1006" s="4"/>
      <c r="P1006" s="2"/>
      <c r="Q1006" s="2"/>
      <c r="R1006" s="4"/>
      <c r="S1006" s="2"/>
      <c r="T1006" s="2"/>
      <c r="U1006" s="1"/>
      <c r="V1006" s="2"/>
      <c r="W1006" s="2"/>
      <c r="X1006" s="2"/>
      <c r="Y1006" s="2"/>
      <c r="Z1006" s="2"/>
    </row>
    <row r="1007" spans="1:26" ht="15.75" customHeight="1" x14ac:dyDescent="0.2">
      <c r="A1007" s="12"/>
      <c r="B1007" s="10"/>
      <c r="C1007" s="11"/>
      <c r="D1007" s="13"/>
      <c r="E1007" s="13"/>
      <c r="F1007" s="13"/>
      <c r="G1007" s="2"/>
      <c r="H1007" s="2"/>
      <c r="I1007" s="13"/>
      <c r="J1007" s="13"/>
      <c r="K1007" s="13"/>
      <c r="L1007" s="14"/>
      <c r="M1007" s="4"/>
      <c r="N1007" s="2"/>
      <c r="O1007" s="4"/>
      <c r="P1007" s="2"/>
      <c r="Q1007" s="2"/>
      <c r="R1007" s="4"/>
      <c r="S1007" s="2"/>
      <c r="T1007" s="2"/>
      <c r="U1007" s="1"/>
      <c r="V1007" s="2"/>
      <c r="W1007" s="2"/>
      <c r="X1007" s="2"/>
      <c r="Y1007" s="2"/>
      <c r="Z1007" s="2"/>
    </row>
    <row r="1008" spans="1:26" ht="15.75" customHeight="1" x14ac:dyDescent="0.2">
      <c r="A1008" s="12"/>
      <c r="B1008" s="10"/>
      <c r="C1008" s="11"/>
      <c r="D1008" s="13"/>
      <c r="E1008" s="13"/>
      <c r="F1008" s="13"/>
      <c r="G1008" s="2"/>
      <c r="H1008" s="2"/>
      <c r="I1008" s="13"/>
      <c r="J1008" s="13"/>
      <c r="K1008" s="13"/>
      <c r="L1008" s="14"/>
      <c r="M1008" s="4"/>
      <c r="N1008" s="2"/>
      <c r="O1008" s="4"/>
      <c r="P1008" s="2"/>
      <c r="Q1008" s="2"/>
      <c r="R1008" s="4"/>
      <c r="S1008" s="2"/>
      <c r="T1008" s="2"/>
      <c r="U1008" s="1"/>
      <c r="V1008" s="2"/>
      <c r="W1008" s="2"/>
      <c r="X1008" s="2"/>
      <c r="Y1008" s="2"/>
      <c r="Z1008" s="2"/>
    </row>
    <row r="1009" spans="1:26" ht="15.75" customHeight="1" x14ac:dyDescent="0.2">
      <c r="A1009" s="12"/>
      <c r="B1009" s="10"/>
      <c r="C1009" s="11"/>
      <c r="D1009" s="13"/>
      <c r="E1009" s="13"/>
      <c r="F1009" s="13"/>
      <c r="G1009" s="2"/>
      <c r="H1009" s="2"/>
      <c r="I1009" s="13"/>
      <c r="J1009" s="13"/>
      <c r="K1009" s="13"/>
      <c r="L1009" s="14"/>
      <c r="M1009" s="4"/>
      <c r="N1009" s="2"/>
      <c r="O1009" s="4"/>
      <c r="P1009" s="2"/>
      <c r="Q1009" s="2"/>
      <c r="R1009" s="4"/>
      <c r="S1009" s="2"/>
      <c r="T1009" s="2"/>
      <c r="U1009" s="1"/>
      <c r="V1009" s="2"/>
      <c r="W1009" s="2"/>
      <c r="X1009" s="2"/>
      <c r="Y1009" s="2"/>
      <c r="Z1009" s="2"/>
    </row>
    <row r="1010" spans="1:26" ht="15.75" customHeight="1" x14ac:dyDescent="0.2">
      <c r="A1010" s="12"/>
      <c r="B1010" s="10"/>
      <c r="C1010" s="11"/>
      <c r="D1010" s="13"/>
      <c r="E1010" s="13"/>
      <c r="F1010" s="13"/>
      <c r="G1010" s="2"/>
      <c r="H1010" s="2"/>
      <c r="I1010" s="13"/>
      <c r="J1010" s="13"/>
      <c r="K1010" s="13"/>
      <c r="L1010" s="14"/>
      <c r="M1010" s="4"/>
      <c r="N1010" s="2"/>
      <c r="O1010" s="4"/>
      <c r="P1010" s="2"/>
      <c r="Q1010" s="2"/>
      <c r="R1010" s="4"/>
      <c r="S1010" s="2"/>
      <c r="T1010" s="2"/>
      <c r="U1010" s="1"/>
      <c r="V1010" s="2"/>
      <c r="W1010" s="2"/>
      <c r="X1010" s="2"/>
      <c r="Y1010" s="2"/>
      <c r="Z1010" s="2"/>
    </row>
    <row r="1011" spans="1:26" ht="15.75" customHeight="1" x14ac:dyDescent="0.2">
      <c r="A1011" s="12"/>
      <c r="B1011" s="10"/>
      <c r="C1011" s="11"/>
      <c r="D1011" s="13"/>
      <c r="E1011" s="13"/>
      <c r="F1011" s="13"/>
      <c r="G1011" s="2"/>
      <c r="H1011" s="2"/>
      <c r="I1011" s="13"/>
      <c r="J1011" s="13"/>
      <c r="K1011" s="13"/>
      <c r="L1011" s="14"/>
      <c r="M1011" s="4"/>
      <c r="N1011" s="2"/>
      <c r="O1011" s="4"/>
      <c r="P1011" s="2"/>
      <c r="Q1011" s="2"/>
      <c r="R1011" s="4"/>
      <c r="S1011" s="2"/>
      <c r="T1011" s="2"/>
      <c r="U1011" s="1"/>
      <c r="V1011" s="2"/>
      <c r="W1011" s="2"/>
      <c r="X1011" s="2"/>
      <c r="Y1011" s="2"/>
      <c r="Z1011" s="2"/>
    </row>
    <row r="1012" spans="1:26" ht="15.75" customHeight="1" x14ac:dyDescent="0.2">
      <c r="A1012" s="12"/>
      <c r="B1012" s="10"/>
      <c r="C1012" s="11"/>
      <c r="D1012" s="13"/>
      <c r="E1012" s="13"/>
      <c r="F1012" s="13"/>
      <c r="G1012" s="2"/>
      <c r="H1012" s="2"/>
      <c r="I1012" s="13"/>
      <c r="J1012" s="13"/>
      <c r="K1012" s="13"/>
      <c r="L1012" s="14"/>
      <c r="M1012" s="4"/>
      <c r="N1012" s="2"/>
      <c r="O1012" s="4"/>
      <c r="P1012" s="2"/>
      <c r="Q1012" s="2"/>
      <c r="R1012" s="4"/>
      <c r="S1012" s="2"/>
      <c r="T1012" s="2"/>
      <c r="U1012" s="1"/>
      <c r="V1012" s="2"/>
      <c r="W1012" s="2"/>
      <c r="X1012" s="2"/>
      <c r="Y1012" s="2"/>
      <c r="Z1012" s="2"/>
    </row>
    <row r="1013" spans="1:26" ht="15.75" customHeight="1" x14ac:dyDescent="0.2">
      <c r="A1013" s="12"/>
      <c r="B1013" s="10"/>
      <c r="C1013" s="11"/>
      <c r="D1013" s="13"/>
      <c r="E1013" s="13"/>
      <c r="F1013" s="13"/>
      <c r="G1013" s="2"/>
      <c r="H1013" s="2"/>
      <c r="I1013" s="13"/>
      <c r="J1013" s="13"/>
      <c r="K1013" s="13"/>
      <c r="L1013" s="14"/>
      <c r="M1013" s="4"/>
      <c r="N1013" s="2"/>
      <c r="O1013" s="4"/>
      <c r="P1013" s="2"/>
      <c r="Q1013" s="2"/>
      <c r="R1013" s="4"/>
      <c r="S1013" s="2"/>
      <c r="T1013" s="2"/>
      <c r="U1013" s="1"/>
      <c r="V1013" s="2"/>
      <c r="W1013" s="2"/>
      <c r="X1013" s="2"/>
      <c r="Y1013" s="2"/>
      <c r="Z1013" s="2"/>
    </row>
    <row r="1014" spans="1:26" ht="15.75" customHeight="1" x14ac:dyDescent="0.2">
      <c r="A1014" s="12"/>
      <c r="B1014" s="10"/>
      <c r="C1014" s="11"/>
      <c r="D1014" s="13"/>
      <c r="E1014" s="13"/>
      <c r="F1014" s="13"/>
      <c r="G1014" s="2"/>
      <c r="H1014" s="2"/>
      <c r="I1014" s="13"/>
      <c r="J1014" s="13"/>
      <c r="K1014" s="13"/>
      <c r="L1014" s="14"/>
      <c r="M1014" s="4"/>
      <c r="N1014" s="2"/>
      <c r="O1014" s="4"/>
      <c r="P1014" s="2"/>
      <c r="Q1014" s="2"/>
      <c r="R1014" s="4"/>
      <c r="S1014" s="2"/>
      <c r="T1014" s="2"/>
      <c r="U1014" s="1"/>
      <c r="V1014" s="2"/>
      <c r="W1014" s="2"/>
      <c r="X1014" s="2"/>
      <c r="Y1014" s="2"/>
      <c r="Z1014" s="2"/>
    </row>
    <row r="1015" spans="1:26" ht="15.75" customHeight="1" x14ac:dyDescent="0.2">
      <c r="A1015" s="12"/>
      <c r="B1015" s="10"/>
      <c r="C1015" s="11"/>
      <c r="D1015" s="13"/>
      <c r="E1015" s="13"/>
      <c r="F1015" s="13"/>
      <c r="G1015" s="2"/>
      <c r="H1015" s="2"/>
      <c r="I1015" s="13"/>
      <c r="J1015" s="13"/>
      <c r="K1015" s="13"/>
      <c r="L1015" s="14"/>
      <c r="M1015" s="4"/>
      <c r="N1015" s="2"/>
      <c r="O1015" s="4"/>
      <c r="P1015" s="2"/>
      <c r="Q1015" s="2"/>
      <c r="R1015" s="4"/>
      <c r="S1015" s="2"/>
      <c r="T1015" s="2"/>
      <c r="U1015" s="1"/>
      <c r="V1015" s="2"/>
      <c r="W1015" s="2"/>
      <c r="X1015" s="2"/>
      <c r="Y1015" s="2"/>
      <c r="Z1015" s="2"/>
    </row>
    <row r="1016" spans="1:26" ht="15.75" customHeight="1" x14ac:dyDescent="0.2">
      <c r="A1016" s="12"/>
      <c r="B1016" s="10"/>
      <c r="C1016" s="11"/>
      <c r="D1016" s="13"/>
      <c r="E1016" s="13"/>
      <c r="F1016" s="13"/>
      <c r="G1016" s="2"/>
      <c r="H1016" s="2"/>
      <c r="I1016" s="13"/>
      <c r="J1016" s="13"/>
      <c r="K1016" s="13"/>
      <c r="L1016" s="14"/>
      <c r="M1016" s="4"/>
      <c r="N1016" s="2"/>
      <c r="O1016" s="4"/>
      <c r="P1016" s="2"/>
      <c r="Q1016" s="2"/>
      <c r="R1016" s="4"/>
      <c r="S1016" s="2"/>
      <c r="T1016" s="2"/>
      <c r="U1016" s="1"/>
      <c r="V1016" s="2"/>
      <c r="W1016" s="2"/>
      <c r="X1016" s="2"/>
      <c r="Y1016" s="2"/>
      <c r="Z1016" s="2"/>
    </row>
    <row r="1017" spans="1:26" ht="15.75" customHeight="1" x14ac:dyDescent="0.2">
      <c r="A1017" s="12"/>
      <c r="B1017" s="10"/>
      <c r="C1017" s="11"/>
      <c r="D1017" s="13"/>
      <c r="E1017" s="13"/>
      <c r="F1017" s="13"/>
      <c r="G1017" s="2"/>
      <c r="H1017" s="2"/>
      <c r="I1017" s="13"/>
      <c r="J1017" s="13"/>
      <c r="K1017" s="13"/>
      <c r="L1017" s="14"/>
      <c r="M1017" s="4"/>
      <c r="N1017" s="2"/>
      <c r="O1017" s="4"/>
      <c r="P1017" s="2"/>
      <c r="Q1017" s="2"/>
      <c r="R1017" s="4"/>
      <c r="S1017" s="2"/>
      <c r="T1017" s="2"/>
      <c r="U1017" s="1"/>
      <c r="V1017" s="2"/>
      <c r="W1017" s="2"/>
      <c r="X1017" s="2"/>
      <c r="Y1017" s="2"/>
      <c r="Z1017" s="2"/>
    </row>
    <row r="1018" spans="1:26" ht="15.75" customHeight="1" x14ac:dyDescent="0.2">
      <c r="A1018" s="12"/>
      <c r="B1018" s="10"/>
      <c r="C1018" s="11"/>
      <c r="D1018" s="13"/>
      <c r="E1018" s="13"/>
      <c r="F1018" s="13"/>
      <c r="G1018" s="2"/>
      <c r="H1018" s="2"/>
      <c r="I1018" s="13"/>
      <c r="J1018" s="13"/>
      <c r="K1018" s="13"/>
      <c r="L1018" s="14"/>
      <c r="M1018" s="4"/>
      <c r="N1018" s="2"/>
      <c r="O1018" s="4"/>
      <c r="P1018" s="2"/>
      <c r="Q1018" s="2"/>
      <c r="R1018" s="4"/>
      <c r="S1018" s="2"/>
      <c r="T1018" s="2"/>
      <c r="U1018" s="1"/>
      <c r="V1018" s="2"/>
      <c r="W1018" s="2"/>
      <c r="X1018" s="2"/>
      <c r="Y1018" s="2"/>
      <c r="Z1018" s="2"/>
    </row>
    <row r="1019" spans="1:26" ht="15.75" customHeight="1" x14ac:dyDescent="0.2">
      <c r="A1019" s="12"/>
      <c r="B1019" s="10"/>
      <c r="C1019" s="11"/>
      <c r="D1019" s="13"/>
      <c r="E1019" s="13"/>
      <c r="F1019" s="13"/>
      <c r="G1019" s="2"/>
      <c r="H1019" s="2"/>
      <c r="I1019" s="13"/>
      <c r="J1019" s="13"/>
      <c r="K1019" s="13"/>
      <c r="L1019" s="14"/>
      <c r="M1019" s="4"/>
      <c r="N1019" s="2"/>
      <c r="O1019" s="4"/>
      <c r="P1019" s="2"/>
      <c r="Q1019" s="2"/>
      <c r="R1019" s="4"/>
      <c r="S1019" s="2"/>
      <c r="T1019" s="2"/>
      <c r="U1019" s="1"/>
      <c r="V1019" s="2"/>
      <c r="W1019" s="2"/>
      <c r="X1019" s="2"/>
      <c r="Y1019" s="2"/>
      <c r="Z1019" s="2"/>
    </row>
    <row r="1020" spans="1:26" ht="15.75" customHeight="1" x14ac:dyDescent="0.2">
      <c r="A1020" s="12"/>
      <c r="B1020" s="10"/>
      <c r="C1020" s="11"/>
      <c r="D1020" s="13"/>
      <c r="E1020" s="13"/>
      <c r="F1020" s="13"/>
      <c r="G1020" s="2"/>
      <c r="H1020" s="2"/>
      <c r="I1020" s="13"/>
      <c r="J1020" s="13"/>
      <c r="K1020" s="13"/>
      <c r="L1020" s="14"/>
      <c r="M1020" s="4"/>
      <c r="N1020" s="2"/>
      <c r="O1020" s="4"/>
      <c r="P1020" s="2"/>
      <c r="Q1020" s="2"/>
      <c r="R1020" s="4"/>
      <c r="S1020" s="2"/>
      <c r="T1020" s="2"/>
      <c r="U1020" s="1"/>
      <c r="V1020" s="2"/>
      <c r="W1020" s="2"/>
      <c r="X1020" s="2"/>
      <c r="Y1020" s="2"/>
      <c r="Z1020" s="2"/>
    </row>
    <row r="1021" spans="1:26" ht="15.75" customHeight="1" x14ac:dyDescent="0.2">
      <c r="A1021" s="12"/>
      <c r="B1021" s="10"/>
      <c r="C1021" s="11"/>
      <c r="D1021" s="13"/>
      <c r="E1021" s="13"/>
      <c r="F1021" s="13"/>
      <c r="G1021" s="2"/>
      <c r="H1021" s="2"/>
      <c r="I1021" s="13"/>
      <c r="J1021" s="13"/>
      <c r="K1021" s="13"/>
      <c r="L1021" s="14"/>
      <c r="M1021" s="4"/>
      <c r="N1021" s="2"/>
      <c r="O1021" s="4"/>
      <c r="P1021" s="2"/>
      <c r="Q1021" s="2"/>
      <c r="R1021" s="4"/>
      <c r="S1021" s="2"/>
      <c r="T1021" s="2"/>
      <c r="U1021" s="1"/>
      <c r="V1021" s="2"/>
      <c r="W1021" s="2"/>
      <c r="X1021" s="2"/>
      <c r="Y1021" s="2"/>
      <c r="Z1021" s="2"/>
    </row>
    <row r="1022" spans="1:26" ht="15.75" customHeight="1" x14ac:dyDescent="0.2">
      <c r="A1022" s="12"/>
      <c r="B1022" s="10"/>
      <c r="C1022" s="11"/>
      <c r="D1022" s="13"/>
      <c r="E1022" s="13"/>
      <c r="F1022" s="13"/>
      <c r="G1022" s="2"/>
      <c r="H1022" s="2"/>
      <c r="I1022" s="13"/>
      <c r="J1022" s="13"/>
      <c r="K1022" s="13"/>
      <c r="L1022" s="14"/>
      <c r="M1022" s="4"/>
      <c r="N1022" s="2"/>
      <c r="O1022" s="4"/>
      <c r="P1022" s="2"/>
      <c r="Q1022" s="2"/>
      <c r="R1022" s="4"/>
      <c r="S1022" s="2"/>
      <c r="T1022" s="2"/>
      <c r="U1022" s="1"/>
      <c r="V1022" s="2"/>
      <c r="W1022" s="2"/>
      <c r="X1022" s="2"/>
      <c r="Y1022" s="2"/>
      <c r="Z1022" s="2"/>
    </row>
    <row r="1023" spans="1:26" ht="15.75" customHeight="1" x14ac:dyDescent="0.2">
      <c r="A1023" s="12"/>
      <c r="B1023" s="10"/>
      <c r="C1023" s="11"/>
      <c r="D1023" s="13"/>
      <c r="E1023" s="13"/>
      <c r="F1023" s="13"/>
      <c r="G1023" s="2"/>
      <c r="H1023" s="2"/>
      <c r="I1023" s="13"/>
      <c r="J1023" s="13"/>
      <c r="K1023" s="13"/>
      <c r="L1023" s="14"/>
      <c r="M1023" s="4"/>
      <c r="N1023" s="2"/>
      <c r="O1023" s="4"/>
      <c r="P1023" s="2"/>
      <c r="Q1023" s="2"/>
      <c r="R1023" s="4"/>
      <c r="S1023" s="2"/>
      <c r="T1023" s="2"/>
      <c r="U1023" s="1"/>
      <c r="V1023" s="2"/>
      <c r="W1023" s="2"/>
      <c r="X1023" s="2"/>
      <c r="Y1023" s="2"/>
      <c r="Z1023" s="2"/>
    </row>
    <row r="1024" spans="1:26" ht="15.75" customHeight="1" x14ac:dyDescent="0.2">
      <c r="A1024" s="12"/>
      <c r="B1024" s="10"/>
      <c r="C1024" s="11"/>
      <c r="D1024" s="13"/>
      <c r="E1024" s="13"/>
      <c r="F1024" s="13"/>
      <c r="G1024" s="2"/>
      <c r="H1024" s="2"/>
      <c r="I1024" s="13"/>
      <c r="J1024" s="13"/>
      <c r="K1024" s="13"/>
      <c r="L1024" s="14"/>
      <c r="M1024" s="4"/>
      <c r="N1024" s="2"/>
      <c r="O1024" s="4"/>
      <c r="P1024" s="2"/>
      <c r="Q1024" s="2"/>
      <c r="R1024" s="4"/>
      <c r="S1024" s="2"/>
      <c r="T1024" s="2"/>
      <c r="U1024" s="1"/>
      <c r="V1024" s="2"/>
      <c r="W1024" s="2"/>
      <c r="X1024" s="2"/>
      <c r="Y1024" s="2"/>
      <c r="Z1024" s="2"/>
    </row>
    <row r="1025" spans="1:26" ht="15.75" customHeight="1" x14ac:dyDescent="0.2">
      <c r="A1025" s="12"/>
      <c r="B1025" s="10"/>
      <c r="C1025" s="11"/>
      <c r="D1025" s="13"/>
      <c r="E1025" s="13"/>
      <c r="F1025" s="13"/>
      <c r="G1025" s="2"/>
      <c r="H1025" s="2"/>
      <c r="I1025" s="13"/>
      <c r="J1025" s="13"/>
      <c r="K1025" s="13"/>
      <c r="L1025" s="14"/>
      <c r="M1025" s="4"/>
      <c r="N1025" s="2"/>
      <c r="O1025" s="4"/>
      <c r="P1025" s="2"/>
      <c r="Q1025" s="2"/>
      <c r="R1025" s="4"/>
      <c r="S1025" s="2"/>
      <c r="T1025" s="2"/>
      <c r="U1025" s="1"/>
      <c r="V1025" s="2"/>
      <c r="W1025" s="2"/>
      <c r="X1025" s="2"/>
      <c r="Y1025" s="2"/>
      <c r="Z1025" s="2"/>
    </row>
    <row r="1026" spans="1:26" ht="15.75" customHeight="1" x14ac:dyDescent="0.2">
      <c r="A1026" s="12"/>
      <c r="B1026" s="10"/>
      <c r="C1026" s="11"/>
      <c r="D1026" s="13"/>
      <c r="E1026" s="13"/>
      <c r="F1026" s="13"/>
      <c r="G1026" s="2"/>
      <c r="H1026" s="2"/>
      <c r="I1026" s="13"/>
      <c r="J1026" s="13"/>
      <c r="K1026" s="13"/>
      <c r="L1026" s="14"/>
      <c r="M1026" s="4"/>
      <c r="N1026" s="2"/>
      <c r="O1026" s="4"/>
      <c r="P1026" s="2"/>
      <c r="Q1026" s="2"/>
      <c r="R1026" s="4"/>
      <c r="S1026" s="2"/>
      <c r="T1026" s="2"/>
      <c r="U1026" s="1"/>
      <c r="V1026" s="2"/>
      <c r="W1026" s="2"/>
      <c r="X1026" s="2"/>
      <c r="Y1026" s="2"/>
      <c r="Z1026" s="2"/>
    </row>
    <row r="1027" spans="1:26" ht="15.75" customHeight="1" x14ac:dyDescent="0.2">
      <c r="A1027" s="12"/>
      <c r="B1027" s="10"/>
      <c r="C1027" s="11"/>
      <c r="D1027" s="13"/>
      <c r="E1027" s="13"/>
      <c r="F1027" s="13"/>
      <c r="G1027" s="2"/>
      <c r="H1027" s="2"/>
      <c r="I1027" s="13"/>
      <c r="J1027" s="13"/>
      <c r="K1027" s="13"/>
      <c r="L1027" s="14"/>
      <c r="M1027" s="4"/>
      <c r="N1027" s="2"/>
      <c r="O1027" s="4"/>
      <c r="P1027" s="2"/>
      <c r="Q1027" s="2"/>
      <c r="R1027" s="4"/>
      <c r="S1027" s="2"/>
      <c r="T1027" s="2"/>
      <c r="U1027" s="1"/>
      <c r="V1027" s="2"/>
      <c r="W1027" s="2"/>
      <c r="X1027" s="2"/>
      <c r="Y1027" s="2"/>
      <c r="Z1027" s="2"/>
    </row>
    <row r="1028" spans="1:26" ht="15.75" customHeight="1" x14ac:dyDescent="0.2">
      <c r="A1028" s="12"/>
      <c r="B1028" s="10"/>
      <c r="C1028" s="11"/>
      <c r="D1028" s="13"/>
      <c r="E1028" s="13"/>
      <c r="F1028" s="13"/>
      <c r="G1028" s="2"/>
      <c r="H1028" s="2"/>
      <c r="I1028" s="13"/>
      <c r="J1028" s="13"/>
      <c r="K1028" s="13"/>
      <c r="L1028" s="14"/>
      <c r="M1028" s="4"/>
      <c r="N1028" s="2"/>
      <c r="O1028" s="4"/>
      <c r="P1028" s="2"/>
      <c r="Q1028" s="2"/>
      <c r="R1028" s="4"/>
      <c r="S1028" s="2"/>
      <c r="T1028" s="2"/>
      <c r="U1028" s="1"/>
      <c r="V1028" s="2"/>
      <c r="W1028" s="2"/>
      <c r="X1028" s="2"/>
      <c r="Y1028" s="2"/>
      <c r="Z1028" s="2"/>
    </row>
    <row r="1029" spans="1:26" ht="15.75" customHeight="1" x14ac:dyDescent="0.2">
      <c r="A1029" s="12"/>
      <c r="B1029" s="10"/>
      <c r="C1029" s="11"/>
      <c r="D1029" s="13"/>
      <c r="E1029" s="13"/>
      <c r="F1029" s="13"/>
      <c r="G1029" s="2"/>
      <c r="H1029" s="2"/>
      <c r="I1029" s="13"/>
      <c r="J1029" s="13"/>
      <c r="K1029" s="13"/>
      <c r="L1029" s="14"/>
      <c r="M1029" s="4"/>
      <c r="N1029" s="2"/>
      <c r="O1029" s="4"/>
      <c r="P1029" s="2"/>
      <c r="Q1029" s="2"/>
      <c r="R1029" s="4"/>
      <c r="S1029" s="2"/>
      <c r="T1029" s="2"/>
      <c r="U1029" s="1"/>
      <c r="V1029" s="2"/>
      <c r="W1029" s="2"/>
      <c r="X1029" s="2"/>
      <c r="Y1029" s="2"/>
      <c r="Z1029" s="2"/>
    </row>
    <row r="1030" spans="1:26" ht="15.75" customHeight="1" x14ac:dyDescent="0.2">
      <c r="A1030" s="12"/>
      <c r="B1030" s="10"/>
      <c r="C1030" s="11"/>
      <c r="D1030" s="13"/>
      <c r="E1030" s="13"/>
      <c r="F1030" s="13"/>
      <c r="G1030" s="2"/>
      <c r="H1030" s="2"/>
      <c r="I1030" s="13"/>
      <c r="J1030" s="13"/>
      <c r="K1030" s="13"/>
      <c r="L1030" s="14"/>
      <c r="M1030" s="4"/>
      <c r="N1030" s="2"/>
      <c r="O1030" s="4"/>
      <c r="P1030" s="2"/>
      <c r="Q1030" s="2"/>
      <c r="R1030" s="4"/>
      <c r="S1030" s="2"/>
      <c r="T1030" s="2"/>
      <c r="U1030" s="1"/>
      <c r="V1030" s="2"/>
      <c r="W1030" s="2"/>
      <c r="X1030" s="2"/>
      <c r="Y1030" s="2"/>
      <c r="Z1030" s="2"/>
    </row>
    <row r="1031" spans="1:26" ht="15.75" customHeight="1" x14ac:dyDescent="0.2">
      <c r="A1031" s="12"/>
      <c r="B1031" s="10"/>
      <c r="C1031" s="11"/>
      <c r="D1031" s="13"/>
      <c r="E1031" s="13"/>
      <c r="F1031" s="13"/>
      <c r="G1031" s="2"/>
      <c r="H1031" s="2"/>
      <c r="I1031" s="13"/>
      <c r="J1031" s="13"/>
      <c r="K1031" s="13"/>
      <c r="L1031" s="14"/>
      <c r="M1031" s="4"/>
      <c r="N1031" s="2"/>
      <c r="O1031" s="4"/>
      <c r="P1031" s="2"/>
      <c r="Q1031" s="2"/>
      <c r="R1031" s="4"/>
      <c r="S1031" s="2"/>
      <c r="T1031" s="2"/>
      <c r="U1031" s="1"/>
      <c r="V1031" s="2"/>
      <c r="W1031" s="2"/>
      <c r="X1031" s="2"/>
      <c r="Y1031" s="2"/>
      <c r="Z1031" s="2"/>
    </row>
    <row r="1032" spans="1:26" ht="15.75" customHeight="1" x14ac:dyDescent="0.2">
      <c r="A1032" s="12"/>
      <c r="B1032" s="10"/>
      <c r="C1032" s="11"/>
      <c r="D1032" s="13"/>
      <c r="E1032" s="13"/>
      <c r="F1032" s="13"/>
      <c r="G1032" s="2"/>
      <c r="H1032" s="2"/>
      <c r="I1032" s="13"/>
      <c r="J1032" s="13"/>
      <c r="K1032" s="13"/>
      <c r="L1032" s="14"/>
      <c r="M1032" s="4"/>
      <c r="N1032" s="2"/>
      <c r="O1032" s="4"/>
      <c r="P1032" s="2"/>
      <c r="Q1032" s="2"/>
      <c r="R1032" s="4"/>
      <c r="S1032" s="2"/>
      <c r="T1032" s="2"/>
      <c r="U1032" s="1"/>
      <c r="V1032" s="2"/>
      <c r="W1032" s="2"/>
      <c r="X1032" s="2"/>
      <c r="Y1032" s="2"/>
      <c r="Z1032" s="2"/>
    </row>
    <row r="1033" spans="1:26" ht="15.75" customHeight="1" x14ac:dyDescent="0.2">
      <c r="A1033" s="12"/>
      <c r="B1033" s="10"/>
      <c r="C1033" s="11"/>
      <c r="D1033" s="13"/>
      <c r="E1033" s="13"/>
      <c r="F1033" s="13"/>
      <c r="G1033" s="2"/>
      <c r="H1033" s="2"/>
      <c r="I1033" s="13"/>
      <c r="J1033" s="13"/>
      <c r="K1033" s="13"/>
      <c r="L1033" s="14"/>
      <c r="M1033" s="4"/>
      <c r="N1033" s="2"/>
      <c r="O1033" s="4"/>
      <c r="P1033" s="2"/>
      <c r="Q1033" s="2"/>
      <c r="R1033" s="4"/>
      <c r="S1033" s="2"/>
      <c r="T1033" s="2"/>
      <c r="U1033" s="1"/>
      <c r="V1033" s="2"/>
      <c r="W1033" s="2"/>
      <c r="X1033" s="2"/>
      <c r="Y1033" s="2"/>
      <c r="Z1033" s="2"/>
    </row>
    <row r="1034" spans="1:26" ht="15.75" customHeight="1" x14ac:dyDescent="0.2">
      <c r="A1034" s="12"/>
      <c r="B1034" s="10"/>
      <c r="C1034" s="11"/>
      <c r="D1034" s="13"/>
      <c r="E1034" s="13"/>
      <c r="F1034" s="13"/>
      <c r="G1034" s="2"/>
      <c r="H1034" s="2"/>
      <c r="I1034" s="13"/>
      <c r="J1034" s="13"/>
      <c r="K1034" s="13"/>
      <c r="L1034" s="14"/>
      <c r="M1034" s="4"/>
      <c r="N1034" s="2"/>
      <c r="O1034" s="4"/>
      <c r="P1034" s="2"/>
      <c r="Q1034" s="2"/>
      <c r="R1034" s="4"/>
      <c r="S1034" s="2"/>
      <c r="T1034" s="2"/>
      <c r="U1034" s="1"/>
      <c r="V1034" s="2"/>
      <c r="W1034" s="2"/>
      <c r="X1034" s="2"/>
      <c r="Y1034" s="2"/>
      <c r="Z1034" s="2"/>
    </row>
    <row r="1035" spans="1:26" ht="15.75" customHeight="1" x14ac:dyDescent="0.2">
      <c r="A1035" s="12"/>
      <c r="B1035" s="10"/>
      <c r="C1035" s="11"/>
      <c r="D1035" s="13"/>
      <c r="E1035" s="13"/>
      <c r="F1035" s="13"/>
      <c r="G1035" s="2"/>
      <c r="H1035" s="2"/>
      <c r="I1035" s="13"/>
      <c r="J1035" s="13"/>
      <c r="K1035" s="13"/>
      <c r="L1035" s="14"/>
      <c r="M1035" s="4"/>
      <c r="N1035" s="2"/>
      <c r="O1035" s="4"/>
      <c r="P1035" s="2"/>
      <c r="Q1035" s="2"/>
      <c r="R1035" s="4"/>
      <c r="S1035" s="2"/>
      <c r="T1035" s="2"/>
      <c r="U1035" s="1"/>
      <c r="V1035" s="2"/>
      <c r="W1035" s="2"/>
      <c r="X1035" s="2"/>
      <c r="Y1035" s="2"/>
      <c r="Z1035" s="2"/>
    </row>
    <row r="1036" spans="1:26" ht="15.75" customHeight="1" x14ac:dyDescent="0.2">
      <c r="A1036" s="12"/>
      <c r="B1036" s="10"/>
      <c r="C1036" s="11"/>
      <c r="D1036" s="13"/>
      <c r="E1036" s="13"/>
      <c r="F1036" s="13"/>
      <c r="G1036" s="2"/>
      <c r="H1036" s="2"/>
      <c r="I1036" s="13"/>
      <c r="J1036" s="13"/>
      <c r="K1036" s="13"/>
      <c r="L1036" s="14"/>
      <c r="M1036" s="4"/>
      <c r="N1036" s="2"/>
      <c r="O1036" s="4"/>
      <c r="P1036" s="2"/>
      <c r="Q1036" s="2"/>
      <c r="R1036" s="4"/>
      <c r="S1036" s="2"/>
      <c r="T1036" s="2"/>
      <c r="U1036" s="1"/>
      <c r="V1036" s="2"/>
      <c r="W1036" s="2"/>
      <c r="X1036" s="2"/>
      <c r="Y1036" s="2"/>
      <c r="Z1036" s="2"/>
    </row>
    <row r="1037" spans="1:26" ht="15.75" customHeight="1" x14ac:dyDescent="0.2">
      <c r="A1037" s="12"/>
      <c r="B1037" s="10"/>
      <c r="C1037" s="11"/>
      <c r="D1037" s="13"/>
      <c r="E1037" s="13"/>
      <c r="F1037" s="13"/>
      <c r="G1037" s="2"/>
      <c r="H1037" s="2"/>
      <c r="I1037" s="13"/>
      <c r="J1037" s="13"/>
      <c r="K1037" s="13"/>
      <c r="L1037" s="14"/>
      <c r="M1037" s="4"/>
      <c r="N1037" s="2"/>
      <c r="O1037" s="4"/>
      <c r="P1037" s="2"/>
      <c r="Q1037" s="2"/>
      <c r="R1037" s="4"/>
      <c r="S1037" s="2"/>
      <c r="T1037" s="2"/>
      <c r="U1037" s="1"/>
      <c r="V1037" s="2"/>
      <c r="W1037" s="2"/>
      <c r="X1037" s="2"/>
      <c r="Y1037" s="2"/>
      <c r="Z1037" s="2"/>
    </row>
    <row r="1038" spans="1:26" ht="15.75" customHeight="1" x14ac:dyDescent="0.2">
      <c r="A1038" s="12"/>
      <c r="B1038" s="10"/>
      <c r="C1038" s="11"/>
      <c r="D1038" s="13"/>
      <c r="E1038" s="13"/>
      <c r="F1038" s="13"/>
      <c r="G1038" s="2"/>
      <c r="H1038" s="2"/>
      <c r="I1038" s="13"/>
      <c r="J1038" s="13"/>
      <c r="K1038" s="13"/>
      <c r="L1038" s="14"/>
      <c r="M1038" s="4"/>
      <c r="N1038" s="2"/>
      <c r="O1038" s="4"/>
      <c r="P1038" s="2"/>
      <c r="Q1038" s="2"/>
      <c r="R1038" s="4"/>
      <c r="S1038" s="2"/>
      <c r="T1038" s="2"/>
      <c r="U1038" s="1"/>
      <c r="V1038" s="2"/>
      <c r="W1038" s="2"/>
      <c r="X1038" s="2"/>
      <c r="Y1038" s="2"/>
      <c r="Z1038" s="2"/>
    </row>
    <row r="1039" spans="1:26" ht="15.75" customHeight="1" x14ac:dyDescent="0.2">
      <c r="A1039" s="12"/>
      <c r="B1039" s="10"/>
      <c r="C1039" s="11"/>
      <c r="D1039" s="13"/>
      <c r="E1039" s="13"/>
      <c r="F1039" s="13"/>
      <c r="G1039" s="2"/>
      <c r="H1039" s="2"/>
      <c r="I1039" s="13"/>
      <c r="J1039" s="13"/>
      <c r="K1039" s="13"/>
      <c r="L1039" s="14"/>
      <c r="M1039" s="4"/>
      <c r="N1039" s="2"/>
      <c r="O1039" s="4"/>
      <c r="P1039" s="2"/>
      <c r="Q1039" s="2"/>
      <c r="R1039" s="4"/>
      <c r="S1039" s="2"/>
      <c r="T1039" s="2"/>
      <c r="U1039" s="1"/>
      <c r="V1039" s="2"/>
      <c r="W1039" s="2"/>
      <c r="X1039" s="2"/>
      <c r="Y1039" s="2"/>
      <c r="Z1039" s="2"/>
    </row>
    <row r="1040" spans="1:26" ht="15.75" customHeight="1" x14ac:dyDescent="0.2">
      <c r="A1040" s="12"/>
      <c r="B1040" s="10"/>
      <c r="C1040" s="11"/>
      <c r="D1040" s="13"/>
      <c r="E1040" s="13"/>
      <c r="F1040" s="13"/>
      <c r="G1040" s="2"/>
      <c r="H1040" s="2"/>
      <c r="I1040" s="13"/>
      <c r="J1040" s="13"/>
      <c r="K1040" s="13"/>
      <c r="L1040" s="14"/>
      <c r="M1040" s="4"/>
      <c r="N1040" s="2"/>
      <c r="O1040" s="4"/>
      <c r="P1040" s="2"/>
      <c r="Q1040" s="2"/>
      <c r="R1040" s="4"/>
      <c r="S1040" s="2"/>
      <c r="T1040" s="2"/>
      <c r="U1040" s="1"/>
      <c r="V1040" s="2"/>
      <c r="W1040" s="2"/>
      <c r="X1040" s="2"/>
      <c r="Y1040" s="2"/>
      <c r="Z1040" s="2"/>
    </row>
    <row r="1041" spans="1:26" ht="15.75" customHeight="1" x14ac:dyDescent="0.2">
      <c r="A1041" s="12"/>
      <c r="B1041" s="10"/>
      <c r="C1041" s="11"/>
      <c r="D1041" s="13"/>
      <c r="E1041" s="13"/>
      <c r="F1041" s="13"/>
      <c r="G1041" s="2"/>
      <c r="H1041" s="2"/>
      <c r="I1041" s="13"/>
      <c r="J1041" s="13"/>
      <c r="K1041" s="13"/>
      <c r="L1041" s="14"/>
      <c r="M1041" s="4"/>
      <c r="N1041" s="2"/>
      <c r="O1041" s="4"/>
      <c r="P1041" s="2"/>
      <c r="Q1041" s="2"/>
      <c r="R1041" s="4"/>
      <c r="S1041" s="2"/>
      <c r="T1041" s="2"/>
      <c r="U1041" s="1"/>
      <c r="V1041" s="2"/>
      <c r="W1041" s="2"/>
      <c r="X1041" s="2"/>
      <c r="Y1041" s="2"/>
      <c r="Z1041" s="2"/>
    </row>
    <row r="1042" spans="1:26" ht="15.75" customHeight="1" x14ac:dyDescent="0.2">
      <c r="A1042" s="12"/>
      <c r="B1042" s="10"/>
      <c r="C1042" s="11"/>
      <c r="D1042" s="13"/>
      <c r="E1042" s="13"/>
      <c r="F1042" s="13"/>
      <c r="G1042" s="2"/>
      <c r="H1042" s="2"/>
      <c r="I1042" s="13"/>
      <c r="J1042" s="13"/>
      <c r="K1042" s="13"/>
      <c r="L1042" s="14"/>
      <c r="M1042" s="4"/>
      <c r="N1042" s="2"/>
      <c r="O1042" s="4"/>
      <c r="P1042" s="2"/>
      <c r="Q1042" s="2"/>
      <c r="R1042" s="4"/>
      <c r="S1042" s="2"/>
      <c r="T1042" s="2"/>
      <c r="U1042" s="1"/>
      <c r="V1042" s="2"/>
      <c r="W1042" s="2"/>
      <c r="X1042" s="2"/>
      <c r="Y1042" s="2"/>
      <c r="Z1042" s="2"/>
    </row>
    <row r="1043" spans="1:26" ht="15.75" customHeight="1" x14ac:dyDescent="0.2">
      <c r="A1043" s="12"/>
      <c r="B1043" s="10"/>
      <c r="C1043" s="11"/>
      <c r="D1043" s="13"/>
      <c r="E1043" s="13"/>
      <c r="F1043" s="13"/>
      <c r="G1043" s="2"/>
      <c r="H1043" s="2"/>
      <c r="I1043" s="13"/>
      <c r="J1043" s="13"/>
      <c r="K1043" s="13"/>
      <c r="L1043" s="14"/>
      <c r="M1043" s="4"/>
      <c r="N1043" s="2"/>
      <c r="O1043" s="4"/>
      <c r="P1043" s="2"/>
      <c r="Q1043" s="2"/>
      <c r="R1043" s="4"/>
      <c r="S1043" s="2"/>
      <c r="T1043" s="2"/>
      <c r="U1043" s="1"/>
      <c r="V1043" s="2"/>
      <c r="W1043" s="2"/>
      <c r="X1043" s="2"/>
      <c r="Y1043" s="2"/>
      <c r="Z1043" s="2"/>
    </row>
    <row r="1044" spans="1:26" ht="15.75" customHeight="1" x14ac:dyDescent="0.2">
      <c r="A1044" s="12"/>
      <c r="B1044" s="10"/>
      <c r="C1044" s="11"/>
      <c r="D1044" s="13"/>
      <c r="E1044" s="13"/>
      <c r="F1044" s="13"/>
      <c r="G1044" s="2"/>
      <c r="H1044" s="2"/>
      <c r="I1044" s="13"/>
      <c r="J1044" s="13"/>
      <c r="K1044" s="13"/>
      <c r="L1044" s="14"/>
      <c r="M1044" s="4"/>
      <c r="N1044" s="2"/>
      <c r="O1044" s="4"/>
      <c r="P1044" s="2"/>
      <c r="Q1044" s="2"/>
      <c r="R1044" s="4"/>
      <c r="S1044" s="2"/>
      <c r="T1044" s="2"/>
      <c r="U1044" s="1"/>
      <c r="V1044" s="2"/>
      <c r="W1044" s="2"/>
      <c r="X1044" s="2"/>
      <c r="Y1044" s="2"/>
      <c r="Z1044" s="2"/>
    </row>
    <row r="1045" spans="1:26" ht="15.75" customHeight="1" x14ac:dyDescent="0.2">
      <c r="A1045" s="12"/>
      <c r="B1045" s="10"/>
      <c r="C1045" s="11"/>
      <c r="D1045" s="13"/>
      <c r="E1045" s="13"/>
      <c r="F1045" s="13"/>
      <c r="G1045" s="2"/>
      <c r="H1045" s="2"/>
      <c r="I1045" s="13"/>
      <c r="J1045" s="13"/>
      <c r="K1045" s="13"/>
      <c r="L1045" s="14"/>
      <c r="M1045" s="4"/>
      <c r="N1045" s="2"/>
      <c r="O1045" s="4"/>
      <c r="P1045" s="2"/>
      <c r="Q1045" s="2"/>
      <c r="R1045" s="4"/>
      <c r="S1045" s="2"/>
      <c r="T1045" s="2"/>
      <c r="U1045" s="1"/>
      <c r="V1045" s="2"/>
      <c r="W1045" s="2"/>
      <c r="X1045" s="2"/>
      <c r="Y1045" s="2"/>
      <c r="Z1045" s="2"/>
    </row>
    <row r="1046" spans="1:26" ht="15.75" customHeight="1" x14ac:dyDescent="0.2">
      <c r="A1046" s="12"/>
      <c r="B1046" s="10"/>
      <c r="C1046" s="11"/>
      <c r="D1046" s="13"/>
      <c r="E1046" s="13"/>
      <c r="F1046" s="13"/>
      <c r="G1046" s="2"/>
      <c r="H1046" s="2"/>
      <c r="I1046" s="13"/>
      <c r="J1046" s="13"/>
      <c r="K1046" s="13"/>
      <c r="L1046" s="14"/>
      <c r="M1046" s="4"/>
      <c r="N1046" s="2"/>
      <c r="O1046" s="4"/>
      <c r="P1046" s="2"/>
      <c r="Q1046" s="2"/>
      <c r="R1046" s="4"/>
      <c r="S1046" s="2"/>
      <c r="T1046" s="2"/>
      <c r="U1046" s="1"/>
      <c r="V1046" s="2"/>
      <c r="W1046" s="2"/>
      <c r="X1046" s="2"/>
      <c r="Y1046" s="2"/>
      <c r="Z1046" s="2"/>
    </row>
    <row r="1047" spans="1:26" ht="15.75" customHeight="1" x14ac:dyDescent="0.2">
      <c r="A1047" s="12"/>
      <c r="B1047" s="10"/>
      <c r="C1047" s="11"/>
      <c r="D1047" s="13"/>
      <c r="E1047" s="13"/>
      <c r="F1047" s="13"/>
      <c r="G1047" s="2"/>
      <c r="H1047" s="2"/>
      <c r="I1047" s="13"/>
      <c r="J1047" s="13"/>
      <c r="K1047" s="13"/>
      <c r="L1047" s="14"/>
      <c r="M1047" s="4"/>
      <c r="N1047" s="2"/>
      <c r="O1047" s="4"/>
      <c r="P1047" s="2"/>
      <c r="Q1047" s="2"/>
      <c r="R1047" s="4"/>
      <c r="S1047" s="2"/>
      <c r="T1047" s="2"/>
      <c r="U1047" s="1"/>
      <c r="V1047" s="2"/>
      <c r="W1047" s="2"/>
      <c r="X1047" s="2"/>
      <c r="Y1047" s="2"/>
      <c r="Z1047" s="2"/>
    </row>
    <row r="1048" spans="1:26" ht="15.75" customHeight="1" x14ac:dyDescent="0.2">
      <c r="A1048" s="12"/>
      <c r="B1048" s="10"/>
      <c r="C1048" s="11"/>
      <c r="D1048" s="13"/>
      <c r="E1048" s="13"/>
      <c r="F1048" s="13"/>
      <c r="G1048" s="2"/>
      <c r="H1048" s="2"/>
      <c r="I1048" s="13"/>
      <c r="J1048" s="13"/>
      <c r="K1048" s="13"/>
      <c r="L1048" s="14"/>
      <c r="M1048" s="4"/>
      <c r="N1048" s="2"/>
      <c r="O1048" s="4"/>
      <c r="P1048" s="2"/>
      <c r="Q1048" s="2"/>
      <c r="R1048" s="4"/>
      <c r="S1048" s="2"/>
      <c r="T1048" s="2"/>
      <c r="U1048" s="1"/>
      <c r="V1048" s="2"/>
      <c r="W1048" s="2"/>
      <c r="X1048" s="2"/>
      <c r="Y1048" s="2"/>
      <c r="Z1048" s="2"/>
    </row>
    <row r="1049" spans="1:26" ht="15.75" customHeight="1" x14ac:dyDescent="0.2">
      <c r="A1049" s="12"/>
      <c r="B1049" s="10"/>
      <c r="C1049" s="11"/>
      <c r="D1049" s="13"/>
      <c r="E1049" s="13"/>
      <c r="F1049" s="13"/>
      <c r="G1049" s="2"/>
      <c r="H1049" s="2"/>
      <c r="I1049" s="13"/>
      <c r="J1049" s="13"/>
      <c r="K1049" s="13"/>
      <c r="L1049" s="14"/>
      <c r="M1049" s="4"/>
      <c r="N1049" s="2"/>
      <c r="O1049" s="4"/>
      <c r="P1049" s="2"/>
      <c r="Q1049" s="2"/>
      <c r="R1049" s="4"/>
      <c r="S1049" s="2"/>
      <c r="T1049" s="2"/>
      <c r="U1049" s="1"/>
      <c r="V1049" s="2"/>
      <c r="W1049" s="2"/>
      <c r="X1049" s="2"/>
      <c r="Y1049" s="2"/>
      <c r="Z1049" s="2"/>
    </row>
    <row r="1050" spans="1:26" ht="15.75" customHeight="1" x14ac:dyDescent="0.2">
      <c r="A1050" s="12"/>
      <c r="B1050" s="10"/>
      <c r="C1050" s="11"/>
      <c r="D1050" s="13"/>
      <c r="E1050" s="13"/>
      <c r="F1050" s="13"/>
      <c r="G1050" s="2"/>
      <c r="H1050" s="2"/>
      <c r="I1050" s="13"/>
      <c r="J1050" s="13"/>
      <c r="K1050" s="13"/>
      <c r="L1050" s="14"/>
      <c r="M1050" s="4"/>
      <c r="N1050" s="2"/>
      <c r="O1050" s="4"/>
      <c r="P1050" s="2"/>
      <c r="Q1050" s="2"/>
      <c r="R1050" s="4"/>
      <c r="S1050" s="2"/>
      <c r="T1050" s="2"/>
      <c r="U1050" s="1"/>
      <c r="V1050" s="2"/>
      <c r="W1050" s="2"/>
      <c r="X1050" s="2"/>
      <c r="Y1050" s="2"/>
      <c r="Z1050" s="2"/>
    </row>
    <row r="1051" spans="1:26" ht="15.75" customHeight="1" x14ac:dyDescent="0.2">
      <c r="A1051" s="12"/>
      <c r="B1051" s="10"/>
      <c r="C1051" s="11"/>
      <c r="D1051" s="13"/>
      <c r="E1051" s="13"/>
      <c r="F1051" s="13"/>
      <c r="G1051" s="2"/>
      <c r="H1051" s="2"/>
      <c r="I1051" s="13"/>
      <c r="J1051" s="13"/>
      <c r="K1051" s="13"/>
      <c r="L1051" s="14"/>
      <c r="M1051" s="4"/>
      <c r="N1051" s="2"/>
      <c r="O1051" s="4"/>
      <c r="P1051" s="2"/>
      <c r="Q1051" s="2"/>
      <c r="R1051" s="4"/>
      <c r="S1051" s="2"/>
      <c r="T1051" s="2"/>
      <c r="U1051" s="1"/>
      <c r="V1051" s="2"/>
      <c r="W1051" s="2"/>
      <c r="X1051" s="2"/>
      <c r="Y1051" s="2"/>
      <c r="Z1051" s="2"/>
    </row>
    <row r="1052" spans="1:26" ht="15.75" customHeight="1" x14ac:dyDescent="0.2">
      <c r="A1052" s="12"/>
      <c r="B1052" s="10"/>
      <c r="C1052" s="11"/>
      <c r="D1052" s="13"/>
      <c r="E1052" s="13"/>
      <c r="F1052" s="13"/>
      <c r="G1052" s="2"/>
      <c r="H1052" s="2"/>
      <c r="I1052" s="13"/>
      <c r="J1052" s="13"/>
      <c r="K1052" s="13"/>
      <c r="L1052" s="14"/>
      <c r="M1052" s="4"/>
      <c r="N1052" s="2"/>
      <c r="O1052" s="4"/>
      <c r="P1052" s="2"/>
      <c r="Q1052" s="2"/>
      <c r="R1052" s="4"/>
      <c r="S1052" s="2"/>
      <c r="T1052" s="2"/>
      <c r="U1052" s="1"/>
      <c r="V1052" s="2"/>
      <c r="W1052" s="2"/>
      <c r="X1052" s="2"/>
      <c r="Y1052" s="2"/>
      <c r="Z1052" s="2"/>
    </row>
    <row r="1053" spans="1:26" ht="15.75" customHeight="1" x14ac:dyDescent="0.2">
      <c r="A1053" s="12"/>
      <c r="B1053" s="10"/>
      <c r="C1053" s="11"/>
      <c r="D1053" s="13"/>
      <c r="E1053" s="13"/>
      <c r="F1053" s="13"/>
      <c r="G1053" s="2"/>
      <c r="H1053" s="2"/>
      <c r="I1053" s="13"/>
      <c r="J1053" s="13"/>
      <c r="K1053" s="13"/>
      <c r="L1053" s="14"/>
      <c r="M1053" s="4"/>
      <c r="N1053" s="2"/>
      <c r="O1053" s="4"/>
      <c r="P1053" s="2"/>
      <c r="Q1053" s="2"/>
      <c r="R1053" s="4"/>
      <c r="S1053" s="2"/>
      <c r="T1053" s="2"/>
      <c r="U1053" s="1"/>
      <c r="V1053" s="2"/>
      <c r="W1053" s="2"/>
      <c r="X1053" s="2"/>
      <c r="Y1053" s="2"/>
      <c r="Z1053" s="2"/>
    </row>
    <row r="1054" spans="1:26" ht="15.75" customHeight="1" x14ac:dyDescent="0.2">
      <c r="A1054" s="12"/>
      <c r="B1054" s="10"/>
      <c r="C1054" s="11"/>
      <c r="D1054" s="13"/>
      <c r="E1054" s="13"/>
      <c r="F1054" s="13"/>
      <c r="G1054" s="2"/>
      <c r="H1054" s="2"/>
      <c r="I1054" s="13"/>
      <c r="J1054" s="13"/>
      <c r="K1054" s="13"/>
      <c r="L1054" s="14"/>
      <c r="M1054" s="4"/>
      <c r="N1054" s="2"/>
      <c r="O1054" s="4"/>
      <c r="P1054" s="2"/>
      <c r="Q1054" s="2"/>
      <c r="R1054" s="4"/>
      <c r="S1054" s="2"/>
      <c r="T1054" s="2"/>
      <c r="U1054" s="1"/>
      <c r="V1054" s="2"/>
      <c r="W1054" s="2"/>
      <c r="X1054" s="2"/>
      <c r="Y1054" s="2"/>
      <c r="Z1054" s="2"/>
    </row>
    <row r="1055" spans="1:26" ht="15.75" customHeight="1" x14ac:dyDescent="0.2">
      <c r="A1055" s="12"/>
      <c r="B1055" s="10"/>
      <c r="C1055" s="11"/>
      <c r="D1055" s="13"/>
      <c r="E1055" s="13"/>
      <c r="F1055" s="13"/>
      <c r="G1055" s="2"/>
      <c r="H1055" s="2"/>
      <c r="I1055" s="13"/>
      <c r="J1055" s="13"/>
      <c r="K1055" s="13"/>
      <c r="L1055" s="14"/>
      <c r="M1055" s="4"/>
      <c r="N1055" s="2"/>
      <c r="O1055" s="4"/>
      <c r="P1055" s="2"/>
      <c r="Q1055" s="2"/>
      <c r="R1055" s="4"/>
      <c r="S1055" s="2"/>
      <c r="T1055" s="2"/>
      <c r="U1055" s="1"/>
      <c r="V1055" s="2"/>
      <c r="W1055" s="2"/>
      <c r="X1055" s="2"/>
      <c r="Y1055" s="2"/>
      <c r="Z1055" s="2"/>
    </row>
    <row r="1056" spans="1:26" ht="15.75" customHeight="1" x14ac:dyDescent="0.2">
      <c r="A1056" s="12"/>
      <c r="B1056" s="10"/>
      <c r="C1056" s="11"/>
      <c r="D1056" s="13"/>
      <c r="E1056" s="13"/>
      <c r="F1056" s="13"/>
      <c r="G1056" s="2"/>
      <c r="H1056" s="2"/>
      <c r="I1056" s="13"/>
      <c r="J1056" s="13"/>
      <c r="K1056" s="13"/>
      <c r="L1056" s="14"/>
      <c r="M1056" s="4"/>
      <c r="N1056" s="2"/>
      <c r="O1056" s="4"/>
      <c r="P1056" s="2"/>
      <c r="Q1056" s="2"/>
      <c r="R1056" s="4"/>
      <c r="S1056" s="2"/>
      <c r="T1056" s="2"/>
      <c r="U1056" s="1"/>
      <c r="V1056" s="2"/>
      <c r="W1056" s="2"/>
      <c r="X1056" s="2"/>
      <c r="Y1056" s="2"/>
      <c r="Z1056" s="2"/>
    </row>
    <row r="1057" spans="1:26" ht="15.75" customHeight="1" x14ac:dyDescent="0.2">
      <c r="A1057" s="12"/>
      <c r="B1057" s="10"/>
      <c r="C1057" s="11"/>
      <c r="D1057" s="13"/>
      <c r="E1057" s="13"/>
      <c r="F1057" s="13"/>
      <c r="G1057" s="2"/>
      <c r="H1057" s="2"/>
      <c r="I1057" s="13"/>
      <c r="J1057" s="13"/>
      <c r="K1057" s="13"/>
      <c r="L1057" s="14"/>
      <c r="M1057" s="4"/>
      <c r="N1057" s="2"/>
      <c r="O1057" s="4"/>
      <c r="P1057" s="2"/>
      <c r="Q1057" s="2"/>
      <c r="R1057" s="4"/>
      <c r="S1057" s="2"/>
      <c r="T1057" s="2"/>
      <c r="U1057" s="1"/>
      <c r="V1057" s="2"/>
      <c r="W1057" s="2"/>
      <c r="X1057" s="2"/>
      <c r="Y1057" s="2"/>
      <c r="Z1057" s="2"/>
    </row>
    <row r="1058" spans="1:26" ht="15.75" customHeight="1" x14ac:dyDescent="0.2">
      <c r="A1058" s="12"/>
      <c r="B1058" s="10"/>
      <c r="C1058" s="11"/>
      <c r="D1058" s="13"/>
      <c r="E1058" s="13"/>
      <c r="F1058" s="13"/>
      <c r="G1058" s="2"/>
      <c r="H1058" s="2"/>
      <c r="I1058" s="13"/>
      <c r="J1058" s="13"/>
      <c r="K1058" s="13"/>
      <c r="L1058" s="14"/>
      <c r="M1058" s="4"/>
      <c r="N1058" s="2"/>
      <c r="O1058" s="4"/>
      <c r="P1058" s="2"/>
      <c r="Q1058" s="2"/>
      <c r="R1058" s="4"/>
      <c r="S1058" s="2"/>
      <c r="T1058" s="2"/>
      <c r="U1058" s="1"/>
      <c r="V1058" s="2"/>
      <c r="W1058" s="2"/>
      <c r="X1058" s="2"/>
      <c r="Y1058" s="2"/>
      <c r="Z1058" s="2"/>
    </row>
    <row r="1059" spans="1:26" ht="15.75" customHeight="1" x14ac:dyDescent="0.2">
      <c r="A1059" s="12"/>
      <c r="B1059" s="10"/>
      <c r="C1059" s="11"/>
      <c r="D1059" s="13"/>
      <c r="E1059" s="13"/>
      <c r="F1059" s="13"/>
      <c r="G1059" s="2"/>
      <c r="H1059" s="2"/>
      <c r="I1059" s="13"/>
      <c r="J1059" s="13"/>
      <c r="K1059" s="13"/>
      <c r="L1059" s="14"/>
      <c r="M1059" s="4"/>
      <c r="N1059" s="2"/>
      <c r="O1059" s="4"/>
      <c r="P1059" s="2"/>
      <c r="Q1059" s="2"/>
      <c r="R1059" s="4"/>
      <c r="S1059" s="2"/>
      <c r="T1059" s="2"/>
      <c r="U1059" s="1"/>
      <c r="V1059" s="2"/>
      <c r="W1059" s="2"/>
      <c r="X1059" s="2"/>
      <c r="Y1059" s="2"/>
      <c r="Z1059" s="2"/>
    </row>
    <row r="1060" spans="1:26" ht="15.75" customHeight="1" x14ac:dyDescent="0.2">
      <c r="A1060" s="12"/>
      <c r="B1060" s="10"/>
      <c r="C1060" s="11"/>
      <c r="D1060" s="13"/>
      <c r="E1060" s="13"/>
      <c r="F1060" s="13"/>
      <c r="G1060" s="2"/>
      <c r="H1060" s="2"/>
      <c r="I1060" s="13"/>
      <c r="J1060" s="13"/>
      <c r="K1060" s="13"/>
      <c r="L1060" s="14"/>
      <c r="M1060" s="4"/>
      <c r="N1060" s="2"/>
      <c r="O1060" s="4"/>
      <c r="P1060" s="2"/>
      <c r="Q1060" s="2"/>
      <c r="R1060" s="4"/>
      <c r="S1060" s="2"/>
      <c r="T1060" s="2"/>
      <c r="U1060" s="1"/>
      <c r="V1060" s="2"/>
      <c r="W1060" s="2"/>
      <c r="X1060" s="2"/>
      <c r="Y1060" s="2"/>
      <c r="Z1060" s="2"/>
    </row>
    <row r="1061" spans="1:26" ht="15.75" customHeight="1" x14ac:dyDescent="0.2">
      <c r="A1061" s="12"/>
      <c r="B1061" s="10"/>
      <c r="C1061" s="11"/>
      <c r="D1061" s="13"/>
      <c r="E1061" s="13"/>
      <c r="F1061" s="13"/>
      <c r="G1061" s="2"/>
      <c r="H1061" s="2"/>
      <c r="I1061" s="13"/>
      <c r="J1061" s="13"/>
      <c r="K1061" s="13"/>
      <c r="L1061" s="14"/>
      <c r="M1061" s="4"/>
      <c r="N1061" s="2"/>
      <c r="O1061" s="4"/>
      <c r="P1061" s="2"/>
      <c r="Q1061" s="2"/>
      <c r="R1061" s="4"/>
      <c r="S1061" s="2"/>
      <c r="T1061" s="2"/>
      <c r="U1061" s="1"/>
      <c r="V1061" s="2"/>
      <c r="W1061" s="2"/>
      <c r="X1061" s="2"/>
      <c r="Y1061" s="2"/>
      <c r="Z1061" s="2"/>
    </row>
    <row r="1062" spans="1:26" ht="15.75" customHeight="1" x14ac:dyDescent="0.2">
      <c r="A1062" s="12"/>
      <c r="B1062" s="10"/>
      <c r="C1062" s="11"/>
      <c r="D1062" s="13"/>
      <c r="E1062" s="13"/>
      <c r="F1062" s="13"/>
      <c r="G1062" s="2"/>
      <c r="H1062" s="2"/>
      <c r="I1062" s="13"/>
      <c r="J1062" s="13"/>
      <c r="K1062" s="13"/>
      <c r="L1062" s="14"/>
      <c r="M1062" s="4"/>
      <c r="N1062" s="2"/>
      <c r="O1062" s="4"/>
      <c r="P1062" s="2"/>
      <c r="Q1062" s="2"/>
      <c r="R1062" s="4"/>
      <c r="S1062" s="2"/>
      <c r="T1062" s="2"/>
      <c r="U1062" s="1"/>
      <c r="V1062" s="2"/>
      <c r="W1062" s="2"/>
      <c r="X1062" s="2"/>
      <c r="Y1062" s="2"/>
      <c r="Z1062" s="2"/>
    </row>
    <row r="1063" spans="1:26" ht="15.75" customHeight="1" x14ac:dyDescent="0.2">
      <c r="A1063" s="12"/>
      <c r="B1063" s="10"/>
      <c r="C1063" s="11"/>
      <c r="D1063" s="13"/>
      <c r="E1063" s="13"/>
      <c r="F1063" s="13"/>
      <c r="G1063" s="2"/>
      <c r="H1063" s="2"/>
      <c r="I1063" s="13"/>
      <c r="J1063" s="13"/>
      <c r="K1063" s="13"/>
      <c r="L1063" s="14"/>
      <c r="M1063" s="4"/>
      <c r="N1063" s="2"/>
      <c r="O1063" s="4"/>
      <c r="P1063" s="2"/>
      <c r="Q1063" s="2"/>
      <c r="R1063" s="4"/>
      <c r="S1063" s="2"/>
      <c r="T1063" s="2"/>
      <c r="U1063" s="1"/>
      <c r="V1063" s="2"/>
      <c r="W1063" s="2"/>
      <c r="X1063" s="2"/>
      <c r="Y1063" s="2"/>
      <c r="Z1063" s="2"/>
    </row>
    <row r="1064" spans="1:26" ht="15.75" customHeight="1" x14ac:dyDescent="0.2">
      <c r="A1064" s="12"/>
      <c r="B1064" s="10"/>
      <c r="C1064" s="11"/>
      <c r="D1064" s="13"/>
      <c r="E1064" s="13"/>
      <c r="F1064" s="13"/>
      <c r="G1064" s="2"/>
      <c r="H1064" s="2"/>
      <c r="I1064" s="13"/>
      <c r="J1064" s="13"/>
      <c r="K1064" s="13"/>
      <c r="L1064" s="14"/>
      <c r="M1064" s="4"/>
      <c r="N1064" s="2"/>
      <c r="O1064" s="4"/>
      <c r="P1064" s="2"/>
      <c r="Q1064" s="2"/>
      <c r="R1064" s="4"/>
      <c r="S1064" s="2"/>
      <c r="T1064" s="2"/>
      <c r="U1064" s="1"/>
      <c r="V1064" s="2"/>
      <c r="W1064" s="2"/>
      <c r="X1064" s="2"/>
      <c r="Y1064" s="2"/>
      <c r="Z1064" s="2"/>
    </row>
    <row r="1065" spans="1:26" ht="15.75" customHeight="1" x14ac:dyDescent="0.2">
      <c r="A1065" s="12"/>
      <c r="B1065" s="10"/>
      <c r="C1065" s="11"/>
      <c r="D1065" s="13"/>
      <c r="E1065" s="13"/>
      <c r="F1065" s="13"/>
      <c r="G1065" s="2"/>
      <c r="H1065" s="2"/>
      <c r="I1065" s="13"/>
      <c r="J1065" s="13"/>
      <c r="K1065" s="13"/>
      <c r="L1065" s="14"/>
      <c r="M1065" s="4"/>
      <c r="N1065" s="2"/>
      <c r="O1065" s="4"/>
      <c r="P1065" s="2"/>
      <c r="Q1065" s="2"/>
      <c r="R1065" s="4"/>
      <c r="S1065" s="2"/>
      <c r="T1065" s="2"/>
      <c r="U1065" s="1"/>
      <c r="V1065" s="2"/>
      <c r="W1065" s="2"/>
      <c r="X1065" s="2"/>
      <c r="Y1065" s="2"/>
      <c r="Z1065" s="2"/>
    </row>
    <row r="1066" spans="1:26" ht="15.75" customHeight="1" x14ac:dyDescent="0.2">
      <c r="A1066" s="12"/>
      <c r="B1066" s="10"/>
      <c r="C1066" s="11"/>
      <c r="D1066" s="13"/>
      <c r="E1066" s="13"/>
      <c r="F1066" s="13"/>
      <c r="G1066" s="2"/>
      <c r="H1066" s="2"/>
      <c r="I1066" s="13"/>
      <c r="J1066" s="13"/>
      <c r="K1066" s="13"/>
      <c r="L1066" s="14"/>
      <c r="M1066" s="4"/>
      <c r="N1066" s="2"/>
      <c r="O1066" s="4"/>
      <c r="P1066" s="2"/>
      <c r="Q1066" s="2"/>
      <c r="R1066" s="4"/>
      <c r="S1066" s="2"/>
      <c r="T1066" s="2"/>
      <c r="U1066" s="1"/>
      <c r="V1066" s="2"/>
      <c r="W1066" s="2"/>
      <c r="X1066" s="2"/>
      <c r="Y1066" s="2"/>
      <c r="Z1066" s="2"/>
    </row>
    <row r="1067" spans="1:26" ht="15.75" customHeight="1" x14ac:dyDescent="0.2">
      <c r="A1067" s="12"/>
      <c r="B1067" s="10"/>
      <c r="C1067" s="11"/>
      <c r="D1067" s="13"/>
      <c r="E1067" s="13"/>
      <c r="F1067" s="13"/>
      <c r="G1067" s="2"/>
      <c r="H1067" s="2"/>
      <c r="I1067" s="13"/>
      <c r="J1067" s="13"/>
      <c r="K1067" s="13"/>
      <c r="L1067" s="14"/>
      <c r="M1067" s="4"/>
      <c r="N1067" s="2"/>
      <c r="O1067" s="4"/>
      <c r="P1067" s="2"/>
      <c r="Q1067" s="2"/>
      <c r="R1067" s="4"/>
      <c r="S1067" s="2"/>
      <c r="T1067" s="2"/>
      <c r="U1067" s="1"/>
      <c r="V1067" s="2"/>
      <c r="W1067" s="2"/>
      <c r="X1067" s="2"/>
      <c r="Y1067" s="2"/>
      <c r="Z1067" s="2"/>
    </row>
    <row r="1068" spans="1:26" ht="15.75" customHeight="1" x14ac:dyDescent="0.2">
      <c r="A1068" s="12"/>
      <c r="B1068" s="10"/>
      <c r="C1068" s="11"/>
      <c r="D1068" s="13"/>
      <c r="E1068" s="13"/>
      <c r="F1068" s="13"/>
      <c r="G1068" s="2"/>
      <c r="H1068" s="2"/>
      <c r="I1068" s="13"/>
      <c r="J1068" s="13"/>
      <c r="K1068" s="13"/>
      <c r="L1068" s="14"/>
      <c r="M1068" s="4"/>
      <c r="N1068" s="2"/>
      <c r="O1068" s="4"/>
      <c r="P1068" s="2"/>
      <c r="Q1068" s="2"/>
      <c r="R1068" s="4"/>
      <c r="S1068" s="2"/>
      <c r="T1068" s="2"/>
      <c r="U1068" s="1"/>
      <c r="V1068" s="2"/>
      <c r="W1068" s="2"/>
      <c r="X1068" s="2"/>
      <c r="Y1068" s="2"/>
      <c r="Z1068" s="2"/>
    </row>
    <row r="1069" spans="1:26" ht="15.75" customHeight="1" x14ac:dyDescent="0.2">
      <c r="A1069" s="12"/>
      <c r="B1069" s="10"/>
      <c r="C1069" s="11"/>
      <c r="D1069" s="13"/>
      <c r="E1069" s="13"/>
      <c r="F1069" s="13"/>
      <c r="G1069" s="2"/>
      <c r="H1069" s="2"/>
      <c r="I1069" s="13"/>
      <c r="J1069" s="13"/>
      <c r="K1069" s="13"/>
      <c r="L1069" s="14"/>
      <c r="M1069" s="4"/>
      <c r="N1069" s="2"/>
      <c r="O1069" s="4"/>
      <c r="P1069" s="2"/>
      <c r="Q1069" s="2"/>
      <c r="R1069" s="4"/>
      <c r="S1069" s="2"/>
      <c r="T1069" s="2"/>
      <c r="U1069" s="1"/>
      <c r="V1069" s="2"/>
      <c r="W1069" s="2"/>
      <c r="X1069" s="2"/>
      <c r="Y1069" s="2"/>
      <c r="Z1069" s="2"/>
    </row>
    <row r="1070" spans="1:26" ht="15.75" customHeight="1" x14ac:dyDescent="0.2">
      <c r="A1070" s="12"/>
      <c r="B1070" s="10"/>
      <c r="C1070" s="11"/>
      <c r="D1070" s="13"/>
      <c r="E1070" s="13"/>
      <c r="F1070" s="13"/>
      <c r="G1070" s="2"/>
      <c r="H1070" s="2"/>
      <c r="I1070" s="13"/>
      <c r="J1070" s="13"/>
      <c r="K1070" s="13"/>
      <c r="L1070" s="14"/>
      <c r="M1070" s="4"/>
      <c r="N1070" s="2"/>
      <c r="O1070" s="4"/>
      <c r="P1070" s="2"/>
      <c r="Q1070" s="2"/>
      <c r="R1070" s="4"/>
      <c r="S1070" s="2"/>
      <c r="T1070" s="2"/>
      <c r="U1070" s="1"/>
      <c r="V1070" s="2"/>
      <c r="W1070" s="2"/>
      <c r="X1070" s="2"/>
      <c r="Y1070" s="2"/>
      <c r="Z1070" s="2"/>
    </row>
    <row r="1071" spans="1:26" ht="15.75" customHeight="1" x14ac:dyDescent="0.2">
      <c r="A1071" s="12"/>
      <c r="B1071" s="10"/>
      <c r="C1071" s="11"/>
      <c r="D1071" s="13"/>
      <c r="E1071" s="13"/>
      <c r="F1071" s="13"/>
      <c r="G1071" s="2"/>
      <c r="H1071" s="2"/>
      <c r="I1071" s="13"/>
      <c r="J1071" s="13"/>
      <c r="K1071" s="13"/>
      <c r="L1071" s="14"/>
      <c r="M1071" s="4"/>
      <c r="N1071" s="2"/>
      <c r="O1071" s="4"/>
      <c r="P1071" s="2"/>
      <c r="Q1071" s="2"/>
      <c r="R1071" s="4"/>
      <c r="S1071" s="2"/>
      <c r="T1071" s="2"/>
      <c r="U1071" s="1"/>
      <c r="V1071" s="2"/>
      <c r="W1071" s="2"/>
      <c r="X1071" s="2"/>
      <c r="Y1071" s="2"/>
      <c r="Z1071" s="2"/>
    </row>
    <row r="1072" spans="1:26" ht="15.75" customHeight="1" x14ac:dyDescent="0.2">
      <c r="A1072" s="12"/>
      <c r="B1072" s="10"/>
      <c r="C1072" s="11"/>
      <c r="D1072" s="13"/>
      <c r="E1072" s="13"/>
      <c r="F1072" s="13"/>
      <c r="G1072" s="2"/>
      <c r="H1072" s="2"/>
      <c r="I1072" s="13"/>
      <c r="J1072" s="13"/>
      <c r="K1072" s="13"/>
      <c r="L1072" s="14"/>
      <c r="M1072" s="4"/>
      <c r="N1072" s="2"/>
      <c r="O1072" s="4"/>
      <c r="P1072" s="2"/>
      <c r="Q1072" s="2"/>
      <c r="R1072" s="4"/>
      <c r="S1072" s="2"/>
      <c r="T1072" s="2"/>
      <c r="U1072" s="1"/>
      <c r="V1072" s="2"/>
      <c r="W1072" s="2"/>
      <c r="X1072" s="2"/>
      <c r="Y1072" s="2"/>
      <c r="Z1072" s="2"/>
    </row>
    <row r="1073" spans="1:26" ht="15.75" customHeight="1" x14ac:dyDescent="0.2">
      <c r="A1073" s="12"/>
      <c r="B1073" s="10"/>
      <c r="C1073" s="11"/>
      <c r="D1073" s="13"/>
      <c r="E1073" s="13"/>
      <c r="F1073" s="13"/>
      <c r="G1073" s="2"/>
      <c r="H1073" s="2"/>
      <c r="I1073" s="13"/>
      <c r="J1073" s="13"/>
      <c r="K1073" s="13"/>
      <c r="L1073" s="14"/>
      <c r="M1073" s="4"/>
      <c r="N1073" s="2"/>
      <c r="O1073" s="4"/>
      <c r="P1073" s="2"/>
      <c r="Q1073" s="2"/>
      <c r="R1073" s="4"/>
      <c r="S1073" s="2"/>
      <c r="T1073" s="2"/>
      <c r="U1073" s="1"/>
      <c r="V1073" s="2"/>
      <c r="W1073" s="2"/>
      <c r="X1073" s="2"/>
      <c r="Y1073" s="2"/>
      <c r="Z1073" s="2"/>
    </row>
    <row r="1074" spans="1:26" ht="15.75" customHeight="1" x14ac:dyDescent="0.2">
      <c r="A1074" s="12"/>
      <c r="B1074" s="10"/>
      <c r="C1074" s="11"/>
      <c r="D1074" s="13"/>
      <c r="E1074" s="13"/>
      <c r="F1074" s="13"/>
      <c r="G1074" s="2"/>
      <c r="H1074" s="2"/>
      <c r="I1074" s="13"/>
      <c r="J1074" s="13"/>
      <c r="K1074" s="13"/>
      <c r="L1074" s="14"/>
      <c r="M1074" s="4"/>
      <c r="N1074" s="2"/>
      <c r="O1074" s="4"/>
      <c r="P1074" s="2"/>
      <c r="Q1074" s="2"/>
      <c r="R1074" s="4"/>
      <c r="S1074" s="2"/>
      <c r="T1074" s="2"/>
      <c r="U1074" s="1"/>
      <c r="V1074" s="2"/>
      <c r="W1074" s="2"/>
      <c r="X1074" s="2"/>
      <c r="Y1074" s="2"/>
      <c r="Z1074" s="2"/>
    </row>
    <row r="1075" spans="1:26" ht="15.75" customHeight="1" x14ac:dyDescent="0.2">
      <c r="A1075" s="12"/>
      <c r="B1075" s="10"/>
      <c r="C1075" s="11"/>
      <c r="D1075" s="13"/>
      <c r="E1075" s="13"/>
      <c r="F1075" s="13"/>
      <c r="G1075" s="2"/>
      <c r="H1075" s="2"/>
      <c r="I1075" s="13"/>
      <c r="J1075" s="13"/>
      <c r="K1075" s="13"/>
      <c r="L1075" s="14"/>
      <c r="M1075" s="4"/>
      <c r="N1075" s="2"/>
      <c r="O1075" s="4"/>
      <c r="P1075" s="2"/>
      <c r="Q1075" s="2"/>
      <c r="R1075" s="4"/>
      <c r="S1075" s="2"/>
      <c r="T1075" s="2"/>
      <c r="U1075" s="1"/>
      <c r="V1075" s="2"/>
      <c r="W1075" s="2"/>
      <c r="X1075" s="2"/>
      <c r="Y1075" s="2"/>
      <c r="Z1075" s="2"/>
    </row>
    <row r="1076" spans="1:26" ht="15.75" customHeight="1" x14ac:dyDescent="0.2">
      <c r="A1076" s="12"/>
      <c r="B1076" s="10"/>
      <c r="C1076" s="11"/>
      <c r="D1076" s="13"/>
      <c r="E1076" s="13"/>
      <c r="F1076" s="13"/>
      <c r="G1076" s="2"/>
      <c r="H1076" s="2"/>
      <c r="I1076" s="13"/>
      <c r="J1076" s="13"/>
      <c r="K1076" s="13"/>
      <c r="L1076" s="14"/>
      <c r="M1076" s="4"/>
      <c r="N1076" s="2"/>
      <c r="O1076" s="4"/>
      <c r="P1076" s="2"/>
      <c r="Q1076" s="2"/>
      <c r="R1076" s="4"/>
      <c r="S1076" s="2"/>
      <c r="T1076" s="2"/>
      <c r="U1076" s="1"/>
      <c r="V1076" s="2"/>
      <c r="W1076" s="2"/>
      <c r="X1076" s="2"/>
      <c r="Y1076" s="2"/>
      <c r="Z1076" s="2"/>
    </row>
    <row r="1077" spans="1:26" ht="15.75" customHeight="1" x14ac:dyDescent="0.2">
      <c r="A1077" s="12"/>
      <c r="B1077" s="10"/>
      <c r="C1077" s="11"/>
      <c r="D1077" s="13"/>
      <c r="E1077" s="13"/>
      <c r="F1077" s="13"/>
      <c r="G1077" s="2"/>
      <c r="H1077" s="2"/>
      <c r="I1077" s="13"/>
      <c r="J1077" s="13"/>
      <c r="K1077" s="13"/>
      <c r="L1077" s="14"/>
      <c r="M1077" s="4"/>
      <c r="N1077" s="2"/>
      <c r="O1077" s="4"/>
      <c r="P1077" s="2"/>
      <c r="Q1077" s="2"/>
      <c r="R1077" s="4"/>
      <c r="S1077" s="2"/>
      <c r="T1077" s="2"/>
      <c r="U1077" s="1"/>
      <c r="V1077" s="2"/>
      <c r="W1077" s="2"/>
      <c r="X1077" s="2"/>
      <c r="Y1077" s="2"/>
      <c r="Z1077" s="2"/>
    </row>
    <row r="1078" spans="1:26" ht="15.75" customHeight="1" x14ac:dyDescent="0.2">
      <c r="A1078" s="12"/>
      <c r="B1078" s="10"/>
      <c r="C1078" s="11"/>
      <c r="D1078" s="13"/>
      <c r="E1078" s="13"/>
      <c r="F1078" s="13"/>
      <c r="G1078" s="2"/>
      <c r="H1078" s="2"/>
      <c r="I1078" s="13"/>
      <c r="J1078" s="13"/>
      <c r="K1078" s="13"/>
      <c r="L1078" s="14"/>
      <c r="M1078" s="4"/>
      <c r="N1078" s="2"/>
      <c r="O1078" s="4"/>
      <c r="P1078" s="2"/>
      <c r="Q1078" s="2"/>
      <c r="R1078" s="4"/>
      <c r="S1078" s="2"/>
      <c r="T1078" s="2"/>
      <c r="U1078" s="1"/>
      <c r="V1078" s="2"/>
      <c r="W1078" s="2"/>
      <c r="X1078" s="2"/>
      <c r="Y1078" s="2"/>
      <c r="Z1078" s="2"/>
    </row>
    <row r="1079" spans="1:26" ht="15.75" customHeight="1" x14ac:dyDescent="0.2">
      <c r="A1079" s="12"/>
      <c r="B1079" s="10"/>
      <c r="C1079" s="11"/>
      <c r="D1079" s="13"/>
      <c r="E1079" s="13"/>
      <c r="F1079" s="13"/>
      <c r="G1079" s="2"/>
      <c r="H1079" s="2"/>
      <c r="I1079" s="13"/>
      <c r="J1079" s="13"/>
      <c r="K1079" s="13"/>
      <c r="L1079" s="14"/>
      <c r="M1079" s="4"/>
      <c r="N1079" s="2"/>
      <c r="O1079" s="4"/>
      <c r="P1079" s="2"/>
      <c r="Q1079" s="2"/>
      <c r="R1079" s="4"/>
      <c r="S1079" s="2"/>
      <c r="T1079" s="2"/>
      <c r="U1079" s="1"/>
      <c r="V1079" s="2"/>
      <c r="W1079" s="2"/>
      <c r="X1079" s="2"/>
      <c r="Y1079" s="2"/>
      <c r="Z1079" s="2"/>
    </row>
    <row r="1080" spans="1:26" ht="15.75" customHeight="1" x14ac:dyDescent="0.2">
      <c r="A1080" s="12"/>
      <c r="B1080" s="10"/>
      <c r="C1080" s="11"/>
      <c r="D1080" s="13"/>
      <c r="E1080" s="13"/>
      <c r="F1080" s="13"/>
      <c r="G1080" s="2"/>
      <c r="H1080" s="2"/>
      <c r="I1080" s="13"/>
      <c r="J1080" s="13"/>
      <c r="K1080" s="13"/>
      <c r="L1080" s="14"/>
      <c r="M1080" s="4"/>
      <c r="N1080" s="2"/>
      <c r="O1080" s="4"/>
      <c r="P1080" s="2"/>
      <c r="Q1080" s="2"/>
      <c r="R1080" s="4"/>
      <c r="S1080" s="2"/>
      <c r="T1080" s="2"/>
      <c r="U1080" s="1"/>
      <c r="V1080" s="2"/>
      <c r="W1080" s="2"/>
      <c r="X1080" s="2"/>
      <c r="Y1080" s="2"/>
      <c r="Z1080" s="2"/>
    </row>
    <row r="1081" spans="1:26" ht="15.75" customHeight="1" x14ac:dyDescent="0.2">
      <c r="A1081" s="12"/>
      <c r="B1081" s="10"/>
      <c r="C1081" s="11"/>
      <c r="D1081" s="13"/>
      <c r="E1081" s="13"/>
      <c r="F1081" s="13"/>
      <c r="G1081" s="2"/>
      <c r="H1081" s="2"/>
      <c r="I1081" s="13"/>
      <c r="J1081" s="13"/>
      <c r="K1081" s="13"/>
      <c r="L1081" s="14"/>
      <c r="M1081" s="4"/>
      <c r="N1081" s="2"/>
      <c r="O1081" s="4"/>
      <c r="P1081" s="2"/>
      <c r="Q1081" s="2"/>
      <c r="R1081" s="4"/>
      <c r="S1081" s="2"/>
      <c r="T1081" s="2"/>
      <c r="U1081" s="1"/>
      <c r="V1081" s="2"/>
      <c r="W1081" s="2"/>
      <c r="X1081" s="2"/>
      <c r="Y1081" s="2"/>
      <c r="Z1081" s="2"/>
    </row>
    <row r="1082" spans="1:26" ht="15.75" customHeight="1" x14ac:dyDescent="0.2">
      <c r="A1082" s="12"/>
      <c r="B1082" s="10"/>
      <c r="C1082" s="11"/>
      <c r="D1082" s="13"/>
      <c r="E1082" s="13"/>
      <c r="F1082" s="13"/>
      <c r="G1082" s="2"/>
      <c r="H1082" s="2"/>
      <c r="I1082" s="13"/>
      <c r="J1082" s="13"/>
      <c r="K1082" s="13"/>
      <c r="L1082" s="14"/>
      <c r="M1082" s="4"/>
      <c r="N1082" s="2"/>
      <c r="O1082" s="4"/>
      <c r="P1082" s="2"/>
      <c r="Q1082" s="2"/>
      <c r="R1082" s="4"/>
      <c r="S1082" s="2"/>
      <c r="T1082" s="2"/>
      <c r="U1082" s="1"/>
      <c r="V1082" s="2"/>
      <c r="W1082" s="2"/>
      <c r="X1082" s="2"/>
      <c r="Y1082" s="2"/>
      <c r="Z1082" s="2"/>
    </row>
    <row r="1083" spans="1:26" ht="15.75" customHeight="1" x14ac:dyDescent="0.2">
      <c r="A1083" s="12"/>
      <c r="B1083" s="10"/>
      <c r="C1083" s="11"/>
      <c r="D1083" s="13"/>
      <c r="E1083" s="13"/>
      <c r="F1083" s="13"/>
      <c r="G1083" s="2"/>
      <c r="H1083" s="2"/>
      <c r="I1083" s="13"/>
      <c r="J1083" s="13"/>
      <c r="K1083" s="13"/>
      <c r="L1083" s="14"/>
      <c r="M1083" s="4"/>
      <c r="N1083" s="2"/>
      <c r="O1083" s="4"/>
      <c r="P1083" s="2"/>
      <c r="Q1083" s="2"/>
      <c r="R1083" s="4"/>
      <c r="S1083" s="2"/>
      <c r="T1083" s="2"/>
      <c r="U1083" s="1"/>
      <c r="V1083" s="2"/>
      <c r="W1083" s="2"/>
      <c r="X1083" s="2"/>
      <c r="Y1083" s="2"/>
      <c r="Z1083" s="2"/>
    </row>
    <row r="1084" spans="1:26" ht="15.75" customHeight="1" x14ac:dyDescent="0.2">
      <c r="A1084" s="12"/>
      <c r="B1084" s="10"/>
      <c r="C1084" s="11"/>
      <c r="D1084" s="13"/>
      <c r="E1084" s="13"/>
      <c r="F1084" s="13"/>
      <c r="G1084" s="2"/>
      <c r="H1084" s="2"/>
      <c r="I1084" s="13"/>
      <c r="J1084" s="13"/>
      <c r="K1084" s="13"/>
      <c r="L1084" s="14"/>
      <c r="M1084" s="4"/>
      <c r="N1084" s="2"/>
      <c r="O1084" s="4"/>
      <c r="P1084" s="2"/>
      <c r="Q1084" s="2"/>
      <c r="R1084" s="4"/>
      <c r="S1084" s="2"/>
      <c r="T1084" s="2"/>
      <c r="U1084" s="1"/>
      <c r="V1084" s="2"/>
      <c r="W1084" s="2"/>
      <c r="X1084" s="2"/>
      <c r="Y1084" s="2"/>
      <c r="Z1084" s="2"/>
    </row>
    <row r="1085" spans="1:26" ht="15.75" customHeight="1" x14ac:dyDescent="0.2">
      <c r="A1085" s="12"/>
      <c r="B1085" s="10"/>
      <c r="C1085" s="11"/>
      <c r="D1085" s="13"/>
      <c r="E1085" s="13"/>
      <c r="F1085" s="13"/>
      <c r="G1085" s="2"/>
      <c r="H1085" s="2"/>
      <c r="I1085" s="13"/>
      <c r="J1085" s="13"/>
      <c r="K1085" s="13"/>
      <c r="L1085" s="14"/>
      <c r="M1085" s="4"/>
      <c r="N1085" s="2"/>
      <c r="O1085" s="4"/>
      <c r="P1085" s="2"/>
      <c r="Q1085" s="2"/>
      <c r="R1085" s="4"/>
      <c r="S1085" s="2"/>
      <c r="T1085" s="2"/>
      <c r="U1085" s="1"/>
      <c r="V1085" s="2"/>
      <c r="W1085" s="2"/>
      <c r="X1085" s="2"/>
      <c r="Y1085" s="2"/>
      <c r="Z1085" s="2"/>
    </row>
    <row r="1086" spans="1:26" ht="15.75" customHeight="1" x14ac:dyDescent="0.2">
      <c r="A1086" s="12"/>
      <c r="B1086" s="10"/>
      <c r="C1086" s="11"/>
      <c r="D1086" s="13"/>
      <c r="E1086" s="13"/>
      <c r="F1086" s="13"/>
      <c r="G1086" s="2"/>
      <c r="H1086" s="2"/>
      <c r="I1086" s="13"/>
      <c r="J1086" s="13"/>
      <c r="K1086" s="13"/>
      <c r="L1086" s="14"/>
      <c r="M1086" s="4"/>
      <c r="N1086" s="2"/>
      <c r="O1086" s="4"/>
      <c r="P1086" s="2"/>
      <c r="Q1086" s="2"/>
      <c r="R1086" s="4"/>
      <c r="S1086" s="2"/>
      <c r="T1086" s="2"/>
      <c r="U1086" s="1"/>
      <c r="V1086" s="2"/>
      <c r="W1086" s="2"/>
      <c r="X1086" s="2"/>
      <c r="Y1086" s="2"/>
      <c r="Z1086" s="2"/>
    </row>
    <row r="1087" spans="1:26" ht="15.75" customHeight="1" x14ac:dyDescent="0.2">
      <c r="A1087" s="12"/>
      <c r="B1087" s="10"/>
      <c r="C1087" s="11"/>
      <c r="D1087" s="13"/>
      <c r="E1087" s="13"/>
      <c r="F1087" s="13"/>
      <c r="G1087" s="2"/>
      <c r="H1087" s="2"/>
      <c r="I1087" s="13"/>
      <c r="J1087" s="13"/>
      <c r="K1087" s="13"/>
      <c r="L1087" s="14"/>
      <c r="M1087" s="4"/>
      <c r="N1087" s="2"/>
      <c r="O1087" s="4"/>
      <c r="P1087" s="2"/>
      <c r="Q1087" s="2"/>
      <c r="R1087" s="4"/>
      <c r="S1087" s="2"/>
      <c r="T1087" s="2"/>
      <c r="U1087" s="1"/>
      <c r="V1087" s="2"/>
      <c r="W1087" s="2"/>
      <c r="X1087" s="2"/>
      <c r="Y1087" s="2"/>
      <c r="Z1087" s="2"/>
    </row>
    <row r="1088" spans="1:26" ht="15.75" customHeight="1" x14ac:dyDescent="0.2">
      <c r="A1088" s="12"/>
      <c r="B1088" s="10"/>
      <c r="C1088" s="11"/>
      <c r="D1088" s="13"/>
      <c r="E1088" s="13"/>
      <c r="F1088" s="13"/>
      <c r="G1088" s="2"/>
      <c r="H1088" s="2"/>
      <c r="I1088" s="13"/>
      <c r="J1088" s="13"/>
      <c r="K1088" s="13"/>
      <c r="L1088" s="14"/>
      <c r="M1088" s="4"/>
      <c r="N1088" s="2"/>
      <c r="O1088" s="4"/>
      <c r="P1088" s="2"/>
      <c r="Q1088" s="2"/>
      <c r="R1088" s="4"/>
      <c r="S1088" s="2"/>
      <c r="T1088" s="2"/>
      <c r="U1088" s="1"/>
      <c r="V1088" s="2"/>
      <c r="W1088" s="2"/>
      <c r="X1088" s="2"/>
      <c r="Y1088" s="2"/>
      <c r="Z1088" s="2"/>
    </row>
    <row r="1089" spans="1:26" ht="15.75" customHeight="1" x14ac:dyDescent="0.2">
      <c r="A1089" s="12"/>
      <c r="B1089" s="10"/>
      <c r="C1089" s="11"/>
      <c r="D1089" s="13"/>
      <c r="E1089" s="13"/>
      <c r="F1089" s="13"/>
      <c r="G1089" s="2"/>
      <c r="H1089" s="2"/>
      <c r="I1089" s="13"/>
      <c r="J1089" s="13"/>
      <c r="K1089" s="13"/>
      <c r="L1089" s="14"/>
      <c r="M1089" s="4"/>
      <c r="N1089" s="2"/>
      <c r="O1089" s="4"/>
      <c r="P1089" s="2"/>
      <c r="Q1089" s="2"/>
      <c r="R1089" s="4"/>
      <c r="S1089" s="2"/>
      <c r="T1089" s="2"/>
      <c r="U1089" s="1"/>
      <c r="V1089" s="2"/>
      <c r="W1089" s="2"/>
      <c r="X1089" s="2"/>
      <c r="Y1089" s="2"/>
      <c r="Z1089" s="2"/>
    </row>
    <row r="1090" spans="1:26" ht="15.75" customHeight="1" x14ac:dyDescent="0.2">
      <c r="A1090" s="12"/>
      <c r="B1090" s="10"/>
      <c r="C1090" s="11"/>
      <c r="D1090" s="13"/>
      <c r="E1090" s="13"/>
      <c r="F1090" s="13"/>
      <c r="G1090" s="2"/>
      <c r="H1090" s="2"/>
      <c r="I1090" s="13"/>
      <c r="J1090" s="13"/>
      <c r="K1090" s="13"/>
      <c r="L1090" s="14"/>
      <c r="M1090" s="4"/>
      <c r="N1090" s="2"/>
      <c r="O1090" s="4"/>
      <c r="P1090" s="2"/>
      <c r="Q1090" s="2"/>
      <c r="R1090" s="4"/>
      <c r="S1090" s="2"/>
      <c r="T1090" s="2"/>
      <c r="U1090" s="1"/>
      <c r="V1090" s="2"/>
      <c r="W1090" s="2"/>
      <c r="X1090" s="2"/>
      <c r="Y1090" s="2"/>
      <c r="Z1090" s="2"/>
    </row>
    <row r="1091" spans="1:26" ht="15.75" customHeight="1" x14ac:dyDescent="0.2">
      <c r="A1091" s="12"/>
      <c r="B1091" s="10"/>
      <c r="C1091" s="11"/>
      <c r="D1091" s="13"/>
      <c r="E1091" s="13"/>
      <c r="F1091" s="13"/>
      <c r="G1091" s="2"/>
      <c r="H1091" s="2"/>
      <c r="I1091" s="13"/>
      <c r="J1091" s="13"/>
      <c r="K1091" s="13"/>
      <c r="L1091" s="14"/>
      <c r="M1091" s="4"/>
      <c r="N1091" s="2"/>
      <c r="O1091" s="4"/>
      <c r="P1091" s="2"/>
      <c r="Q1091" s="2"/>
      <c r="R1091" s="4"/>
      <c r="S1091" s="2"/>
      <c r="T1091" s="2"/>
      <c r="U1091" s="1"/>
      <c r="V1091" s="2"/>
      <c r="W1091" s="2"/>
      <c r="X1091" s="2"/>
      <c r="Y1091" s="2"/>
      <c r="Z1091" s="2"/>
    </row>
    <row r="1092" spans="1:26" ht="15.75" customHeight="1" x14ac:dyDescent="0.2">
      <c r="A1092" s="12"/>
      <c r="B1092" s="10"/>
      <c r="C1092" s="11"/>
      <c r="D1092" s="13"/>
      <c r="E1092" s="13"/>
      <c r="F1092" s="13"/>
      <c r="G1092" s="2"/>
      <c r="H1092" s="2"/>
      <c r="I1092" s="13"/>
      <c r="J1092" s="13"/>
      <c r="K1092" s="13"/>
      <c r="L1092" s="14"/>
      <c r="M1092" s="4"/>
      <c r="N1092" s="2"/>
      <c r="O1092" s="4"/>
      <c r="P1092" s="2"/>
      <c r="Q1092" s="2"/>
      <c r="R1092" s="4"/>
      <c r="S1092" s="2"/>
      <c r="T1092" s="2"/>
      <c r="U1092" s="1"/>
      <c r="V1092" s="2"/>
      <c r="W1092" s="2"/>
      <c r="X1092" s="2"/>
      <c r="Y1092" s="2"/>
      <c r="Z1092" s="2"/>
    </row>
    <row r="1093" spans="1:26" ht="15.75" customHeight="1" x14ac:dyDescent="0.2">
      <c r="A1093" s="12"/>
      <c r="B1093" s="10"/>
      <c r="C1093" s="11"/>
      <c r="D1093" s="13"/>
      <c r="E1093" s="13"/>
      <c r="F1093" s="13"/>
      <c r="G1093" s="2"/>
      <c r="H1093" s="2"/>
      <c r="I1093" s="13"/>
      <c r="J1093" s="13"/>
      <c r="K1093" s="13"/>
      <c r="L1093" s="14"/>
      <c r="M1093" s="4"/>
      <c r="N1093" s="2"/>
      <c r="O1093" s="4"/>
      <c r="P1093" s="2"/>
      <c r="Q1093" s="2"/>
      <c r="R1093" s="4"/>
      <c r="S1093" s="2"/>
      <c r="T1093" s="2"/>
      <c r="U1093" s="1"/>
      <c r="V1093" s="2"/>
      <c r="W1093" s="2"/>
      <c r="X1093" s="2"/>
      <c r="Y1093" s="2"/>
      <c r="Z1093" s="2"/>
    </row>
    <row r="1094" spans="1:26" ht="15.75" customHeight="1" x14ac:dyDescent="0.2">
      <c r="A1094" s="12"/>
      <c r="B1094" s="10"/>
      <c r="C1094" s="11"/>
      <c r="D1094" s="13"/>
      <c r="E1094" s="13"/>
      <c r="F1094" s="13"/>
      <c r="G1094" s="2"/>
      <c r="H1094" s="2"/>
      <c r="I1094" s="13"/>
      <c r="J1094" s="13"/>
      <c r="K1094" s="13"/>
      <c r="L1094" s="14"/>
      <c r="M1094" s="4"/>
      <c r="N1094" s="2"/>
      <c r="O1094" s="4"/>
      <c r="P1094" s="2"/>
      <c r="Q1094" s="2"/>
      <c r="R1094" s="4"/>
      <c r="S1094" s="2"/>
      <c r="T1094" s="2"/>
      <c r="U1094" s="1"/>
      <c r="V1094" s="2"/>
      <c r="W1094" s="2"/>
      <c r="X1094" s="2"/>
      <c r="Y1094" s="2"/>
      <c r="Z1094" s="2"/>
    </row>
    <row r="1095" spans="1:26" ht="15.75" customHeight="1" x14ac:dyDescent="0.2">
      <c r="A1095" s="12"/>
      <c r="B1095" s="10"/>
      <c r="C1095" s="11"/>
      <c r="D1095" s="13"/>
      <c r="E1095" s="13"/>
      <c r="F1095" s="13"/>
      <c r="G1095" s="2"/>
      <c r="H1095" s="2"/>
      <c r="I1095" s="13"/>
      <c r="J1095" s="13"/>
      <c r="K1095" s="13"/>
      <c r="L1095" s="14"/>
      <c r="M1095" s="4"/>
      <c r="N1095" s="2"/>
      <c r="O1095" s="4"/>
      <c r="P1095" s="2"/>
      <c r="Q1095" s="2"/>
      <c r="R1095" s="4"/>
      <c r="S1095" s="2"/>
      <c r="T1095" s="2"/>
      <c r="U1095" s="1"/>
      <c r="V1095" s="2"/>
      <c r="W1095" s="2"/>
      <c r="X1095" s="2"/>
      <c r="Y1095" s="2"/>
      <c r="Z1095" s="2"/>
    </row>
    <row r="1096" spans="1:26" ht="15.75" customHeight="1" x14ac:dyDescent="0.2">
      <c r="A1096" s="12"/>
      <c r="B1096" s="10"/>
      <c r="C1096" s="11"/>
      <c r="D1096" s="13"/>
      <c r="E1096" s="13"/>
      <c r="F1096" s="13"/>
      <c r="G1096" s="2"/>
      <c r="H1096" s="2"/>
      <c r="I1096" s="13"/>
      <c r="J1096" s="13"/>
      <c r="K1096" s="13"/>
      <c r="L1096" s="14"/>
      <c r="M1096" s="4"/>
      <c r="N1096" s="2"/>
      <c r="O1096" s="4"/>
      <c r="P1096" s="2"/>
      <c r="Q1096" s="2"/>
      <c r="R1096" s="4"/>
      <c r="S1096" s="2"/>
      <c r="T1096" s="2"/>
      <c r="U1096" s="1"/>
      <c r="V1096" s="2"/>
      <c r="W1096" s="2"/>
      <c r="X1096" s="2"/>
      <c r="Y1096" s="2"/>
      <c r="Z1096" s="2"/>
    </row>
    <row r="1097" spans="1:26" ht="15.75" customHeight="1" x14ac:dyDescent="0.2">
      <c r="A1097" s="12"/>
      <c r="B1097" s="10"/>
      <c r="C1097" s="11"/>
      <c r="D1097" s="13"/>
      <c r="E1097" s="13"/>
      <c r="F1097" s="13"/>
      <c r="G1097" s="2"/>
      <c r="H1097" s="2"/>
      <c r="I1097" s="13"/>
      <c r="J1097" s="13"/>
      <c r="K1097" s="13"/>
      <c r="L1097" s="14"/>
      <c r="M1097" s="4"/>
      <c r="N1097" s="2"/>
      <c r="O1097" s="4"/>
      <c r="P1097" s="2"/>
      <c r="Q1097" s="2"/>
      <c r="R1097" s="4"/>
      <c r="S1097" s="2"/>
      <c r="T1097" s="2"/>
      <c r="U1097" s="1"/>
      <c r="V1097" s="2"/>
      <c r="W1097" s="2"/>
      <c r="X1097" s="2"/>
      <c r="Y1097" s="2"/>
      <c r="Z1097" s="2"/>
    </row>
    <row r="1098" spans="1:26" ht="15.75" customHeight="1" x14ac:dyDescent="0.2">
      <c r="A1098" s="12"/>
      <c r="B1098" s="10"/>
      <c r="C1098" s="11"/>
      <c r="D1098" s="13"/>
      <c r="E1098" s="13"/>
      <c r="F1098" s="13"/>
      <c r="G1098" s="2"/>
      <c r="H1098" s="2"/>
      <c r="I1098" s="13"/>
      <c r="J1098" s="13"/>
      <c r="K1098" s="13"/>
      <c r="L1098" s="14"/>
      <c r="M1098" s="4"/>
      <c r="N1098" s="2"/>
      <c r="O1098" s="4"/>
      <c r="P1098" s="2"/>
      <c r="Q1098" s="2"/>
      <c r="R1098" s="4"/>
      <c r="S1098" s="2"/>
      <c r="T1098" s="2"/>
      <c r="U1098" s="1"/>
      <c r="V1098" s="2"/>
      <c r="W1098" s="2"/>
      <c r="X1098" s="2"/>
      <c r="Y1098" s="2"/>
      <c r="Z1098" s="2"/>
    </row>
    <row r="1099" spans="1:26" ht="15.75" customHeight="1" x14ac:dyDescent="0.2">
      <c r="A1099" s="12"/>
      <c r="B1099" s="10"/>
      <c r="C1099" s="11"/>
      <c r="D1099" s="13"/>
      <c r="E1099" s="13"/>
      <c r="F1099" s="13"/>
      <c r="G1099" s="2"/>
      <c r="H1099" s="2"/>
      <c r="I1099" s="13"/>
      <c r="J1099" s="13"/>
      <c r="K1099" s="13"/>
      <c r="L1099" s="14"/>
      <c r="M1099" s="4"/>
      <c r="N1099" s="2"/>
      <c r="O1099" s="4"/>
      <c r="P1099" s="2"/>
      <c r="Q1099" s="2"/>
      <c r="R1099" s="4"/>
      <c r="S1099" s="2"/>
      <c r="T1099" s="2"/>
      <c r="U1099" s="1"/>
      <c r="V1099" s="2"/>
      <c r="W1099" s="2"/>
      <c r="X1099" s="2"/>
      <c r="Y1099" s="2"/>
      <c r="Z1099" s="2"/>
    </row>
    <row r="1100" spans="1:26" ht="15.75" customHeight="1" x14ac:dyDescent="0.2">
      <c r="A1100" s="12"/>
      <c r="B1100" s="10"/>
      <c r="C1100" s="11"/>
      <c r="D1100" s="13"/>
      <c r="E1100" s="13"/>
      <c r="F1100" s="13"/>
      <c r="G1100" s="2"/>
      <c r="H1100" s="2"/>
      <c r="I1100" s="13"/>
      <c r="J1100" s="13"/>
      <c r="K1100" s="13"/>
      <c r="L1100" s="14"/>
      <c r="M1100" s="4"/>
      <c r="N1100" s="2"/>
      <c r="O1100" s="4"/>
      <c r="P1100" s="2"/>
      <c r="Q1100" s="2"/>
      <c r="R1100" s="4"/>
      <c r="S1100" s="2"/>
      <c r="T1100" s="2"/>
      <c r="U1100" s="1"/>
      <c r="V1100" s="2"/>
      <c r="W1100" s="2"/>
      <c r="X1100" s="2"/>
      <c r="Y1100" s="2"/>
      <c r="Z1100" s="2"/>
    </row>
    <row r="1101" spans="1:26" ht="15.75" customHeight="1" x14ac:dyDescent="0.2">
      <c r="A1101" s="12"/>
      <c r="B1101" s="10"/>
      <c r="C1101" s="11"/>
      <c r="D1101" s="13"/>
      <c r="E1101" s="13"/>
      <c r="F1101" s="13"/>
      <c r="G1101" s="2"/>
      <c r="H1101" s="2"/>
      <c r="I1101" s="13"/>
      <c r="J1101" s="13"/>
      <c r="K1101" s="13"/>
      <c r="L1101" s="14"/>
      <c r="M1101" s="4"/>
      <c r="N1101" s="2"/>
      <c r="O1101" s="4"/>
      <c r="P1101" s="2"/>
      <c r="Q1101" s="2"/>
      <c r="R1101" s="4"/>
      <c r="S1101" s="2"/>
      <c r="T1101" s="2"/>
      <c r="U1101" s="1"/>
      <c r="V1101" s="2"/>
      <c r="W1101" s="2"/>
      <c r="X1101" s="2"/>
      <c r="Y1101" s="2"/>
      <c r="Z1101" s="2"/>
    </row>
    <row r="1102" spans="1:26" ht="15.75" customHeight="1" x14ac:dyDescent="0.2">
      <c r="A1102" s="12"/>
      <c r="B1102" s="10"/>
      <c r="C1102" s="11"/>
      <c r="D1102" s="13"/>
      <c r="E1102" s="13"/>
      <c r="F1102" s="13"/>
      <c r="G1102" s="2"/>
      <c r="H1102" s="2"/>
      <c r="I1102" s="13"/>
      <c r="J1102" s="13"/>
      <c r="K1102" s="13"/>
      <c r="L1102" s="14"/>
      <c r="M1102" s="4"/>
      <c r="N1102" s="2"/>
      <c r="O1102" s="4"/>
      <c r="P1102" s="2"/>
      <c r="Q1102" s="2"/>
      <c r="R1102" s="4"/>
      <c r="S1102" s="2"/>
      <c r="T1102" s="2"/>
      <c r="U1102" s="1"/>
      <c r="V1102" s="2"/>
      <c r="W1102" s="2"/>
      <c r="X1102" s="2"/>
      <c r="Y1102" s="2"/>
      <c r="Z1102" s="2"/>
    </row>
    <row r="1103" spans="1:26" ht="15.75" customHeight="1" x14ac:dyDescent="0.2">
      <c r="A1103" s="12"/>
      <c r="B1103" s="10"/>
      <c r="C1103" s="11"/>
      <c r="D1103" s="13"/>
      <c r="E1103" s="13"/>
      <c r="F1103" s="13"/>
      <c r="G1103" s="2"/>
      <c r="H1103" s="2"/>
      <c r="I1103" s="13"/>
      <c r="J1103" s="13"/>
      <c r="K1103" s="13"/>
      <c r="L1103" s="14"/>
      <c r="M1103" s="4"/>
      <c r="N1103" s="2"/>
      <c r="O1103" s="4"/>
      <c r="P1103" s="2"/>
      <c r="Q1103" s="2"/>
      <c r="R1103" s="4"/>
      <c r="S1103" s="2"/>
      <c r="T1103" s="2"/>
      <c r="U1103" s="1"/>
      <c r="V1103" s="2"/>
      <c r="W1103" s="2"/>
      <c r="X1103" s="2"/>
      <c r="Y1103" s="2"/>
      <c r="Z1103" s="2"/>
    </row>
    <row r="1104" spans="1:26" ht="15.75" customHeight="1" x14ac:dyDescent="0.2">
      <c r="A1104" s="12"/>
      <c r="B1104" s="10"/>
      <c r="C1104" s="11"/>
      <c r="D1104" s="13"/>
      <c r="E1104" s="13"/>
      <c r="F1104" s="13"/>
      <c r="G1104" s="2"/>
      <c r="H1104" s="2"/>
      <c r="I1104" s="13"/>
      <c r="J1104" s="13"/>
      <c r="K1104" s="13"/>
      <c r="L1104" s="14"/>
      <c r="M1104" s="4"/>
      <c r="N1104" s="2"/>
      <c r="O1104" s="4"/>
      <c r="P1104" s="2"/>
      <c r="Q1104" s="2"/>
      <c r="R1104" s="4"/>
      <c r="S1104" s="2"/>
      <c r="T1104" s="2"/>
      <c r="U1104" s="1"/>
      <c r="V1104" s="2"/>
      <c r="W1104" s="2"/>
      <c r="X1104" s="2"/>
      <c r="Y1104" s="2"/>
      <c r="Z1104" s="2"/>
    </row>
    <row r="1105" spans="1:26" ht="15.75" customHeight="1" x14ac:dyDescent="0.2">
      <c r="A1105" s="12"/>
      <c r="B1105" s="10"/>
      <c r="C1105" s="11"/>
      <c r="D1105" s="13"/>
      <c r="E1105" s="13"/>
      <c r="F1105" s="13"/>
      <c r="G1105" s="2"/>
      <c r="H1105" s="2"/>
      <c r="I1105" s="13"/>
      <c r="J1105" s="13"/>
      <c r="K1105" s="13"/>
      <c r="L1105" s="14"/>
      <c r="M1105" s="4"/>
      <c r="N1105" s="2"/>
      <c r="O1105" s="4"/>
      <c r="P1105" s="2"/>
      <c r="Q1105" s="2"/>
      <c r="R1105" s="4"/>
      <c r="S1105" s="2"/>
      <c r="T1105" s="2"/>
      <c r="U1105" s="1"/>
      <c r="V1105" s="2"/>
      <c r="W1105" s="2"/>
      <c r="X1105" s="2"/>
      <c r="Y1105" s="2"/>
      <c r="Z1105" s="2"/>
    </row>
    <row r="1106" spans="1:26" ht="15.75" customHeight="1" x14ac:dyDescent="0.2">
      <c r="A1106" s="12"/>
      <c r="B1106" s="10"/>
      <c r="C1106" s="11"/>
      <c r="D1106" s="13"/>
      <c r="E1106" s="13"/>
      <c r="F1106" s="13"/>
      <c r="G1106" s="2"/>
      <c r="H1106" s="2"/>
      <c r="I1106" s="13"/>
      <c r="J1106" s="13"/>
      <c r="K1106" s="13"/>
      <c r="L1106" s="14"/>
      <c r="M1106" s="4"/>
      <c r="N1106" s="2"/>
      <c r="O1106" s="4"/>
      <c r="P1106" s="2"/>
      <c r="Q1106" s="2"/>
      <c r="R1106" s="4"/>
      <c r="S1106" s="2"/>
      <c r="T1106" s="2"/>
      <c r="U1106" s="1"/>
      <c r="V1106" s="2"/>
      <c r="W1106" s="2"/>
      <c r="X1106" s="2"/>
      <c r="Y1106" s="2"/>
      <c r="Z1106" s="2"/>
    </row>
    <row r="1107" spans="1:26" ht="15.75" customHeight="1" x14ac:dyDescent="0.2">
      <c r="A1107" s="12"/>
      <c r="B1107" s="10"/>
      <c r="C1107" s="11"/>
      <c r="D1107" s="13"/>
      <c r="E1107" s="13"/>
      <c r="F1107" s="13"/>
      <c r="G1107" s="2"/>
      <c r="H1107" s="2"/>
      <c r="I1107" s="13"/>
      <c r="J1107" s="13"/>
      <c r="K1107" s="13"/>
      <c r="L1107" s="14"/>
      <c r="M1107" s="4"/>
      <c r="N1107" s="2"/>
      <c r="O1107" s="4"/>
      <c r="P1107" s="2"/>
      <c r="Q1107" s="2"/>
      <c r="R1107" s="4"/>
      <c r="S1107" s="2"/>
      <c r="T1107" s="2"/>
      <c r="U1107" s="1"/>
      <c r="V1107" s="2"/>
      <c r="W1107" s="2"/>
      <c r="X1107" s="2"/>
      <c r="Y1107" s="2"/>
      <c r="Z1107" s="2"/>
    </row>
    <row r="1108" spans="1:26" ht="15.75" customHeight="1" x14ac:dyDescent="0.2">
      <c r="A1108" s="12"/>
      <c r="B1108" s="10"/>
      <c r="C1108" s="11"/>
      <c r="D1108" s="13"/>
      <c r="E1108" s="13"/>
      <c r="F1108" s="13"/>
      <c r="G1108" s="2"/>
      <c r="H1108" s="2"/>
      <c r="I1108" s="13"/>
      <c r="J1108" s="13"/>
      <c r="K1108" s="13"/>
      <c r="L1108" s="14"/>
      <c r="M1108" s="4"/>
      <c r="N1108" s="2"/>
      <c r="O1108" s="4"/>
      <c r="P1108" s="2"/>
      <c r="Q1108" s="2"/>
      <c r="R1108" s="4"/>
      <c r="S1108" s="2"/>
      <c r="T1108" s="2"/>
      <c r="U1108" s="1"/>
      <c r="V1108" s="2"/>
      <c r="W1108" s="2"/>
      <c r="X1108" s="2"/>
      <c r="Y1108" s="2"/>
      <c r="Z1108" s="2"/>
    </row>
    <row r="1109" spans="1:26" ht="15.75" customHeight="1" x14ac:dyDescent="0.2">
      <c r="A1109" s="12"/>
      <c r="B1109" s="10"/>
      <c r="C1109" s="11"/>
      <c r="D1109" s="13"/>
      <c r="E1109" s="13"/>
      <c r="F1109" s="13"/>
      <c r="G1109" s="2"/>
      <c r="H1109" s="2"/>
      <c r="I1109" s="13"/>
      <c r="J1109" s="13"/>
      <c r="K1109" s="13"/>
      <c r="L1109" s="14"/>
      <c r="M1109" s="4"/>
      <c r="N1109" s="2"/>
      <c r="O1109" s="4"/>
      <c r="P1109" s="2"/>
      <c r="Q1109" s="2"/>
      <c r="R1109" s="4"/>
      <c r="S1109" s="2"/>
      <c r="T1109" s="2"/>
      <c r="U1109" s="1"/>
      <c r="V1109" s="2"/>
      <c r="W1109" s="2"/>
      <c r="X1109" s="2"/>
      <c r="Y1109" s="2"/>
      <c r="Z1109" s="2"/>
    </row>
    <row r="1110" spans="1:26" ht="15.75" customHeight="1" x14ac:dyDescent="0.2">
      <c r="A1110" s="12"/>
      <c r="B1110" s="10"/>
      <c r="C1110" s="11"/>
      <c r="D1110" s="13"/>
      <c r="E1110" s="13"/>
      <c r="F1110" s="13"/>
      <c r="G1110" s="2"/>
      <c r="H1110" s="2"/>
      <c r="I1110" s="13"/>
      <c r="J1110" s="13"/>
      <c r="K1110" s="13"/>
      <c r="L1110" s="14"/>
      <c r="M1110" s="4"/>
      <c r="N1110" s="2"/>
      <c r="O1110" s="4"/>
      <c r="P1110" s="2"/>
      <c r="Q1110" s="2"/>
      <c r="R1110" s="4"/>
      <c r="S1110" s="2"/>
      <c r="T1110" s="2"/>
      <c r="U1110" s="1"/>
      <c r="V1110" s="2"/>
      <c r="W1110" s="2"/>
      <c r="X1110" s="2"/>
      <c r="Y1110" s="2"/>
      <c r="Z1110" s="2"/>
    </row>
    <row r="1111" spans="1:26" ht="15.75" customHeight="1" x14ac:dyDescent="0.2">
      <c r="A1111" s="12"/>
      <c r="B1111" s="10"/>
      <c r="C1111" s="11"/>
      <c r="D1111" s="13"/>
      <c r="E1111" s="13"/>
      <c r="F1111" s="13"/>
      <c r="G1111" s="2"/>
      <c r="H1111" s="2"/>
      <c r="I1111" s="13"/>
      <c r="J1111" s="13"/>
      <c r="K1111" s="13"/>
      <c r="L1111" s="14"/>
      <c r="M1111" s="4"/>
      <c r="N1111" s="2"/>
      <c r="O1111" s="4"/>
      <c r="P1111" s="2"/>
      <c r="Q1111" s="2"/>
      <c r="R1111" s="4"/>
      <c r="S1111" s="2"/>
      <c r="T1111" s="2"/>
      <c r="U1111" s="1"/>
      <c r="V1111" s="2"/>
      <c r="W1111" s="2"/>
      <c r="X1111" s="2"/>
      <c r="Y1111" s="2"/>
      <c r="Z1111" s="2"/>
    </row>
    <row r="1112" spans="1:26" ht="15.75" customHeight="1" x14ac:dyDescent="0.2">
      <c r="A1112" s="12"/>
      <c r="B1112" s="10"/>
      <c r="C1112" s="11"/>
      <c r="D1112" s="13"/>
      <c r="E1112" s="13"/>
      <c r="F1112" s="13"/>
      <c r="G1112" s="2"/>
      <c r="H1112" s="2"/>
      <c r="I1112" s="13"/>
      <c r="J1112" s="13"/>
      <c r="K1112" s="13"/>
      <c r="L1112" s="14"/>
      <c r="M1112" s="4"/>
      <c r="N1112" s="2"/>
      <c r="O1112" s="4"/>
      <c r="P1112" s="2"/>
      <c r="Q1112" s="2"/>
      <c r="R1112" s="4"/>
      <c r="S1112" s="2"/>
      <c r="T1112" s="2"/>
      <c r="U1112" s="1"/>
      <c r="V1112" s="2"/>
      <c r="W1112" s="2"/>
      <c r="X1112" s="2"/>
      <c r="Y1112" s="2"/>
      <c r="Z1112" s="2"/>
    </row>
    <row r="1113" spans="1:26" ht="15.75" customHeight="1" x14ac:dyDescent="0.2">
      <c r="A1113" s="12"/>
      <c r="B1113" s="10"/>
      <c r="C1113" s="11"/>
      <c r="D1113" s="13"/>
      <c r="E1113" s="13"/>
      <c r="F1113" s="13"/>
      <c r="G1113" s="2"/>
      <c r="H1113" s="2"/>
      <c r="I1113" s="13"/>
      <c r="J1113" s="13"/>
      <c r="K1113" s="13"/>
      <c r="L1113" s="14"/>
      <c r="M1113" s="4"/>
      <c r="N1113" s="2"/>
      <c r="O1113" s="4"/>
      <c r="P1113" s="2"/>
      <c r="Q1113" s="2"/>
      <c r="R1113" s="4"/>
      <c r="S1113" s="2"/>
      <c r="T1113" s="2"/>
      <c r="U1113" s="1"/>
      <c r="V1113" s="2"/>
      <c r="W1113" s="2"/>
      <c r="X1113" s="2"/>
      <c r="Y1113" s="2"/>
      <c r="Z1113" s="2"/>
    </row>
    <row r="1114" spans="1:26" ht="15.75" customHeight="1" x14ac:dyDescent="0.2">
      <c r="A1114" s="12"/>
      <c r="B1114" s="10"/>
      <c r="C1114" s="11"/>
      <c r="D1114" s="13"/>
      <c r="E1114" s="13"/>
      <c r="F1114" s="13"/>
      <c r="G1114" s="2"/>
      <c r="H1114" s="2"/>
      <c r="I1114" s="13"/>
      <c r="J1114" s="13"/>
      <c r="K1114" s="13"/>
      <c r="L1114" s="14"/>
      <c r="M1114" s="4"/>
      <c r="N1114" s="2"/>
      <c r="O1114" s="4"/>
      <c r="P1114" s="2"/>
      <c r="Q1114" s="2"/>
      <c r="R1114" s="4"/>
      <c r="S1114" s="2"/>
      <c r="T1114" s="2"/>
      <c r="U1114" s="1"/>
      <c r="V1114" s="2"/>
      <c r="W1114" s="2"/>
      <c r="X1114" s="2"/>
      <c r="Y1114" s="2"/>
      <c r="Z1114" s="2"/>
    </row>
    <row r="1115" spans="1:26" ht="15.75" customHeight="1" x14ac:dyDescent="0.2">
      <c r="A1115" s="12"/>
      <c r="B1115" s="10"/>
      <c r="C1115" s="11"/>
      <c r="D1115" s="13"/>
      <c r="E1115" s="13"/>
      <c r="F1115" s="13"/>
      <c r="G1115" s="2"/>
      <c r="H1115" s="2"/>
      <c r="I1115" s="13"/>
      <c r="J1115" s="13"/>
      <c r="K1115" s="13"/>
      <c r="L1115" s="14"/>
      <c r="M1115" s="4"/>
      <c r="N1115" s="2"/>
      <c r="O1115" s="4"/>
      <c r="P1115" s="2"/>
      <c r="Q1115" s="2"/>
      <c r="R1115" s="4"/>
      <c r="S1115" s="2"/>
      <c r="T1115" s="2"/>
      <c r="U1115" s="1"/>
      <c r="V1115" s="2"/>
      <c r="W1115" s="2"/>
      <c r="X1115" s="2"/>
      <c r="Y1115" s="2"/>
      <c r="Z1115" s="2"/>
    </row>
    <row r="1116" spans="1:26" ht="15.75" customHeight="1" x14ac:dyDescent="0.2">
      <c r="A1116" s="12"/>
      <c r="B1116" s="10"/>
      <c r="C1116" s="11"/>
      <c r="D1116" s="13"/>
      <c r="E1116" s="13"/>
      <c r="F1116" s="13"/>
      <c r="G1116" s="2"/>
      <c r="H1116" s="2"/>
      <c r="I1116" s="13"/>
      <c r="J1116" s="13"/>
      <c r="K1116" s="13"/>
      <c r="L1116" s="14"/>
      <c r="M1116" s="4"/>
      <c r="N1116" s="2"/>
      <c r="O1116" s="4"/>
      <c r="P1116" s="2"/>
      <c r="Q1116" s="2"/>
      <c r="R1116" s="4"/>
      <c r="S1116" s="2"/>
      <c r="T1116" s="2"/>
      <c r="U1116" s="1"/>
      <c r="V1116" s="2"/>
      <c r="W1116" s="2"/>
      <c r="X1116" s="2"/>
      <c r="Y1116" s="2"/>
      <c r="Z1116" s="2"/>
    </row>
    <row r="1117" spans="1:26" ht="15.75" customHeight="1" x14ac:dyDescent="0.2">
      <c r="A1117" s="12"/>
      <c r="B1117" s="10"/>
      <c r="C1117" s="11"/>
      <c r="D1117" s="13"/>
      <c r="E1117" s="13"/>
      <c r="F1117" s="13"/>
      <c r="G1117" s="2"/>
      <c r="H1117" s="2"/>
      <c r="I1117" s="13"/>
      <c r="J1117" s="13"/>
      <c r="K1117" s="13"/>
      <c r="L1117" s="14"/>
      <c r="M1117" s="4"/>
      <c r="N1117" s="2"/>
      <c r="O1117" s="4"/>
      <c r="P1117" s="2"/>
      <c r="Q1117" s="2"/>
      <c r="R1117" s="4"/>
      <c r="S1117" s="2"/>
      <c r="T1117" s="2"/>
      <c r="U1117" s="1"/>
      <c r="V1117" s="2"/>
      <c r="W1117" s="2"/>
      <c r="X1117" s="2"/>
      <c r="Y1117" s="2"/>
      <c r="Z1117" s="2"/>
    </row>
    <row r="1118" spans="1:26" ht="15.75" customHeight="1" x14ac:dyDescent="0.2">
      <c r="A1118" s="12"/>
      <c r="B1118" s="10"/>
      <c r="C1118" s="11"/>
      <c r="D1118" s="13"/>
      <c r="E1118" s="13"/>
      <c r="F1118" s="13"/>
      <c r="G1118" s="2"/>
      <c r="H1118" s="2"/>
      <c r="I1118" s="13"/>
      <c r="J1118" s="13"/>
      <c r="K1118" s="13"/>
      <c r="L1118" s="14"/>
      <c r="M1118" s="4"/>
      <c r="N1118" s="2"/>
      <c r="O1118" s="4"/>
      <c r="P1118" s="2"/>
      <c r="Q1118" s="2"/>
      <c r="R1118" s="4"/>
      <c r="S1118" s="2"/>
      <c r="T1118" s="2"/>
      <c r="U1118" s="1"/>
      <c r="V1118" s="2"/>
      <c r="W1118" s="2"/>
      <c r="X1118" s="2"/>
      <c r="Y1118" s="2"/>
      <c r="Z1118" s="2"/>
    </row>
    <row r="1119" spans="1:26" ht="15.75" customHeight="1" x14ac:dyDescent="0.2">
      <c r="A1119" s="12"/>
      <c r="B1119" s="10"/>
      <c r="C1119" s="11"/>
      <c r="D1119" s="13"/>
      <c r="E1119" s="13"/>
      <c r="F1119" s="13"/>
      <c r="G1119" s="2"/>
      <c r="H1119" s="2"/>
      <c r="I1119" s="13"/>
      <c r="J1119" s="13"/>
      <c r="K1119" s="13"/>
      <c r="L1119" s="14"/>
      <c r="M1119" s="4"/>
      <c r="N1119" s="2"/>
      <c r="O1119" s="4"/>
      <c r="P1119" s="2"/>
      <c r="Q1119" s="2"/>
      <c r="R1119" s="4"/>
      <c r="S1119" s="2"/>
      <c r="T1119" s="2"/>
      <c r="U1119" s="1"/>
      <c r="V1119" s="2"/>
      <c r="W1119" s="2"/>
      <c r="X1119" s="2"/>
      <c r="Y1119" s="2"/>
      <c r="Z1119" s="2"/>
    </row>
    <row r="1120" spans="1:26" ht="15.75" customHeight="1" x14ac:dyDescent="0.2">
      <c r="A1120" s="12"/>
      <c r="B1120" s="10"/>
      <c r="C1120" s="11"/>
      <c r="D1120" s="13"/>
      <c r="E1120" s="13"/>
      <c r="F1120" s="13"/>
      <c r="G1120" s="2"/>
      <c r="H1120" s="2"/>
      <c r="I1120" s="13"/>
      <c r="J1120" s="13"/>
      <c r="K1120" s="13"/>
      <c r="L1120" s="14"/>
      <c r="M1120" s="4"/>
      <c r="N1120" s="2"/>
      <c r="O1120" s="4"/>
      <c r="P1120" s="2"/>
      <c r="Q1120" s="2"/>
      <c r="R1120" s="4"/>
      <c r="S1120" s="2"/>
      <c r="T1120" s="2"/>
      <c r="U1120" s="1"/>
      <c r="V1120" s="2"/>
      <c r="W1120" s="2"/>
      <c r="X1120" s="2"/>
      <c r="Y1120" s="2"/>
      <c r="Z1120" s="2"/>
    </row>
    <row r="1121" spans="1:26" ht="15.75" customHeight="1" x14ac:dyDescent="0.2">
      <c r="A1121" s="12"/>
      <c r="B1121" s="10"/>
      <c r="C1121" s="11"/>
      <c r="D1121" s="13"/>
      <c r="E1121" s="13"/>
      <c r="F1121" s="13"/>
      <c r="G1121" s="2"/>
      <c r="H1121" s="2"/>
      <c r="I1121" s="13"/>
      <c r="J1121" s="13"/>
      <c r="K1121" s="13"/>
      <c r="L1121" s="14"/>
      <c r="M1121" s="4"/>
      <c r="N1121" s="2"/>
      <c r="O1121" s="4"/>
      <c r="P1121" s="2"/>
      <c r="Q1121" s="2"/>
      <c r="R1121" s="4"/>
      <c r="S1121" s="2"/>
      <c r="T1121" s="2"/>
      <c r="U1121" s="1"/>
      <c r="V1121" s="2"/>
      <c r="W1121" s="2"/>
      <c r="X1121" s="2"/>
      <c r="Y1121" s="2"/>
      <c r="Z1121" s="2"/>
    </row>
    <row r="1122" spans="1:26" ht="15.75" customHeight="1" x14ac:dyDescent="0.2">
      <c r="A1122" s="12"/>
      <c r="B1122" s="10"/>
      <c r="C1122" s="11"/>
      <c r="D1122" s="13"/>
      <c r="E1122" s="13"/>
      <c r="F1122" s="13"/>
      <c r="G1122" s="2"/>
      <c r="H1122" s="2"/>
      <c r="I1122" s="13"/>
      <c r="J1122" s="13"/>
      <c r="K1122" s="13"/>
      <c r="L1122" s="14"/>
      <c r="M1122" s="4"/>
      <c r="N1122" s="2"/>
      <c r="O1122" s="4"/>
      <c r="P1122" s="2"/>
      <c r="Q1122" s="2"/>
      <c r="R1122" s="4"/>
      <c r="S1122" s="2"/>
      <c r="T1122" s="2"/>
      <c r="U1122" s="1"/>
      <c r="V1122" s="2"/>
      <c r="W1122" s="2"/>
      <c r="X1122" s="2"/>
      <c r="Y1122" s="2"/>
      <c r="Z1122" s="2"/>
    </row>
    <row r="1123" spans="1:26" ht="15.75" customHeight="1" x14ac:dyDescent="0.2">
      <c r="A1123" s="12"/>
      <c r="B1123" s="10"/>
      <c r="C1123" s="11"/>
      <c r="D1123" s="13"/>
      <c r="E1123" s="13"/>
      <c r="F1123" s="13"/>
      <c r="G1123" s="2"/>
      <c r="H1123" s="2"/>
      <c r="I1123" s="13"/>
      <c r="J1123" s="13"/>
      <c r="K1123" s="13"/>
      <c r="L1123" s="14"/>
      <c r="M1123" s="4"/>
      <c r="N1123" s="2"/>
      <c r="O1123" s="4"/>
      <c r="P1123" s="2"/>
      <c r="Q1123" s="2"/>
      <c r="R1123" s="4"/>
      <c r="S1123" s="2"/>
      <c r="T1123" s="2"/>
      <c r="U1123" s="1"/>
      <c r="V1123" s="2"/>
      <c r="W1123" s="2"/>
      <c r="X1123" s="2"/>
      <c r="Y1123" s="2"/>
      <c r="Z1123" s="2"/>
    </row>
    <row r="1124" spans="1:26" ht="15.75" customHeight="1" x14ac:dyDescent="0.2">
      <c r="A1124" s="12"/>
      <c r="B1124" s="10"/>
      <c r="C1124" s="11"/>
      <c r="D1124" s="13"/>
      <c r="E1124" s="13"/>
      <c r="F1124" s="13"/>
      <c r="G1124" s="2"/>
      <c r="H1124" s="2"/>
      <c r="I1124" s="13"/>
      <c r="J1124" s="13"/>
      <c r="K1124" s="13"/>
      <c r="L1124" s="14"/>
      <c r="M1124" s="4"/>
      <c r="N1124" s="2"/>
      <c r="O1124" s="4"/>
      <c r="P1124" s="2"/>
      <c r="Q1124" s="2"/>
      <c r="R1124" s="4"/>
      <c r="S1124" s="2"/>
      <c r="T1124" s="2"/>
      <c r="U1124" s="1"/>
      <c r="V1124" s="2"/>
      <c r="W1124" s="2"/>
      <c r="X1124" s="2"/>
      <c r="Y1124" s="2"/>
      <c r="Z1124" s="2"/>
    </row>
    <row r="1125" spans="1:26" ht="15.75" customHeight="1" x14ac:dyDescent="0.2">
      <c r="A1125" s="12"/>
      <c r="B1125" s="10"/>
      <c r="C1125" s="11"/>
      <c r="D1125" s="13"/>
      <c r="E1125" s="13"/>
      <c r="F1125" s="13"/>
      <c r="G1125" s="2"/>
      <c r="H1125" s="2"/>
      <c r="I1125" s="13"/>
      <c r="J1125" s="13"/>
      <c r="K1125" s="13"/>
      <c r="L1125" s="14"/>
      <c r="M1125" s="4"/>
      <c r="N1125" s="2"/>
      <c r="O1125" s="4"/>
      <c r="P1125" s="2"/>
      <c r="Q1125" s="2"/>
      <c r="R1125" s="4"/>
      <c r="S1125" s="2"/>
      <c r="T1125" s="2"/>
      <c r="U1125" s="1"/>
      <c r="V1125" s="2"/>
      <c r="W1125" s="2"/>
      <c r="X1125" s="2"/>
      <c r="Y1125" s="2"/>
      <c r="Z1125" s="2"/>
    </row>
    <row r="1126" spans="1:26" ht="15.75" customHeight="1" x14ac:dyDescent="0.2">
      <c r="A1126" s="12"/>
      <c r="B1126" s="10"/>
      <c r="C1126" s="11"/>
      <c r="D1126" s="13"/>
      <c r="E1126" s="13"/>
      <c r="F1126" s="13"/>
      <c r="G1126" s="2"/>
      <c r="H1126" s="2"/>
      <c r="I1126" s="13"/>
      <c r="J1126" s="13"/>
      <c r="K1126" s="13"/>
      <c r="L1126" s="14"/>
      <c r="M1126" s="4"/>
      <c r="N1126" s="2"/>
      <c r="O1126" s="4"/>
      <c r="P1126" s="2"/>
      <c r="Q1126" s="2"/>
      <c r="R1126" s="4"/>
      <c r="S1126" s="2"/>
      <c r="T1126" s="2"/>
      <c r="U1126" s="1"/>
      <c r="V1126" s="2"/>
      <c r="W1126" s="2"/>
      <c r="X1126" s="2"/>
      <c r="Y1126" s="2"/>
      <c r="Z1126" s="2"/>
    </row>
    <row r="1127" spans="1:26" ht="15.75" customHeight="1" x14ac:dyDescent="0.2">
      <c r="A1127" s="12"/>
      <c r="B1127" s="10"/>
      <c r="C1127" s="11"/>
      <c r="D1127" s="13"/>
      <c r="E1127" s="13"/>
      <c r="F1127" s="13"/>
      <c r="G1127" s="2"/>
      <c r="H1127" s="2"/>
      <c r="I1127" s="13"/>
      <c r="J1127" s="13"/>
      <c r="K1127" s="13"/>
      <c r="L1127" s="14"/>
      <c r="M1127" s="4"/>
      <c r="N1127" s="2"/>
      <c r="O1127" s="4"/>
      <c r="P1127" s="2"/>
      <c r="Q1127" s="2"/>
      <c r="R1127" s="4"/>
      <c r="S1127" s="2"/>
      <c r="T1127" s="2"/>
      <c r="U1127" s="1"/>
      <c r="V1127" s="2"/>
      <c r="W1127" s="2"/>
      <c r="X1127" s="2"/>
      <c r="Y1127" s="2"/>
      <c r="Z1127" s="2"/>
    </row>
    <row r="1128" spans="1:26" ht="15.75" customHeight="1" x14ac:dyDescent="0.2">
      <c r="A1128" s="12"/>
      <c r="B1128" s="10"/>
      <c r="C1128" s="11"/>
      <c r="D1128" s="13"/>
      <c r="E1128" s="13"/>
      <c r="F1128" s="13"/>
      <c r="G1128" s="2"/>
      <c r="H1128" s="2"/>
      <c r="I1128" s="13"/>
      <c r="J1128" s="13"/>
      <c r="K1128" s="13"/>
      <c r="L1128" s="14"/>
      <c r="M1128" s="4"/>
      <c r="N1128" s="2"/>
      <c r="O1128" s="4"/>
      <c r="P1128" s="2"/>
      <c r="Q1128" s="2"/>
      <c r="R1128" s="4"/>
      <c r="S1128" s="2"/>
      <c r="T1128" s="2"/>
      <c r="U1128" s="1"/>
      <c r="V1128" s="2"/>
      <c r="W1128" s="2"/>
      <c r="X1128" s="2"/>
      <c r="Y1128" s="2"/>
      <c r="Z1128" s="2"/>
    </row>
    <row r="1129" spans="1:26" ht="15.75" customHeight="1" x14ac:dyDescent="0.2">
      <c r="A1129" s="12"/>
      <c r="B1129" s="10"/>
      <c r="C1129" s="11"/>
      <c r="D1129" s="13"/>
      <c r="E1129" s="13"/>
      <c r="F1129" s="13"/>
      <c r="G1129" s="2"/>
      <c r="H1129" s="2"/>
      <c r="I1129" s="13"/>
      <c r="J1129" s="13"/>
      <c r="K1129" s="13"/>
      <c r="L1129" s="14"/>
      <c r="M1129" s="4"/>
      <c r="N1129" s="2"/>
      <c r="O1129" s="4"/>
      <c r="P1129" s="2"/>
      <c r="Q1129" s="2"/>
      <c r="R1129" s="4"/>
      <c r="S1129" s="2"/>
      <c r="T1129" s="2"/>
      <c r="U1129" s="1"/>
      <c r="V1129" s="2"/>
      <c r="W1129" s="2"/>
      <c r="X1129" s="2"/>
      <c r="Y1129" s="2"/>
      <c r="Z1129" s="2"/>
    </row>
    <row r="1130" spans="1:26" ht="15.75" customHeight="1" x14ac:dyDescent="0.2">
      <c r="A1130" s="12"/>
      <c r="B1130" s="10"/>
      <c r="C1130" s="11"/>
      <c r="D1130" s="13"/>
      <c r="E1130" s="13"/>
      <c r="F1130" s="13"/>
      <c r="G1130" s="2"/>
      <c r="H1130" s="2"/>
      <c r="I1130" s="13"/>
      <c r="J1130" s="13"/>
      <c r="K1130" s="13"/>
      <c r="L1130" s="14"/>
      <c r="M1130" s="4"/>
      <c r="N1130" s="2"/>
      <c r="O1130" s="4"/>
      <c r="P1130" s="2"/>
      <c r="Q1130" s="2"/>
      <c r="R1130" s="4"/>
      <c r="S1130" s="2"/>
      <c r="T1130" s="2"/>
      <c r="U1130" s="1"/>
      <c r="V1130" s="2"/>
      <c r="W1130" s="2"/>
      <c r="X1130" s="2"/>
      <c r="Y1130" s="2"/>
      <c r="Z1130" s="2"/>
    </row>
    <row r="1131" spans="1:26" ht="15.75" customHeight="1" x14ac:dyDescent="0.2">
      <c r="A1131" s="12"/>
      <c r="B1131" s="10"/>
      <c r="C1131" s="11"/>
      <c r="D1131" s="13"/>
      <c r="E1131" s="13"/>
      <c r="F1131" s="13"/>
      <c r="G1131" s="2"/>
      <c r="H1131" s="2"/>
      <c r="I1131" s="13"/>
      <c r="J1131" s="13"/>
      <c r="K1131" s="13"/>
      <c r="L1131" s="14"/>
      <c r="M1131" s="4"/>
      <c r="N1131" s="2"/>
      <c r="O1131" s="4"/>
      <c r="P1131" s="2"/>
      <c r="Q1131" s="2"/>
      <c r="R1131" s="4"/>
      <c r="S1131" s="2"/>
      <c r="T1131" s="2"/>
      <c r="U1131" s="1"/>
      <c r="V1131" s="2"/>
      <c r="W1131" s="2"/>
      <c r="X1131" s="2"/>
      <c r="Y1131" s="2"/>
      <c r="Z1131" s="2"/>
    </row>
    <row r="1132" spans="1:26" ht="15.75" customHeight="1" x14ac:dyDescent="0.2">
      <c r="A1132" s="12"/>
      <c r="B1132" s="10"/>
      <c r="C1132" s="11"/>
      <c r="D1132" s="13"/>
      <c r="E1132" s="13"/>
      <c r="F1132" s="13"/>
      <c r="G1132" s="2"/>
      <c r="H1132" s="2"/>
      <c r="I1132" s="13"/>
      <c r="J1132" s="13"/>
      <c r="K1132" s="13"/>
      <c r="L1132" s="14"/>
      <c r="M1132" s="4"/>
      <c r="N1132" s="2"/>
      <c r="O1132" s="4"/>
      <c r="P1132" s="2"/>
      <c r="Q1132" s="2"/>
      <c r="R1132" s="4"/>
      <c r="S1132" s="2"/>
      <c r="T1132" s="2"/>
      <c r="U1132" s="1"/>
      <c r="V1132" s="2"/>
      <c r="W1132" s="2"/>
      <c r="X1132" s="2"/>
      <c r="Y1132" s="2"/>
      <c r="Z1132" s="2"/>
    </row>
    <row r="1133" spans="1:26" ht="15.75" customHeight="1" x14ac:dyDescent="0.2">
      <c r="A1133" s="12"/>
      <c r="B1133" s="10"/>
      <c r="C1133" s="11"/>
      <c r="D1133" s="13"/>
      <c r="E1133" s="13"/>
      <c r="F1133" s="13"/>
      <c r="G1133" s="2"/>
      <c r="H1133" s="2"/>
      <c r="I1133" s="13"/>
      <c r="J1133" s="13"/>
      <c r="K1133" s="13"/>
      <c r="L1133" s="14"/>
      <c r="M1133" s="4"/>
      <c r="N1133" s="2"/>
      <c r="O1133" s="4"/>
      <c r="P1133" s="2"/>
      <c r="Q1133" s="2"/>
      <c r="R1133" s="4"/>
      <c r="S1133" s="2"/>
      <c r="T1133" s="2"/>
      <c r="U1133" s="1"/>
      <c r="V1133" s="2"/>
      <c r="W1133" s="2"/>
      <c r="X1133" s="2"/>
      <c r="Y1133" s="2"/>
      <c r="Z1133" s="2"/>
    </row>
    <row r="1134" spans="1:26" ht="15.75" customHeight="1" x14ac:dyDescent="0.2">
      <c r="A1134" s="12"/>
      <c r="B1134" s="10"/>
      <c r="C1134" s="11"/>
      <c r="D1134" s="13"/>
      <c r="E1134" s="13"/>
      <c r="F1134" s="13"/>
      <c r="G1134" s="2"/>
      <c r="H1134" s="2"/>
      <c r="I1134" s="13"/>
      <c r="J1134" s="13"/>
      <c r="K1134" s="13"/>
      <c r="L1134" s="14"/>
      <c r="M1134" s="4"/>
      <c r="N1134" s="2"/>
      <c r="O1134" s="4"/>
      <c r="P1134" s="2"/>
      <c r="Q1134" s="2"/>
      <c r="R1134" s="4"/>
      <c r="S1134" s="2"/>
      <c r="T1134" s="2"/>
      <c r="U1134" s="1"/>
      <c r="V1134" s="2"/>
      <c r="W1134" s="2"/>
      <c r="X1134" s="2"/>
      <c r="Y1134" s="2"/>
      <c r="Z1134" s="2"/>
    </row>
    <row r="1135" spans="1:26" ht="15.75" customHeight="1" x14ac:dyDescent="0.2">
      <c r="A1135" s="12"/>
      <c r="B1135" s="10"/>
      <c r="C1135" s="11"/>
      <c r="D1135" s="13"/>
      <c r="E1135" s="13"/>
      <c r="F1135" s="13"/>
      <c r="G1135" s="2"/>
      <c r="H1135" s="2"/>
      <c r="I1135" s="13"/>
      <c r="J1135" s="13"/>
      <c r="K1135" s="13"/>
      <c r="L1135" s="14"/>
      <c r="M1135" s="4"/>
      <c r="N1135" s="2"/>
      <c r="O1135" s="4"/>
      <c r="P1135" s="2"/>
      <c r="Q1135" s="2"/>
      <c r="R1135" s="4"/>
      <c r="S1135" s="2"/>
      <c r="T1135" s="2"/>
      <c r="U1135" s="1"/>
      <c r="V1135" s="2"/>
      <c r="W1135" s="2"/>
      <c r="X1135" s="2"/>
      <c r="Y1135" s="2"/>
      <c r="Z1135" s="2"/>
    </row>
    <row r="1136" spans="1:26" ht="15.75" customHeight="1" x14ac:dyDescent="0.2">
      <c r="A1136" s="12"/>
      <c r="B1136" s="10"/>
      <c r="C1136" s="11"/>
      <c r="D1136" s="13"/>
      <c r="E1136" s="13"/>
      <c r="F1136" s="13"/>
      <c r="G1136" s="2"/>
      <c r="H1136" s="2"/>
      <c r="I1136" s="13"/>
      <c r="J1136" s="13"/>
      <c r="K1136" s="13"/>
      <c r="L1136" s="14"/>
      <c r="M1136" s="4"/>
      <c r="N1136" s="2"/>
      <c r="O1136" s="4"/>
      <c r="P1136" s="2"/>
      <c r="Q1136" s="2"/>
      <c r="R1136" s="4"/>
      <c r="S1136" s="2"/>
      <c r="T1136" s="2"/>
      <c r="U1136" s="1"/>
      <c r="V1136" s="2"/>
      <c r="W1136" s="2"/>
      <c r="X1136" s="2"/>
      <c r="Y1136" s="2"/>
      <c r="Z1136" s="2"/>
    </row>
    <row r="1137" spans="1:26" ht="15.75" customHeight="1" x14ac:dyDescent="0.2">
      <c r="A1137" s="12"/>
      <c r="B1137" s="10"/>
      <c r="C1137" s="11"/>
      <c r="D1137" s="13"/>
      <c r="E1137" s="13"/>
      <c r="F1137" s="13"/>
      <c r="G1137" s="2"/>
      <c r="H1137" s="2"/>
      <c r="I1137" s="13"/>
      <c r="J1137" s="13"/>
      <c r="K1137" s="13"/>
      <c r="L1137" s="14"/>
      <c r="M1137" s="4"/>
      <c r="N1137" s="2"/>
      <c r="O1137" s="4"/>
      <c r="P1137" s="2"/>
      <c r="Q1137" s="2"/>
      <c r="R1137" s="4"/>
      <c r="S1137" s="2"/>
      <c r="T1137" s="2"/>
      <c r="U1137" s="1"/>
      <c r="V1137" s="2"/>
      <c r="W1137" s="2"/>
      <c r="X1137" s="2"/>
      <c r="Y1137" s="2"/>
      <c r="Z1137" s="2"/>
    </row>
    <row r="1138" spans="1:26" ht="15.75" customHeight="1" x14ac:dyDescent="0.2">
      <c r="A1138" s="12"/>
      <c r="B1138" s="10"/>
      <c r="C1138" s="11"/>
      <c r="D1138" s="13"/>
      <c r="E1138" s="13"/>
      <c r="F1138" s="13"/>
      <c r="G1138" s="2"/>
      <c r="H1138" s="2"/>
      <c r="I1138" s="13"/>
      <c r="J1138" s="13"/>
      <c r="K1138" s="13"/>
      <c r="L1138" s="14"/>
      <c r="M1138" s="4"/>
      <c r="N1138" s="2"/>
      <c r="O1138" s="4"/>
      <c r="P1138" s="2"/>
      <c r="Q1138" s="2"/>
      <c r="R1138" s="4"/>
      <c r="S1138" s="2"/>
      <c r="T1138" s="2"/>
      <c r="U1138" s="1"/>
      <c r="V1138" s="2"/>
      <c r="W1138" s="2"/>
      <c r="X1138" s="2"/>
      <c r="Y1138" s="2"/>
      <c r="Z1138" s="2"/>
    </row>
    <row r="1139" spans="1:26" ht="15.75" customHeight="1" x14ac:dyDescent="0.2">
      <c r="A1139" s="12"/>
      <c r="B1139" s="10"/>
      <c r="C1139" s="11"/>
      <c r="D1139" s="13"/>
      <c r="E1139" s="13"/>
      <c r="F1139" s="13"/>
      <c r="G1139" s="2"/>
      <c r="H1139" s="2"/>
      <c r="I1139" s="13"/>
      <c r="J1139" s="13"/>
      <c r="K1139" s="13"/>
      <c r="L1139" s="14"/>
      <c r="M1139" s="4"/>
      <c r="N1139" s="2"/>
      <c r="O1139" s="4"/>
      <c r="P1139" s="2"/>
      <c r="Q1139" s="2"/>
      <c r="R1139" s="4"/>
      <c r="S1139" s="2"/>
      <c r="T1139" s="2"/>
      <c r="U1139" s="1"/>
      <c r="V1139" s="2"/>
      <c r="W1139" s="2"/>
      <c r="X1139" s="2"/>
      <c r="Y1139" s="2"/>
      <c r="Z1139" s="2"/>
    </row>
    <row r="1140" spans="1:26" ht="15.75" customHeight="1" x14ac:dyDescent="0.2">
      <c r="A1140" s="12"/>
      <c r="B1140" s="10"/>
      <c r="C1140" s="11"/>
      <c r="D1140" s="13"/>
      <c r="E1140" s="13"/>
      <c r="F1140" s="13"/>
      <c r="G1140" s="2"/>
      <c r="H1140" s="2"/>
      <c r="I1140" s="13"/>
      <c r="J1140" s="13"/>
      <c r="K1140" s="13"/>
      <c r="L1140" s="14"/>
      <c r="M1140" s="4"/>
      <c r="N1140" s="2"/>
      <c r="O1140" s="4"/>
      <c r="P1140" s="2"/>
      <c r="Q1140" s="2"/>
      <c r="R1140" s="4"/>
      <c r="S1140" s="2"/>
      <c r="T1140" s="2"/>
      <c r="U1140" s="1"/>
      <c r="V1140" s="2"/>
      <c r="W1140" s="2"/>
      <c r="X1140" s="2"/>
      <c r="Y1140" s="2"/>
      <c r="Z1140" s="2"/>
    </row>
    <row r="1141" spans="1:26" ht="15.75" customHeight="1" x14ac:dyDescent="0.2">
      <c r="A1141" s="12"/>
      <c r="B1141" s="10"/>
      <c r="C1141" s="11"/>
      <c r="D1141" s="13"/>
      <c r="E1141" s="13"/>
      <c r="F1141" s="13"/>
      <c r="G1141" s="2"/>
      <c r="H1141" s="2"/>
      <c r="I1141" s="13"/>
      <c r="J1141" s="13"/>
      <c r="K1141" s="13"/>
      <c r="L1141" s="14"/>
      <c r="M1141" s="4"/>
      <c r="N1141" s="2"/>
      <c r="O1141" s="4"/>
      <c r="P1141" s="2"/>
      <c r="Q1141" s="2"/>
      <c r="R1141" s="4"/>
      <c r="S1141" s="2"/>
      <c r="T1141" s="2"/>
      <c r="U1141" s="1"/>
      <c r="V1141" s="2"/>
      <c r="W1141" s="2"/>
      <c r="X1141" s="2"/>
      <c r="Y1141" s="2"/>
      <c r="Z1141" s="2"/>
    </row>
    <row r="1142" spans="1:26" ht="15.75" customHeight="1" x14ac:dyDescent="0.2">
      <c r="A1142" s="12"/>
      <c r="B1142" s="10"/>
      <c r="C1142" s="11"/>
      <c r="D1142" s="13"/>
      <c r="E1142" s="13"/>
      <c r="F1142" s="13"/>
      <c r="G1142" s="2"/>
      <c r="H1142" s="2"/>
      <c r="I1142" s="13"/>
      <c r="J1142" s="13"/>
      <c r="K1142" s="13"/>
      <c r="L1142" s="14"/>
      <c r="M1142" s="4"/>
      <c r="N1142" s="2"/>
      <c r="O1142" s="4"/>
      <c r="P1142" s="2"/>
      <c r="Q1142" s="2"/>
      <c r="R1142" s="4"/>
      <c r="S1142" s="2"/>
      <c r="T1142" s="2"/>
      <c r="U1142" s="1"/>
      <c r="V1142" s="2"/>
      <c r="W1142" s="2"/>
      <c r="X1142" s="2"/>
      <c r="Y1142" s="2"/>
      <c r="Z1142" s="2"/>
    </row>
    <row r="1143" spans="1:26" ht="15.75" customHeight="1" x14ac:dyDescent="0.2">
      <c r="A1143" s="12"/>
      <c r="B1143" s="10"/>
      <c r="C1143" s="11"/>
      <c r="D1143" s="13"/>
      <c r="E1143" s="13"/>
      <c r="F1143" s="13"/>
      <c r="G1143" s="2"/>
      <c r="H1143" s="2"/>
      <c r="I1143" s="13"/>
      <c r="J1143" s="13"/>
      <c r="K1143" s="13"/>
      <c r="L1143" s="14"/>
      <c r="M1143" s="4"/>
      <c r="N1143" s="2"/>
      <c r="O1143" s="4"/>
      <c r="P1143" s="2"/>
      <c r="Q1143" s="2"/>
      <c r="R1143" s="4"/>
      <c r="S1143" s="2"/>
      <c r="T1143" s="2"/>
      <c r="U1143" s="1"/>
      <c r="V1143" s="2"/>
      <c r="W1143" s="2"/>
      <c r="X1143" s="2"/>
      <c r="Y1143" s="2"/>
      <c r="Z1143" s="2"/>
    </row>
    <row r="1144" spans="1:26" ht="15.75" customHeight="1" x14ac:dyDescent="0.2">
      <c r="A1144" s="12"/>
      <c r="B1144" s="10"/>
      <c r="C1144" s="11"/>
      <c r="D1144" s="13"/>
      <c r="E1144" s="13"/>
      <c r="F1144" s="13"/>
      <c r="G1144" s="2"/>
      <c r="H1144" s="2"/>
      <c r="I1144" s="13"/>
      <c r="J1144" s="13"/>
      <c r="K1144" s="13"/>
      <c r="L1144" s="14"/>
      <c r="M1144" s="4"/>
      <c r="N1144" s="2"/>
      <c r="O1144" s="4"/>
      <c r="P1144" s="2"/>
      <c r="Q1144" s="2"/>
      <c r="R1144" s="4"/>
      <c r="S1144" s="2"/>
      <c r="T1144" s="2"/>
      <c r="U1144" s="1"/>
      <c r="V1144" s="2"/>
      <c r="W1144" s="2"/>
      <c r="X1144" s="2"/>
      <c r="Y1144" s="2"/>
      <c r="Z1144" s="2"/>
    </row>
    <row r="1145" spans="1:26" ht="15.75" customHeight="1" x14ac:dyDescent="0.2">
      <c r="A1145" s="12"/>
      <c r="B1145" s="10"/>
      <c r="C1145" s="11"/>
      <c r="D1145" s="13"/>
      <c r="E1145" s="13"/>
      <c r="F1145" s="13"/>
      <c r="G1145" s="2"/>
      <c r="H1145" s="2"/>
      <c r="I1145" s="13"/>
      <c r="J1145" s="13"/>
      <c r="K1145" s="13"/>
      <c r="L1145" s="14"/>
      <c r="M1145" s="4"/>
      <c r="N1145" s="2"/>
      <c r="O1145" s="4"/>
      <c r="P1145" s="2"/>
      <c r="Q1145" s="2"/>
      <c r="R1145" s="4"/>
      <c r="S1145" s="2"/>
      <c r="T1145" s="2"/>
      <c r="U1145" s="1"/>
      <c r="V1145" s="2"/>
      <c r="W1145" s="2"/>
      <c r="X1145" s="2"/>
      <c r="Y1145" s="2"/>
      <c r="Z1145" s="2"/>
    </row>
    <row r="1146" spans="1:26" ht="15.75" customHeight="1" x14ac:dyDescent="0.2">
      <c r="A1146" s="12"/>
      <c r="B1146" s="10"/>
      <c r="C1146" s="11"/>
      <c r="D1146" s="13"/>
      <c r="E1146" s="13"/>
      <c r="F1146" s="13"/>
      <c r="G1146" s="2"/>
      <c r="H1146" s="2"/>
      <c r="I1146" s="13"/>
      <c r="J1146" s="13"/>
      <c r="K1146" s="13"/>
      <c r="L1146" s="14"/>
      <c r="M1146" s="4"/>
      <c r="N1146" s="2"/>
      <c r="O1146" s="4"/>
      <c r="P1146" s="2"/>
      <c r="Q1146" s="2"/>
      <c r="R1146" s="4"/>
      <c r="S1146" s="2"/>
      <c r="T1146" s="2"/>
      <c r="U1146" s="1"/>
      <c r="V1146" s="2"/>
      <c r="W1146" s="2"/>
      <c r="X1146" s="2"/>
      <c r="Y1146" s="2"/>
      <c r="Z1146" s="2"/>
    </row>
    <row r="1147" spans="1:26" ht="15.75" customHeight="1" x14ac:dyDescent="0.2">
      <c r="A1147" s="12"/>
      <c r="B1147" s="10"/>
      <c r="C1147" s="11"/>
      <c r="D1147" s="13"/>
      <c r="E1147" s="13"/>
      <c r="F1147" s="13"/>
      <c r="G1147" s="2"/>
      <c r="H1147" s="2"/>
      <c r="I1147" s="13"/>
      <c r="J1147" s="13"/>
      <c r="K1147" s="13"/>
      <c r="L1147" s="14"/>
      <c r="M1147" s="4"/>
      <c r="N1147" s="2"/>
      <c r="O1147" s="4"/>
      <c r="P1147" s="2"/>
      <c r="Q1147" s="2"/>
      <c r="R1147" s="4"/>
      <c r="S1147" s="2"/>
      <c r="T1147" s="2"/>
      <c r="U1147" s="1"/>
      <c r="V1147" s="2"/>
      <c r="W1147" s="2"/>
      <c r="X1147" s="2"/>
      <c r="Y1147" s="2"/>
      <c r="Z1147" s="2"/>
    </row>
    <row r="1148" spans="1:26" ht="15.75" customHeight="1" x14ac:dyDescent="0.2">
      <c r="A1148" s="12"/>
      <c r="B1148" s="10"/>
      <c r="C1148" s="11"/>
      <c r="D1148" s="13"/>
      <c r="E1148" s="13"/>
      <c r="F1148" s="13"/>
      <c r="G1148" s="2"/>
      <c r="H1148" s="2"/>
      <c r="I1148" s="13"/>
      <c r="J1148" s="13"/>
      <c r="K1148" s="13"/>
      <c r="L1148" s="14"/>
      <c r="M1148" s="4"/>
      <c r="N1148" s="2"/>
      <c r="O1148" s="4"/>
      <c r="P1148" s="2"/>
      <c r="Q1148" s="2"/>
      <c r="R1148" s="4"/>
      <c r="S1148" s="2"/>
      <c r="T1148" s="2"/>
      <c r="U1148" s="1"/>
      <c r="V1148" s="2"/>
      <c r="W1148" s="2"/>
      <c r="X1148" s="2"/>
      <c r="Y1148" s="2"/>
      <c r="Z1148" s="2"/>
    </row>
    <row r="1149" spans="1:26" ht="15.75" customHeight="1" x14ac:dyDescent="0.2">
      <c r="A1149" s="12"/>
      <c r="B1149" s="10"/>
      <c r="C1149" s="11"/>
      <c r="D1149" s="13"/>
      <c r="E1149" s="13"/>
      <c r="F1149" s="13"/>
      <c r="G1149" s="2"/>
      <c r="H1149" s="2"/>
      <c r="I1149" s="13"/>
      <c r="J1149" s="13"/>
      <c r="K1149" s="13"/>
      <c r="L1149" s="14"/>
      <c r="M1149" s="4"/>
      <c r="N1149" s="2"/>
      <c r="O1149" s="4"/>
      <c r="P1149" s="2"/>
      <c r="Q1149" s="2"/>
      <c r="R1149" s="4"/>
      <c r="S1149" s="2"/>
      <c r="T1149" s="2"/>
      <c r="U1149" s="1"/>
      <c r="V1149" s="2"/>
      <c r="W1149" s="2"/>
      <c r="X1149" s="2"/>
      <c r="Y1149" s="2"/>
      <c r="Z1149" s="2"/>
    </row>
    <row r="1150" spans="1:26" ht="15.75" customHeight="1" x14ac:dyDescent="0.2">
      <c r="A1150" s="12"/>
      <c r="B1150" s="10"/>
      <c r="C1150" s="11"/>
      <c r="D1150" s="13"/>
      <c r="E1150" s="13"/>
      <c r="F1150" s="13"/>
      <c r="G1150" s="2"/>
      <c r="H1150" s="2"/>
      <c r="I1150" s="13"/>
      <c r="J1150" s="13"/>
      <c r="K1150" s="13"/>
      <c r="L1150" s="14"/>
      <c r="M1150" s="4"/>
      <c r="N1150" s="2"/>
      <c r="O1150" s="4"/>
      <c r="P1150" s="2"/>
      <c r="Q1150" s="2"/>
      <c r="R1150" s="4"/>
      <c r="S1150" s="2"/>
      <c r="T1150" s="2"/>
      <c r="U1150" s="1"/>
      <c r="V1150" s="2"/>
      <c r="W1150" s="2"/>
      <c r="X1150" s="2"/>
      <c r="Y1150" s="2"/>
      <c r="Z1150" s="2"/>
    </row>
    <row r="1151" spans="1:26" ht="15.75" customHeight="1" x14ac:dyDescent="0.2">
      <c r="A1151" s="12"/>
      <c r="B1151" s="10"/>
      <c r="C1151" s="11"/>
      <c r="D1151" s="13"/>
      <c r="E1151" s="13"/>
      <c r="F1151" s="13"/>
      <c r="G1151" s="2"/>
      <c r="H1151" s="2"/>
      <c r="I1151" s="13"/>
      <c r="J1151" s="13"/>
      <c r="K1151" s="13"/>
      <c r="L1151" s="14"/>
      <c r="M1151" s="4"/>
      <c r="N1151" s="2"/>
      <c r="O1151" s="4"/>
      <c r="P1151" s="2"/>
      <c r="Q1151" s="2"/>
      <c r="R1151" s="4"/>
      <c r="S1151" s="2"/>
      <c r="T1151" s="2"/>
      <c r="U1151" s="1"/>
      <c r="V1151" s="2"/>
      <c r="W1151" s="2"/>
      <c r="X1151" s="2"/>
      <c r="Y1151" s="2"/>
      <c r="Z1151" s="2"/>
    </row>
    <row r="1152" spans="1:26" ht="15.75" customHeight="1" x14ac:dyDescent="0.2">
      <c r="A1152" s="12"/>
      <c r="B1152" s="10"/>
      <c r="C1152" s="11"/>
      <c r="D1152" s="13"/>
      <c r="E1152" s="13"/>
      <c r="F1152" s="13"/>
      <c r="G1152" s="2"/>
      <c r="H1152" s="2"/>
      <c r="I1152" s="13"/>
      <c r="J1152" s="13"/>
      <c r="K1152" s="13"/>
      <c r="L1152" s="14"/>
      <c r="M1152" s="4"/>
      <c r="N1152" s="2"/>
      <c r="O1152" s="4"/>
      <c r="P1152" s="2"/>
      <c r="Q1152" s="2"/>
      <c r="R1152" s="4"/>
      <c r="S1152" s="2"/>
      <c r="T1152" s="2"/>
      <c r="U1152" s="1"/>
      <c r="V1152" s="2"/>
      <c r="W1152" s="2"/>
      <c r="X1152" s="2"/>
      <c r="Y1152" s="2"/>
      <c r="Z1152" s="2"/>
    </row>
    <row r="1153" spans="1:26" ht="15.75" customHeight="1" x14ac:dyDescent="0.2">
      <c r="A1153" s="12"/>
      <c r="B1153" s="10"/>
      <c r="C1153" s="11"/>
      <c r="D1153" s="13"/>
      <c r="E1153" s="13"/>
      <c r="F1153" s="13"/>
      <c r="G1153" s="2"/>
      <c r="H1153" s="2"/>
      <c r="I1153" s="13"/>
      <c r="J1153" s="13"/>
      <c r="K1153" s="13"/>
      <c r="L1153" s="14"/>
      <c r="M1153" s="4"/>
      <c r="N1153" s="2"/>
      <c r="O1153" s="4"/>
      <c r="P1153" s="2"/>
      <c r="Q1153" s="2"/>
      <c r="R1153" s="4"/>
      <c r="S1153" s="2"/>
      <c r="T1153" s="2"/>
      <c r="U1153" s="1"/>
      <c r="V1153" s="2"/>
      <c r="W1153" s="2"/>
      <c r="X1153" s="2"/>
      <c r="Y1153" s="2"/>
      <c r="Z1153" s="2"/>
    </row>
    <row r="1154" spans="1:26" ht="15.75" customHeight="1" x14ac:dyDescent="0.2">
      <c r="A1154" s="12"/>
      <c r="B1154" s="10"/>
      <c r="C1154" s="11"/>
      <c r="D1154" s="13"/>
      <c r="E1154" s="13"/>
      <c r="F1154" s="13"/>
      <c r="G1154" s="2"/>
      <c r="H1154" s="2"/>
      <c r="I1154" s="13"/>
      <c r="J1154" s="13"/>
      <c r="K1154" s="13"/>
      <c r="L1154" s="14"/>
      <c r="M1154" s="4"/>
      <c r="N1154" s="2"/>
      <c r="O1154" s="4"/>
      <c r="P1154" s="2"/>
      <c r="Q1154" s="2"/>
      <c r="R1154" s="4"/>
      <c r="S1154" s="2"/>
      <c r="T1154" s="2"/>
      <c r="U1154" s="1"/>
      <c r="V1154" s="2"/>
      <c r="W1154" s="2"/>
      <c r="X1154" s="2"/>
      <c r="Y1154" s="2"/>
      <c r="Z1154" s="2"/>
    </row>
    <row r="1155" spans="1:26" ht="15.75" customHeight="1" x14ac:dyDescent="0.2">
      <c r="A1155" s="12"/>
      <c r="B1155" s="10"/>
      <c r="C1155" s="11"/>
      <c r="D1155" s="13"/>
      <c r="E1155" s="13"/>
      <c r="F1155" s="13"/>
      <c r="G1155" s="2"/>
      <c r="H1155" s="2"/>
      <c r="I1155" s="13"/>
      <c r="J1155" s="13"/>
      <c r="K1155" s="13"/>
      <c r="L1155" s="14"/>
      <c r="M1155" s="4"/>
      <c r="N1155" s="2"/>
      <c r="O1155" s="4"/>
      <c r="P1155" s="2"/>
      <c r="Q1155" s="2"/>
      <c r="R1155" s="4"/>
      <c r="S1155" s="2"/>
      <c r="T1155" s="2"/>
      <c r="U1155" s="1"/>
      <c r="V1155" s="2"/>
      <c r="W1155" s="2"/>
      <c r="X1155" s="2"/>
      <c r="Y1155" s="2"/>
      <c r="Z1155" s="2"/>
    </row>
    <row r="1156" spans="1:26" ht="15.75" customHeight="1" x14ac:dyDescent="0.2">
      <c r="A1156" s="12"/>
      <c r="B1156" s="10"/>
      <c r="C1156" s="11"/>
      <c r="D1156" s="13"/>
      <c r="E1156" s="13"/>
      <c r="F1156" s="13"/>
      <c r="G1156" s="2"/>
      <c r="H1156" s="2"/>
      <c r="I1156" s="13"/>
      <c r="J1156" s="13"/>
      <c r="K1156" s="13"/>
      <c r="L1156" s="14"/>
      <c r="M1156" s="4"/>
      <c r="N1156" s="2"/>
      <c r="O1156" s="4"/>
      <c r="P1156" s="2"/>
      <c r="Q1156" s="2"/>
      <c r="R1156" s="4"/>
      <c r="S1156" s="2"/>
      <c r="T1156" s="2"/>
      <c r="U1156" s="1"/>
      <c r="V1156" s="2"/>
      <c r="W1156" s="2"/>
      <c r="X1156" s="2"/>
      <c r="Y1156" s="2"/>
      <c r="Z1156" s="2"/>
    </row>
    <row r="1157" spans="1:26" ht="15.75" customHeight="1" x14ac:dyDescent="0.2">
      <c r="A1157" s="12"/>
      <c r="B1157" s="10"/>
      <c r="C1157" s="11"/>
      <c r="D1157" s="13"/>
      <c r="E1157" s="13"/>
      <c r="F1157" s="13"/>
      <c r="G1157" s="2"/>
      <c r="H1157" s="2"/>
      <c r="I1157" s="13"/>
      <c r="J1157" s="13"/>
      <c r="K1157" s="13"/>
      <c r="L1157" s="14"/>
      <c r="M1157" s="4"/>
      <c r="N1157" s="2"/>
      <c r="O1157" s="4"/>
      <c r="P1157" s="2"/>
      <c r="Q1157" s="2"/>
      <c r="R1157" s="4"/>
      <c r="S1157" s="2"/>
      <c r="T1157" s="2"/>
      <c r="U1157" s="1"/>
      <c r="V1157" s="2"/>
      <c r="W1157" s="2"/>
      <c r="X1157" s="2"/>
      <c r="Y1157" s="2"/>
      <c r="Z1157" s="2"/>
    </row>
    <row r="1158" spans="1:26" ht="15.75" customHeight="1" x14ac:dyDescent="0.2">
      <c r="A1158" s="12"/>
      <c r="B1158" s="10"/>
      <c r="C1158" s="11"/>
      <c r="D1158" s="13"/>
      <c r="E1158" s="13"/>
      <c r="F1158" s="13"/>
      <c r="G1158" s="2"/>
      <c r="H1158" s="2"/>
      <c r="I1158" s="13"/>
      <c r="J1158" s="13"/>
      <c r="K1158" s="13"/>
      <c r="L1158" s="14"/>
      <c r="M1158" s="4"/>
      <c r="N1158" s="2"/>
      <c r="O1158" s="4"/>
      <c r="P1158" s="2"/>
      <c r="Q1158" s="2"/>
      <c r="R1158" s="4"/>
      <c r="S1158" s="2"/>
      <c r="T1158" s="2"/>
      <c r="U1158" s="1"/>
      <c r="V1158" s="2"/>
      <c r="W1158" s="2"/>
      <c r="X1158" s="2"/>
      <c r="Y1158" s="2"/>
      <c r="Z1158" s="2"/>
    </row>
    <row r="1159" spans="1:26" ht="15.75" customHeight="1" x14ac:dyDescent="0.2">
      <c r="A1159" s="12"/>
      <c r="B1159" s="10"/>
      <c r="C1159" s="11"/>
      <c r="D1159" s="13"/>
      <c r="E1159" s="13"/>
      <c r="F1159" s="13"/>
      <c r="G1159" s="2"/>
      <c r="H1159" s="2"/>
      <c r="I1159" s="13"/>
      <c r="J1159" s="13"/>
      <c r="K1159" s="13"/>
      <c r="L1159" s="14"/>
      <c r="M1159" s="4"/>
      <c r="N1159" s="2"/>
      <c r="O1159" s="4"/>
      <c r="P1159" s="2"/>
      <c r="Q1159" s="2"/>
      <c r="R1159" s="4"/>
      <c r="S1159" s="2"/>
      <c r="T1159" s="2"/>
      <c r="U1159" s="1"/>
      <c r="V1159" s="2"/>
      <c r="W1159" s="2"/>
      <c r="X1159" s="2"/>
      <c r="Y1159" s="2"/>
      <c r="Z1159" s="2"/>
    </row>
    <row r="1160" spans="1:26" ht="15.75" customHeight="1" x14ac:dyDescent="0.2">
      <c r="A1160" s="12"/>
      <c r="B1160" s="10"/>
      <c r="C1160" s="11"/>
      <c r="D1160" s="13"/>
      <c r="E1160" s="13"/>
      <c r="F1160" s="13"/>
      <c r="G1160" s="2"/>
      <c r="H1160" s="2"/>
      <c r="I1160" s="13"/>
      <c r="J1160" s="13"/>
      <c r="K1160" s="13"/>
      <c r="L1160" s="14"/>
      <c r="M1160" s="4"/>
      <c r="N1160" s="2"/>
      <c r="O1160" s="4"/>
      <c r="P1160" s="2"/>
      <c r="Q1160" s="2"/>
      <c r="R1160" s="4"/>
      <c r="S1160" s="2"/>
      <c r="T1160" s="2"/>
      <c r="U1160" s="1"/>
      <c r="V1160" s="2"/>
      <c r="W1160" s="2"/>
      <c r="X1160" s="2"/>
      <c r="Y1160" s="2"/>
      <c r="Z1160" s="2"/>
    </row>
    <row r="1161" spans="1:26" ht="15.75" customHeight="1" x14ac:dyDescent="0.2">
      <c r="A1161" s="12"/>
      <c r="B1161" s="10"/>
      <c r="C1161" s="11"/>
      <c r="D1161" s="13"/>
      <c r="E1161" s="13"/>
      <c r="F1161" s="13"/>
      <c r="G1161" s="2"/>
      <c r="H1161" s="2"/>
      <c r="I1161" s="13"/>
      <c r="J1161" s="13"/>
      <c r="K1161" s="13"/>
      <c r="L1161" s="14"/>
      <c r="M1161" s="4"/>
      <c r="N1161" s="2"/>
      <c r="O1161" s="4"/>
      <c r="P1161" s="2"/>
      <c r="Q1161" s="2"/>
      <c r="R1161" s="4"/>
      <c r="S1161" s="2"/>
      <c r="T1161" s="2"/>
      <c r="U1161" s="1"/>
      <c r="V1161" s="2"/>
      <c r="W1161" s="2"/>
      <c r="X1161" s="2"/>
      <c r="Y1161" s="2"/>
      <c r="Z1161" s="2"/>
    </row>
    <row r="1162" spans="1:26" ht="15.75" customHeight="1" x14ac:dyDescent="0.2">
      <c r="A1162" s="12"/>
      <c r="B1162" s="10"/>
      <c r="C1162" s="11"/>
      <c r="D1162" s="13"/>
      <c r="E1162" s="13"/>
      <c r="F1162" s="13"/>
      <c r="G1162" s="2"/>
      <c r="H1162" s="2"/>
      <c r="I1162" s="13"/>
      <c r="J1162" s="13"/>
      <c r="K1162" s="13"/>
      <c r="L1162" s="14"/>
      <c r="M1162" s="4"/>
      <c r="N1162" s="2"/>
      <c r="O1162" s="4"/>
      <c r="P1162" s="2"/>
      <c r="Q1162" s="2"/>
      <c r="R1162" s="4"/>
      <c r="S1162" s="2"/>
      <c r="T1162" s="2"/>
      <c r="U1162" s="1"/>
      <c r="V1162" s="2"/>
      <c r="W1162" s="2"/>
      <c r="X1162" s="2"/>
      <c r="Y1162" s="2"/>
      <c r="Z1162" s="2"/>
    </row>
    <row r="1163" spans="1:26" ht="15.75" customHeight="1" x14ac:dyDescent="0.2">
      <c r="A1163" s="12"/>
      <c r="B1163" s="10"/>
      <c r="C1163" s="11"/>
      <c r="D1163" s="13"/>
      <c r="E1163" s="13"/>
      <c r="F1163" s="13"/>
      <c r="G1163" s="2"/>
      <c r="H1163" s="2"/>
      <c r="I1163" s="13"/>
      <c r="J1163" s="13"/>
      <c r="K1163" s="13"/>
      <c r="L1163" s="14"/>
      <c r="M1163" s="4"/>
      <c r="N1163" s="2"/>
      <c r="O1163" s="4"/>
      <c r="P1163" s="2"/>
      <c r="Q1163" s="2"/>
      <c r="R1163" s="4"/>
      <c r="S1163" s="2"/>
      <c r="T1163" s="2"/>
      <c r="U1163" s="1"/>
      <c r="V1163" s="2"/>
      <c r="W1163" s="2"/>
      <c r="X1163" s="2"/>
      <c r="Y1163" s="2"/>
      <c r="Z1163" s="2"/>
    </row>
    <row r="1164" spans="1:26" ht="15.75" customHeight="1" x14ac:dyDescent="0.2">
      <c r="A1164" s="12"/>
      <c r="B1164" s="10"/>
      <c r="C1164" s="11"/>
      <c r="D1164" s="13"/>
      <c r="E1164" s="13"/>
      <c r="F1164" s="13"/>
      <c r="G1164" s="2"/>
      <c r="H1164" s="2"/>
      <c r="I1164" s="13"/>
      <c r="J1164" s="13"/>
      <c r="K1164" s="13"/>
      <c r="L1164" s="14"/>
      <c r="M1164" s="4"/>
      <c r="N1164" s="2"/>
      <c r="O1164" s="4"/>
      <c r="P1164" s="2"/>
      <c r="Q1164" s="2"/>
      <c r="R1164" s="4"/>
      <c r="S1164" s="2"/>
      <c r="T1164" s="2"/>
      <c r="U1164" s="1"/>
      <c r="V1164" s="2"/>
      <c r="W1164" s="2"/>
      <c r="X1164" s="2"/>
      <c r="Y1164" s="2"/>
      <c r="Z1164" s="2"/>
    </row>
    <row r="1165" spans="1:26" ht="15.75" customHeight="1" x14ac:dyDescent="0.2">
      <c r="A1165" s="12"/>
      <c r="B1165" s="10"/>
      <c r="C1165" s="11"/>
      <c r="D1165" s="13"/>
      <c r="E1165" s="13"/>
      <c r="F1165" s="13"/>
      <c r="G1165" s="2"/>
      <c r="H1165" s="2"/>
      <c r="I1165" s="13"/>
      <c r="J1165" s="13"/>
      <c r="K1165" s="13"/>
      <c r="L1165" s="14"/>
      <c r="M1165" s="4"/>
      <c r="N1165" s="2"/>
      <c r="O1165" s="4"/>
      <c r="P1165" s="2"/>
      <c r="Q1165" s="2"/>
      <c r="R1165" s="4"/>
      <c r="S1165" s="2"/>
      <c r="T1165" s="2"/>
      <c r="U1165" s="1"/>
      <c r="V1165" s="2"/>
      <c r="W1165" s="2"/>
      <c r="X1165" s="2"/>
      <c r="Y1165" s="2"/>
      <c r="Z1165" s="2"/>
    </row>
    <row r="1166" spans="1:26" ht="15.75" customHeight="1" x14ac:dyDescent="0.2">
      <c r="A1166" s="12"/>
      <c r="B1166" s="10"/>
      <c r="C1166" s="11"/>
      <c r="D1166" s="13"/>
      <c r="E1166" s="13"/>
      <c r="F1166" s="13"/>
      <c r="G1166" s="2"/>
      <c r="H1166" s="2"/>
      <c r="I1166" s="13"/>
      <c r="J1166" s="13"/>
      <c r="K1166" s="13"/>
      <c r="L1166" s="14"/>
      <c r="M1166" s="4"/>
      <c r="N1166" s="2"/>
      <c r="O1166" s="4"/>
      <c r="P1166" s="2"/>
      <c r="Q1166" s="2"/>
      <c r="R1166" s="4"/>
      <c r="S1166" s="2"/>
      <c r="T1166" s="2"/>
      <c r="U1166" s="1"/>
      <c r="V1166" s="2"/>
      <c r="W1166" s="2"/>
      <c r="X1166" s="2"/>
      <c r="Y1166" s="2"/>
      <c r="Z1166" s="2"/>
    </row>
    <row r="1167" spans="1:26" ht="15.75" customHeight="1" x14ac:dyDescent="0.2">
      <c r="A1167" s="12"/>
      <c r="B1167" s="10"/>
      <c r="C1167" s="11"/>
      <c r="D1167" s="13"/>
      <c r="E1167" s="13"/>
      <c r="F1167" s="13"/>
      <c r="G1167" s="2"/>
      <c r="H1167" s="2"/>
      <c r="I1167" s="13"/>
      <c r="J1167" s="13"/>
      <c r="K1167" s="13"/>
      <c r="L1167" s="14"/>
      <c r="M1167" s="4"/>
      <c r="N1167" s="2"/>
      <c r="O1167" s="4"/>
      <c r="P1167" s="2"/>
      <c r="Q1167" s="2"/>
      <c r="R1167" s="4"/>
      <c r="S1167" s="2"/>
      <c r="T1167" s="2"/>
      <c r="U1167" s="1"/>
      <c r="V1167" s="2"/>
      <c r="W1167" s="2"/>
      <c r="X1167" s="2"/>
      <c r="Y1167" s="2"/>
      <c r="Z1167" s="2"/>
    </row>
    <row r="1168" spans="1:26" ht="15.75" customHeight="1" x14ac:dyDescent="0.2">
      <c r="A1168" s="12"/>
      <c r="B1168" s="10"/>
      <c r="C1168" s="11"/>
      <c r="D1168" s="13"/>
      <c r="E1168" s="13"/>
      <c r="F1168" s="13"/>
      <c r="G1168" s="2"/>
      <c r="H1168" s="2"/>
      <c r="I1168" s="13"/>
      <c r="J1168" s="13"/>
      <c r="K1168" s="13"/>
      <c r="L1168" s="14"/>
      <c r="M1168" s="4"/>
      <c r="N1168" s="2"/>
      <c r="O1168" s="4"/>
      <c r="P1168" s="2"/>
      <c r="Q1168" s="2"/>
      <c r="R1168" s="4"/>
      <c r="S1168" s="2"/>
      <c r="T1168" s="2"/>
      <c r="U1168" s="1"/>
      <c r="V1168" s="2"/>
      <c r="W1168" s="2"/>
      <c r="X1168" s="2"/>
      <c r="Y1168" s="2"/>
      <c r="Z1168" s="2"/>
    </row>
    <row r="1169" spans="1:26" ht="15.75" customHeight="1" x14ac:dyDescent="0.2">
      <c r="A1169" s="12"/>
      <c r="B1169" s="10"/>
      <c r="C1169" s="11"/>
      <c r="D1169" s="13"/>
      <c r="E1169" s="13"/>
      <c r="F1169" s="13"/>
      <c r="G1169" s="2"/>
      <c r="H1169" s="2"/>
      <c r="I1169" s="13"/>
      <c r="J1169" s="13"/>
      <c r="K1169" s="13"/>
      <c r="L1169" s="14"/>
      <c r="M1169" s="4"/>
      <c r="N1169" s="2"/>
      <c r="O1169" s="4"/>
      <c r="P1169" s="2"/>
      <c r="Q1169" s="2"/>
      <c r="R1169" s="4"/>
      <c r="S1169" s="2"/>
      <c r="T1169" s="2"/>
      <c r="U1169" s="1"/>
      <c r="V1169" s="2"/>
      <c r="W1169" s="2"/>
      <c r="X1169" s="2"/>
      <c r="Y1169" s="2"/>
      <c r="Z1169" s="2"/>
    </row>
    <row r="1170" spans="1:26" ht="15.75" customHeight="1" x14ac:dyDescent="0.2">
      <c r="A1170" s="12"/>
      <c r="B1170" s="10"/>
      <c r="C1170" s="11"/>
      <c r="D1170" s="13"/>
      <c r="E1170" s="13"/>
      <c r="F1170" s="13"/>
      <c r="G1170" s="2"/>
      <c r="H1170" s="2"/>
      <c r="I1170" s="13"/>
      <c r="J1170" s="13"/>
      <c r="K1170" s="13"/>
      <c r="L1170" s="14"/>
      <c r="M1170" s="4"/>
      <c r="N1170" s="2"/>
      <c r="O1170" s="4"/>
      <c r="P1170" s="2"/>
      <c r="Q1170" s="2"/>
      <c r="R1170" s="4"/>
      <c r="S1170" s="2"/>
      <c r="T1170" s="2"/>
      <c r="U1170" s="1"/>
      <c r="V1170" s="2"/>
      <c r="W1170" s="2"/>
      <c r="X1170" s="2"/>
      <c r="Y1170" s="2"/>
      <c r="Z1170" s="2"/>
    </row>
    <row r="1171" spans="1:26" ht="15.75" customHeight="1" x14ac:dyDescent="0.2">
      <c r="A1171" s="12"/>
      <c r="B1171" s="10"/>
      <c r="C1171" s="11"/>
      <c r="D1171" s="13"/>
      <c r="E1171" s="13"/>
      <c r="F1171" s="13"/>
      <c r="G1171" s="2"/>
      <c r="H1171" s="2"/>
      <c r="I1171" s="13"/>
      <c r="J1171" s="13"/>
      <c r="K1171" s="13"/>
      <c r="L1171" s="14"/>
      <c r="M1171" s="4"/>
      <c r="N1171" s="2"/>
      <c r="O1171" s="4"/>
      <c r="P1171" s="2"/>
      <c r="Q1171" s="2"/>
      <c r="R1171" s="4"/>
      <c r="S1171" s="2"/>
      <c r="T1171" s="2"/>
      <c r="U1171" s="1"/>
      <c r="V1171" s="2"/>
      <c r="W1171" s="2"/>
      <c r="X1171" s="2"/>
      <c r="Y1171" s="2"/>
      <c r="Z1171" s="2"/>
    </row>
    <row r="1172" spans="1:26" ht="15.75" customHeight="1" x14ac:dyDescent="0.2">
      <c r="A1172" s="12"/>
      <c r="B1172" s="10"/>
      <c r="C1172" s="11"/>
      <c r="D1172" s="13"/>
      <c r="E1172" s="13"/>
      <c r="F1172" s="13"/>
      <c r="G1172" s="2"/>
      <c r="H1172" s="2"/>
      <c r="I1172" s="13"/>
      <c r="J1172" s="13"/>
      <c r="K1172" s="13"/>
      <c r="L1172" s="14"/>
      <c r="M1172" s="4"/>
      <c r="N1172" s="2"/>
      <c r="O1172" s="4"/>
      <c r="P1172" s="2"/>
      <c r="Q1172" s="2"/>
      <c r="R1172" s="4"/>
      <c r="S1172" s="2"/>
      <c r="T1172" s="2"/>
      <c r="U1172" s="1"/>
      <c r="V1172" s="2"/>
      <c r="W1172" s="2"/>
      <c r="X1172" s="2"/>
      <c r="Y1172" s="2"/>
      <c r="Z1172" s="2"/>
    </row>
    <row r="1173" spans="1:26" ht="15.75" customHeight="1" x14ac:dyDescent="0.2">
      <c r="A1173" s="12"/>
      <c r="B1173" s="10"/>
      <c r="C1173" s="11"/>
      <c r="D1173" s="13"/>
      <c r="E1173" s="13"/>
      <c r="F1173" s="13"/>
      <c r="G1173" s="2"/>
      <c r="H1173" s="2"/>
      <c r="I1173" s="13"/>
      <c r="J1173" s="13"/>
      <c r="K1173" s="13"/>
      <c r="L1173" s="14"/>
      <c r="M1173" s="4"/>
      <c r="N1173" s="2"/>
      <c r="O1173" s="4"/>
      <c r="P1173" s="2"/>
      <c r="Q1173" s="2"/>
      <c r="R1173" s="4"/>
      <c r="S1173" s="2"/>
      <c r="T1173" s="2"/>
      <c r="U1173" s="1"/>
      <c r="V1173" s="2"/>
      <c r="W1173" s="2"/>
      <c r="X1173" s="2"/>
      <c r="Y1173" s="2"/>
      <c r="Z1173" s="2"/>
    </row>
    <row r="1174" spans="1:26" ht="15.75" customHeight="1" x14ac:dyDescent="0.2">
      <c r="A1174" s="12"/>
      <c r="B1174" s="10"/>
      <c r="C1174" s="11"/>
      <c r="D1174" s="13"/>
      <c r="E1174" s="13"/>
      <c r="F1174" s="13"/>
      <c r="G1174" s="2"/>
      <c r="H1174" s="2"/>
      <c r="I1174" s="13"/>
      <c r="J1174" s="13"/>
      <c r="K1174" s="13"/>
      <c r="L1174" s="14"/>
      <c r="M1174" s="4"/>
      <c r="N1174" s="2"/>
      <c r="O1174" s="4"/>
      <c r="P1174" s="2"/>
      <c r="Q1174" s="2"/>
      <c r="R1174" s="4"/>
      <c r="S1174" s="2"/>
      <c r="T1174" s="2"/>
      <c r="U1174" s="1"/>
      <c r="V1174" s="2"/>
      <c r="W1174" s="2"/>
      <c r="X1174" s="2"/>
      <c r="Y1174" s="2"/>
      <c r="Z1174" s="2"/>
    </row>
    <row r="1175" spans="1:26" ht="15.75" customHeight="1" x14ac:dyDescent="0.2">
      <c r="A1175" s="12"/>
      <c r="B1175" s="10"/>
      <c r="C1175" s="11"/>
      <c r="D1175" s="13"/>
      <c r="E1175" s="13"/>
      <c r="F1175" s="13"/>
      <c r="G1175" s="2"/>
      <c r="H1175" s="2"/>
      <c r="I1175" s="13"/>
      <c r="J1175" s="13"/>
      <c r="K1175" s="13"/>
      <c r="L1175" s="14"/>
      <c r="M1175" s="4"/>
      <c r="N1175" s="2"/>
      <c r="O1175" s="4"/>
      <c r="P1175" s="2"/>
      <c r="Q1175" s="2"/>
      <c r="R1175" s="4"/>
      <c r="S1175" s="2"/>
      <c r="T1175" s="2"/>
      <c r="U1175" s="1"/>
      <c r="V1175" s="2"/>
      <c r="W1175" s="2"/>
      <c r="X1175" s="2"/>
      <c r="Y1175" s="2"/>
      <c r="Z1175" s="2"/>
    </row>
    <row r="1176" spans="1:26" ht="15.75" customHeight="1" x14ac:dyDescent="0.2">
      <c r="A1176" s="12"/>
      <c r="B1176" s="10"/>
      <c r="C1176" s="11"/>
      <c r="D1176" s="13"/>
      <c r="E1176" s="13"/>
      <c r="F1176" s="13"/>
      <c r="G1176" s="2"/>
      <c r="H1176" s="2"/>
      <c r="I1176" s="13"/>
      <c r="J1176" s="13"/>
      <c r="K1176" s="13"/>
      <c r="L1176" s="14"/>
      <c r="M1176" s="4"/>
      <c r="N1176" s="2"/>
      <c r="O1176" s="4"/>
      <c r="P1176" s="2"/>
      <c r="Q1176" s="2"/>
      <c r="R1176" s="4"/>
      <c r="S1176" s="2"/>
      <c r="T1176" s="2"/>
      <c r="U1176" s="1"/>
      <c r="V1176" s="2"/>
      <c r="W1176" s="2"/>
      <c r="X1176" s="2"/>
      <c r="Y1176" s="2"/>
      <c r="Z1176" s="2"/>
    </row>
    <row r="1177" spans="1:26" ht="15.75" customHeight="1" x14ac:dyDescent="0.2">
      <c r="A1177" s="12"/>
      <c r="B1177" s="10"/>
      <c r="C1177" s="11"/>
      <c r="D1177" s="13"/>
      <c r="E1177" s="13"/>
      <c r="F1177" s="13"/>
      <c r="G1177" s="2"/>
      <c r="H1177" s="2"/>
      <c r="I1177" s="13"/>
      <c r="J1177" s="13"/>
      <c r="K1177" s="13"/>
      <c r="L1177" s="14"/>
      <c r="M1177" s="4"/>
      <c r="N1177" s="2"/>
      <c r="O1177" s="4"/>
      <c r="P1177" s="2"/>
      <c r="Q1177" s="2"/>
      <c r="R1177" s="4"/>
      <c r="S1177" s="2"/>
      <c r="T1177" s="2"/>
      <c r="U1177" s="1"/>
      <c r="V1177" s="2"/>
      <c r="W1177" s="2"/>
      <c r="X1177" s="2"/>
      <c r="Y1177" s="2"/>
      <c r="Z1177" s="2"/>
    </row>
    <row r="1178" spans="1:26" ht="15.75" customHeight="1" x14ac:dyDescent="0.2">
      <c r="A1178" s="12"/>
      <c r="B1178" s="10"/>
      <c r="C1178" s="11"/>
      <c r="D1178" s="13"/>
      <c r="E1178" s="13"/>
      <c r="F1178" s="13"/>
      <c r="G1178" s="2"/>
      <c r="H1178" s="2"/>
      <c r="I1178" s="13"/>
      <c r="J1178" s="13"/>
      <c r="K1178" s="13"/>
      <c r="L1178" s="14"/>
      <c r="M1178" s="4"/>
      <c r="N1178" s="2"/>
      <c r="O1178" s="4"/>
      <c r="P1178" s="2"/>
      <c r="Q1178" s="2"/>
      <c r="R1178" s="4"/>
      <c r="S1178" s="2"/>
      <c r="T1178" s="2"/>
      <c r="U1178" s="1"/>
      <c r="V1178" s="2"/>
      <c r="W1178" s="2"/>
      <c r="X1178" s="2"/>
      <c r="Y1178" s="2"/>
      <c r="Z1178" s="2"/>
    </row>
    <row r="1179" spans="1:26" ht="15.75" customHeight="1" x14ac:dyDescent="0.2">
      <c r="A1179" s="12"/>
      <c r="B1179" s="10"/>
      <c r="C1179" s="11"/>
      <c r="D1179" s="13"/>
      <c r="E1179" s="13"/>
      <c r="F1179" s="13"/>
      <c r="G1179" s="2"/>
      <c r="H1179" s="2"/>
      <c r="I1179" s="13"/>
      <c r="J1179" s="13"/>
      <c r="K1179" s="13"/>
      <c r="L1179" s="14"/>
      <c r="M1179" s="4"/>
      <c r="N1179" s="2"/>
      <c r="O1179" s="4"/>
      <c r="P1179" s="2"/>
      <c r="Q1179" s="2"/>
      <c r="R1179" s="4"/>
      <c r="S1179" s="2"/>
      <c r="T1179" s="2"/>
      <c r="U1179" s="1"/>
      <c r="V1179" s="2"/>
      <c r="W1179" s="2"/>
      <c r="X1179" s="2"/>
      <c r="Y1179" s="2"/>
      <c r="Z1179" s="2"/>
    </row>
    <row r="1180" spans="1:26" ht="15.75" customHeight="1" x14ac:dyDescent="0.2">
      <c r="A1180" s="12"/>
      <c r="B1180" s="10"/>
      <c r="C1180" s="11"/>
      <c r="D1180" s="13"/>
      <c r="E1180" s="13"/>
      <c r="F1180" s="13"/>
      <c r="G1180" s="2"/>
      <c r="H1180" s="2"/>
      <c r="I1180" s="13"/>
      <c r="J1180" s="13"/>
      <c r="K1180" s="13"/>
      <c r="L1180" s="14"/>
      <c r="M1180" s="4"/>
      <c r="N1180" s="2"/>
      <c r="O1180" s="4"/>
      <c r="P1180" s="2"/>
      <c r="Q1180" s="2"/>
      <c r="R1180" s="4"/>
      <c r="S1180" s="2"/>
      <c r="T1180" s="2"/>
      <c r="U1180" s="1"/>
      <c r="V1180" s="2"/>
      <c r="W1180" s="2"/>
      <c r="X1180" s="2"/>
      <c r="Y1180" s="2"/>
      <c r="Z1180" s="2"/>
    </row>
    <row r="1181" spans="1:26" ht="15.75" customHeight="1" x14ac:dyDescent="0.2">
      <c r="A1181" s="12"/>
      <c r="B1181" s="10"/>
      <c r="C1181" s="11"/>
      <c r="D1181" s="13"/>
      <c r="E1181" s="13"/>
      <c r="F1181" s="13"/>
      <c r="G1181" s="2"/>
      <c r="H1181" s="2"/>
      <c r="I1181" s="13"/>
      <c r="J1181" s="13"/>
      <c r="K1181" s="13"/>
      <c r="L1181" s="14"/>
      <c r="M1181" s="4"/>
      <c r="N1181" s="2"/>
      <c r="O1181" s="4"/>
      <c r="P1181" s="2"/>
      <c r="Q1181" s="2"/>
      <c r="R1181" s="4"/>
      <c r="S1181" s="2"/>
      <c r="T1181" s="2"/>
      <c r="U1181" s="1"/>
      <c r="V1181" s="2"/>
      <c r="W1181" s="2"/>
      <c r="X1181" s="2"/>
      <c r="Y1181" s="2"/>
      <c r="Z1181" s="2"/>
    </row>
    <row r="1182" spans="1:26" ht="15.75" customHeight="1" x14ac:dyDescent="0.2">
      <c r="A1182" s="12"/>
      <c r="B1182" s="10"/>
      <c r="C1182" s="11"/>
      <c r="D1182" s="13"/>
      <c r="E1182" s="13"/>
      <c r="F1182" s="13"/>
      <c r="G1182" s="2"/>
      <c r="H1182" s="2"/>
      <c r="I1182" s="13"/>
      <c r="J1182" s="13"/>
      <c r="K1182" s="13"/>
      <c r="L1182" s="14"/>
      <c r="M1182" s="4"/>
      <c r="N1182" s="2"/>
      <c r="O1182" s="4"/>
      <c r="P1182" s="2"/>
      <c r="Q1182" s="2"/>
      <c r="R1182" s="4"/>
      <c r="S1182" s="2"/>
      <c r="T1182" s="2"/>
      <c r="U1182" s="1"/>
      <c r="V1182" s="2"/>
      <c r="W1182" s="2"/>
      <c r="X1182" s="2"/>
      <c r="Y1182" s="2"/>
      <c r="Z1182" s="2"/>
    </row>
    <row r="1183" spans="1:26" ht="15.75" customHeight="1" x14ac:dyDescent="0.2">
      <c r="A1183" s="12"/>
      <c r="B1183" s="10"/>
      <c r="C1183" s="11"/>
      <c r="D1183" s="13"/>
      <c r="E1183" s="13"/>
      <c r="F1183" s="13"/>
      <c r="G1183" s="2"/>
      <c r="H1183" s="2"/>
      <c r="I1183" s="13"/>
      <c r="J1183" s="13"/>
      <c r="K1183" s="13"/>
      <c r="L1183" s="14"/>
      <c r="M1183" s="4"/>
      <c r="N1183" s="2"/>
      <c r="O1183" s="4"/>
      <c r="P1183" s="2"/>
      <c r="Q1183" s="2"/>
      <c r="R1183" s="4"/>
      <c r="S1183" s="2"/>
      <c r="T1183" s="2"/>
      <c r="U1183" s="1"/>
      <c r="V1183" s="2"/>
      <c r="W1183" s="2"/>
      <c r="X1183" s="2"/>
      <c r="Y1183" s="2"/>
      <c r="Z1183" s="2"/>
    </row>
    <row r="1184" spans="1:26" ht="15.75" customHeight="1" x14ac:dyDescent="0.2">
      <c r="A1184" s="12"/>
      <c r="B1184" s="10"/>
      <c r="C1184" s="11"/>
      <c r="D1184" s="13"/>
      <c r="E1184" s="13"/>
      <c r="F1184" s="13"/>
      <c r="G1184" s="2"/>
      <c r="H1184" s="2"/>
      <c r="I1184" s="13"/>
      <c r="J1184" s="13"/>
      <c r="K1184" s="13"/>
      <c r="L1184" s="14"/>
      <c r="M1184" s="4"/>
      <c r="N1184" s="2"/>
      <c r="O1184" s="4"/>
      <c r="P1184" s="2"/>
      <c r="Q1184" s="2"/>
      <c r="R1184" s="4"/>
      <c r="S1184" s="2"/>
      <c r="T1184" s="2"/>
      <c r="U1184" s="1"/>
      <c r="V1184" s="2"/>
      <c r="W1184" s="2"/>
      <c r="X1184" s="2"/>
      <c r="Y1184" s="2"/>
      <c r="Z1184" s="2"/>
    </row>
    <row r="1185" spans="1:26" ht="15.75" customHeight="1" x14ac:dyDescent="0.2">
      <c r="A1185" s="12"/>
      <c r="B1185" s="10"/>
      <c r="C1185" s="11"/>
      <c r="D1185" s="13"/>
      <c r="E1185" s="13"/>
      <c r="F1185" s="13"/>
      <c r="G1185" s="2"/>
      <c r="H1185" s="2"/>
      <c r="I1185" s="13"/>
      <c r="J1185" s="13"/>
      <c r="K1185" s="13"/>
      <c r="L1185" s="14"/>
      <c r="M1185" s="4"/>
      <c r="N1185" s="2"/>
      <c r="O1185" s="4"/>
      <c r="P1185" s="2"/>
      <c r="Q1185" s="2"/>
      <c r="R1185" s="4"/>
      <c r="S1185" s="2"/>
      <c r="T1185" s="2"/>
      <c r="U1185" s="1"/>
      <c r="V1185" s="2"/>
      <c r="W1185" s="2"/>
      <c r="X1185" s="2"/>
      <c r="Y1185" s="2"/>
      <c r="Z1185" s="2"/>
    </row>
    <row r="1186" spans="1:26" ht="15.75" customHeight="1" x14ac:dyDescent="0.2">
      <c r="A1186" s="12"/>
      <c r="B1186" s="10"/>
      <c r="C1186" s="11"/>
      <c r="D1186" s="13"/>
      <c r="E1186" s="13"/>
      <c r="F1186" s="13"/>
      <c r="G1186" s="2"/>
      <c r="H1186" s="2"/>
      <c r="I1186" s="13"/>
      <c r="J1186" s="13"/>
      <c r="K1186" s="13"/>
      <c r="L1186" s="14"/>
      <c r="M1186" s="4"/>
      <c r="N1186" s="2"/>
      <c r="O1186" s="4"/>
      <c r="P1186" s="2"/>
      <c r="Q1186" s="2"/>
      <c r="R1186" s="4"/>
      <c r="S1186" s="2"/>
      <c r="T1186" s="2"/>
      <c r="U1186" s="1"/>
      <c r="V1186" s="2"/>
      <c r="W1186" s="2"/>
      <c r="X1186" s="2"/>
      <c r="Y1186" s="2"/>
      <c r="Z1186" s="2"/>
    </row>
    <row r="1187" spans="1:26" ht="15.75" customHeight="1" x14ac:dyDescent="0.2">
      <c r="A1187" s="12"/>
      <c r="B1187" s="10"/>
      <c r="C1187" s="11"/>
      <c r="D1187" s="13"/>
      <c r="E1187" s="13"/>
      <c r="F1187" s="13"/>
      <c r="G1187" s="2"/>
      <c r="H1187" s="2"/>
      <c r="I1187" s="13"/>
      <c r="J1187" s="13"/>
      <c r="K1187" s="13"/>
      <c r="L1187" s="14"/>
      <c r="M1187" s="4"/>
      <c r="N1187" s="2"/>
      <c r="O1187" s="4"/>
      <c r="P1187" s="2"/>
      <c r="Q1187" s="2"/>
      <c r="R1187" s="4"/>
      <c r="S1187" s="2"/>
      <c r="T1187" s="2"/>
      <c r="U1187" s="1"/>
      <c r="V1187" s="2"/>
      <c r="W1187" s="2"/>
      <c r="X1187" s="2"/>
      <c r="Y1187" s="2"/>
      <c r="Z1187" s="2"/>
    </row>
    <row r="1188" spans="1:26" ht="15.75" customHeight="1" x14ac:dyDescent="0.2">
      <c r="A1188" s="12"/>
      <c r="B1188" s="10"/>
      <c r="C1188" s="11"/>
      <c r="D1188" s="13"/>
      <c r="E1188" s="13"/>
      <c r="F1188" s="13"/>
      <c r="G1188" s="2"/>
      <c r="H1188" s="2"/>
      <c r="I1188" s="13"/>
      <c r="J1188" s="13"/>
      <c r="K1188" s="13"/>
      <c r="L1188" s="14"/>
      <c r="M1188" s="4"/>
      <c r="N1188" s="2"/>
      <c r="O1188" s="4"/>
      <c r="P1188" s="2"/>
      <c r="Q1188" s="2"/>
      <c r="R1188" s="4"/>
      <c r="S1188" s="2"/>
      <c r="T1188" s="2"/>
      <c r="U1188" s="1"/>
      <c r="V1188" s="2"/>
      <c r="W1188" s="2"/>
      <c r="X1188" s="2"/>
      <c r="Y1188" s="2"/>
      <c r="Z1188" s="2"/>
    </row>
    <row r="1189" spans="1:26" ht="15.75" customHeight="1" x14ac:dyDescent="0.2">
      <c r="A1189" s="12"/>
      <c r="B1189" s="10"/>
      <c r="C1189" s="11"/>
      <c r="D1189" s="13"/>
      <c r="E1189" s="13"/>
      <c r="F1189" s="13"/>
      <c r="G1189" s="2"/>
      <c r="H1189" s="2"/>
      <c r="I1189" s="13"/>
      <c r="J1189" s="13"/>
      <c r="K1189" s="13"/>
      <c r="L1189" s="14"/>
      <c r="M1189" s="4"/>
      <c r="N1189" s="2"/>
      <c r="O1189" s="4"/>
      <c r="P1189" s="2"/>
      <c r="Q1189" s="2"/>
      <c r="R1189" s="4"/>
      <c r="S1189" s="2"/>
      <c r="T1189" s="2"/>
      <c r="U1189" s="1"/>
      <c r="V1189" s="2"/>
      <c r="W1189" s="2"/>
      <c r="X1189" s="2"/>
      <c r="Y1189" s="2"/>
      <c r="Z1189" s="2"/>
    </row>
    <row r="1190" spans="1:26" ht="15.75" customHeight="1" x14ac:dyDescent="0.2">
      <c r="A1190" s="12"/>
      <c r="B1190" s="10"/>
      <c r="C1190" s="11"/>
      <c r="D1190" s="13"/>
      <c r="E1190" s="13"/>
      <c r="F1190" s="13"/>
      <c r="G1190" s="2"/>
      <c r="H1190" s="2"/>
      <c r="I1190" s="13"/>
      <c r="J1190" s="13"/>
      <c r="K1190" s="13"/>
      <c r="L1190" s="14"/>
      <c r="M1190" s="4"/>
      <c r="N1190" s="2"/>
      <c r="O1190" s="4"/>
      <c r="P1190" s="2"/>
      <c r="Q1190" s="2"/>
      <c r="R1190" s="4"/>
      <c r="S1190" s="2"/>
      <c r="T1190" s="2"/>
      <c r="U1190" s="1"/>
      <c r="V1190" s="2"/>
      <c r="W1190" s="2"/>
      <c r="X1190" s="2"/>
      <c r="Y1190" s="2"/>
      <c r="Z1190" s="2"/>
    </row>
    <row r="1191" spans="1:26" ht="15.75" customHeight="1" x14ac:dyDescent="0.2">
      <c r="A1191" s="12"/>
      <c r="B1191" s="10"/>
      <c r="C1191" s="11"/>
      <c r="D1191" s="13"/>
      <c r="E1191" s="13"/>
      <c r="F1191" s="13"/>
      <c r="G1191" s="2"/>
      <c r="H1191" s="2"/>
      <c r="I1191" s="13"/>
      <c r="J1191" s="13"/>
      <c r="K1191" s="13"/>
      <c r="L1191" s="14"/>
      <c r="M1191" s="4"/>
      <c r="N1191" s="2"/>
      <c r="O1191" s="4"/>
      <c r="P1191" s="2"/>
      <c r="Q1191" s="2"/>
      <c r="R1191" s="4"/>
      <c r="S1191" s="2"/>
      <c r="T1191" s="2"/>
      <c r="U1191" s="1"/>
      <c r="V1191" s="2"/>
      <c r="W1191" s="2"/>
      <c r="X1191" s="2"/>
      <c r="Y1191" s="2"/>
      <c r="Z1191" s="2"/>
    </row>
    <row r="1192" spans="1:26" ht="15.75" customHeight="1" x14ac:dyDescent="0.2">
      <c r="A1192" s="12"/>
      <c r="B1192" s="10"/>
      <c r="C1192" s="11"/>
      <c r="D1192" s="13"/>
      <c r="E1192" s="13"/>
      <c r="F1192" s="13"/>
      <c r="G1192" s="2"/>
      <c r="H1192" s="2"/>
      <c r="I1192" s="13"/>
      <c r="J1192" s="13"/>
      <c r="K1192" s="13"/>
      <c r="L1192" s="14"/>
      <c r="M1192" s="4"/>
      <c r="N1192" s="2"/>
      <c r="O1192" s="4"/>
      <c r="P1192" s="2"/>
      <c r="Q1192" s="2"/>
      <c r="R1192" s="4"/>
      <c r="S1192" s="2"/>
      <c r="T1192" s="2"/>
      <c r="U1192" s="1"/>
      <c r="V1192" s="2"/>
      <c r="W1192" s="2"/>
      <c r="X1192" s="2"/>
      <c r="Y1192" s="2"/>
      <c r="Z1192" s="2"/>
    </row>
    <row r="1193" spans="1:26" ht="15.75" customHeight="1" x14ac:dyDescent="0.2">
      <c r="A1193" s="12"/>
      <c r="B1193" s="10"/>
      <c r="C1193" s="11"/>
      <c r="D1193" s="13"/>
      <c r="E1193" s="13"/>
      <c r="F1193" s="13"/>
      <c r="G1193" s="2"/>
      <c r="H1193" s="2"/>
      <c r="I1193" s="13"/>
      <c r="J1193" s="13"/>
      <c r="K1193" s="13"/>
      <c r="L1193" s="14"/>
      <c r="M1193" s="4"/>
      <c r="N1193" s="2"/>
      <c r="O1193" s="4"/>
      <c r="P1193" s="2"/>
      <c r="Q1193" s="2"/>
      <c r="R1193" s="4"/>
      <c r="S1193" s="2"/>
      <c r="T1193" s="2"/>
      <c r="U1193" s="1"/>
      <c r="V1193" s="2"/>
      <c r="W1193" s="2"/>
      <c r="X1193" s="2"/>
      <c r="Y1193" s="2"/>
      <c r="Z1193" s="2"/>
    </row>
    <row r="1194" spans="1:26" ht="15.75" customHeight="1" x14ac:dyDescent="0.2">
      <c r="A1194" s="12"/>
      <c r="B1194" s="10"/>
      <c r="C1194" s="11"/>
      <c r="D1194" s="13"/>
      <c r="E1194" s="13"/>
      <c r="F1194" s="13"/>
      <c r="G1194" s="2"/>
      <c r="H1194" s="2"/>
      <c r="I1194" s="13"/>
      <c r="J1194" s="13"/>
      <c r="K1194" s="13"/>
      <c r="L1194" s="14"/>
      <c r="M1194" s="4"/>
      <c r="N1194" s="2"/>
      <c r="O1194" s="4"/>
      <c r="P1194" s="2"/>
      <c r="Q1194" s="2"/>
      <c r="R1194" s="4"/>
      <c r="S1194" s="2"/>
      <c r="T1194" s="2"/>
      <c r="U1194" s="1"/>
      <c r="V1194" s="2"/>
      <c r="W1194" s="2"/>
      <c r="X1194" s="2"/>
      <c r="Y1194" s="2"/>
      <c r="Z1194" s="2"/>
    </row>
    <row r="1195" spans="1:26" ht="15.75" customHeight="1" x14ac:dyDescent="0.2">
      <c r="A1195" s="12"/>
      <c r="B1195" s="10"/>
      <c r="C1195" s="11"/>
      <c r="D1195" s="13"/>
      <c r="E1195" s="13"/>
      <c r="F1195" s="13"/>
      <c r="G1195" s="2"/>
      <c r="H1195" s="2"/>
      <c r="I1195" s="13"/>
      <c r="J1195" s="13"/>
      <c r="K1195" s="13"/>
      <c r="L1195" s="14"/>
      <c r="M1195" s="4"/>
      <c r="N1195" s="2"/>
      <c r="O1195" s="4"/>
      <c r="P1195" s="2"/>
      <c r="Q1195" s="2"/>
      <c r="R1195" s="4"/>
      <c r="S1195" s="2"/>
      <c r="T1195" s="2"/>
      <c r="U1195" s="1"/>
      <c r="V1195" s="2"/>
      <c r="W1195" s="2"/>
      <c r="X1195" s="2"/>
      <c r="Y1195" s="2"/>
      <c r="Z1195" s="2"/>
    </row>
    <row r="1196" spans="1:26" ht="15.75" customHeight="1" x14ac:dyDescent="0.2">
      <c r="A1196" s="12"/>
      <c r="B1196" s="10"/>
      <c r="C1196" s="11"/>
      <c r="D1196" s="13"/>
      <c r="E1196" s="13"/>
      <c r="F1196" s="13"/>
      <c r="G1196" s="2"/>
      <c r="H1196" s="2"/>
      <c r="I1196" s="13"/>
      <c r="J1196" s="13"/>
      <c r="K1196" s="13"/>
      <c r="L1196" s="14"/>
      <c r="M1196" s="4"/>
      <c r="N1196" s="2"/>
      <c r="O1196" s="4"/>
      <c r="P1196" s="2"/>
      <c r="Q1196" s="2"/>
      <c r="R1196" s="4"/>
      <c r="S1196" s="2"/>
      <c r="T1196" s="2"/>
      <c r="U1196" s="1"/>
      <c r="V1196" s="2"/>
      <c r="W1196" s="2"/>
      <c r="X1196" s="2"/>
      <c r="Y1196" s="2"/>
      <c r="Z1196" s="2"/>
    </row>
    <row r="1197" spans="1:26" ht="15.75" customHeight="1" x14ac:dyDescent="0.2">
      <c r="A1197" s="12"/>
      <c r="B1197" s="10"/>
      <c r="C1197" s="11"/>
      <c r="D1197" s="13"/>
      <c r="E1197" s="13"/>
      <c r="F1197" s="13"/>
      <c r="G1197" s="2"/>
      <c r="H1197" s="2"/>
      <c r="I1197" s="13"/>
      <c r="J1197" s="13"/>
      <c r="K1197" s="13"/>
      <c r="L1197" s="14"/>
      <c r="M1197" s="4"/>
      <c r="N1197" s="2"/>
      <c r="O1197" s="4"/>
      <c r="P1197" s="2"/>
      <c r="Q1197" s="2"/>
      <c r="R1197" s="4"/>
      <c r="S1197" s="2"/>
      <c r="T1197" s="2"/>
      <c r="U1197" s="1"/>
      <c r="V1197" s="2"/>
      <c r="W1197" s="2"/>
      <c r="X1197" s="2"/>
      <c r="Y1197" s="2"/>
      <c r="Z1197" s="2"/>
    </row>
    <row r="1198" spans="1:26" ht="15.75" customHeight="1" x14ac:dyDescent="0.2">
      <c r="A1198" s="12"/>
      <c r="B1198" s="10"/>
      <c r="C1198" s="11"/>
      <c r="D1198" s="13"/>
      <c r="E1198" s="13"/>
      <c r="F1198" s="13"/>
      <c r="G1198" s="2"/>
      <c r="H1198" s="2"/>
      <c r="I1198" s="13"/>
      <c r="J1198" s="13"/>
      <c r="K1198" s="13"/>
      <c r="L1198" s="14"/>
      <c r="M1198" s="4"/>
      <c r="N1198" s="2"/>
      <c r="O1198" s="4"/>
      <c r="P1198" s="2"/>
      <c r="Q1198" s="2"/>
      <c r="R1198" s="4"/>
      <c r="S1198" s="2"/>
      <c r="T1198" s="2"/>
      <c r="U1198" s="1"/>
      <c r="V1198" s="2"/>
      <c r="W1198" s="2"/>
      <c r="X1198" s="2"/>
      <c r="Y1198" s="2"/>
      <c r="Z1198" s="2"/>
    </row>
    <row r="1199" spans="1:26" ht="15.75" customHeight="1" x14ac:dyDescent="0.2">
      <c r="A1199" s="12"/>
      <c r="B1199" s="10"/>
      <c r="C1199" s="11"/>
      <c r="D1199" s="13"/>
      <c r="E1199" s="13"/>
      <c r="F1199" s="13"/>
      <c r="G1199" s="2"/>
      <c r="H1199" s="2"/>
      <c r="I1199" s="13"/>
      <c r="J1199" s="13"/>
      <c r="K1199" s="13"/>
      <c r="L1199" s="14"/>
      <c r="M1199" s="4"/>
      <c r="N1199" s="2"/>
      <c r="O1199" s="4"/>
      <c r="P1199" s="2"/>
      <c r="Q1199" s="2"/>
      <c r="R1199" s="4"/>
      <c r="S1199" s="2"/>
      <c r="T1199" s="2"/>
      <c r="U1199" s="1"/>
      <c r="V1199" s="2"/>
      <c r="W1199" s="2"/>
      <c r="X1199" s="2"/>
      <c r="Y1199" s="2"/>
      <c r="Z1199" s="2"/>
    </row>
    <row r="1200" spans="1:26" ht="15.75" customHeight="1" x14ac:dyDescent="0.2">
      <c r="A1200" s="12"/>
      <c r="B1200" s="10"/>
      <c r="C1200" s="11"/>
      <c r="D1200" s="13"/>
      <c r="E1200" s="13"/>
      <c r="F1200" s="13"/>
      <c r="G1200" s="2"/>
      <c r="H1200" s="2"/>
      <c r="I1200" s="13"/>
      <c r="J1200" s="13"/>
      <c r="K1200" s="13"/>
      <c r="L1200" s="14"/>
      <c r="M1200" s="4"/>
      <c r="N1200" s="2"/>
      <c r="O1200" s="4"/>
      <c r="P1200" s="2"/>
      <c r="Q1200" s="2"/>
      <c r="R1200" s="4"/>
      <c r="S1200" s="2"/>
      <c r="T1200" s="2"/>
      <c r="U1200" s="1"/>
      <c r="V1200" s="2"/>
      <c r="W1200" s="2"/>
      <c r="X1200" s="2"/>
      <c r="Y1200" s="2"/>
      <c r="Z1200" s="2"/>
    </row>
    <row r="1201" spans="1:26" ht="15.75" customHeight="1" x14ac:dyDescent="0.2">
      <c r="A1201" s="12"/>
      <c r="B1201" s="10"/>
      <c r="C1201" s="11"/>
      <c r="D1201" s="13"/>
      <c r="E1201" s="13"/>
      <c r="F1201" s="13"/>
      <c r="G1201" s="2"/>
      <c r="H1201" s="2"/>
      <c r="I1201" s="13"/>
      <c r="J1201" s="13"/>
      <c r="K1201" s="13"/>
      <c r="L1201" s="14"/>
      <c r="M1201" s="4"/>
      <c r="N1201" s="2"/>
      <c r="O1201" s="4"/>
      <c r="P1201" s="2"/>
      <c r="Q1201" s="2"/>
      <c r="R1201" s="4"/>
      <c r="S1201" s="2"/>
      <c r="T1201" s="2"/>
      <c r="U1201" s="1"/>
      <c r="V1201" s="2"/>
      <c r="W1201" s="2"/>
      <c r="X1201" s="2"/>
      <c r="Y1201" s="2"/>
      <c r="Z1201" s="2"/>
    </row>
    <row r="1202" spans="1:26" ht="15.75" customHeight="1" x14ac:dyDescent="0.2">
      <c r="A1202" s="12"/>
      <c r="B1202" s="10"/>
      <c r="C1202" s="11"/>
      <c r="D1202" s="13"/>
      <c r="E1202" s="13"/>
      <c r="F1202" s="13"/>
      <c r="G1202" s="2"/>
      <c r="H1202" s="2"/>
      <c r="I1202" s="13"/>
      <c r="J1202" s="13"/>
      <c r="K1202" s="13"/>
      <c r="L1202" s="14"/>
      <c r="M1202" s="4"/>
      <c r="N1202" s="2"/>
      <c r="O1202" s="4"/>
      <c r="P1202" s="2"/>
      <c r="Q1202" s="2"/>
      <c r="R1202" s="4"/>
      <c r="S1202" s="2"/>
      <c r="T1202" s="2"/>
      <c r="U1202" s="1"/>
      <c r="V1202" s="2"/>
      <c r="W1202" s="2"/>
      <c r="X1202" s="2"/>
      <c r="Y1202" s="2"/>
      <c r="Z1202" s="2"/>
    </row>
    <row r="1203" spans="1:26" ht="15.75" customHeight="1" x14ac:dyDescent="0.2">
      <c r="A1203" s="12"/>
      <c r="B1203" s="10"/>
      <c r="C1203" s="11"/>
      <c r="D1203" s="13"/>
      <c r="E1203" s="13"/>
      <c r="F1203" s="13"/>
      <c r="G1203" s="2"/>
      <c r="H1203" s="2"/>
      <c r="I1203" s="13"/>
      <c r="J1203" s="13"/>
      <c r="K1203" s="13"/>
      <c r="L1203" s="14"/>
      <c r="M1203" s="4"/>
      <c r="N1203" s="2"/>
      <c r="O1203" s="4"/>
      <c r="P1203" s="2"/>
      <c r="Q1203" s="2"/>
      <c r="R1203" s="4"/>
      <c r="S1203" s="2"/>
      <c r="T1203" s="2"/>
      <c r="U1203" s="1"/>
      <c r="V1203" s="2"/>
      <c r="W1203" s="2"/>
      <c r="X1203" s="2"/>
      <c r="Y1203" s="2"/>
      <c r="Z1203" s="2"/>
    </row>
    <row r="1204" spans="1:26" ht="15.75" customHeight="1" x14ac:dyDescent="0.2">
      <c r="A1204" s="12"/>
      <c r="B1204" s="10"/>
      <c r="C1204" s="11"/>
      <c r="D1204" s="13"/>
      <c r="E1204" s="13"/>
      <c r="F1204" s="13"/>
      <c r="G1204" s="2"/>
      <c r="H1204" s="2"/>
      <c r="I1204" s="13"/>
      <c r="J1204" s="13"/>
      <c r="K1204" s="13"/>
      <c r="L1204" s="14"/>
      <c r="M1204" s="4"/>
      <c r="N1204" s="2"/>
      <c r="O1204" s="4"/>
      <c r="P1204" s="2"/>
      <c r="Q1204" s="2"/>
      <c r="R1204" s="4"/>
      <c r="S1204" s="2"/>
      <c r="T1204" s="2"/>
      <c r="U1204" s="1"/>
      <c r="V1204" s="2"/>
      <c r="W1204" s="2"/>
      <c r="X1204" s="2"/>
      <c r="Y1204" s="2"/>
      <c r="Z1204" s="2"/>
    </row>
    <row r="1205" spans="1:26" ht="15.75" customHeight="1" x14ac:dyDescent="0.2">
      <c r="A1205" s="12"/>
      <c r="B1205" s="10"/>
      <c r="C1205" s="11"/>
      <c r="D1205" s="13"/>
      <c r="E1205" s="13"/>
      <c r="F1205" s="13"/>
      <c r="G1205" s="2"/>
      <c r="H1205" s="2"/>
      <c r="I1205" s="13"/>
      <c r="J1205" s="13"/>
      <c r="K1205" s="13"/>
      <c r="L1205" s="14"/>
      <c r="M1205" s="4"/>
      <c r="N1205" s="2"/>
      <c r="O1205" s="4"/>
      <c r="P1205" s="2"/>
      <c r="Q1205" s="2"/>
      <c r="R1205" s="4"/>
      <c r="S1205" s="2"/>
      <c r="T1205" s="2"/>
      <c r="U1205" s="1"/>
      <c r="V1205" s="2"/>
      <c r="W1205" s="2"/>
      <c r="X1205" s="2"/>
      <c r="Y1205" s="2"/>
      <c r="Z1205" s="2"/>
    </row>
    <row r="1206" spans="1:26" ht="15.75" customHeight="1" x14ac:dyDescent="0.2">
      <c r="A1206" s="12"/>
      <c r="B1206" s="10"/>
      <c r="C1206" s="11"/>
      <c r="D1206" s="13"/>
      <c r="E1206" s="13"/>
      <c r="F1206" s="13"/>
      <c r="G1206" s="2"/>
      <c r="H1206" s="2"/>
      <c r="I1206" s="13"/>
      <c r="J1206" s="13"/>
      <c r="K1206" s="13"/>
      <c r="L1206" s="14"/>
      <c r="M1206" s="4"/>
      <c r="N1206" s="2"/>
      <c r="O1206" s="4"/>
      <c r="P1206" s="2"/>
      <c r="Q1206" s="2"/>
      <c r="R1206" s="4"/>
      <c r="S1206" s="2"/>
      <c r="T1206" s="2"/>
      <c r="U1206" s="1"/>
      <c r="V1206" s="2"/>
      <c r="W1206" s="2"/>
      <c r="X1206" s="2"/>
      <c r="Y1206" s="2"/>
      <c r="Z1206" s="2"/>
    </row>
    <row r="1207" spans="1:26" ht="15.75" customHeight="1" x14ac:dyDescent="0.2">
      <c r="A1207" s="12"/>
      <c r="B1207" s="10"/>
      <c r="C1207" s="11"/>
      <c r="D1207" s="13"/>
      <c r="E1207" s="13"/>
      <c r="F1207" s="13"/>
      <c r="G1207" s="2"/>
      <c r="H1207" s="2"/>
      <c r="I1207" s="13"/>
      <c r="J1207" s="13"/>
      <c r="K1207" s="13"/>
      <c r="L1207" s="14"/>
      <c r="M1207" s="4"/>
      <c r="N1207" s="2"/>
      <c r="O1207" s="4"/>
      <c r="P1207" s="2"/>
      <c r="Q1207" s="2"/>
      <c r="R1207" s="4"/>
      <c r="S1207" s="2"/>
      <c r="T1207" s="2"/>
      <c r="U1207" s="1"/>
      <c r="V1207" s="2"/>
      <c r="W1207" s="2"/>
      <c r="X1207" s="2"/>
      <c r="Y1207" s="2"/>
      <c r="Z1207" s="2"/>
    </row>
    <row r="1208" spans="1:26" ht="15.75" customHeight="1" x14ac:dyDescent="0.2">
      <c r="A1208" s="12"/>
      <c r="B1208" s="10"/>
      <c r="C1208" s="11"/>
      <c r="D1208" s="13"/>
      <c r="E1208" s="13"/>
      <c r="F1208" s="13"/>
      <c r="G1208" s="2"/>
      <c r="H1208" s="2"/>
      <c r="I1208" s="13"/>
      <c r="J1208" s="13"/>
      <c r="K1208" s="13"/>
      <c r="L1208" s="14"/>
      <c r="M1208" s="4"/>
      <c r="N1208" s="2"/>
      <c r="O1208" s="4"/>
      <c r="P1208" s="2"/>
      <c r="Q1208" s="2"/>
      <c r="R1208" s="4"/>
      <c r="S1208" s="2"/>
      <c r="T1208" s="2"/>
      <c r="U1208" s="1"/>
      <c r="V1208" s="2"/>
      <c r="W1208" s="2"/>
      <c r="X1208" s="2"/>
      <c r="Y1208" s="2"/>
      <c r="Z1208" s="2"/>
    </row>
    <row r="1209" spans="1:26" ht="15.75" customHeight="1" x14ac:dyDescent="0.2">
      <c r="A1209" s="12"/>
      <c r="B1209" s="10"/>
      <c r="C1209" s="11"/>
      <c r="D1209" s="13"/>
      <c r="E1209" s="13"/>
      <c r="F1209" s="13"/>
      <c r="G1209" s="2"/>
      <c r="H1209" s="2"/>
      <c r="I1209" s="13"/>
      <c r="J1209" s="13"/>
      <c r="K1209" s="13"/>
      <c r="L1209" s="14"/>
      <c r="M1209" s="4"/>
      <c r="N1209" s="2"/>
      <c r="O1209" s="4"/>
      <c r="P1209" s="2"/>
      <c r="Q1209" s="2"/>
      <c r="R1209" s="4"/>
      <c r="S1209" s="2"/>
      <c r="T1209" s="2"/>
      <c r="U1209" s="1"/>
      <c r="V1209" s="2"/>
      <c r="W1209" s="2"/>
      <c r="X1209" s="2"/>
      <c r="Y1209" s="2"/>
      <c r="Z1209" s="2"/>
    </row>
    <row r="1210" spans="1:26" ht="15.75" customHeight="1" x14ac:dyDescent="0.2">
      <c r="A1210" s="12"/>
      <c r="B1210" s="10"/>
      <c r="C1210" s="11"/>
      <c r="D1210" s="13"/>
      <c r="E1210" s="13"/>
      <c r="F1210" s="13"/>
      <c r="G1210" s="2"/>
      <c r="H1210" s="2"/>
      <c r="I1210" s="13"/>
      <c r="J1210" s="13"/>
      <c r="K1210" s="13"/>
      <c r="L1210" s="14"/>
      <c r="M1210" s="4"/>
      <c r="N1210" s="2"/>
      <c r="O1210" s="4"/>
      <c r="P1210" s="2"/>
      <c r="Q1210" s="2"/>
      <c r="R1210" s="4"/>
      <c r="S1210" s="2"/>
      <c r="T1210" s="2"/>
      <c r="U1210" s="1"/>
      <c r="V1210" s="2"/>
      <c r="W1210" s="2"/>
      <c r="X1210" s="2"/>
      <c r="Y1210" s="2"/>
      <c r="Z1210" s="2"/>
    </row>
    <row r="1211" spans="1:26" ht="15.75" customHeight="1" x14ac:dyDescent="0.2">
      <c r="A1211" s="12"/>
      <c r="B1211" s="10"/>
      <c r="C1211" s="11"/>
      <c r="D1211" s="13"/>
      <c r="E1211" s="13"/>
      <c r="F1211" s="13"/>
      <c r="G1211" s="2"/>
      <c r="H1211" s="2"/>
      <c r="I1211" s="13"/>
      <c r="J1211" s="13"/>
      <c r="K1211" s="13"/>
      <c r="L1211" s="14"/>
      <c r="M1211" s="4"/>
      <c r="N1211" s="2"/>
      <c r="O1211" s="4"/>
      <c r="P1211" s="2"/>
      <c r="Q1211" s="2"/>
      <c r="R1211" s="4"/>
      <c r="S1211" s="2"/>
      <c r="T1211" s="2"/>
      <c r="U1211" s="1"/>
      <c r="V1211" s="2"/>
      <c r="W1211" s="2"/>
      <c r="X1211" s="2"/>
      <c r="Y1211" s="2"/>
      <c r="Z1211" s="2"/>
    </row>
    <row r="1212" spans="1:26" ht="15.75" customHeight="1" x14ac:dyDescent="0.2">
      <c r="A1212" s="12"/>
      <c r="B1212" s="10"/>
      <c r="C1212" s="11"/>
      <c r="D1212" s="13"/>
      <c r="E1212" s="13"/>
      <c r="F1212" s="13"/>
      <c r="G1212" s="2"/>
      <c r="H1212" s="2"/>
      <c r="I1212" s="13"/>
      <c r="J1212" s="13"/>
      <c r="K1212" s="13"/>
      <c r="L1212" s="14"/>
      <c r="M1212" s="4"/>
      <c r="N1212" s="2"/>
      <c r="O1212" s="4"/>
      <c r="P1212" s="2"/>
      <c r="Q1212" s="2"/>
      <c r="R1212" s="4"/>
      <c r="S1212" s="2"/>
      <c r="T1212" s="2"/>
      <c r="U1212" s="1"/>
      <c r="V1212" s="2"/>
      <c r="W1212" s="2"/>
      <c r="X1212" s="2"/>
      <c r="Y1212" s="2"/>
      <c r="Z1212" s="2"/>
    </row>
    <row r="1213" spans="1:26" ht="15.75" customHeight="1" x14ac:dyDescent="0.2">
      <c r="A1213" s="12"/>
      <c r="B1213" s="10"/>
      <c r="C1213" s="11"/>
      <c r="D1213" s="13"/>
      <c r="E1213" s="13"/>
      <c r="F1213" s="13"/>
      <c r="G1213" s="2"/>
      <c r="H1213" s="2"/>
      <c r="I1213" s="13"/>
      <c r="J1213" s="13"/>
      <c r="K1213" s="13"/>
      <c r="L1213" s="14"/>
      <c r="M1213" s="4"/>
      <c r="N1213" s="2"/>
      <c r="O1213" s="4"/>
      <c r="P1213" s="2"/>
      <c r="Q1213" s="2"/>
      <c r="R1213" s="4"/>
      <c r="S1213" s="2"/>
      <c r="T1213" s="2"/>
      <c r="U1213" s="1"/>
      <c r="V1213" s="2"/>
      <c r="W1213" s="2"/>
      <c r="X1213" s="2"/>
      <c r="Y1213" s="2"/>
      <c r="Z1213" s="2"/>
    </row>
    <row r="1214" spans="1:26" ht="15.75" customHeight="1" x14ac:dyDescent="0.2">
      <c r="A1214" s="12"/>
      <c r="B1214" s="10"/>
      <c r="C1214" s="11"/>
      <c r="D1214" s="13"/>
      <c r="E1214" s="13"/>
      <c r="F1214" s="13"/>
      <c r="G1214" s="2"/>
      <c r="H1214" s="2"/>
      <c r="I1214" s="13"/>
      <c r="J1214" s="13"/>
      <c r="K1214" s="13"/>
      <c r="L1214" s="14"/>
      <c r="M1214" s="4"/>
      <c r="N1214" s="2"/>
      <c r="O1214" s="4"/>
      <c r="P1214" s="2"/>
      <c r="Q1214" s="2"/>
      <c r="R1214" s="4"/>
      <c r="S1214" s="2"/>
      <c r="T1214" s="2"/>
      <c r="U1214" s="1"/>
      <c r="V1214" s="2"/>
      <c r="W1214" s="2"/>
      <c r="X1214" s="2"/>
      <c r="Y1214" s="2"/>
      <c r="Z1214" s="2"/>
    </row>
    <row r="1215" spans="1:26" ht="15.75" customHeight="1" x14ac:dyDescent="0.2">
      <c r="A1215" s="12"/>
      <c r="B1215" s="10"/>
      <c r="C1215" s="11"/>
      <c r="D1215" s="13"/>
      <c r="E1215" s="13"/>
      <c r="F1215" s="13"/>
      <c r="G1215" s="2"/>
      <c r="H1215" s="2"/>
      <c r="I1215" s="13"/>
      <c r="J1215" s="13"/>
      <c r="K1215" s="13"/>
      <c r="L1215" s="14"/>
      <c r="M1215" s="4"/>
      <c r="N1215" s="2"/>
      <c r="O1215" s="4"/>
      <c r="P1215" s="2"/>
      <c r="Q1215" s="2"/>
      <c r="R1215" s="4"/>
      <c r="S1215" s="2"/>
      <c r="T1215" s="2"/>
      <c r="U1215" s="1"/>
      <c r="V1215" s="2"/>
      <c r="W1215" s="2"/>
      <c r="X1215" s="2"/>
      <c r="Y1215" s="2"/>
      <c r="Z1215" s="2"/>
    </row>
    <row r="1216" spans="1:26" ht="15.75" customHeight="1" x14ac:dyDescent="0.2">
      <c r="A1216" s="12"/>
      <c r="B1216" s="10"/>
      <c r="C1216" s="11"/>
      <c r="D1216" s="13"/>
      <c r="E1216" s="13"/>
      <c r="F1216" s="13"/>
      <c r="G1216" s="2"/>
      <c r="H1216" s="2"/>
      <c r="I1216" s="13"/>
      <c r="J1216" s="13"/>
      <c r="K1216" s="13"/>
      <c r="L1216" s="14"/>
      <c r="M1216" s="4"/>
      <c r="N1216" s="2"/>
      <c r="O1216" s="4"/>
      <c r="P1216" s="2"/>
      <c r="Q1216" s="2"/>
      <c r="R1216" s="4"/>
      <c r="S1216" s="2"/>
      <c r="T1216" s="2"/>
      <c r="U1216" s="1"/>
      <c r="V1216" s="2"/>
      <c r="W1216" s="2"/>
      <c r="X1216" s="2"/>
      <c r="Y1216" s="2"/>
      <c r="Z1216" s="2"/>
    </row>
    <row r="1217" spans="1:26" ht="15.75" customHeight="1" x14ac:dyDescent="0.2">
      <c r="A1217" s="12"/>
      <c r="B1217" s="10"/>
      <c r="C1217" s="11"/>
      <c r="D1217" s="13"/>
      <c r="E1217" s="13"/>
      <c r="F1217" s="13"/>
      <c r="G1217" s="2"/>
      <c r="H1217" s="2"/>
      <c r="I1217" s="13"/>
      <c r="J1217" s="13"/>
      <c r="K1217" s="13"/>
      <c r="L1217" s="14"/>
      <c r="M1217" s="4"/>
      <c r="N1217" s="2"/>
      <c r="O1217" s="4"/>
      <c r="P1217" s="2"/>
      <c r="Q1217" s="2"/>
      <c r="R1217" s="4"/>
      <c r="S1217" s="2"/>
      <c r="T1217" s="2"/>
      <c r="U1217" s="1"/>
      <c r="V1217" s="2"/>
      <c r="W1217" s="2"/>
      <c r="X1217" s="2"/>
      <c r="Y1217" s="2"/>
      <c r="Z1217" s="2"/>
    </row>
    <row r="1218" spans="1:26" ht="15.75" customHeight="1" x14ac:dyDescent="0.2">
      <c r="A1218" s="12"/>
      <c r="B1218" s="10"/>
      <c r="C1218" s="11"/>
      <c r="D1218" s="13"/>
      <c r="E1218" s="13"/>
      <c r="F1218" s="13"/>
      <c r="G1218" s="2"/>
      <c r="H1218" s="2"/>
      <c r="I1218" s="13"/>
      <c r="J1218" s="13"/>
      <c r="K1218" s="13"/>
      <c r="L1218" s="14"/>
      <c r="M1218" s="4"/>
      <c r="N1218" s="2"/>
      <c r="O1218" s="4"/>
      <c r="P1218" s="2"/>
      <c r="Q1218" s="2"/>
      <c r="R1218" s="4"/>
      <c r="S1218" s="2"/>
      <c r="T1218" s="2"/>
      <c r="U1218" s="1"/>
      <c r="V1218" s="2"/>
      <c r="W1218" s="2"/>
      <c r="X1218" s="2"/>
      <c r="Y1218" s="2"/>
      <c r="Z1218" s="2"/>
    </row>
    <row r="1219" spans="1:26" ht="15.75" customHeight="1" x14ac:dyDescent="0.2">
      <c r="A1219" s="12"/>
      <c r="B1219" s="10"/>
      <c r="C1219" s="11"/>
      <c r="D1219" s="13"/>
      <c r="E1219" s="13"/>
      <c r="F1219" s="13"/>
      <c r="G1219" s="2"/>
      <c r="H1219" s="2"/>
      <c r="I1219" s="13"/>
      <c r="J1219" s="13"/>
      <c r="K1219" s="13"/>
      <c r="L1219" s="14"/>
      <c r="M1219" s="4"/>
      <c r="N1219" s="2"/>
      <c r="O1219" s="4"/>
      <c r="P1219" s="2"/>
      <c r="Q1219" s="2"/>
      <c r="R1219" s="4"/>
      <c r="S1219" s="2"/>
      <c r="T1219" s="2"/>
      <c r="U1219" s="1"/>
      <c r="V1219" s="2"/>
      <c r="W1219" s="2"/>
      <c r="X1219" s="2"/>
      <c r="Y1219" s="2"/>
      <c r="Z1219" s="2"/>
    </row>
    <row r="1220" spans="1:26" ht="15.75" customHeight="1" x14ac:dyDescent="0.2">
      <c r="A1220" s="12"/>
      <c r="B1220" s="10"/>
      <c r="C1220" s="11"/>
      <c r="D1220" s="13"/>
      <c r="E1220" s="13"/>
      <c r="F1220" s="13"/>
      <c r="G1220" s="2"/>
      <c r="H1220" s="2"/>
      <c r="I1220" s="13"/>
      <c r="J1220" s="13"/>
      <c r="K1220" s="13"/>
      <c r="L1220" s="14"/>
      <c r="M1220" s="4"/>
      <c r="N1220" s="2"/>
      <c r="O1220" s="4"/>
      <c r="P1220" s="2"/>
      <c r="Q1220" s="2"/>
      <c r="R1220" s="4"/>
      <c r="S1220" s="2"/>
      <c r="T1220" s="2"/>
      <c r="U1220" s="1"/>
      <c r="V1220" s="2"/>
      <c r="W1220" s="2"/>
      <c r="X1220" s="2"/>
      <c r="Y1220" s="2"/>
      <c r="Z1220" s="2"/>
    </row>
    <row r="1221" spans="1:26" ht="15.75" customHeight="1" x14ac:dyDescent="0.2">
      <c r="A1221" s="12"/>
      <c r="B1221" s="10"/>
      <c r="C1221" s="11"/>
      <c r="D1221" s="13"/>
      <c r="E1221" s="13"/>
      <c r="F1221" s="13"/>
      <c r="G1221" s="2"/>
      <c r="H1221" s="2"/>
      <c r="I1221" s="13"/>
      <c r="J1221" s="13"/>
      <c r="K1221" s="13"/>
      <c r="L1221" s="14"/>
      <c r="M1221" s="4"/>
      <c r="N1221" s="2"/>
      <c r="O1221" s="4"/>
      <c r="P1221" s="2"/>
      <c r="Q1221" s="2"/>
      <c r="R1221" s="4"/>
      <c r="S1221" s="2"/>
      <c r="T1221" s="2"/>
      <c r="U1221" s="1"/>
      <c r="V1221" s="2"/>
      <c r="W1221" s="2"/>
      <c r="X1221" s="2"/>
      <c r="Y1221" s="2"/>
      <c r="Z1221" s="2"/>
    </row>
    <row r="1222" spans="1:26" ht="15.75" customHeight="1" x14ac:dyDescent="0.2">
      <c r="A1222" s="12"/>
      <c r="B1222" s="10"/>
      <c r="C1222" s="11"/>
      <c r="D1222" s="13"/>
      <c r="E1222" s="13"/>
      <c r="F1222" s="13"/>
      <c r="G1222" s="2"/>
      <c r="H1222" s="2"/>
      <c r="I1222" s="13"/>
      <c r="J1222" s="13"/>
      <c r="K1222" s="13"/>
      <c r="L1222" s="14"/>
      <c r="M1222" s="4"/>
      <c r="N1222" s="2"/>
      <c r="O1222" s="4"/>
      <c r="P1222" s="2"/>
      <c r="Q1222" s="2"/>
      <c r="R1222" s="4"/>
      <c r="S1222" s="2"/>
      <c r="T1222" s="2"/>
      <c r="U1222" s="1"/>
      <c r="V1222" s="2"/>
      <c r="W1222" s="2"/>
      <c r="X1222" s="2"/>
      <c r="Y1222" s="2"/>
      <c r="Z1222" s="2"/>
    </row>
    <row r="1223" spans="1:26" ht="15.75" customHeight="1" x14ac:dyDescent="0.2">
      <c r="A1223" s="12"/>
      <c r="B1223" s="10"/>
      <c r="C1223" s="11"/>
      <c r="D1223" s="13"/>
      <c r="E1223" s="13"/>
      <c r="F1223" s="13"/>
      <c r="G1223" s="2"/>
      <c r="H1223" s="2"/>
      <c r="I1223" s="13"/>
      <c r="J1223" s="13"/>
      <c r="K1223" s="13"/>
      <c r="L1223" s="14"/>
      <c r="M1223" s="4"/>
      <c r="N1223" s="2"/>
      <c r="O1223" s="4"/>
      <c r="P1223" s="2"/>
      <c r="Q1223" s="2"/>
      <c r="R1223" s="4"/>
      <c r="S1223" s="2"/>
      <c r="T1223" s="2"/>
      <c r="U1223" s="1"/>
      <c r="V1223" s="2"/>
      <c r="W1223" s="2"/>
      <c r="X1223" s="2"/>
      <c r="Y1223" s="2"/>
      <c r="Z1223" s="2"/>
    </row>
    <row r="1224" spans="1:26" ht="15.75" customHeight="1" x14ac:dyDescent="0.2">
      <c r="A1224" s="12"/>
      <c r="B1224" s="10"/>
      <c r="C1224" s="11"/>
      <c r="D1224" s="13"/>
      <c r="E1224" s="13"/>
      <c r="F1224" s="13"/>
      <c r="G1224" s="2"/>
      <c r="H1224" s="2"/>
      <c r="I1224" s="13"/>
      <c r="J1224" s="13"/>
      <c r="K1224" s="13"/>
      <c r="L1224" s="14"/>
      <c r="M1224" s="4"/>
      <c r="N1224" s="2"/>
      <c r="O1224" s="4"/>
      <c r="P1224" s="2"/>
      <c r="Q1224" s="2"/>
      <c r="R1224" s="4"/>
      <c r="S1224" s="2"/>
      <c r="T1224" s="2"/>
      <c r="U1224" s="1"/>
      <c r="V1224" s="2"/>
      <c r="W1224" s="2"/>
      <c r="X1224" s="2"/>
      <c r="Y1224" s="2"/>
      <c r="Z1224" s="2"/>
    </row>
    <row r="1225" spans="1:26" ht="15.75" customHeight="1" x14ac:dyDescent="0.2">
      <c r="A1225" s="12"/>
      <c r="B1225" s="10"/>
      <c r="C1225" s="11"/>
      <c r="D1225" s="13"/>
      <c r="E1225" s="13"/>
      <c r="F1225" s="13"/>
      <c r="G1225" s="2"/>
      <c r="H1225" s="2"/>
      <c r="I1225" s="13"/>
      <c r="J1225" s="13"/>
      <c r="K1225" s="13"/>
      <c r="L1225" s="14"/>
      <c r="M1225" s="4"/>
      <c r="N1225" s="2"/>
      <c r="O1225" s="4"/>
      <c r="P1225" s="2"/>
      <c r="Q1225" s="2"/>
      <c r="R1225" s="4"/>
      <c r="S1225" s="2"/>
      <c r="T1225" s="2"/>
      <c r="U1225" s="1"/>
      <c r="V1225" s="2"/>
      <c r="W1225" s="2"/>
      <c r="X1225" s="2"/>
      <c r="Y1225" s="2"/>
      <c r="Z1225" s="2"/>
    </row>
    <row r="1226" spans="1:26" ht="15.75" customHeight="1" x14ac:dyDescent="0.2">
      <c r="A1226" s="12"/>
      <c r="B1226" s="10"/>
      <c r="C1226" s="11"/>
      <c r="D1226" s="13"/>
      <c r="E1226" s="13"/>
      <c r="F1226" s="13"/>
      <c r="G1226" s="2"/>
      <c r="H1226" s="2"/>
      <c r="I1226" s="13"/>
      <c r="J1226" s="13"/>
      <c r="K1226" s="13"/>
      <c r="L1226" s="14"/>
      <c r="M1226" s="4"/>
      <c r="N1226" s="2"/>
      <c r="O1226" s="4"/>
      <c r="P1226" s="2"/>
      <c r="Q1226" s="2"/>
      <c r="R1226" s="4"/>
      <c r="S1226" s="2"/>
      <c r="T1226" s="2"/>
      <c r="U1226" s="1"/>
      <c r="V1226" s="2"/>
      <c r="W1226" s="2"/>
      <c r="X1226" s="2"/>
      <c r="Y1226" s="2"/>
      <c r="Z1226" s="2"/>
    </row>
    <row r="1227" spans="1:26" ht="15.75" customHeight="1" x14ac:dyDescent="0.2">
      <c r="A1227" s="12"/>
      <c r="B1227" s="10"/>
      <c r="C1227" s="11"/>
      <c r="D1227" s="13"/>
      <c r="E1227" s="13"/>
      <c r="F1227" s="13"/>
      <c r="G1227" s="2"/>
      <c r="H1227" s="2"/>
      <c r="I1227" s="13"/>
      <c r="J1227" s="13"/>
      <c r="K1227" s="13"/>
      <c r="L1227" s="14"/>
      <c r="M1227" s="4"/>
      <c r="N1227" s="2"/>
      <c r="O1227" s="4"/>
      <c r="P1227" s="2"/>
      <c r="Q1227" s="2"/>
      <c r="R1227" s="4"/>
      <c r="S1227" s="2"/>
      <c r="T1227" s="2"/>
      <c r="U1227" s="1"/>
      <c r="V1227" s="2"/>
      <c r="W1227" s="2"/>
      <c r="X1227" s="2"/>
      <c r="Y1227" s="2"/>
      <c r="Z1227" s="2"/>
    </row>
    <row r="1228" spans="1:26" ht="15.75" customHeight="1" x14ac:dyDescent="0.2">
      <c r="A1228" s="12"/>
      <c r="B1228" s="10"/>
      <c r="C1228" s="11"/>
      <c r="D1228" s="13"/>
      <c r="E1228" s="13"/>
      <c r="F1228" s="13"/>
      <c r="G1228" s="2"/>
      <c r="H1228" s="2"/>
      <c r="I1228" s="13"/>
      <c r="J1228" s="13"/>
      <c r="K1228" s="13"/>
      <c r="L1228" s="14"/>
      <c r="M1228" s="4"/>
      <c r="N1228" s="2"/>
      <c r="O1228" s="4"/>
      <c r="P1228" s="2"/>
      <c r="Q1228" s="2"/>
      <c r="R1228" s="4"/>
      <c r="S1228" s="2"/>
      <c r="T1228" s="2"/>
      <c r="U1228" s="1"/>
      <c r="V1228" s="2"/>
      <c r="W1228" s="2"/>
      <c r="X1228" s="2"/>
      <c r="Y1228" s="2"/>
      <c r="Z1228" s="2"/>
    </row>
    <row r="1229" spans="1:26" ht="15.75" customHeight="1" x14ac:dyDescent="0.2">
      <c r="A1229" s="12"/>
      <c r="B1229" s="10"/>
      <c r="C1229" s="11"/>
      <c r="D1229" s="13"/>
      <c r="E1229" s="13"/>
      <c r="F1229" s="13"/>
      <c r="G1229" s="2"/>
      <c r="H1229" s="2"/>
      <c r="I1229" s="13"/>
      <c r="J1229" s="13"/>
      <c r="K1229" s="13"/>
      <c r="L1229" s="14"/>
      <c r="M1229" s="4"/>
      <c r="N1229" s="2"/>
      <c r="O1229" s="4"/>
      <c r="P1229" s="2"/>
      <c r="Q1229" s="2"/>
      <c r="R1229" s="4"/>
      <c r="S1229" s="2"/>
      <c r="T1229" s="2"/>
      <c r="U1229" s="1"/>
      <c r="V1229" s="2"/>
      <c r="W1229" s="2"/>
      <c r="X1229" s="2"/>
      <c r="Y1229" s="2"/>
      <c r="Z1229" s="2"/>
    </row>
    <row r="1230" spans="1:26" ht="15.75" customHeight="1" x14ac:dyDescent="0.2">
      <c r="A1230" s="12"/>
      <c r="B1230" s="10"/>
      <c r="C1230" s="11"/>
      <c r="D1230" s="13"/>
      <c r="E1230" s="13"/>
      <c r="F1230" s="13"/>
      <c r="G1230" s="2"/>
      <c r="H1230" s="2"/>
      <c r="I1230" s="13"/>
      <c r="J1230" s="13"/>
      <c r="K1230" s="13"/>
      <c r="L1230" s="14"/>
      <c r="M1230" s="4"/>
      <c r="N1230" s="2"/>
      <c r="O1230" s="4"/>
      <c r="P1230" s="2"/>
      <c r="Q1230" s="2"/>
      <c r="R1230" s="4"/>
      <c r="S1230" s="2"/>
      <c r="T1230" s="2"/>
      <c r="U1230" s="1"/>
      <c r="V1230" s="2"/>
      <c r="W1230" s="2"/>
      <c r="X1230" s="2"/>
      <c r="Y1230" s="2"/>
      <c r="Z1230" s="2"/>
    </row>
    <row r="1231" spans="1:26" ht="15.75" customHeight="1" x14ac:dyDescent="0.2">
      <c r="A1231" s="12"/>
      <c r="B1231" s="10"/>
      <c r="C1231" s="11"/>
      <c r="D1231" s="13"/>
      <c r="E1231" s="13"/>
      <c r="F1231" s="13"/>
      <c r="G1231" s="2"/>
      <c r="H1231" s="2"/>
      <c r="I1231" s="13"/>
      <c r="J1231" s="13"/>
      <c r="K1231" s="13"/>
      <c r="L1231" s="14"/>
      <c r="M1231" s="4"/>
      <c r="N1231" s="2"/>
      <c r="O1231" s="4"/>
      <c r="P1231" s="2"/>
      <c r="Q1231" s="2"/>
      <c r="R1231" s="4"/>
      <c r="S1231" s="2"/>
      <c r="T1231" s="2"/>
      <c r="U1231" s="1"/>
      <c r="V1231" s="2"/>
      <c r="W1231" s="2"/>
      <c r="X1231" s="2"/>
      <c r="Y1231" s="2"/>
      <c r="Z1231" s="2"/>
    </row>
    <row r="1232" spans="1:26" ht="15.75" customHeight="1" x14ac:dyDescent="0.2">
      <c r="A1232" s="12"/>
      <c r="B1232" s="10"/>
      <c r="C1232" s="11"/>
      <c r="D1232" s="13"/>
      <c r="E1232" s="13"/>
      <c r="F1232" s="13"/>
      <c r="G1232" s="2"/>
      <c r="H1232" s="2"/>
      <c r="I1232" s="13"/>
      <c r="J1232" s="13"/>
      <c r="K1232" s="13"/>
      <c r="L1232" s="14"/>
      <c r="M1232" s="4"/>
      <c r="N1232" s="2"/>
      <c r="O1232" s="4"/>
      <c r="P1232" s="2"/>
      <c r="Q1232" s="2"/>
      <c r="R1232" s="4"/>
      <c r="S1232" s="2"/>
      <c r="T1232" s="2"/>
      <c r="U1232" s="1"/>
      <c r="V1232" s="2"/>
      <c r="W1232" s="2"/>
      <c r="X1232" s="2"/>
      <c r="Y1232" s="2"/>
      <c r="Z1232" s="2"/>
    </row>
    <row r="1233" spans="1:26" ht="15.75" customHeight="1" x14ac:dyDescent="0.2">
      <c r="A1233" s="12"/>
      <c r="B1233" s="10"/>
      <c r="C1233" s="11"/>
      <c r="D1233" s="13"/>
      <c r="E1233" s="13"/>
      <c r="F1233" s="13"/>
      <c r="G1233" s="2"/>
      <c r="H1233" s="2"/>
      <c r="I1233" s="13"/>
      <c r="J1233" s="13"/>
      <c r="K1233" s="13"/>
      <c r="L1233" s="14"/>
      <c r="M1233" s="4"/>
      <c r="N1233" s="2"/>
      <c r="O1233" s="4"/>
      <c r="P1233" s="2"/>
      <c r="Q1233" s="2"/>
      <c r="R1233" s="4"/>
      <c r="S1233" s="2"/>
      <c r="T1233" s="2"/>
      <c r="U1233" s="1"/>
      <c r="V1233" s="2"/>
      <c r="W1233" s="2"/>
      <c r="X1233" s="2"/>
      <c r="Y1233" s="2"/>
      <c r="Z1233" s="2"/>
    </row>
    <row r="1234" spans="1:26" ht="15.75" customHeight="1" x14ac:dyDescent="0.2">
      <c r="A1234" s="12"/>
      <c r="B1234" s="10"/>
      <c r="C1234" s="11"/>
      <c r="D1234" s="13"/>
      <c r="E1234" s="13"/>
      <c r="F1234" s="13"/>
      <c r="G1234" s="2"/>
      <c r="H1234" s="2"/>
      <c r="I1234" s="13"/>
      <c r="J1234" s="13"/>
      <c r="K1234" s="13"/>
      <c r="L1234" s="14"/>
      <c r="M1234" s="4"/>
      <c r="N1234" s="2"/>
      <c r="O1234" s="4"/>
      <c r="P1234" s="2"/>
      <c r="Q1234" s="2"/>
      <c r="R1234" s="4"/>
      <c r="S1234" s="2"/>
      <c r="T1234" s="2"/>
      <c r="U1234" s="1"/>
      <c r="V1234" s="2"/>
      <c r="W1234" s="2"/>
      <c r="X1234" s="2"/>
      <c r="Y1234" s="2"/>
      <c r="Z1234" s="2"/>
    </row>
    <row r="1235" spans="1:26" ht="15.75" customHeight="1" x14ac:dyDescent="0.2">
      <c r="A1235" s="12"/>
      <c r="B1235" s="10"/>
      <c r="C1235" s="11"/>
      <c r="D1235" s="13"/>
      <c r="E1235" s="13"/>
      <c r="F1235" s="13"/>
      <c r="G1235" s="2"/>
      <c r="H1235" s="2"/>
      <c r="I1235" s="13"/>
      <c r="J1235" s="13"/>
      <c r="K1235" s="13"/>
      <c r="L1235" s="14"/>
      <c r="M1235" s="4"/>
      <c r="N1235" s="2"/>
      <c r="O1235" s="4"/>
      <c r="P1235" s="2"/>
      <c r="Q1235" s="2"/>
      <c r="R1235" s="4"/>
      <c r="S1235" s="2"/>
      <c r="T1235" s="2"/>
      <c r="U1235" s="1"/>
      <c r="V1235" s="2"/>
      <c r="W1235" s="2"/>
      <c r="X1235" s="2"/>
      <c r="Y1235" s="2"/>
      <c r="Z1235" s="2"/>
    </row>
    <row r="1236" spans="1:26" ht="15.75" customHeight="1" x14ac:dyDescent="0.2">
      <c r="A1236" s="12"/>
      <c r="B1236" s="10"/>
      <c r="C1236" s="11"/>
      <c r="D1236" s="13"/>
      <c r="E1236" s="13"/>
      <c r="F1236" s="13"/>
      <c r="G1236" s="2"/>
      <c r="H1236" s="2"/>
      <c r="I1236" s="13"/>
      <c r="J1236" s="13"/>
      <c r="K1236" s="13"/>
      <c r="L1236" s="14"/>
      <c r="M1236" s="4"/>
      <c r="N1236" s="2"/>
      <c r="O1236" s="4"/>
      <c r="P1236" s="2"/>
      <c r="Q1236" s="2"/>
      <c r="R1236" s="4"/>
      <c r="S1236" s="2"/>
      <c r="T1236" s="2"/>
      <c r="U1236" s="1"/>
      <c r="V1236" s="2"/>
      <c r="W1236" s="2"/>
      <c r="X1236" s="2"/>
      <c r="Y1236" s="2"/>
      <c r="Z1236" s="2"/>
    </row>
    <row r="1237" spans="1:26" ht="15.75" customHeight="1" x14ac:dyDescent="0.2">
      <c r="A1237" s="12"/>
      <c r="B1237" s="10"/>
      <c r="C1237" s="11"/>
      <c r="D1237" s="13"/>
      <c r="E1237" s="13"/>
      <c r="F1237" s="13"/>
      <c r="G1237" s="2"/>
      <c r="H1237" s="2"/>
      <c r="I1237" s="13"/>
      <c r="J1237" s="13"/>
      <c r="K1237" s="13"/>
      <c r="L1237" s="14"/>
      <c r="M1237" s="4"/>
      <c r="N1237" s="2"/>
      <c r="O1237" s="4"/>
      <c r="P1237" s="2"/>
      <c r="Q1237" s="2"/>
      <c r="R1237" s="4"/>
      <c r="S1237" s="2"/>
      <c r="T1237" s="2"/>
      <c r="U1237" s="1"/>
      <c r="V1237" s="2"/>
      <c r="W1237" s="2"/>
      <c r="X1237" s="2"/>
      <c r="Y1237" s="2"/>
      <c r="Z1237" s="2"/>
    </row>
    <row r="1238" spans="1:26" ht="15.75" customHeight="1" x14ac:dyDescent="0.2">
      <c r="A1238" s="12"/>
      <c r="B1238" s="10"/>
      <c r="C1238" s="11"/>
      <c r="D1238" s="13"/>
      <c r="E1238" s="13"/>
      <c r="F1238" s="13"/>
      <c r="G1238" s="2"/>
      <c r="H1238" s="2"/>
      <c r="I1238" s="13"/>
      <c r="J1238" s="13"/>
      <c r="K1238" s="13"/>
      <c r="L1238" s="14"/>
      <c r="M1238" s="4"/>
      <c r="N1238" s="2"/>
      <c r="O1238" s="4"/>
      <c r="P1238" s="2"/>
      <c r="Q1238" s="2"/>
      <c r="R1238" s="4"/>
      <c r="S1238" s="2"/>
      <c r="T1238" s="2"/>
      <c r="U1238" s="1"/>
      <c r="V1238" s="2"/>
      <c r="W1238" s="2"/>
      <c r="X1238" s="2"/>
      <c r="Y1238" s="2"/>
      <c r="Z1238" s="2"/>
    </row>
    <row r="1239" spans="1:26" ht="15.75" customHeight="1" x14ac:dyDescent="0.2">
      <c r="A1239" s="12"/>
      <c r="B1239" s="10"/>
      <c r="C1239" s="11"/>
      <c r="D1239" s="13"/>
      <c r="E1239" s="13"/>
      <c r="F1239" s="13"/>
      <c r="G1239" s="2"/>
      <c r="H1239" s="2"/>
      <c r="I1239" s="13"/>
      <c r="J1239" s="13"/>
      <c r="K1239" s="13"/>
      <c r="L1239" s="14"/>
      <c r="M1239" s="4"/>
      <c r="N1239" s="2"/>
      <c r="O1239" s="4"/>
      <c r="P1239" s="2"/>
      <c r="Q1239" s="2"/>
      <c r="R1239" s="4"/>
      <c r="S1239" s="2"/>
      <c r="T1239" s="2"/>
      <c r="U1239" s="1"/>
      <c r="V1239" s="2"/>
      <c r="W1239" s="2"/>
      <c r="X1239" s="2"/>
      <c r="Y1239" s="2"/>
      <c r="Z1239" s="2"/>
    </row>
    <row r="1240" spans="1:26" ht="15.75" customHeight="1" x14ac:dyDescent="0.2">
      <c r="A1240" s="12"/>
      <c r="B1240" s="10"/>
      <c r="C1240" s="11"/>
      <c r="D1240" s="13"/>
      <c r="E1240" s="13"/>
      <c r="F1240" s="13"/>
      <c r="G1240" s="2"/>
      <c r="H1240" s="2"/>
      <c r="I1240" s="13"/>
      <c r="J1240" s="13"/>
      <c r="K1240" s="13"/>
      <c r="L1240" s="14"/>
      <c r="M1240" s="4"/>
      <c r="N1240" s="2"/>
      <c r="O1240" s="4"/>
      <c r="P1240" s="2"/>
      <c r="Q1240" s="2"/>
      <c r="R1240" s="4"/>
      <c r="S1240" s="2"/>
      <c r="T1240" s="2"/>
      <c r="U1240" s="1"/>
      <c r="V1240" s="2"/>
      <c r="W1240" s="2"/>
      <c r="X1240" s="2"/>
      <c r="Y1240" s="2"/>
      <c r="Z1240" s="2"/>
    </row>
    <row r="1241" spans="1:26" ht="15.75" customHeight="1" x14ac:dyDescent="0.2">
      <c r="A1241" s="12"/>
      <c r="B1241" s="10"/>
      <c r="C1241" s="11"/>
      <c r="D1241" s="13"/>
      <c r="E1241" s="13"/>
      <c r="F1241" s="13"/>
      <c r="G1241" s="2"/>
      <c r="H1241" s="2"/>
      <c r="I1241" s="13"/>
      <c r="J1241" s="13"/>
      <c r="K1241" s="13"/>
      <c r="L1241" s="14"/>
      <c r="M1241" s="4"/>
      <c r="N1241" s="2"/>
      <c r="O1241" s="4"/>
      <c r="P1241" s="2"/>
      <c r="Q1241" s="2"/>
      <c r="R1241" s="4"/>
      <c r="S1241" s="2"/>
      <c r="T1241" s="2"/>
      <c r="U1241" s="1"/>
      <c r="V1241" s="2"/>
      <c r="W1241" s="2"/>
      <c r="X1241" s="2"/>
      <c r="Y1241" s="2"/>
      <c r="Z1241" s="2"/>
    </row>
    <row r="1242" spans="1:26" ht="15.75" customHeight="1" x14ac:dyDescent="0.2">
      <c r="A1242" s="12"/>
      <c r="B1242" s="10"/>
      <c r="C1242" s="11"/>
      <c r="D1242" s="13"/>
      <c r="E1242" s="13"/>
      <c r="F1242" s="13"/>
      <c r="G1242" s="2"/>
      <c r="H1242" s="2"/>
      <c r="I1242" s="13"/>
      <c r="J1242" s="13"/>
      <c r="K1242" s="13"/>
      <c r="L1242" s="14"/>
      <c r="M1242" s="4"/>
      <c r="N1242" s="2"/>
      <c r="O1242" s="4"/>
      <c r="P1242" s="2"/>
      <c r="Q1242" s="2"/>
      <c r="R1242" s="4"/>
      <c r="S1242" s="2"/>
      <c r="T1242" s="2"/>
      <c r="U1242" s="1"/>
      <c r="V1242" s="2"/>
      <c r="W1242" s="2"/>
      <c r="X1242" s="2"/>
      <c r="Y1242" s="2"/>
      <c r="Z1242" s="2"/>
    </row>
    <row r="1243" spans="1:26" ht="15.75" customHeight="1" x14ac:dyDescent="0.2">
      <c r="A1243" s="12"/>
      <c r="B1243" s="10"/>
      <c r="C1243" s="11"/>
      <c r="D1243" s="13"/>
      <c r="E1243" s="13"/>
      <c r="F1243" s="13"/>
      <c r="G1243" s="2"/>
      <c r="H1243" s="2"/>
      <c r="I1243" s="13"/>
      <c r="J1243" s="13"/>
      <c r="K1243" s="13"/>
      <c r="L1243" s="14"/>
      <c r="M1243" s="4"/>
      <c r="N1243" s="2"/>
      <c r="O1243" s="4"/>
      <c r="P1243" s="2"/>
      <c r="Q1243" s="2"/>
      <c r="R1243" s="4"/>
      <c r="S1243" s="2"/>
      <c r="T1243" s="2"/>
      <c r="U1243" s="1"/>
      <c r="V1243" s="2"/>
      <c r="W1243" s="2"/>
      <c r="X1243" s="2"/>
      <c r="Y1243" s="2"/>
      <c r="Z1243" s="2"/>
    </row>
    <row r="1244" spans="1:26" ht="15.75" customHeight="1" x14ac:dyDescent="0.2">
      <c r="A1244" s="12"/>
      <c r="B1244" s="10"/>
      <c r="C1244" s="11"/>
      <c r="D1244" s="13"/>
      <c r="E1244" s="13"/>
      <c r="F1244" s="13"/>
      <c r="G1244" s="2"/>
      <c r="H1244" s="2"/>
      <c r="I1244" s="13"/>
      <c r="J1244" s="13"/>
      <c r="K1244" s="13"/>
      <c r="L1244" s="14"/>
      <c r="M1244" s="4"/>
      <c r="N1244" s="2"/>
      <c r="O1244" s="4"/>
      <c r="P1244" s="2"/>
      <c r="Q1244" s="2"/>
      <c r="R1244" s="4"/>
      <c r="S1244" s="2"/>
      <c r="T1244" s="2"/>
      <c r="U1244" s="1"/>
      <c r="V1244" s="2"/>
      <c r="W1244" s="2"/>
      <c r="X1244" s="2"/>
      <c r="Y1244" s="2"/>
      <c r="Z1244" s="2"/>
    </row>
    <row r="1245" spans="1:26" ht="15.75" customHeight="1" x14ac:dyDescent="0.2">
      <c r="A1245" s="12"/>
      <c r="B1245" s="10"/>
      <c r="C1245" s="11"/>
      <c r="D1245" s="13"/>
      <c r="E1245" s="13"/>
      <c r="F1245" s="13"/>
      <c r="G1245" s="2"/>
      <c r="H1245" s="2"/>
      <c r="I1245" s="13"/>
      <c r="J1245" s="13"/>
      <c r="K1245" s="13"/>
      <c r="L1245" s="14"/>
      <c r="M1245" s="4"/>
      <c r="N1245" s="2"/>
      <c r="O1245" s="4"/>
      <c r="P1245" s="2"/>
      <c r="Q1245" s="2"/>
      <c r="R1245" s="4"/>
      <c r="S1245" s="2"/>
      <c r="T1245" s="2"/>
      <c r="U1245" s="1"/>
      <c r="V1245" s="2"/>
      <c r="W1245" s="2"/>
      <c r="X1245" s="2"/>
      <c r="Y1245" s="2"/>
      <c r="Z1245" s="2"/>
    </row>
    <row r="1246" spans="1:26" ht="15.75" customHeight="1" x14ac:dyDescent="0.2">
      <c r="A1246" s="12"/>
      <c r="B1246" s="10"/>
      <c r="C1246" s="11"/>
      <c r="D1246" s="13"/>
      <c r="E1246" s="13"/>
      <c r="F1246" s="13"/>
      <c r="G1246" s="2"/>
      <c r="H1246" s="2"/>
      <c r="I1246" s="13"/>
      <c r="J1246" s="13"/>
      <c r="K1246" s="13"/>
      <c r="L1246" s="14"/>
      <c r="M1246" s="4"/>
      <c r="N1246" s="2"/>
      <c r="O1246" s="4"/>
      <c r="P1246" s="2"/>
      <c r="Q1246" s="2"/>
      <c r="R1246" s="4"/>
      <c r="S1246" s="2"/>
      <c r="T1246" s="2"/>
      <c r="U1246" s="1"/>
      <c r="V1246" s="2"/>
      <c r="W1246" s="2"/>
      <c r="X1246" s="2"/>
      <c r="Y1246" s="2"/>
      <c r="Z1246" s="2"/>
    </row>
    <row r="1247" spans="1:26" ht="15.75" customHeight="1" x14ac:dyDescent="0.2">
      <c r="A1247" s="12"/>
      <c r="B1247" s="10"/>
      <c r="C1247" s="11"/>
      <c r="D1247" s="13"/>
      <c r="E1247" s="13"/>
      <c r="F1247" s="13"/>
      <c r="G1247" s="2"/>
      <c r="H1247" s="2"/>
      <c r="I1247" s="13"/>
      <c r="J1247" s="13"/>
      <c r="K1247" s="13"/>
      <c r="L1247" s="14"/>
      <c r="M1247" s="4"/>
      <c r="N1247" s="2"/>
      <c r="O1247" s="4"/>
      <c r="P1247" s="2"/>
      <c r="Q1247" s="2"/>
      <c r="R1247" s="4"/>
      <c r="S1247" s="2"/>
      <c r="T1247" s="2"/>
      <c r="U1247" s="1"/>
      <c r="V1247" s="2"/>
      <c r="W1247" s="2"/>
      <c r="X1247" s="2"/>
      <c r="Y1247" s="2"/>
      <c r="Z1247" s="2"/>
    </row>
    <row r="1248" spans="1:26" ht="15.75" customHeight="1" x14ac:dyDescent="0.2">
      <c r="A1248" s="12"/>
      <c r="B1248" s="10"/>
      <c r="C1248" s="11"/>
      <c r="D1248" s="13"/>
      <c r="E1248" s="13"/>
      <c r="F1248" s="13"/>
      <c r="G1248" s="2"/>
      <c r="H1248" s="2"/>
      <c r="I1248" s="13"/>
      <c r="J1248" s="13"/>
      <c r="K1248" s="13"/>
      <c r="L1248" s="14"/>
      <c r="M1248" s="4"/>
      <c r="N1248" s="2"/>
      <c r="O1248" s="4"/>
      <c r="P1248" s="2"/>
      <c r="Q1248" s="2"/>
      <c r="R1248" s="4"/>
      <c r="S1248" s="2"/>
      <c r="T1248" s="2"/>
      <c r="U1248" s="1"/>
      <c r="V1248" s="2"/>
      <c r="W1248" s="2"/>
      <c r="X1248" s="2"/>
      <c r="Y1248" s="2"/>
      <c r="Z1248" s="2"/>
    </row>
    <row r="1249" spans="1:26" ht="15.75" customHeight="1" x14ac:dyDescent="0.2">
      <c r="A1249" s="12"/>
      <c r="B1249" s="10"/>
      <c r="C1249" s="11"/>
      <c r="D1249" s="13"/>
      <c r="E1249" s="13"/>
      <c r="F1249" s="13"/>
      <c r="G1249" s="2"/>
      <c r="H1249" s="2"/>
      <c r="I1249" s="13"/>
      <c r="J1249" s="13"/>
      <c r="K1249" s="13"/>
      <c r="L1249" s="14"/>
      <c r="M1249" s="4"/>
      <c r="N1249" s="2"/>
      <c r="O1249" s="4"/>
      <c r="P1249" s="2"/>
      <c r="Q1249" s="2"/>
      <c r="R1249" s="4"/>
      <c r="S1249" s="2"/>
      <c r="T1249" s="2"/>
      <c r="U1249" s="1"/>
      <c r="V1249" s="2"/>
      <c r="W1249" s="2"/>
      <c r="X1249" s="2"/>
      <c r="Y1249" s="2"/>
      <c r="Z1249" s="2"/>
    </row>
    <row r="1250" spans="1:26" ht="15.75" customHeight="1" x14ac:dyDescent="0.2">
      <c r="A1250" s="12"/>
      <c r="B1250" s="10"/>
      <c r="C1250" s="11"/>
      <c r="D1250" s="13"/>
      <c r="E1250" s="13"/>
      <c r="F1250" s="13"/>
      <c r="G1250" s="2"/>
      <c r="H1250" s="2"/>
      <c r="I1250" s="13"/>
      <c r="J1250" s="13"/>
      <c r="K1250" s="13"/>
      <c r="L1250" s="14"/>
      <c r="M1250" s="4"/>
      <c r="N1250" s="2"/>
      <c r="O1250" s="4"/>
      <c r="P1250" s="2"/>
      <c r="Q1250" s="2"/>
      <c r="R1250" s="4"/>
      <c r="S1250" s="2"/>
      <c r="T1250" s="2"/>
      <c r="U1250" s="1"/>
      <c r="V1250" s="2"/>
      <c r="W1250" s="2"/>
      <c r="X1250" s="2"/>
      <c r="Y1250" s="2"/>
      <c r="Z1250" s="2"/>
    </row>
    <row r="1251" spans="1:26" ht="15.75" customHeight="1" x14ac:dyDescent="0.2">
      <c r="A1251" s="12"/>
      <c r="B1251" s="10"/>
      <c r="C1251" s="11"/>
      <c r="D1251" s="13"/>
      <c r="E1251" s="13"/>
      <c r="F1251" s="13"/>
      <c r="G1251" s="2"/>
      <c r="H1251" s="2"/>
      <c r="I1251" s="13"/>
      <c r="J1251" s="13"/>
      <c r="K1251" s="13"/>
      <c r="L1251" s="14"/>
      <c r="M1251" s="4"/>
      <c r="N1251" s="2"/>
      <c r="O1251" s="4"/>
      <c r="P1251" s="2"/>
      <c r="Q1251" s="2"/>
      <c r="R1251" s="4"/>
      <c r="S1251" s="2"/>
      <c r="T1251" s="2"/>
      <c r="U1251" s="1"/>
      <c r="V1251" s="2"/>
      <c r="W1251" s="2"/>
      <c r="X1251" s="2"/>
      <c r="Y1251" s="2"/>
      <c r="Z1251" s="2"/>
    </row>
    <row r="1252" spans="1:26" ht="15.75" customHeight="1" x14ac:dyDescent="0.2">
      <c r="A1252" s="12"/>
      <c r="B1252" s="10"/>
      <c r="C1252" s="11"/>
      <c r="D1252" s="13"/>
      <c r="E1252" s="13"/>
      <c r="F1252" s="13"/>
      <c r="G1252" s="2"/>
      <c r="H1252" s="2"/>
      <c r="I1252" s="13"/>
      <c r="J1252" s="13"/>
      <c r="K1252" s="13"/>
      <c r="L1252" s="14"/>
      <c r="M1252" s="4"/>
      <c r="N1252" s="2"/>
      <c r="O1252" s="4"/>
      <c r="P1252" s="2"/>
      <c r="Q1252" s="2"/>
      <c r="R1252" s="4"/>
      <c r="S1252" s="2"/>
      <c r="T1252" s="2"/>
      <c r="U1252" s="1"/>
      <c r="V1252" s="2"/>
      <c r="W1252" s="2"/>
      <c r="X1252" s="2"/>
      <c r="Y1252" s="2"/>
      <c r="Z1252" s="2"/>
    </row>
    <row r="1253" spans="1:26" ht="15.75" customHeight="1" x14ac:dyDescent="0.2">
      <c r="A1253" s="12"/>
      <c r="B1253" s="10"/>
      <c r="C1253" s="11"/>
      <c r="D1253" s="13"/>
      <c r="E1253" s="13"/>
      <c r="F1253" s="13"/>
      <c r="G1253" s="2"/>
      <c r="H1253" s="2"/>
      <c r="I1253" s="13"/>
      <c r="J1253" s="13"/>
      <c r="K1253" s="13"/>
      <c r="L1253" s="14"/>
      <c r="M1253" s="4"/>
      <c r="N1253" s="2"/>
      <c r="O1253" s="4"/>
      <c r="P1253" s="2"/>
      <c r="Q1253" s="2"/>
      <c r="R1253" s="4"/>
      <c r="S1253" s="2"/>
      <c r="T1253" s="2"/>
      <c r="U1253" s="1"/>
      <c r="V1253" s="2"/>
      <c r="W1253" s="2"/>
      <c r="X1253" s="2"/>
      <c r="Y1253" s="2"/>
      <c r="Z1253" s="2"/>
    </row>
    <row r="1254" spans="1:26" ht="15.75" customHeight="1" x14ac:dyDescent="0.2">
      <c r="A1254" s="12"/>
      <c r="B1254" s="10"/>
      <c r="C1254" s="11"/>
      <c r="D1254" s="13"/>
      <c r="E1254" s="13"/>
      <c r="F1254" s="13"/>
      <c r="G1254" s="2"/>
      <c r="H1254" s="2"/>
      <c r="I1254" s="13"/>
      <c r="J1254" s="13"/>
      <c r="K1254" s="13"/>
      <c r="L1254" s="14"/>
      <c r="M1254" s="4"/>
      <c r="N1254" s="2"/>
      <c r="O1254" s="4"/>
      <c r="P1254" s="2"/>
      <c r="Q1254" s="2"/>
      <c r="R1254" s="4"/>
      <c r="S1254" s="2"/>
      <c r="T1254" s="2"/>
      <c r="U1254" s="1"/>
      <c r="V1254" s="2"/>
      <c r="W1254" s="2"/>
      <c r="X1254" s="2"/>
      <c r="Y1254" s="2"/>
      <c r="Z1254" s="2"/>
    </row>
    <row r="1255" spans="1:26" ht="15.75" customHeight="1" x14ac:dyDescent="0.2">
      <c r="A1255" s="12"/>
      <c r="B1255" s="10"/>
      <c r="C1255" s="11"/>
      <c r="D1255" s="13"/>
      <c r="E1255" s="13"/>
      <c r="F1255" s="13"/>
      <c r="G1255" s="2"/>
      <c r="H1255" s="2"/>
      <c r="I1255" s="13"/>
      <c r="J1255" s="13"/>
      <c r="K1255" s="13"/>
      <c r="L1255" s="14"/>
      <c r="M1255" s="4"/>
      <c r="N1255" s="2"/>
      <c r="O1255" s="4"/>
      <c r="P1255" s="2"/>
      <c r="Q1255" s="2"/>
      <c r="R1255" s="4"/>
      <c r="S1255" s="2"/>
      <c r="T1255" s="2"/>
      <c r="U1255" s="1"/>
      <c r="V1255" s="2"/>
      <c r="W1255" s="2"/>
      <c r="X1255" s="2"/>
      <c r="Y1255" s="2"/>
      <c r="Z1255" s="2"/>
    </row>
    <row r="1256" spans="1:26" ht="15.75" customHeight="1" x14ac:dyDescent="0.2">
      <c r="A1256" s="12"/>
      <c r="B1256" s="10"/>
      <c r="C1256" s="11"/>
      <c r="D1256" s="13"/>
      <c r="E1256" s="13"/>
      <c r="F1256" s="13"/>
      <c r="G1256" s="2"/>
      <c r="H1256" s="2"/>
      <c r="I1256" s="13"/>
      <c r="J1256" s="13"/>
      <c r="K1256" s="13"/>
      <c r="L1256" s="14"/>
      <c r="M1256" s="4"/>
      <c r="N1256" s="2"/>
      <c r="O1256" s="4"/>
      <c r="P1256" s="2"/>
      <c r="Q1256" s="2"/>
      <c r="R1256" s="4"/>
      <c r="S1256" s="2"/>
      <c r="T1256" s="2"/>
      <c r="U1256" s="1"/>
      <c r="V1256" s="2"/>
      <c r="W1256" s="2"/>
      <c r="X1256" s="2"/>
      <c r="Y1256" s="2"/>
      <c r="Z1256" s="2"/>
    </row>
    <row r="1257" spans="1:26" ht="15.75" customHeight="1" x14ac:dyDescent="0.2">
      <c r="A1257" s="12"/>
      <c r="B1257" s="10"/>
      <c r="C1257" s="11"/>
      <c r="D1257" s="13"/>
      <c r="E1257" s="13"/>
      <c r="F1257" s="13"/>
      <c r="G1257" s="2"/>
      <c r="H1257" s="2"/>
      <c r="I1257" s="13"/>
      <c r="J1257" s="13"/>
      <c r="K1257" s="13"/>
      <c r="L1257" s="14"/>
      <c r="M1257" s="4"/>
      <c r="N1257" s="2"/>
      <c r="O1257" s="4"/>
      <c r="P1257" s="2"/>
      <c r="Q1257" s="2"/>
      <c r="R1257" s="4"/>
      <c r="S1257" s="2"/>
      <c r="T1257" s="2"/>
      <c r="U1257" s="1"/>
      <c r="V1257" s="2"/>
      <c r="W1257" s="2"/>
      <c r="X1257" s="2"/>
      <c r="Y1257" s="2"/>
      <c r="Z1257" s="2"/>
    </row>
    <row r="1258" spans="1:26" ht="15.75" customHeight="1" x14ac:dyDescent="0.2">
      <c r="A1258" s="12"/>
      <c r="B1258" s="10"/>
      <c r="C1258" s="11"/>
      <c r="D1258" s="13"/>
      <c r="E1258" s="13"/>
      <c r="F1258" s="13"/>
      <c r="G1258" s="2"/>
      <c r="H1258" s="2"/>
      <c r="I1258" s="13"/>
      <c r="J1258" s="13"/>
      <c r="K1258" s="13"/>
      <c r="L1258" s="14"/>
      <c r="M1258" s="4"/>
      <c r="N1258" s="2"/>
      <c r="O1258" s="4"/>
      <c r="P1258" s="2"/>
      <c r="Q1258" s="2"/>
      <c r="R1258" s="4"/>
      <c r="S1258" s="2"/>
      <c r="T1258" s="2"/>
      <c r="U1258" s="1"/>
      <c r="V1258" s="2"/>
      <c r="W1258" s="2"/>
      <c r="X1258" s="2"/>
      <c r="Y1258" s="2"/>
      <c r="Z1258" s="2"/>
    </row>
    <row r="1259" spans="1:26" ht="15.75" customHeight="1" x14ac:dyDescent="0.2">
      <c r="A1259" s="12"/>
      <c r="B1259" s="10"/>
      <c r="C1259" s="11"/>
      <c r="D1259" s="13"/>
      <c r="E1259" s="13"/>
      <c r="F1259" s="13"/>
      <c r="G1259" s="2"/>
      <c r="H1259" s="2"/>
      <c r="I1259" s="13"/>
      <c r="J1259" s="13"/>
      <c r="K1259" s="13"/>
      <c r="L1259" s="14"/>
      <c r="M1259" s="4"/>
      <c r="N1259" s="2"/>
      <c r="O1259" s="4"/>
      <c r="P1259" s="2"/>
      <c r="Q1259" s="2"/>
      <c r="R1259" s="4"/>
      <c r="S1259" s="2"/>
      <c r="T1259" s="2"/>
      <c r="U1259" s="1"/>
      <c r="V1259" s="2"/>
      <c r="W1259" s="2"/>
      <c r="X1259" s="2"/>
      <c r="Y1259" s="2"/>
      <c r="Z1259" s="2"/>
    </row>
    <row r="1260" spans="1:26" ht="15.75" customHeight="1" x14ac:dyDescent="0.2">
      <c r="A1260" s="12"/>
      <c r="B1260" s="10"/>
      <c r="C1260" s="11"/>
      <c r="D1260" s="13"/>
      <c r="E1260" s="13"/>
      <c r="F1260" s="13"/>
      <c r="G1260" s="2"/>
      <c r="H1260" s="2"/>
      <c r="I1260" s="13"/>
      <c r="J1260" s="13"/>
      <c r="K1260" s="13"/>
      <c r="L1260" s="14"/>
      <c r="M1260" s="4"/>
      <c r="N1260" s="2"/>
      <c r="O1260" s="4"/>
      <c r="P1260" s="2"/>
      <c r="Q1260" s="2"/>
      <c r="R1260" s="4"/>
      <c r="S1260" s="2"/>
      <c r="T1260" s="2"/>
      <c r="U1260" s="1"/>
      <c r="V1260" s="2"/>
      <c r="W1260" s="2"/>
      <c r="X1260" s="2"/>
      <c r="Y1260" s="2"/>
      <c r="Z1260" s="2"/>
    </row>
    <row r="1261" spans="1:26" ht="15.75" customHeight="1" x14ac:dyDescent="0.2">
      <c r="A1261" s="12"/>
      <c r="B1261" s="10"/>
      <c r="C1261" s="11"/>
      <c r="D1261" s="13"/>
      <c r="E1261" s="13"/>
      <c r="F1261" s="13"/>
      <c r="G1261" s="2"/>
      <c r="H1261" s="2"/>
      <c r="I1261" s="13"/>
      <c r="J1261" s="13"/>
      <c r="K1261" s="13"/>
      <c r="L1261" s="14"/>
      <c r="M1261" s="4"/>
      <c r="N1261" s="2"/>
      <c r="O1261" s="4"/>
      <c r="P1261" s="2"/>
      <c r="Q1261" s="2"/>
      <c r="R1261" s="4"/>
      <c r="S1261" s="2"/>
      <c r="T1261" s="2"/>
      <c r="U1261" s="1"/>
      <c r="V1261" s="2"/>
      <c r="W1261" s="2"/>
      <c r="X1261" s="2"/>
      <c r="Y1261" s="2"/>
      <c r="Z1261" s="2"/>
    </row>
    <row r="1262" spans="1:26" ht="15.75" customHeight="1" x14ac:dyDescent="0.2">
      <c r="A1262" s="12"/>
      <c r="B1262" s="10"/>
      <c r="C1262" s="11"/>
      <c r="D1262" s="13"/>
      <c r="E1262" s="13"/>
      <c r="F1262" s="13"/>
      <c r="G1262" s="2"/>
      <c r="H1262" s="2"/>
      <c r="I1262" s="13"/>
      <c r="J1262" s="13"/>
      <c r="K1262" s="13"/>
      <c r="L1262" s="14"/>
      <c r="M1262" s="4"/>
      <c r="N1262" s="2"/>
      <c r="O1262" s="4"/>
      <c r="P1262" s="2"/>
      <c r="Q1262" s="2"/>
      <c r="R1262" s="4"/>
      <c r="S1262" s="2"/>
      <c r="T1262" s="2"/>
      <c r="U1262" s="1"/>
      <c r="V1262" s="2"/>
      <c r="W1262" s="2"/>
      <c r="X1262" s="2"/>
      <c r="Y1262" s="2"/>
      <c r="Z1262" s="2"/>
    </row>
    <row r="1263" spans="1:26" ht="15.75" customHeight="1" x14ac:dyDescent="0.2">
      <c r="A1263" s="12"/>
      <c r="B1263" s="10"/>
      <c r="C1263" s="11"/>
      <c r="D1263" s="13"/>
      <c r="E1263" s="13"/>
      <c r="F1263" s="13"/>
      <c r="G1263" s="2"/>
      <c r="H1263" s="2"/>
      <c r="I1263" s="13"/>
      <c r="J1263" s="13"/>
      <c r="K1263" s="13"/>
      <c r="L1263" s="14"/>
      <c r="M1263" s="4"/>
      <c r="N1263" s="2"/>
      <c r="O1263" s="4"/>
      <c r="P1263" s="2"/>
      <c r="Q1263" s="2"/>
      <c r="R1263" s="4"/>
      <c r="S1263" s="2"/>
      <c r="T1263" s="2"/>
      <c r="U1263" s="1"/>
      <c r="V1263" s="2"/>
      <c r="W1263" s="2"/>
      <c r="X1263" s="2"/>
      <c r="Y1263" s="2"/>
      <c r="Z1263" s="2"/>
    </row>
    <row r="1264" spans="1:26" ht="15.75" customHeight="1" x14ac:dyDescent="0.2">
      <c r="A1264" s="12"/>
      <c r="B1264" s="10"/>
      <c r="C1264" s="11"/>
      <c r="D1264" s="13"/>
      <c r="E1264" s="13"/>
      <c r="F1264" s="13"/>
      <c r="G1264" s="2"/>
      <c r="H1264" s="2"/>
      <c r="I1264" s="13"/>
      <c r="J1264" s="13"/>
      <c r="K1264" s="13"/>
      <c r="L1264" s="14"/>
      <c r="M1264" s="4"/>
      <c r="N1264" s="2"/>
      <c r="O1264" s="4"/>
      <c r="P1264" s="2"/>
      <c r="Q1264" s="2"/>
      <c r="R1264" s="4"/>
      <c r="S1264" s="2"/>
      <c r="T1264" s="2"/>
      <c r="U1264" s="1"/>
      <c r="V1264" s="2"/>
      <c r="W1264" s="2"/>
      <c r="X1264" s="2"/>
      <c r="Y1264" s="2"/>
      <c r="Z1264" s="2"/>
    </row>
    <row r="1265" spans="1:26" ht="15.75" customHeight="1" x14ac:dyDescent="0.2">
      <c r="A1265" s="12"/>
      <c r="B1265" s="10"/>
      <c r="C1265" s="11"/>
      <c r="D1265" s="13"/>
      <c r="E1265" s="13"/>
      <c r="F1265" s="13"/>
      <c r="G1265" s="2"/>
      <c r="H1265" s="2"/>
      <c r="I1265" s="13"/>
      <c r="J1265" s="13"/>
      <c r="K1265" s="13"/>
      <c r="L1265" s="14"/>
      <c r="M1265" s="4"/>
      <c r="N1265" s="2"/>
      <c r="O1265" s="4"/>
      <c r="P1265" s="2"/>
      <c r="Q1265" s="2"/>
      <c r="R1265" s="4"/>
      <c r="S1265" s="2"/>
      <c r="T1265" s="2"/>
      <c r="U1265" s="1"/>
      <c r="V1265" s="2"/>
      <c r="W1265" s="2"/>
      <c r="X1265" s="2"/>
      <c r="Y1265" s="2"/>
      <c r="Z1265" s="2"/>
    </row>
    <row r="1266" spans="1:26" ht="15.75" customHeight="1" x14ac:dyDescent="0.2">
      <c r="A1266" s="12"/>
      <c r="B1266" s="10"/>
      <c r="C1266" s="11"/>
      <c r="D1266" s="13"/>
      <c r="E1266" s="13"/>
      <c r="F1266" s="13"/>
      <c r="G1266" s="2"/>
      <c r="H1266" s="2"/>
      <c r="I1266" s="13"/>
      <c r="J1266" s="13"/>
      <c r="K1266" s="13"/>
      <c r="L1266" s="14"/>
      <c r="M1266" s="4"/>
      <c r="N1266" s="2"/>
      <c r="O1266" s="4"/>
      <c r="P1266" s="2"/>
      <c r="Q1266" s="2"/>
      <c r="R1266" s="4"/>
      <c r="S1266" s="2"/>
      <c r="T1266" s="2"/>
      <c r="U1266" s="1"/>
      <c r="V1266" s="2"/>
      <c r="W1266" s="2"/>
      <c r="X1266" s="2"/>
      <c r="Y1266" s="2"/>
      <c r="Z1266" s="2"/>
    </row>
    <row r="1267" spans="1:26" ht="15.75" customHeight="1" x14ac:dyDescent="0.2">
      <c r="A1267" s="12"/>
      <c r="B1267" s="10"/>
      <c r="C1267" s="11"/>
      <c r="D1267" s="13"/>
      <c r="E1267" s="13"/>
      <c r="F1267" s="13"/>
      <c r="G1267" s="2"/>
      <c r="H1267" s="2"/>
      <c r="I1267" s="13"/>
      <c r="J1267" s="13"/>
      <c r="K1267" s="13"/>
      <c r="L1267" s="14"/>
      <c r="M1267" s="4"/>
      <c r="N1267" s="2"/>
      <c r="O1267" s="4"/>
      <c r="P1267" s="2"/>
      <c r="Q1267" s="2"/>
      <c r="R1267" s="4"/>
      <c r="S1267" s="2"/>
      <c r="T1267" s="2"/>
      <c r="U1267" s="1"/>
      <c r="V1267" s="2"/>
      <c r="W1267" s="2"/>
      <c r="X1267" s="2"/>
      <c r="Y1267" s="2"/>
      <c r="Z1267" s="2"/>
    </row>
    <row r="1268" spans="1:26" ht="15.75" customHeight="1" x14ac:dyDescent="0.2">
      <c r="A1268" s="12"/>
      <c r="B1268" s="10"/>
      <c r="C1268" s="11"/>
      <c r="D1268" s="13"/>
      <c r="E1268" s="13"/>
      <c r="F1268" s="13"/>
      <c r="G1268" s="2"/>
      <c r="H1268" s="2"/>
      <c r="I1268" s="13"/>
      <c r="J1268" s="13"/>
      <c r="K1268" s="13"/>
      <c r="L1268" s="14"/>
      <c r="M1268" s="4"/>
      <c r="N1268" s="2"/>
      <c r="O1268" s="4"/>
      <c r="P1268" s="2"/>
      <c r="Q1268" s="2"/>
      <c r="R1268" s="4"/>
      <c r="S1268" s="2"/>
      <c r="T1268" s="2"/>
      <c r="U1268" s="1"/>
      <c r="V1268" s="2"/>
      <c r="W1268" s="2"/>
      <c r="X1268" s="2"/>
      <c r="Y1268" s="2"/>
      <c r="Z1268" s="2"/>
    </row>
    <row r="1269" spans="1:26" ht="15.75" customHeight="1" x14ac:dyDescent="0.2">
      <c r="A1269" s="12"/>
      <c r="B1269" s="10"/>
      <c r="C1269" s="11"/>
      <c r="D1269" s="13"/>
      <c r="E1269" s="13"/>
      <c r="F1269" s="13"/>
      <c r="G1269" s="2"/>
      <c r="H1269" s="2"/>
      <c r="I1269" s="13"/>
      <c r="J1269" s="13"/>
      <c r="K1269" s="13"/>
      <c r="L1269" s="14"/>
      <c r="M1269" s="4"/>
      <c r="N1269" s="2"/>
      <c r="O1269" s="4"/>
      <c r="P1269" s="2"/>
      <c r="Q1269" s="2"/>
      <c r="R1269" s="4"/>
      <c r="S1269" s="2"/>
      <c r="T1269" s="2"/>
      <c r="U1269" s="1"/>
      <c r="V1269" s="2"/>
      <c r="W1269" s="2"/>
      <c r="X1269" s="2"/>
      <c r="Y1269" s="2"/>
      <c r="Z1269" s="2"/>
    </row>
    <row r="1270" spans="1:26" ht="15.75" customHeight="1" x14ac:dyDescent="0.2">
      <c r="A1270" s="12"/>
      <c r="B1270" s="10"/>
      <c r="C1270" s="11"/>
      <c r="D1270" s="13"/>
      <c r="E1270" s="13"/>
      <c r="F1270" s="13"/>
      <c r="G1270" s="2"/>
      <c r="H1270" s="2"/>
      <c r="I1270" s="13"/>
      <c r="J1270" s="13"/>
      <c r="K1270" s="13"/>
      <c r="L1270" s="14"/>
      <c r="M1270" s="4"/>
      <c r="N1270" s="2"/>
      <c r="O1270" s="4"/>
      <c r="P1270" s="2"/>
      <c r="Q1270" s="2"/>
      <c r="R1270" s="4"/>
      <c r="S1270" s="2"/>
      <c r="T1270" s="2"/>
      <c r="U1270" s="1"/>
      <c r="V1270" s="2"/>
      <c r="W1270" s="2"/>
      <c r="X1270" s="2"/>
      <c r="Y1270" s="2"/>
      <c r="Z1270" s="2"/>
    </row>
    <row r="1271" spans="1:26" ht="15.75" customHeight="1" x14ac:dyDescent="0.2">
      <c r="A1271" s="12"/>
      <c r="B1271" s="10"/>
      <c r="C1271" s="11"/>
      <c r="D1271" s="13"/>
      <c r="E1271" s="13"/>
      <c r="F1271" s="13"/>
      <c r="G1271" s="2"/>
      <c r="H1271" s="2"/>
      <c r="I1271" s="13"/>
      <c r="J1271" s="13"/>
      <c r="K1271" s="13"/>
      <c r="L1271" s="14"/>
      <c r="M1271" s="4"/>
      <c r="N1271" s="2"/>
      <c r="O1271" s="4"/>
      <c r="P1271" s="2"/>
      <c r="Q1271" s="2"/>
      <c r="R1271" s="4"/>
      <c r="S1271" s="2"/>
      <c r="T1271" s="2"/>
      <c r="U1271" s="1"/>
      <c r="V1271" s="2"/>
      <c r="W1271" s="2"/>
      <c r="X1271" s="2"/>
      <c r="Y1271" s="2"/>
      <c r="Z1271" s="2"/>
    </row>
    <row r="1272" spans="1:26" ht="15.75" customHeight="1" x14ac:dyDescent="0.2">
      <c r="A1272" s="12"/>
      <c r="B1272" s="10"/>
      <c r="C1272" s="11"/>
      <c r="D1272" s="13"/>
      <c r="E1272" s="13"/>
      <c r="F1272" s="13"/>
      <c r="G1272" s="2"/>
      <c r="H1272" s="2"/>
      <c r="I1272" s="13"/>
      <c r="J1272" s="13"/>
      <c r="K1272" s="13"/>
      <c r="L1272" s="14"/>
      <c r="M1272" s="4"/>
      <c r="N1272" s="2"/>
      <c r="O1272" s="4"/>
      <c r="P1272" s="2"/>
      <c r="Q1272" s="2"/>
      <c r="R1272" s="4"/>
      <c r="S1272" s="2"/>
      <c r="T1272" s="2"/>
      <c r="U1272" s="1"/>
      <c r="V1272" s="2"/>
      <c r="W1272" s="2"/>
      <c r="X1272" s="2"/>
      <c r="Y1272" s="2"/>
      <c r="Z1272" s="2"/>
    </row>
    <row r="1273" spans="1:26" ht="15.75" customHeight="1" x14ac:dyDescent="0.2">
      <c r="A1273" s="12"/>
      <c r="B1273" s="10"/>
      <c r="C1273" s="11"/>
      <c r="D1273" s="13"/>
      <c r="E1273" s="13"/>
      <c r="F1273" s="13"/>
      <c r="G1273" s="2"/>
      <c r="H1273" s="2"/>
      <c r="I1273" s="13"/>
      <c r="J1273" s="13"/>
      <c r="K1273" s="13"/>
      <c r="L1273" s="14"/>
      <c r="M1273" s="4"/>
      <c r="N1273" s="2"/>
      <c r="O1273" s="4"/>
      <c r="P1273" s="2"/>
      <c r="Q1273" s="2"/>
      <c r="R1273" s="4"/>
      <c r="S1273" s="2"/>
      <c r="T1273" s="2"/>
      <c r="U1273" s="1"/>
      <c r="V1273" s="2"/>
      <c r="W1273" s="2"/>
      <c r="X1273" s="2"/>
      <c r="Y1273" s="2"/>
      <c r="Z1273" s="2"/>
    </row>
    <row r="1274" spans="1:26" ht="15.75" customHeight="1" x14ac:dyDescent="0.2">
      <c r="A1274" s="12"/>
      <c r="B1274" s="10"/>
      <c r="C1274" s="11"/>
      <c r="D1274" s="13"/>
      <c r="E1274" s="13"/>
      <c r="F1274" s="13"/>
      <c r="G1274" s="2"/>
      <c r="H1274" s="2"/>
      <c r="I1274" s="13"/>
      <c r="J1274" s="13"/>
      <c r="K1274" s="13"/>
      <c r="L1274" s="14"/>
      <c r="M1274" s="4"/>
      <c r="N1274" s="2"/>
      <c r="O1274" s="4"/>
      <c r="P1274" s="2"/>
      <c r="Q1274" s="2"/>
      <c r="R1274" s="4"/>
      <c r="S1274" s="2"/>
      <c r="T1274" s="2"/>
      <c r="U1274" s="1"/>
      <c r="V1274" s="2"/>
      <c r="W1274" s="2"/>
      <c r="X1274" s="2"/>
      <c r="Y1274" s="2"/>
      <c r="Z1274" s="2"/>
    </row>
    <row r="1275" spans="1:26" ht="15.75" customHeight="1" x14ac:dyDescent="0.2">
      <c r="A1275" s="12"/>
      <c r="B1275" s="10"/>
      <c r="C1275" s="11"/>
      <c r="D1275" s="13"/>
      <c r="E1275" s="13"/>
      <c r="F1275" s="13"/>
      <c r="G1275" s="2"/>
      <c r="H1275" s="2"/>
      <c r="I1275" s="13"/>
      <c r="J1275" s="13"/>
      <c r="K1275" s="13"/>
      <c r="L1275" s="14"/>
      <c r="M1275" s="4"/>
      <c r="N1275" s="2"/>
      <c r="O1275" s="4"/>
      <c r="P1275" s="2"/>
      <c r="Q1275" s="2"/>
      <c r="R1275" s="4"/>
      <c r="S1275" s="2"/>
      <c r="T1275" s="2"/>
      <c r="U1275" s="1"/>
      <c r="V1275" s="2"/>
      <c r="W1275" s="2"/>
      <c r="X1275" s="2"/>
      <c r="Y1275" s="2"/>
      <c r="Z1275" s="2"/>
    </row>
    <row r="1276" spans="1:26" ht="15.75" customHeight="1" x14ac:dyDescent="0.2">
      <c r="A1276" s="12"/>
      <c r="B1276" s="10"/>
      <c r="C1276" s="11"/>
      <c r="D1276" s="13"/>
      <c r="E1276" s="13"/>
      <c r="F1276" s="13"/>
      <c r="G1276" s="2"/>
      <c r="H1276" s="2"/>
      <c r="I1276" s="13"/>
      <c r="J1276" s="13"/>
      <c r="K1276" s="13"/>
      <c r="L1276" s="14"/>
      <c r="M1276" s="4"/>
      <c r="N1276" s="2"/>
      <c r="O1276" s="4"/>
      <c r="P1276" s="2"/>
      <c r="Q1276" s="2"/>
      <c r="R1276" s="4"/>
      <c r="S1276" s="2"/>
      <c r="T1276" s="2"/>
      <c r="U1276" s="1"/>
      <c r="V1276" s="2"/>
      <c r="W1276" s="2"/>
      <c r="X1276" s="2"/>
      <c r="Y1276" s="2"/>
      <c r="Z1276" s="2"/>
    </row>
    <row r="1277" spans="1:26" ht="15.75" customHeight="1" x14ac:dyDescent="0.2">
      <c r="A1277" s="12"/>
      <c r="B1277" s="10"/>
      <c r="C1277" s="11"/>
      <c r="D1277" s="13"/>
      <c r="E1277" s="13"/>
      <c r="F1277" s="13"/>
      <c r="G1277" s="2"/>
      <c r="H1277" s="2"/>
      <c r="I1277" s="13"/>
      <c r="J1277" s="13"/>
      <c r="K1277" s="13"/>
      <c r="L1277" s="14"/>
      <c r="M1277" s="4"/>
      <c r="N1277" s="2"/>
      <c r="O1277" s="4"/>
      <c r="P1277" s="2"/>
      <c r="Q1277" s="2"/>
      <c r="R1277" s="4"/>
      <c r="S1277" s="2"/>
      <c r="T1277" s="2"/>
      <c r="U1277" s="1"/>
      <c r="V1277" s="2"/>
      <c r="W1277" s="2"/>
      <c r="X1277" s="2"/>
      <c r="Y1277" s="2"/>
      <c r="Z1277" s="2"/>
    </row>
    <row r="1278" spans="1:26" ht="15.75" customHeight="1" x14ac:dyDescent="0.2">
      <c r="A1278" s="12"/>
      <c r="B1278" s="10"/>
      <c r="C1278" s="11"/>
      <c r="D1278" s="13"/>
      <c r="E1278" s="13"/>
      <c r="F1278" s="13"/>
      <c r="G1278" s="2"/>
      <c r="H1278" s="2"/>
      <c r="I1278" s="13"/>
      <c r="J1278" s="13"/>
      <c r="K1278" s="13"/>
      <c r="L1278" s="14"/>
      <c r="M1278" s="4"/>
      <c r="N1278" s="2"/>
      <c r="O1278" s="4"/>
      <c r="P1278" s="2"/>
      <c r="Q1278" s="2"/>
      <c r="R1278" s="4"/>
      <c r="S1278" s="2"/>
      <c r="T1278" s="2"/>
      <c r="U1278" s="1"/>
      <c r="V1278" s="2"/>
      <c r="W1278" s="2"/>
      <c r="X1278" s="2"/>
      <c r="Y1278" s="2"/>
      <c r="Z1278" s="2"/>
    </row>
    <row r="1279" spans="1:26" ht="15.75" customHeight="1" x14ac:dyDescent="0.2">
      <c r="A1279" s="12"/>
      <c r="B1279" s="10"/>
      <c r="C1279" s="11"/>
      <c r="D1279" s="13"/>
      <c r="E1279" s="13"/>
      <c r="F1279" s="13"/>
      <c r="G1279" s="2"/>
      <c r="H1279" s="2"/>
      <c r="I1279" s="13"/>
      <c r="J1279" s="13"/>
      <c r="K1279" s="13"/>
      <c r="L1279" s="14"/>
      <c r="M1279" s="4"/>
      <c r="N1279" s="2"/>
      <c r="O1279" s="4"/>
      <c r="P1279" s="2"/>
      <c r="Q1279" s="2"/>
      <c r="R1279" s="4"/>
      <c r="S1279" s="2"/>
      <c r="T1279" s="2"/>
      <c r="U1279" s="1"/>
      <c r="V1279" s="2"/>
      <c r="W1279" s="2"/>
      <c r="X1279" s="2"/>
      <c r="Y1279" s="2"/>
      <c r="Z1279" s="2"/>
    </row>
    <row r="1280" spans="1:26" ht="15.75" customHeight="1" x14ac:dyDescent="0.2">
      <c r="A1280" s="12"/>
      <c r="B1280" s="10"/>
      <c r="C1280" s="11"/>
      <c r="D1280" s="13"/>
      <c r="E1280" s="13"/>
      <c r="F1280" s="13"/>
      <c r="G1280" s="2"/>
      <c r="H1280" s="2"/>
      <c r="I1280" s="13"/>
      <c r="J1280" s="13"/>
      <c r="K1280" s="13"/>
      <c r="L1280" s="14"/>
      <c r="M1280" s="4"/>
      <c r="N1280" s="2"/>
      <c r="O1280" s="4"/>
      <c r="P1280" s="2"/>
      <c r="Q1280" s="2"/>
      <c r="R1280" s="4"/>
      <c r="S1280" s="2"/>
      <c r="T1280" s="2"/>
      <c r="U1280" s="1"/>
      <c r="V1280" s="2"/>
      <c r="W1280" s="2"/>
      <c r="X1280" s="2"/>
      <c r="Y1280" s="2"/>
      <c r="Z1280" s="2"/>
    </row>
    <row r="1281" spans="1:26" ht="15.75" customHeight="1" x14ac:dyDescent="0.2">
      <c r="A1281" s="12"/>
      <c r="B1281" s="10"/>
      <c r="C1281" s="11"/>
      <c r="D1281" s="13"/>
      <c r="E1281" s="13"/>
      <c r="F1281" s="13"/>
      <c r="G1281" s="2"/>
      <c r="H1281" s="2"/>
      <c r="I1281" s="13"/>
      <c r="J1281" s="13"/>
      <c r="K1281" s="13"/>
      <c r="L1281" s="14"/>
      <c r="M1281" s="4"/>
      <c r="N1281" s="2"/>
      <c r="O1281" s="4"/>
      <c r="P1281" s="2"/>
      <c r="Q1281" s="2"/>
      <c r="R1281" s="4"/>
      <c r="S1281" s="2"/>
      <c r="T1281" s="2"/>
      <c r="U1281" s="1"/>
      <c r="V1281" s="2"/>
      <c r="W1281" s="2"/>
      <c r="X1281" s="2"/>
      <c r="Y1281" s="2"/>
      <c r="Z1281" s="2"/>
    </row>
    <row r="1282" spans="1:26" ht="15.75" customHeight="1" x14ac:dyDescent="0.2">
      <c r="A1282" s="12"/>
      <c r="B1282" s="10"/>
      <c r="C1282" s="11"/>
      <c r="D1282" s="13"/>
      <c r="E1282" s="13"/>
      <c r="F1282" s="13"/>
      <c r="G1282" s="2"/>
      <c r="H1282" s="2"/>
      <c r="I1282" s="13"/>
      <c r="J1282" s="13"/>
      <c r="K1282" s="13"/>
      <c r="L1282" s="14"/>
      <c r="M1282" s="4"/>
      <c r="N1282" s="2"/>
      <c r="O1282" s="4"/>
      <c r="P1282" s="2"/>
      <c r="Q1282" s="2"/>
      <c r="R1282" s="4"/>
      <c r="S1282" s="2"/>
      <c r="T1282" s="2"/>
      <c r="U1282" s="1"/>
      <c r="V1282" s="2"/>
      <c r="W1282" s="2"/>
      <c r="X1282" s="2"/>
      <c r="Y1282" s="2"/>
      <c r="Z1282" s="2"/>
    </row>
    <row r="1283" spans="1:26" ht="15.75" customHeight="1" x14ac:dyDescent="0.2">
      <c r="A1283" s="12"/>
      <c r="B1283" s="10"/>
      <c r="C1283" s="11"/>
      <c r="D1283" s="13"/>
      <c r="E1283" s="13"/>
      <c r="F1283" s="13"/>
      <c r="G1283" s="2"/>
      <c r="H1283" s="2"/>
      <c r="I1283" s="13"/>
      <c r="J1283" s="13"/>
      <c r="K1283" s="13"/>
      <c r="L1283" s="14"/>
      <c r="M1283" s="4"/>
      <c r="N1283" s="2"/>
      <c r="O1283" s="4"/>
      <c r="P1283" s="2"/>
      <c r="Q1283" s="2"/>
      <c r="R1283" s="4"/>
      <c r="S1283" s="2"/>
      <c r="T1283" s="2"/>
      <c r="U1283" s="1"/>
      <c r="V1283" s="2"/>
      <c r="W1283" s="2"/>
      <c r="X1283" s="2"/>
      <c r="Y1283" s="2"/>
      <c r="Z1283" s="2"/>
    </row>
    <row r="1284" spans="1:26" ht="15.75" customHeight="1" x14ac:dyDescent="0.2">
      <c r="A1284" s="12"/>
      <c r="B1284" s="10"/>
      <c r="C1284" s="11"/>
      <c r="D1284" s="13"/>
      <c r="E1284" s="13"/>
      <c r="F1284" s="13"/>
      <c r="G1284" s="2"/>
      <c r="H1284" s="2"/>
      <c r="I1284" s="13"/>
      <c r="J1284" s="13"/>
      <c r="K1284" s="13"/>
      <c r="L1284" s="14"/>
      <c r="M1284" s="4"/>
      <c r="N1284" s="2"/>
      <c r="O1284" s="4"/>
      <c r="P1284" s="2"/>
      <c r="Q1284" s="2"/>
      <c r="R1284" s="4"/>
      <c r="S1284" s="2"/>
      <c r="T1284" s="2"/>
      <c r="U1284" s="1"/>
      <c r="V1284" s="2"/>
      <c r="W1284" s="2"/>
      <c r="X1284" s="2"/>
      <c r="Y1284" s="2"/>
      <c r="Z1284" s="2"/>
    </row>
    <row r="1285" spans="1:26" ht="15.75" customHeight="1" x14ac:dyDescent="0.2">
      <c r="A1285" s="12"/>
      <c r="B1285" s="10"/>
      <c r="C1285" s="11"/>
      <c r="D1285" s="13"/>
      <c r="E1285" s="13"/>
      <c r="F1285" s="13"/>
      <c r="G1285" s="2"/>
      <c r="H1285" s="2"/>
      <c r="I1285" s="13"/>
      <c r="J1285" s="13"/>
      <c r="K1285" s="13"/>
      <c r="L1285" s="14"/>
      <c r="M1285" s="4"/>
      <c r="N1285" s="2"/>
      <c r="O1285" s="4"/>
      <c r="P1285" s="2"/>
      <c r="Q1285" s="2"/>
      <c r="R1285" s="4"/>
      <c r="S1285" s="2"/>
      <c r="T1285" s="2"/>
      <c r="U1285" s="1"/>
      <c r="V1285" s="2"/>
      <c r="W1285" s="2"/>
      <c r="X1285" s="2"/>
      <c r="Y1285" s="2"/>
      <c r="Z1285" s="2"/>
    </row>
    <row r="1286" spans="1:26" ht="15.75" customHeight="1" x14ac:dyDescent="0.2">
      <c r="A1286" s="12"/>
      <c r="B1286" s="10"/>
      <c r="C1286" s="11"/>
      <c r="D1286" s="13"/>
      <c r="E1286" s="13"/>
      <c r="F1286" s="13"/>
      <c r="G1286" s="2"/>
      <c r="H1286" s="2"/>
      <c r="I1286" s="13"/>
      <c r="J1286" s="13"/>
      <c r="K1286" s="13"/>
      <c r="L1286" s="14"/>
      <c r="M1286" s="4"/>
      <c r="N1286" s="2"/>
      <c r="O1286" s="4"/>
      <c r="P1286" s="2"/>
      <c r="Q1286" s="2"/>
      <c r="R1286" s="4"/>
      <c r="S1286" s="2"/>
      <c r="T1286" s="2"/>
      <c r="U1286" s="1"/>
      <c r="V1286" s="2"/>
      <c r="W1286" s="2"/>
      <c r="X1286" s="2"/>
      <c r="Y1286" s="2"/>
      <c r="Z1286" s="2"/>
    </row>
    <row r="1287" spans="1:26" ht="15.75" customHeight="1" x14ac:dyDescent="0.2">
      <c r="A1287" s="12"/>
      <c r="B1287" s="10"/>
      <c r="C1287" s="11"/>
      <c r="D1287" s="13"/>
      <c r="E1287" s="13"/>
      <c r="F1287" s="13"/>
      <c r="G1287" s="2"/>
      <c r="H1287" s="2"/>
      <c r="I1287" s="13"/>
      <c r="J1287" s="13"/>
      <c r="K1287" s="13"/>
      <c r="L1287" s="14"/>
      <c r="M1287" s="4"/>
      <c r="N1287" s="2"/>
      <c r="O1287" s="4"/>
      <c r="P1287" s="2"/>
      <c r="Q1287" s="2"/>
      <c r="R1287" s="4"/>
      <c r="S1287" s="2"/>
      <c r="T1287" s="2"/>
      <c r="U1287" s="1"/>
      <c r="V1287" s="2"/>
      <c r="W1287" s="2"/>
      <c r="X1287" s="2"/>
      <c r="Y1287" s="2"/>
      <c r="Z1287" s="2"/>
    </row>
    <row r="1288" spans="1:26" ht="15.75" customHeight="1" x14ac:dyDescent="0.2">
      <c r="A1288" s="12"/>
      <c r="B1288" s="10"/>
      <c r="C1288" s="11"/>
      <c r="D1288" s="13"/>
      <c r="E1288" s="13"/>
      <c r="F1288" s="13"/>
      <c r="G1288" s="2"/>
      <c r="H1288" s="2"/>
      <c r="I1288" s="13"/>
      <c r="J1288" s="13"/>
      <c r="K1288" s="13"/>
      <c r="L1288" s="14"/>
      <c r="M1288" s="4"/>
      <c r="N1288" s="2"/>
      <c r="O1288" s="4"/>
      <c r="P1288" s="2"/>
      <c r="Q1288" s="2"/>
      <c r="R1288" s="4"/>
      <c r="S1288" s="2"/>
      <c r="T1288" s="2"/>
      <c r="U1288" s="1"/>
      <c r="V1288" s="2"/>
      <c r="W1288" s="2"/>
      <c r="X1288" s="2"/>
      <c r="Y1288" s="2"/>
      <c r="Z1288" s="2"/>
    </row>
    <row r="1289" spans="1:26" ht="15.75" customHeight="1" x14ac:dyDescent="0.2">
      <c r="A1289" s="12"/>
      <c r="B1289" s="10"/>
      <c r="C1289" s="11"/>
      <c r="D1289" s="13"/>
      <c r="E1289" s="13"/>
      <c r="F1289" s="13"/>
      <c r="G1289" s="2"/>
      <c r="H1289" s="2"/>
      <c r="I1289" s="13"/>
      <c r="J1289" s="13"/>
      <c r="K1289" s="13"/>
      <c r="L1289" s="14"/>
      <c r="M1289" s="4"/>
      <c r="N1289" s="2"/>
      <c r="O1289" s="4"/>
      <c r="P1289" s="2"/>
      <c r="Q1289" s="2"/>
      <c r="R1289" s="4"/>
      <c r="S1289" s="2"/>
      <c r="T1289" s="2"/>
      <c r="U1289" s="1"/>
      <c r="V1289" s="2"/>
      <c r="W1289" s="2"/>
      <c r="X1289" s="2"/>
      <c r="Y1289" s="2"/>
      <c r="Z1289" s="2"/>
    </row>
    <row r="1290" spans="1:26" ht="15.75" customHeight="1" x14ac:dyDescent="0.2">
      <c r="A1290" s="12"/>
      <c r="B1290" s="10"/>
      <c r="C1290" s="11"/>
      <c r="D1290" s="13"/>
      <c r="E1290" s="13"/>
      <c r="F1290" s="13"/>
      <c r="G1290" s="2"/>
      <c r="H1290" s="2"/>
      <c r="I1290" s="13"/>
      <c r="J1290" s="13"/>
      <c r="K1290" s="13"/>
      <c r="L1290" s="14"/>
      <c r="M1290" s="4"/>
      <c r="N1290" s="2"/>
      <c r="O1290" s="4"/>
      <c r="P1290" s="2"/>
      <c r="Q1290" s="2"/>
      <c r="R1290" s="4"/>
      <c r="S1290" s="2"/>
      <c r="T1290" s="2"/>
      <c r="U1290" s="1"/>
      <c r="V1290" s="2"/>
      <c r="W1290" s="2"/>
      <c r="X1290" s="2"/>
      <c r="Y1290" s="2"/>
      <c r="Z1290" s="2"/>
    </row>
    <row r="1291" spans="1:26" ht="15.75" customHeight="1" x14ac:dyDescent="0.2">
      <c r="A1291" s="12"/>
      <c r="B1291" s="10"/>
      <c r="C1291" s="11"/>
      <c r="D1291" s="13"/>
      <c r="E1291" s="13"/>
      <c r="F1291" s="13"/>
      <c r="G1291" s="2"/>
      <c r="H1291" s="2"/>
      <c r="I1291" s="13"/>
      <c r="J1291" s="13"/>
      <c r="K1291" s="13"/>
      <c r="L1291" s="14"/>
      <c r="M1291" s="4"/>
      <c r="N1291" s="2"/>
      <c r="O1291" s="4"/>
      <c r="P1291" s="2"/>
      <c r="Q1291" s="2"/>
      <c r="R1291" s="4"/>
      <c r="S1291" s="2"/>
      <c r="T1291" s="2"/>
      <c r="U1291" s="1"/>
      <c r="V1291" s="2"/>
      <c r="W1291" s="2"/>
      <c r="X1291" s="2"/>
      <c r="Y1291" s="2"/>
      <c r="Z1291" s="2"/>
    </row>
    <row r="1292" spans="1:26" ht="15.75" customHeight="1" x14ac:dyDescent="0.2">
      <c r="A1292" s="12"/>
      <c r="B1292" s="10"/>
      <c r="C1292" s="11"/>
      <c r="D1292" s="13"/>
      <c r="E1292" s="13"/>
      <c r="F1292" s="13"/>
      <c r="G1292" s="2"/>
      <c r="H1292" s="2"/>
      <c r="I1292" s="13"/>
      <c r="J1292" s="13"/>
      <c r="K1292" s="13"/>
      <c r="L1292" s="14"/>
      <c r="M1292" s="4"/>
      <c r="N1292" s="2"/>
      <c r="O1292" s="4"/>
      <c r="P1292" s="2"/>
      <c r="Q1292" s="2"/>
      <c r="R1292" s="4"/>
      <c r="S1292" s="2"/>
      <c r="T1292" s="2"/>
      <c r="U1292" s="1"/>
      <c r="V1292" s="2"/>
      <c r="W1292" s="2"/>
      <c r="X1292" s="2"/>
      <c r="Y1292" s="2"/>
      <c r="Z1292" s="2"/>
    </row>
    <row r="1293" spans="1:26" ht="15.75" customHeight="1" x14ac:dyDescent="0.2">
      <c r="A1293" s="12"/>
      <c r="B1293" s="10"/>
      <c r="C1293" s="11"/>
      <c r="D1293" s="13"/>
      <c r="E1293" s="13"/>
      <c r="F1293" s="13"/>
      <c r="G1293" s="2"/>
      <c r="H1293" s="2"/>
      <c r="I1293" s="13"/>
      <c r="J1293" s="13"/>
      <c r="K1293" s="13"/>
      <c r="L1293" s="14"/>
      <c r="M1293" s="4"/>
      <c r="N1293" s="2"/>
      <c r="O1293" s="4"/>
      <c r="P1293" s="2"/>
      <c r="Q1293" s="2"/>
      <c r="R1293" s="4"/>
      <c r="S1293" s="2"/>
      <c r="T1293" s="2"/>
      <c r="U1293" s="1"/>
      <c r="V1293" s="2"/>
      <c r="W1293" s="2"/>
      <c r="X1293" s="2"/>
      <c r="Y1293" s="2"/>
      <c r="Z1293" s="2"/>
    </row>
    <row r="1294" spans="1:26" ht="15.75" customHeight="1" x14ac:dyDescent="0.2">
      <c r="A1294" s="12"/>
      <c r="B1294" s="10"/>
      <c r="C1294" s="11"/>
      <c r="D1294" s="13"/>
      <c r="E1294" s="13"/>
      <c r="F1294" s="13"/>
      <c r="G1294" s="2"/>
      <c r="H1294" s="2"/>
      <c r="I1294" s="13"/>
      <c r="J1294" s="13"/>
      <c r="K1294" s="13"/>
      <c r="L1294" s="14"/>
      <c r="M1294" s="4"/>
      <c r="N1294" s="2"/>
      <c r="O1294" s="4"/>
      <c r="P1294" s="2"/>
      <c r="Q1294" s="2"/>
      <c r="R1294" s="4"/>
      <c r="S1294" s="2"/>
      <c r="T1294" s="2"/>
      <c r="U1294" s="1"/>
      <c r="V1294" s="2"/>
      <c r="W1294" s="2"/>
      <c r="X1294" s="2"/>
      <c r="Y1294" s="2"/>
      <c r="Z1294" s="2"/>
    </row>
    <row r="1295" spans="1:26" ht="15.75" customHeight="1" x14ac:dyDescent="0.2">
      <c r="A1295" s="12"/>
      <c r="B1295" s="10"/>
      <c r="C1295" s="11"/>
      <c r="D1295" s="13"/>
      <c r="E1295" s="13"/>
      <c r="F1295" s="13"/>
      <c r="G1295" s="2"/>
      <c r="H1295" s="2"/>
      <c r="I1295" s="13"/>
      <c r="J1295" s="13"/>
      <c r="K1295" s="13"/>
      <c r="L1295" s="14"/>
      <c r="M1295" s="4"/>
      <c r="N1295" s="2"/>
      <c r="O1295" s="4"/>
      <c r="P1295" s="2"/>
      <c r="Q1295" s="2"/>
      <c r="R1295" s="4"/>
      <c r="S1295" s="2"/>
      <c r="T1295" s="2"/>
      <c r="U1295" s="1"/>
      <c r="V1295" s="2"/>
      <c r="W1295" s="2"/>
      <c r="X1295" s="2"/>
      <c r="Y1295" s="2"/>
      <c r="Z1295" s="2"/>
    </row>
    <row r="1296" spans="1:26" ht="15.75" customHeight="1" x14ac:dyDescent="0.2">
      <c r="A1296" s="12"/>
      <c r="B1296" s="10"/>
      <c r="C1296" s="11"/>
      <c r="D1296" s="13"/>
      <c r="E1296" s="13"/>
      <c r="F1296" s="13"/>
      <c r="G1296" s="2"/>
      <c r="H1296" s="2"/>
      <c r="I1296" s="13"/>
      <c r="J1296" s="13"/>
      <c r="K1296" s="13"/>
      <c r="L1296" s="14"/>
      <c r="M1296" s="4"/>
      <c r="N1296" s="2"/>
      <c r="O1296" s="4"/>
      <c r="P1296" s="2"/>
      <c r="Q1296" s="2"/>
      <c r="R1296" s="4"/>
      <c r="S1296" s="2"/>
      <c r="T1296" s="2"/>
      <c r="U1296" s="1"/>
      <c r="V1296" s="2"/>
      <c r="W1296" s="2"/>
      <c r="X1296" s="2"/>
      <c r="Y1296" s="2"/>
      <c r="Z1296" s="2"/>
    </row>
    <row r="1297" spans="1:26" ht="15.75" customHeight="1" x14ac:dyDescent="0.2">
      <c r="A1297" s="12"/>
      <c r="B1297" s="10"/>
      <c r="C1297" s="11"/>
      <c r="D1297" s="13"/>
      <c r="E1297" s="13"/>
      <c r="F1297" s="13"/>
      <c r="G1297" s="2"/>
      <c r="H1297" s="2"/>
      <c r="I1297" s="13"/>
      <c r="J1297" s="13"/>
      <c r="K1297" s="13"/>
      <c r="L1297" s="14"/>
      <c r="M1297" s="4"/>
      <c r="N1297" s="2"/>
      <c r="O1297" s="4"/>
      <c r="P1297" s="2"/>
      <c r="Q1297" s="2"/>
      <c r="R1297" s="4"/>
      <c r="S1297" s="2"/>
      <c r="T1297" s="2"/>
      <c r="U1297" s="1"/>
      <c r="V1297" s="2"/>
      <c r="W1297" s="2"/>
      <c r="X1297" s="2"/>
      <c r="Y1297" s="2"/>
      <c r="Z1297" s="2"/>
    </row>
    <row r="1298" spans="1:26" ht="15.75" customHeight="1" x14ac:dyDescent="0.2">
      <c r="A1298" s="12"/>
      <c r="B1298" s="10"/>
      <c r="C1298" s="11"/>
      <c r="D1298" s="13"/>
      <c r="E1298" s="13"/>
      <c r="F1298" s="13"/>
      <c r="G1298" s="2"/>
      <c r="H1298" s="2"/>
      <c r="I1298" s="13"/>
      <c r="J1298" s="13"/>
      <c r="K1298" s="13"/>
      <c r="L1298" s="14"/>
      <c r="M1298" s="4"/>
      <c r="N1298" s="2"/>
      <c r="O1298" s="4"/>
      <c r="P1298" s="2"/>
      <c r="Q1298" s="2"/>
      <c r="R1298" s="4"/>
      <c r="S1298" s="2"/>
      <c r="T1298" s="2"/>
      <c r="U1298" s="1"/>
      <c r="V1298" s="2"/>
      <c r="W1298" s="2"/>
      <c r="X1298" s="2"/>
      <c r="Y1298" s="2"/>
      <c r="Z1298" s="2"/>
    </row>
  </sheetData>
  <mergeCells count="14">
    <mergeCell ref="A281:C281"/>
    <mergeCell ref="A310:B310"/>
    <mergeCell ref="A114:C114"/>
    <mergeCell ref="I114:K114"/>
    <mergeCell ref="A129:C129"/>
    <mergeCell ref="I129:K129"/>
    <mergeCell ref="A223:C223"/>
    <mergeCell ref="I223:K223"/>
    <mergeCell ref="A3:C3"/>
    <mergeCell ref="I3:K3"/>
    <mergeCell ref="A40:C40"/>
    <mergeCell ref="I40:K40"/>
    <mergeCell ref="A73:C73"/>
    <mergeCell ref="I73:K73"/>
  </mergeCells>
  <conditionalFormatting sqref="L1:L1298">
    <cfRule type="cellIs" dxfId="60" priority="9" operator="between">
      <formula>"25%"</formula>
      <formula>"30%"</formula>
    </cfRule>
    <cfRule type="cellIs" dxfId="59" priority="8" operator="lessThan">
      <formula>"25%"</formula>
    </cfRule>
    <cfRule type="cellIs" dxfId="58" priority="7" operator="greaterThan">
      <formula>"30%"</formula>
    </cfRule>
  </conditionalFormatting>
  <conditionalFormatting sqref="L242:L252 L281:L295">
    <cfRule type="cellIs" dxfId="57" priority="2" operator="greaterThanOrEqual">
      <formula>"30%"</formula>
    </cfRule>
  </conditionalFormatting>
  <conditionalFormatting sqref="L255:L277">
    <cfRule type="cellIs" dxfId="56" priority="1" operator="greaterThanOrEqual">
      <formula>"30%"</formula>
    </cfRule>
  </conditionalFormatting>
  <conditionalFormatting sqref="L303:L310">
    <cfRule type="cellIs" dxfId="55" priority="6" operator="greaterThan">
      <formula>"25%"</formula>
    </cfRule>
    <cfRule type="cellIs" dxfId="54" priority="4" operator="lessThanOrEqual">
      <formula>"20%"</formula>
    </cfRule>
    <cfRule type="cellIs" dxfId="53" priority="3" operator="between">
      <formula>"20%"</formula>
      <formula>"25%"</formula>
    </cfRule>
    <cfRule type="cellIs" dxfId="52" priority="5" operator="between">
      <formula>"20.01%"</formula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3F3F-AA36-1740-AF3E-8CB4E50E5E47}">
  <sheetPr>
    <outlinePr summaryBelow="0" summaryRight="0"/>
  </sheetPr>
  <dimension ref="A1:Z1536"/>
  <sheetViews>
    <sheetView topLeftCell="A613"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1088</v>
      </c>
      <c r="F3" s="8">
        <v>46129</v>
      </c>
      <c r="G3" s="7" t="s">
        <v>106</v>
      </c>
      <c r="H3" s="2"/>
      <c r="I3" s="9" t="s">
        <v>2</v>
      </c>
      <c r="J3" s="9"/>
      <c r="K3" s="9"/>
      <c r="L3" s="3"/>
      <c r="M3" s="1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2">
        <v>1</v>
      </c>
      <c r="B6" s="10" t="s">
        <v>17</v>
      </c>
      <c r="C6" s="11" t="s">
        <v>42</v>
      </c>
      <c r="D6" s="13">
        <v>4500</v>
      </c>
      <c r="E6" s="13">
        <f t="shared" ref="E6:E37" si="0">A6*D6</f>
        <v>4500</v>
      </c>
      <c r="F6" s="13">
        <f t="shared" ref="F6:F37" si="1">E6*1.105</f>
        <v>4972.5</v>
      </c>
      <c r="G6" s="2"/>
      <c r="H6" s="2"/>
      <c r="I6" s="13">
        <v>1400</v>
      </c>
      <c r="J6" s="13">
        <f t="shared" ref="J6:J37" si="2">I6*A6</f>
        <v>1400</v>
      </c>
      <c r="K6" s="13">
        <f t="shared" ref="K6:K37" si="3">F6-J6</f>
        <v>3572.5</v>
      </c>
      <c r="L6" s="14">
        <f t="shared" ref="L6:L37" si="4">IFERROR(K6/E6, 0)</f>
        <v>0.79388888888888887</v>
      </c>
      <c r="M6" s="1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2">
        <v>1</v>
      </c>
      <c r="B7" s="10" t="s">
        <v>4</v>
      </c>
      <c r="C7" s="11" t="s">
        <v>13</v>
      </c>
      <c r="D7" s="13">
        <v>900</v>
      </c>
      <c r="E7" s="13">
        <f t="shared" si="0"/>
        <v>900</v>
      </c>
      <c r="F7" s="13">
        <f t="shared" si="1"/>
        <v>994.5</v>
      </c>
      <c r="G7" s="2"/>
      <c r="H7" s="2"/>
      <c r="I7" s="13">
        <v>460</v>
      </c>
      <c r="J7" s="13">
        <f t="shared" si="2"/>
        <v>460</v>
      </c>
      <c r="K7" s="13">
        <f t="shared" si="3"/>
        <v>534.5</v>
      </c>
      <c r="L7" s="14">
        <f t="shared" si="4"/>
        <v>0.59388888888888891</v>
      </c>
      <c r="M7" s="1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2">
        <v>1</v>
      </c>
      <c r="B8" s="10" t="s">
        <v>21</v>
      </c>
      <c r="C8" s="11" t="s">
        <v>51</v>
      </c>
      <c r="D8" s="13">
        <v>1500</v>
      </c>
      <c r="E8" s="13">
        <f t="shared" si="0"/>
        <v>1500</v>
      </c>
      <c r="F8" s="13">
        <f t="shared" si="1"/>
        <v>1657.5</v>
      </c>
      <c r="G8" s="2"/>
      <c r="H8" s="2"/>
      <c r="I8" s="13">
        <v>750</v>
      </c>
      <c r="J8" s="13">
        <f t="shared" si="2"/>
        <v>750</v>
      </c>
      <c r="K8" s="13">
        <f t="shared" si="3"/>
        <v>907.5</v>
      </c>
      <c r="L8" s="14">
        <f t="shared" si="4"/>
        <v>0.60499999999999998</v>
      </c>
      <c r="M8" s="1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2">
        <v>3</v>
      </c>
      <c r="B9" s="10" t="s">
        <v>17</v>
      </c>
      <c r="C9" s="11" t="s">
        <v>62</v>
      </c>
      <c r="D9" s="13">
        <v>3000</v>
      </c>
      <c r="E9" s="13">
        <f t="shared" si="0"/>
        <v>9000</v>
      </c>
      <c r="F9" s="13">
        <f t="shared" si="1"/>
        <v>9945</v>
      </c>
      <c r="G9" s="2"/>
      <c r="H9" s="2"/>
      <c r="I9" s="13">
        <f>28000/17</f>
        <v>1647.0588235294117</v>
      </c>
      <c r="J9" s="13">
        <f t="shared" si="2"/>
        <v>4941.1764705882351</v>
      </c>
      <c r="K9" s="13">
        <f t="shared" si="3"/>
        <v>5003.8235294117649</v>
      </c>
      <c r="L9" s="14">
        <f t="shared" si="4"/>
        <v>0.55598039215686279</v>
      </c>
      <c r="M9" s="1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2">
        <v>12</v>
      </c>
      <c r="B10" s="10" t="s">
        <v>17</v>
      </c>
      <c r="C10" s="11" t="s">
        <v>48</v>
      </c>
      <c r="D10" s="13">
        <v>900</v>
      </c>
      <c r="E10" s="13">
        <f t="shared" si="0"/>
        <v>10800</v>
      </c>
      <c r="F10" s="13">
        <f t="shared" si="1"/>
        <v>11934</v>
      </c>
      <c r="G10" s="2"/>
      <c r="H10" s="2"/>
      <c r="I10" s="13">
        <f>8000/15</f>
        <v>533.33333333333337</v>
      </c>
      <c r="J10" s="13">
        <f t="shared" si="2"/>
        <v>6400</v>
      </c>
      <c r="K10" s="13">
        <f t="shared" si="3"/>
        <v>5534</v>
      </c>
      <c r="L10" s="14">
        <f t="shared" si="4"/>
        <v>0.51240740740740742</v>
      </c>
      <c r="M10" s="1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2">
        <v>2</v>
      </c>
      <c r="B11" s="10" t="s">
        <v>17</v>
      </c>
      <c r="C11" s="11" t="s">
        <v>18</v>
      </c>
      <c r="D11" s="13">
        <v>1600</v>
      </c>
      <c r="E11" s="13">
        <f t="shared" si="0"/>
        <v>3200</v>
      </c>
      <c r="F11" s="13">
        <f t="shared" si="1"/>
        <v>3536</v>
      </c>
      <c r="G11" s="2"/>
      <c r="H11" s="2"/>
      <c r="I11" s="13">
        <v>1000</v>
      </c>
      <c r="J11" s="13">
        <f t="shared" si="2"/>
        <v>2000</v>
      </c>
      <c r="K11" s="13">
        <f t="shared" si="3"/>
        <v>1536</v>
      </c>
      <c r="L11" s="14">
        <f t="shared" si="4"/>
        <v>0.48</v>
      </c>
      <c r="M11" s="1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ht="15.75" customHeight="1" x14ac:dyDescent="0.2">
      <c r="A12" s="12">
        <v>0.7</v>
      </c>
      <c r="B12" s="10" t="s">
        <v>17</v>
      </c>
      <c r="C12" s="11" t="s">
        <v>19</v>
      </c>
      <c r="D12" s="13">
        <v>3600</v>
      </c>
      <c r="E12" s="13">
        <f t="shared" si="0"/>
        <v>2520</v>
      </c>
      <c r="F12" s="13">
        <f t="shared" si="1"/>
        <v>2784.6</v>
      </c>
      <c r="G12" s="2"/>
      <c r="H12" s="2"/>
      <c r="I12" s="13">
        <f>15000/7</f>
        <v>2142.8571428571427</v>
      </c>
      <c r="J12" s="13">
        <f t="shared" si="2"/>
        <v>1499.9999999999998</v>
      </c>
      <c r="K12" s="13">
        <f t="shared" si="3"/>
        <v>1284.6000000000001</v>
      </c>
      <c r="L12" s="14">
        <f t="shared" si="4"/>
        <v>0.50976190476190486</v>
      </c>
      <c r="M12" s="1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2"/>
    </row>
    <row r="13" spans="1:26" ht="15.75" customHeight="1" x14ac:dyDescent="0.2">
      <c r="A13" s="12">
        <v>25</v>
      </c>
      <c r="B13" s="10" t="s">
        <v>4</v>
      </c>
      <c r="C13" s="11" t="s">
        <v>20</v>
      </c>
      <c r="D13" s="13">
        <v>500</v>
      </c>
      <c r="E13" s="13">
        <f t="shared" si="0"/>
        <v>12500</v>
      </c>
      <c r="F13" s="13">
        <f t="shared" si="1"/>
        <v>13812.5</v>
      </c>
      <c r="G13" s="2"/>
      <c r="H13" s="2"/>
      <c r="I13" s="13">
        <f>85000/224</f>
        <v>379.46428571428572</v>
      </c>
      <c r="J13" s="13">
        <f t="shared" si="2"/>
        <v>9486.6071428571431</v>
      </c>
      <c r="K13" s="13">
        <f t="shared" si="3"/>
        <v>4325.8928571428569</v>
      </c>
      <c r="L13" s="14">
        <f t="shared" si="4"/>
        <v>0.34607142857142853</v>
      </c>
      <c r="M13" s="1"/>
      <c r="N13" s="2"/>
      <c r="O13" s="4"/>
      <c r="P13" s="2"/>
      <c r="Q13" s="2"/>
      <c r="R13" s="4"/>
      <c r="S13" s="2"/>
      <c r="T13" s="2"/>
      <c r="U13" s="1"/>
      <c r="V13" s="2"/>
      <c r="W13" s="2"/>
      <c r="X13" s="2"/>
      <c r="Y13" s="2"/>
      <c r="Z13" s="2"/>
    </row>
    <row r="14" spans="1:26" ht="15.75" customHeight="1" x14ac:dyDescent="0.2">
      <c r="A14" s="12">
        <v>9</v>
      </c>
      <c r="B14" s="10" t="s">
        <v>21</v>
      </c>
      <c r="C14" s="11" t="s">
        <v>22</v>
      </c>
      <c r="D14" s="13">
        <v>1700</v>
      </c>
      <c r="E14" s="13">
        <f t="shared" si="0"/>
        <v>15300</v>
      </c>
      <c r="F14" s="13">
        <f t="shared" si="1"/>
        <v>16906.5</v>
      </c>
      <c r="G14" s="2"/>
      <c r="H14" s="2"/>
      <c r="I14" s="13">
        <f>1400</f>
        <v>1400</v>
      </c>
      <c r="J14" s="13">
        <f t="shared" si="2"/>
        <v>12600</v>
      </c>
      <c r="K14" s="13">
        <f t="shared" si="3"/>
        <v>4306.5</v>
      </c>
      <c r="L14" s="14">
        <f t="shared" si="4"/>
        <v>0.28147058823529414</v>
      </c>
      <c r="M14" s="1"/>
      <c r="N14" s="2"/>
      <c r="O14" s="4"/>
      <c r="P14" s="2"/>
      <c r="Q14" s="2"/>
      <c r="R14" s="4"/>
      <c r="S14" s="2"/>
      <c r="T14" s="2"/>
      <c r="U14" s="1"/>
      <c r="V14" s="2"/>
      <c r="W14" s="2"/>
      <c r="X14" s="2"/>
      <c r="Y14" s="2"/>
      <c r="Z14" s="2"/>
    </row>
    <row r="15" spans="1:26" ht="15.75" customHeight="1" x14ac:dyDescent="0.2">
      <c r="A15" s="12">
        <v>1</v>
      </c>
      <c r="B15" s="10" t="s">
        <v>17</v>
      </c>
      <c r="C15" s="11" t="s">
        <v>89</v>
      </c>
      <c r="D15" s="13">
        <v>12500</v>
      </c>
      <c r="E15" s="13">
        <f t="shared" si="0"/>
        <v>12500</v>
      </c>
      <c r="F15" s="13">
        <f t="shared" si="1"/>
        <v>13812.5</v>
      </c>
      <c r="G15" s="2"/>
      <c r="H15" s="2"/>
      <c r="I15" s="13">
        <f>45000/4</f>
        <v>11250</v>
      </c>
      <c r="J15" s="13">
        <f t="shared" si="2"/>
        <v>11250</v>
      </c>
      <c r="K15" s="13">
        <f t="shared" si="3"/>
        <v>2562.5</v>
      </c>
      <c r="L15" s="14">
        <f t="shared" si="4"/>
        <v>0.20499999999999999</v>
      </c>
      <c r="M15" s="1"/>
      <c r="N15" s="2"/>
      <c r="O15" s="4"/>
      <c r="P15" s="2"/>
      <c r="Q15" s="2"/>
      <c r="R15" s="4"/>
      <c r="S15" s="2"/>
      <c r="T15" s="2"/>
      <c r="U15" s="1"/>
      <c r="V15" s="2"/>
      <c r="W15" s="2"/>
      <c r="X15" s="2"/>
      <c r="Y15" s="2"/>
      <c r="Z15" s="2"/>
    </row>
    <row r="16" spans="1:26" ht="15.75" customHeight="1" x14ac:dyDescent="0.2">
      <c r="A16" s="12">
        <v>4</v>
      </c>
      <c r="B16" s="10" t="s">
        <v>17</v>
      </c>
      <c r="C16" s="11" t="s">
        <v>67</v>
      </c>
      <c r="D16" s="13">
        <v>800</v>
      </c>
      <c r="E16" s="13">
        <f t="shared" si="0"/>
        <v>3200</v>
      </c>
      <c r="F16" s="13">
        <f t="shared" si="1"/>
        <v>3536</v>
      </c>
      <c r="G16" s="2"/>
      <c r="H16" s="2"/>
      <c r="I16" s="13">
        <f>8000/14</f>
        <v>571.42857142857144</v>
      </c>
      <c r="J16" s="13">
        <f t="shared" si="2"/>
        <v>2285.7142857142858</v>
      </c>
      <c r="K16" s="13">
        <f t="shared" si="3"/>
        <v>1250.2857142857142</v>
      </c>
      <c r="L16" s="14">
        <f t="shared" si="4"/>
        <v>0.39071428571428568</v>
      </c>
      <c r="M16" s="1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A17" s="12">
        <v>4</v>
      </c>
      <c r="B17" s="10" t="s">
        <v>17</v>
      </c>
      <c r="C17" s="11" t="s">
        <v>24</v>
      </c>
      <c r="D17" s="13">
        <v>3600</v>
      </c>
      <c r="E17" s="13">
        <f t="shared" si="0"/>
        <v>14400</v>
      </c>
      <c r="F17" s="13">
        <f t="shared" si="1"/>
        <v>15912</v>
      </c>
      <c r="G17" s="2"/>
      <c r="H17" s="2"/>
      <c r="I17" s="13">
        <f>50000/17</f>
        <v>2941.1764705882351</v>
      </c>
      <c r="J17" s="13">
        <f t="shared" si="2"/>
        <v>11764.705882352941</v>
      </c>
      <c r="K17" s="13">
        <f t="shared" si="3"/>
        <v>4147.2941176470595</v>
      </c>
      <c r="L17" s="14">
        <f t="shared" si="4"/>
        <v>0.28800653594771247</v>
      </c>
      <c r="M17" s="1"/>
      <c r="N17" s="2"/>
      <c r="O17" s="4"/>
      <c r="P17" s="2"/>
      <c r="Q17" s="2"/>
      <c r="R17" s="4"/>
      <c r="S17" s="2"/>
      <c r="T17" s="2"/>
      <c r="U17" s="1"/>
      <c r="V17" s="2"/>
      <c r="W17" s="2"/>
      <c r="X17" s="2"/>
      <c r="Y17" s="2"/>
      <c r="Z17" s="2"/>
    </row>
    <row r="18" spans="1:26" ht="15.75" customHeight="1" x14ac:dyDescent="0.2">
      <c r="A18" s="12">
        <v>4</v>
      </c>
      <c r="B18" s="10" t="s">
        <v>17</v>
      </c>
      <c r="C18" s="11" t="s">
        <v>25</v>
      </c>
      <c r="D18" s="13">
        <v>4500</v>
      </c>
      <c r="E18" s="13">
        <f t="shared" si="0"/>
        <v>18000</v>
      </c>
      <c r="F18" s="13">
        <f t="shared" si="1"/>
        <v>19890</v>
      </c>
      <c r="G18" s="2"/>
      <c r="H18" s="2"/>
      <c r="I18" s="13">
        <f>62000/17</f>
        <v>3647.0588235294117</v>
      </c>
      <c r="J18" s="13">
        <f t="shared" si="2"/>
        <v>14588.235294117647</v>
      </c>
      <c r="K18" s="13">
        <f t="shared" si="3"/>
        <v>5301.7647058823532</v>
      </c>
      <c r="L18" s="14">
        <f t="shared" si="4"/>
        <v>0.29454248366013075</v>
      </c>
      <c r="M18" s="1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ht="15.75" customHeight="1" x14ac:dyDescent="0.2">
      <c r="A19" s="12">
        <v>1.5</v>
      </c>
      <c r="B19" s="10" t="s">
        <v>23</v>
      </c>
      <c r="C19" s="11" t="s">
        <v>26</v>
      </c>
      <c r="D19" s="13">
        <v>22000</v>
      </c>
      <c r="E19" s="13">
        <f t="shared" si="0"/>
        <v>33000</v>
      </c>
      <c r="F19" s="13">
        <f t="shared" si="1"/>
        <v>36465</v>
      </c>
      <c r="G19" s="2"/>
      <c r="H19" s="2"/>
      <c r="I19" s="13">
        <v>17000</v>
      </c>
      <c r="J19" s="13">
        <f t="shared" si="2"/>
        <v>25500</v>
      </c>
      <c r="K19" s="13">
        <f t="shared" si="3"/>
        <v>10965</v>
      </c>
      <c r="L19" s="14">
        <f t="shared" si="4"/>
        <v>0.33227272727272728</v>
      </c>
      <c r="M19" s="1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ht="15.75" customHeight="1" x14ac:dyDescent="0.2">
      <c r="A20" s="12">
        <v>1</v>
      </c>
      <c r="B20" s="10" t="s">
        <v>15</v>
      </c>
      <c r="C20" s="11" t="s">
        <v>27</v>
      </c>
      <c r="D20" s="13">
        <v>25000</v>
      </c>
      <c r="E20" s="13">
        <f t="shared" si="0"/>
        <v>25000</v>
      </c>
      <c r="F20" s="13">
        <f t="shared" si="1"/>
        <v>27625</v>
      </c>
      <c r="G20" s="2"/>
      <c r="H20" s="2"/>
      <c r="I20" s="13">
        <v>18000</v>
      </c>
      <c r="J20" s="13">
        <f t="shared" si="2"/>
        <v>18000</v>
      </c>
      <c r="K20" s="13">
        <f t="shared" si="3"/>
        <v>9625</v>
      </c>
      <c r="L20" s="14">
        <f t="shared" si="4"/>
        <v>0.38500000000000001</v>
      </c>
      <c r="M20" s="1"/>
      <c r="N20" s="2"/>
      <c r="O20" s="4"/>
      <c r="P20" s="2"/>
      <c r="Q20" s="2"/>
      <c r="R20" s="4"/>
      <c r="S20" s="2"/>
      <c r="T20" s="2"/>
      <c r="U20" s="1"/>
      <c r="V20" s="2"/>
      <c r="W20" s="2"/>
      <c r="X20" s="2"/>
      <c r="Y20" s="2"/>
      <c r="Z20" s="2"/>
    </row>
    <row r="21" spans="1:26" ht="15.75" customHeight="1" x14ac:dyDescent="0.2">
      <c r="A21" s="12">
        <v>1</v>
      </c>
      <c r="B21" s="10" t="s">
        <v>21</v>
      </c>
      <c r="C21" s="11" t="s">
        <v>28</v>
      </c>
      <c r="D21" s="13">
        <v>3000</v>
      </c>
      <c r="E21" s="13">
        <f t="shared" si="0"/>
        <v>3000</v>
      </c>
      <c r="F21" s="13">
        <f t="shared" si="1"/>
        <v>3315</v>
      </c>
      <c r="G21" s="2"/>
      <c r="H21" s="2"/>
      <c r="I21" s="13">
        <v>2500</v>
      </c>
      <c r="J21" s="13">
        <f t="shared" si="2"/>
        <v>2500</v>
      </c>
      <c r="K21" s="13">
        <f t="shared" si="3"/>
        <v>815</v>
      </c>
      <c r="L21" s="14">
        <f t="shared" si="4"/>
        <v>0.27166666666666667</v>
      </c>
      <c r="M21" s="1"/>
      <c r="N21" s="2"/>
      <c r="O21" s="4"/>
      <c r="P21" s="2"/>
      <c r="Q21" s="2"/>
      <c r="R21" s="4"/>
      <c r="S21" s="2"/>
      <c r="T21" s="2"/>
      <c r="U21" s="1"/>
      <c r="V21" s="2"/>
      <c r="W21" s="2"/>
      <c r="X21" s="2"/>
      <c r="Y21" s="2"/>
      <c r="Z21" s="2"/>
    </row>
    <row r="22" spans="1:26" ht="15.75" customHeight="1" x14ac:dyDescent="0.2">
      <c r="A22" s="12">
        <v>1</v>
      </c>
      <c r="B22" s="10" t="s">
        <v>21</v>
      </c>
      <c r="C22" s="11" t="s">
        <v>133</v>
      </c>
      <c r="D22" s="13">
        <v>3000</v>
      </c>
      <c r="E22" s="13">
        <f t="shared" si="0"/>
        <v>3000</v>
      </c>
      <c r="F22" s="13">
        <f t="shared" si="1"/>
        <v>3315</v>
      </c>
      <c r="G22" s="2"/>
      <c r="H22" s="2"/>
      <c r="I22" s="13">
        <v>1000</v>
      </c>
      <c r="J22" s="13">
        <f t="shared" si="2"/>
        <v>1000</v>
      </c>
      <c r="K22" s="13">
        <f t="shared" si="3"/>
        <v>2315</v>
      </c>
      <c r="L22" s="14">
        <f t="shared" si="4"/>
        <v>0.77166666666666661</v>
      </c>
      <c r="M22" s="1"/>
      <c r="N22" s="2"/>
      <c r="O22" s="4"/>
      <c r="P22" s="2"/>
      <c r="Q22" s="2"/>
      <c r="R22" s="4"/>
      <c r="S22" s="2"/>
      <c r="T22" s="2"/>
      <c r="U22" s="1"/>
      <c r="V22" s="2"/>
      <c r="W22" s="2"/>
      <c r="X22" s="2"/>
      <c r="Y22" s="2"/>
      <c r="Z22" s="2"/>
    </row>
    <row r="23" spans="1:26" ht="15.75" customHeight="1" x14ac:dyDescent="0.2">
      <c r="A23" s="12">
        <v>0.2</v>
      </c>
      <c r="B23" s="10" t="s">
        <v>21</v>
      </c>
      <c r="C23" s="11" t="s">
        <v>29</v>
      </c>
      <c r="D23" s="13">
        <v>3500</v>
      </c>
      <c r="E23" s="13">
        <f t="shared" si="0"/>
        <v>700</v>
      </c>
      <c r="F23" s="13">
        <f t="shared" si="1"/>
        <v>773.5</v>
      </c>
      <c r="G23" s="2"/>
      <c r="H23" s="2"/>
      <c r="I23" s="13">
        <v>1000</v>
      </c>
      <c r="J23" s="13">
        <f t="shared" si="2"/>
        <v>200</v>
      </c>
      <c r="K23" s="13">
        <f t="shared" si="3"/>
        <v>573.5</v>
      </c>
      <c r="L23" s="14">
        <f t="shared" si="4"/>
        <v>0.81928571428571428</v>
      </c>
      <c r="M23" s="1"/>
      <c r="N23" s="2"/>
      <c r="O23" s="4"/>
      <c r="P23" s="2"/>
      <c r="Q23" s="2"/>
      <c r="R23" s="4"/>
      <c r="S23" s="2"/>
      <c r="T23" s="2"/>
      <c r="U23" s="1"/>
      <c r="V23" s="2"/>
      <c r="W23" s="2"/>
      <c r="X23" s="2"/>
      <c r="Y23" s="2"/>
      <c r="Z23" s="2"/>
    </row>
    <row r="24" spans="1:26" ht="15.75" customHeight="1" x14ac:dyDescent="0.2">
      <c r="A24" s="12">
        <v>0.75</v>
      </c>
      <c r="B24" s="10" t="s">
        <v>17</v>
      </c>
      <c r="C24" s="11" t="s">
        <v>30</v>
      </c>
      <c r="D24" s="13">
        <v>2600</v>
      </c>
      <c r="E24" s="13">
        <f t="shared" si="0"/>
        <v>1950</v>
      </c>
      <c r="F24" s="13">
        <f t="shared" si="1"/>
        <v>2154.75</v>
      </c>
      <c r="G24" s="2"/>
      <c r="H24" s="2"/>
      <c r="I24" s="13">
        <f>30000/15</f>
        <v>2000</v>
      </c>
      <c r="J24" s="13">
        <f t="shared" si="2"/>
        <v>1500</v>
      </c>
      <c r="K24" s="13">
        <f t="shared" si="3"/>
        <v>654.75</v>
      </c>
      <c r="L24" s="14">
        <f t="shared" si="4"/>
        <v>0.33576923076923076</v>
      </c>
      <c r="M24" s="1"/>
      <c r="N24" s="2"/>
      <c r="O24" s="4"/>
      <c r="P24" s="2"/>
      <c r="Q24" s="2"/>
      <c r="R24" s="4"/>
      <c r="S24" s="2"/>
      <c r="T24" s="2"/>
      <c r="U24" s="1"/>
      <c r="V24" s="2"/>
      <c r="W24" s="2"/>
      <c r="X24" s="2"/>
      <c r="Y24" s="2"/>
      <c r="Z24" s="2"/>
    </row>
    <row r="25" spans="1:26" ht="15.75" customHeight="1" x14ac:dyDescent="0.2">
      <c r="A25" s="12">
        <v>1.5</v>
      </c>
      <c r="B25" s="10" t="s">
        <v>17</v>
      </c>
      <c r="C25" s="11" t="s">
        <v>31</v>
      </c>
      <c r="D25" s="13">
        <v>3200</v>
      </c>
      <c r="E25" s="13">
        <f t="shared" si="0"/>
        <v>4800</v>
      </c>
      <c r="F25" s="13">
        <f t="shared" si="1"/>
        <v>5304</v>
      </c>
      <c r="G25" s="2"/>
      <c r="H25" s="2"/>
      <c r="I25" s="13">
        <f>15000/7</f>
        <v>2142.8571428571427</v>
      </c>
      <c r="J25" s="13">
        <f t="shared" si="2"/>
        <v>3214.2857142857138</v>
      </c>
      <c r="K25" s="13">
        <f t="shared" si="3"/>
        <v>2089.7142857142862</v>
      </c>
      <c r="L25" s="14">
        <f t="shared" si="4"/>
        <v>0.43535714285714294</v>
      </c>
      <c r="M25" s="1"/>
      <c r="N25" s="2"/>
      <c r="O25" s="4"/>
      <c r="P25" s="2"/>
      <c r="Q25" s="2"/>
      <c r="R25" s="4"/>
      <c r="S25" s="2"/>
      <c r="T25" s="2"/>
      <c r="U25" s="1"/>
      <c r="V25" s="2"/>
      <c r="W25" s="2"/>
      <c r="X25" s="2"/>
      <c r="Y25" s="2"/>
      <c r="Z25" s="2"/>
    </row>
    <row r="26" spans="1:26" ht="15.75" customHeight="1" x14ac:dyDescent="0.2">
      <c r="A26" s="12">
        <v>0.5</v>
      </c>
      <c r="B26" s="10" t="s">
        <v>17</v>
      </c>
      <c r="C26" s="11" t="s">
        <v>32</v>
      </c>
      <c r="D26" s="13">
        <v>2400</v>
      </c>
      <c r="E26" s="13">
        <f t="shared" si="0"/>
        <v>1200</v>
      </c>
      <c r="F26" s="13">
        <f t="shared" si="1"/>
        <v>1326</v>
      </c>
      <c r="G26" s="2"/>
      <c r="H26" s="2"/>
      <c r="I26" s="13">
        <f>10000/7</f>
        <v>1428.5714285714287</v>
      </c>
      <c r="J26" s="13">
        <f t="shared" si="2"/>
        <v>714.28571428571433</v>
      </c>
      <c r="K26" s="13">
        <f t="shared" si="3"/>
        <v>611.71428571428567</v>
      </c>
      <c r="L26" s="14">
        <f t="shared" si="4"/>
        <v>0.50976190476190475</v>
      </c>
      <c r="M26" s="1"/>
      <c r="N26" s="2"/>
      <c r="O26" s="4"/>
      <c r="P26" s="2"/>
      <c r="Q26" s="2"/>
      <c r="R26" s="4"/>
      <c r="S26" s="2"/>
      <c r="T26" s="2"/>
      <c r="U26" s="1"/>
      <c r="V26" s="2"/>
      <c r="W26" s="2"/>
      <c r="X26" s="2"/>
      <c r="Y26" s="2"/>
      <c r="Z26" s="2"/>
    </row>
    <row r="27" spans="1:26" ht="15.75" customHeight="1" x14ac:dyDescent="0.2">
      <c r="A27" s="12">
        <v>0.5</v>
      </c>
      <c r="B27" s="10" t="s">
        <v>17</v>
      </c>
      <c r="C27" s="11" t="s">
        <v>33</v>
      </c>
      <c r="D27" s="13">
        <v>2800</v>
      </c>
      <c r="E27" s="13">
        <f t="shared" si="0"/>
        <v>1400</v>
      </c>
      <c r="F27" s="13">
        <f t="shared" si="1"/>
        <v>1547</v>
      </c>
      <c r="G27" s="2"/>
      <c r="H27" s="2"/>
      <c r="I27" s="13">
        <f>15000/7</f>
        <v>2142.8571428571427</v>
      </c>
      <c r="J27" s="13">
        <f t="shared" si="2"/>
        <v>1071.4285714285713</v>
      </c>
      <c r="K27" s="13">
        <f t="shared" si="3"/>
        <v>475.57142857142867</v>
      </c>
      <c r="L27" s="14">
        <f t="shared" si="4"/>
        <v>0.33969387755102048</v>
      </c>
      <c r="M27" s="1"/>
      <c r="N27" s="2"/>
      <c r="O27" s="4"/>
      <c r="P27" s="2"/>
      <c r="Q27" s="2"/>
      <c r="R27" s="4"/>
      <c r="S27" s="2"/>
      <c r="T27" s="2"/>
      <c r="U27" s="1"/>
      <c r="V27" s="2"/>
      <c r="W27" s="2"/>
      <c r="X27" s="2"/>
      <c r="Y27" s="2"/>
      <c r="Z27" s="2"/>
    </row>
    <row r="28" spans="1:26" ht="15.75" customHeight="1" x14ac:dyDescent="0.2">
      <c r="A28" s="12">
        <v>8</v>
      </c>
      <c r="B28" s="10" t="s">
        <v>17</v>
      </c>
      <c r="C28" s="11" t="s">
        <v>34</v>
      </c>
      <c r="D28" s="13">
        <v>5000</v>
      </c>
      <c r="E28" s="13">
        <f t="shared" si="0"/>
        <v>40000</v>
      </c>
      <c r="F28" s="13">
        <f t="shared" si="1"/>
        <v>44200</v>
      </c>
      <c r="G28" s="2"/>
      <c r="H28" s="2"/>
      <c r="I28" s="13">
        <v>2300</v>
      </c>
      <c r="J28" s="13">
        <f t="shared" si="2"/>
        <v>18400</v>
      </c>
      <c r="K28" s="13">
        <f t="shared" si="3"/>
        <v>25800</v>
      </c>
      <c r="L28" s="14">
        <f t="shared" si="4"/>
        <v>0.64500000000000002</v>
      </c>
      <c r="M28" s="1"/>
      <c r="N28" s="2"/>
      <c r="O28" s="4"/>
      <c r="P28" s="2"/>
      <c r="Q28" s="2"/>
      <c r="R28" s="4"/>
      <c r="S28" s="2"/>
      <c r="T28" s="2"/>
      <c r="U28" s="1"/>
      <c r="V28" s="2"/>
      <c r="W28" s="2"/>
      <c r="X28" s="2"/>
      <c r="Y28" s="2"/>
      <c r="Z28" s="2"/>
    </row>
    <row r="29" spans="1:26" ht="15.75" customHeight="1" x14ac:dyDescent="0.2">
      <c r="A29" s="12">
        <v>1</v>
      </c>
      <c r="B29" s="10" t="s">
        <v>17</v>
      </c>
      <c r="C29" s="11" t="s">
        <v>35</v>
      </c>
      <c r="D29" s="13">
        <v>2500</v>
      </c>
      <c r="E29" s="13">
        <f t="shared" si="0"/>
        <v>2500</v>
      </c>
      <c r="F29" s="13">
        <f t="shared" si="1"/>
        <v>2762.5</v>
      </c>
      <c r="G29" s="2"/>
      <c r="H29" s="2"/>
      <c r="I29" s="13">
        <f>14000/9</f>
        <v>1555.5555555555557</v>
      </c>
      <c r="J29" s="13">
        <f t="shared" si="2"/>
        <v>1555.5555555555557</v>
      </c>
      <c r="K29" s="13">
        <f t="shared" si="3"/>
        <v>1206.9444444444443</v>
      </c>
      <c r="L29" s="14">
        <f t="shared" si="4"/>
        <v>0.48277777777777775</v>
      </c>
      <c r="M29" s="1"/>
      <c r="N29" s="2"/>
      <c r="O29" s="4"/>
      <c r="P29" s="2"/>
      <c r="Q29" s="2"/>
      <c r="R29" s="4"/>
      <c r="S29" s="2"/>
      <c r="T29" s="2"/>
      <c r="U29" s="1"/>
      <c r="V29" s="2"/>
      <c r="W29" s="2"/>
      <c r="X29" s="2"/>
      <c r="Y29" s="2"/>
      <c r="Z29" s="2"/>
    </row>
    <row r="30" spans="1:26" ht="15.75" customHeight="1" x14ac:dyDescent="0.2">
      <c r="A30" s="12">
        <v>2</v>
      </c>
      <c r="B30" s="10" t="s">
        <v>17</v>
      </c>
      <c r="C30" s="11" t="s">
        <v>36</v>
      </c>
      <c r="D30" s="13">
        <v>1800</v>
      </c>
      <c r="E30" s="13">
        <f t="shared" si="0"/>
        <v>3600</v>
      </c>
      <c r="F30" s="13">
        <f t="shared" si="1"/>
        <v>3978</v>
      </c>
      <c r="G30" s="2"/>
      <c r="H30" s="2"/>
      <c r="I30" s="13">
        <v>800</v>
      </c>
      <c r="J30" s="13">
        <f t="shared" si="2"/>
        <v>1600</v>
      </c>
      <c r="K30" s="13">
        <f t="shared" si="3"/>
        <v>2378</v>
      </c>
      <c r="L30" s="14">
        <f t="shared" si="4"/>
        <v>0.66055555555555556</v>
      </c>
      <c r="M30" s="1"/>
      <c r="N30" s="2"/>
      <c r="O30" s="4"/>
      <c r="P30" s="2"/>
      <c r="Q30" s="2"/>
      <c r="R30" s="4"/>
      <c r="S30" s="2"/>
      <c r="T30" s="2"/>
      <c r="U30" s="1"/>
      <c r="V30" s="2"/>
      <c r="W30" s="2"/>
      <c r="X30" s="2"/>
      <c r="Y30" s="2"/>
      <c r="Z30" s="2"/>
    </row>
    <row r="31" spans="1:26" ht="15.75" customHeight="1" x14ac:dyDescent="0.2">
      <c r="A31" s="12">
        <v>1</v>
      </c>
      <c r="B31" s="10" t="s">
        <v>17</v>
      </c>
      <c r="C31" s="11" t="s">
        <v>38</v>
      </c>
      <c r="D31" s="13">
        <v>1800</v>
      </c>
      <c r="E31" s="13">
        <f t="shared" si="0"/>
        <v>1800</v>
      </c>
      <c r="F31" s="13">
        <f t="shared" si="1"/>
        <v>1989</v>
      </c>
      <c r="G31" s="2"/>
      <c r="H31" s="2"/>
      <c r="I31" s="13">
        <v>800</v>
      </c>
      <c r="J31" s="13">
        <f t="shared" si="2"/>
        <v>800</v>
      </c>
      <c r="K31" s="13">
        <f t="shared" si="3"/>
        <v>1189</v>
      </c>
      <c r="L31" s="14">
        <f t="shared" si="4"/>
        <v>0.66055555555555556</v>
      </c>
      <c r="M31" s="1"/>
      <c r="N31" s="2"/>
      <c r="O31" s="4"/>
      <c r="P31" s="2"/>
      <c r="Q31" s="2"/>
      <c r="R31" s="4"/>
      <c r="S31" s="2"/>
      <c r="T31" s="2"/>
      <c r="U31" s="1"/>
      <c r="V31" s="2"/>
      <c r="W31" s="2"/>
      <c r="X31" s="2"/>
      <c r="Y31" s="2"/>
      <c r="Z31" s="2"/>
    </row>
    <row r="32" spans="1:26" ht="15.75" customHeight="1" x14ac:dyDescent="0.2">
      <c r="A32" s="12">
        <v>7</v>
      </c>
      <c r="B32" s="10" t="s">
        <v>17</v>
      </c>
      <c r="C32" s="11" t="s">
        <v>39</v>
      </c>
      <c r="D32" s="13">
        <v>1600</v>
      </c>
      <c r="E32" s="13">
        <f t="shared" si="0"/>
        <v>11200</v>
      </c>
      <c r="F32" s="13">
        <f t="shared" si="1"/>
        <v>12376</v>
      </c>
      <c r="G32" s="2"/>
      <c r="H32" s="2"/>
      <c r="I32" s="13">
        <f>14000/15</f>
        <v>933.33333333333337</v>
      </c>
      <c r="J32" s="13">
        <f t="shared" si="2"/>
        <v>6533.3333333333339</v>
      </c>
      <c r="K32" s="13">
        <f t="shared" si="3"/>
        <v>5842.6666666666661</v>
      </c>
      <c r="L32" s="14">
        <f t="shared" si="4"/>
        <v>0.52166666666666661</v>
      </c>
      <c r="M32" s="1"/>
      <c r="N32" s="2"/>
      <c r="O32" s="4"/>
      <c r="P32" s="2"/>
      <c r="Q32" s="2"/>
      <c r="R32" s="4"/>
      <c r="S32" s="2"/>
      <c r="T32" s="2"/>
      <c r="U32" s="1"/>
      <c r="V32" s="2"/>
      <c r="W32" s="2"/>
      <c r="X32" s="2"/>
      <c r="Y32" s="2"/>
      <c r="Z32" s="2"/>
    </row>
    <row r="33" spans="1:26" ht="15.75" customHeight="1" x14ac:dyDescent="0.2">
      <c r="A33" s="12">
        <v>6</v>
      </c>
      <c r="B33" s="10" t="s">
        <v>17</v>
      </c>
      <c r="C33" s="11" t="s">
        <v>40</v>
      </c>
      <c r="D33" s="13">
        <v>1400</v>
      </c>
      <c r="E33" s="13">
        <f t="shared" si="0"/>
        <v>8400</v>
      </c>
      <c r="F33" s="13">
        <f t="shared" si="1"/>
        <v>9282</v>
      </c>
      <c r="G33" s="2"/>
      <c r="H33" s="2"/>
      <c r="I33" s="13">
        <f>7000/7</f>
        <v>1000</v>
      </c>
      <c r="J33" s="13">
        <f t="shared" si="2"/>
        <v>6000</v>
      </c>
      <c r="K33" s="13">
        <f t="shared" si="3"/>
        <v>3282</v>
      </c>
      <c r="L33" s="14">
        <f t="shared" si="4"/>
        <v>0.39071428571428574</v>
      </c>
      <c r="M33" s="1"/>
      <c r="N33" s="2"/>
      <c r="O33" s="4"/>
      <c r="P33" s="2"/>
      <c r="Q33" s="2"/>
      <c r="R33" s="4"/>
      <c r="S33" s="2"/>
      <c r="T33" s="2"/>
      <c r="U33" s="1"/>
      <c r="V33" s="2"/>
      <c r="W33" s="2"/>
      <c r="X33" s="2"/>
      <c r="Y33" s="2"/>
      <c r="Z33" s="2"/>
    </row>
    <row r="34" spans="1:26" ht="15.75" customHeight="1" x14ac:dyDescent="0.2">
      <c r="A34" s="12">
        <v>2</v>
      </c>
      <c r="B34" s="10" t="s">
        <v>17</v>
      </c>
      <c r="C34" s="11" t="s">
        <v>41</v>
      </c>
      <c r="D34" s="13">
        <v>2600</v>
      </c>
      <c r="E34" s="13">
        <f t="shared" si="0"/>
        <v>5200</v>
      </c>
      <c r="F34" s="13">
        <f t="shared" si="1"/>
        <v>5746</v>
      </c>
      <c r="G34" s="2"/>
      <c r="H34" s="2"/>
      <c r="I34" s="13">
        <f>19000/10</f>
        <v>1900</v>
      </c>
      <c r="J34" s="13">
        <f t="shared" si="2"/>
        <v>3800</v>
      </c>
      <c r="K34" s="13">
        <f t="shared" si="3"/>
        <v>1946</v>
      </c>
      <c r="L34" s="14">
        <f t="shared" si="4"/>
        <v>0.37423076923076926</v>
      </c>
      <c r="M34" s="1"/>
      <c r="N34" s="2"/>
      <c r="O34" s="4"/>
      <c r="P34" s="2"/>
      <c r="Q34" s="2"/>
      <c r="R34" s="4"/>
      <c r="S34" s="2"/>
      <c r="T34" s="2"/>
      <c r="U34" s="1"/>
      <c r="V34" s="2"/>
      <c r="W34" s="2"/>
      <c r="X34" s="2"/>
      <c r="Y34" s="2"/>
      <c r="Z34" s="2"/>
    </row>
    <row r="35" spans="1:26" ht="15.75" customHeight="1" x14ac:dyDescent="0.2">
      <c r="A35" s="12">
        <v>0.5</v>
      </c>
      <c r="B35" s="10" t="s">
        <v>17</v>
      </c>
      <c r="C35" s="11" t="s">
        <v>61</v>
      </c>
      <c r="D35" s="13">
        <v>2800</v>
      </c>
      <c r="E35" s="13">
        <f t="shared" si="0"/>
        <v>1400</v>
      </c>
      <c r="F35" s="13">
        <f t="shared" si="1"/>
        <v>1547</v>
      </c>
      <c r="G35" s="2"/>
      <c r="H35" s="2"/>
      <c r="I35" s="13">
        <f>30000/14</f>
        <v>2142.8571428571427</v>
      </c>
      <c r="J35" s="13">
        <f t="shared" si="2"/>
        <v>1071.4285714285713</v>
      </c>
      <c r="K35" s="13">
        <f t="shared" si="3"/>
        <v>475.57142857142867</v>
      </c>
      <c r="L35" s="14">
        <f t="shared" si="4"/>
        <v>0.33969387755102048</v>
      </c>
      <c r="M35" s="1"/>
      <c r="N35" s="2"/>
      <c r="O35" s="4"/>
      <c r="P35" s="2"/>
      <c r="Q35" s="2"/>
      <c r="R35" s="4"/>
      <c r="S35" s="2"/>
      <c r="T35" s="2"/>
      <c r="U35" s="1"/>
      <c r="V35" s="2"/>
      <c r="W35" s="2"/>
      <c r="X35" s="2"/>
      <c r="Y35" s="2"/>
      <c r="Z35" s="2"/>
    </row>
    <row r="36" spans="1:26" ht="15.75" customHeight="1" x14ac:dyDescent="0.2">
      <c r="A36" s="12">
        <v>5</v>
      </c>
      <c r="B36" s="10" t="s">
        <v>21</v>
      </c>
      <c r="C36" s="11" t="s">
        <v>46</v>
      </c>
      <c r="D36" s="13">
        <v>600</v>
      </c>
      <c r="E36" s="13">
        <f t="shared" si="0"/>
        <v>3000</v>
      </c>
      <c r="F36" s="13">
        <f t="shared" si="1"/>
        <v>3315</v>
      </c>
      <c r="G36" s="2"/>
      <c r="H36" s="2"/>
      <c r="I36" s="13">
        <f>7000/24</f>
        <v>291.66666666666669</v>
      </c>
      <c r="J36" s="13">
        <f t="shared" si="2"/>
        <v>1458.3333333333335</v>
      </c>
      <c r="K36" s="13">
        <f t="shared" si="3"/>
        <v>1856.6666666666665</v>
      </c>
      <c r="L36" s="14">
        <f t="shared" si="4"/>
        <v>0.61888888888888882</v>
      </c>
      <c r="M36" s="1"/>
      <c r="N36" s="2"/>
      <c r="O36" s="4"/>
      <c r="P36" s="2"/>
      <c r="Q36" s="2"/>
      <c r="R36" s="4"/>
      <c r="S36" s="2"/>
      <c r="T36" s="2"/>
      <c r="U36" s="1"/>
      <c r="V36" s="2"/>
      <c r="W36" s="2"/>
      <c r="X36" s="2"/>
      <c r="Y36" s="2"/>
      <c r="Z36" s="2"/>
    </row>
    <row r="37" spans="1:26" ht="15.75" customHeight="1" x14ac:dyDescent="0.2">
      <c r="A37" s="12">
        <v>1.7</v>
      </c>
      <c r="B37" s="10" t="s">
        <v>17</v>
      </c>
      <c r="C37" s="11" t="s">
        <v>43</v>
      </c>
      <c r="D37" s="13">
        <v>5000</v>
      </c>
      <c r="E37" s="13">
        <f t="shared" si="0"/>
        <v>8500</v>
      </c>
      <c r="F37" s="13">
        <f t="shared" si="1"/>
        <v>9392.5</v>
      </c>
      <c r="G37" s="2"/>
      <c r="H37" s="2"/>
      <c r="I37" s="13">
        <f>15000/5</f>
        <v>3000</v>
      </c>
      <c r="J37" s="13">
        <f t="shared" si="2"/>
        <v>5100</v>
      </c>
      <c r="K37" s="13">
        <f t="shared" si="3"/>
        <v>4292.5</v>
      </c>
      <c r="L37" s="14">
        <f t="shared" si="4"/>
        <v>0.505</v>
      </c>
      <c r="M37" s="1"/>
      <c r="N37" s="2"/>
      <c r="O37" s="4"/>
      <c r="P37" s="2"/>
      <c r="Q37" s="2"/>
      <c r="R37" s="4"/>
      <c r="S37" s="2"/>
      <c r="T37" s="2"/>
      <c r="U37" s="1"/>
      <c r="V37" s="2"/>
      <c r="W37" s="2"/>
      <c r="X37" s="2"/>
      <c r="Y37" s="2"/>
      <c r="Z37" s="2"/>
    </row>
    <row r="38" spans="1:26" x14ac:dyDescent="0.2">
      <c r="A38" s="1"/>
      <c r="B38" s="2"/>
      <c r="C38" s="4"/>
      <c r="D38" s="2"/>
      <c r="E38" s="2"/>
      <c r="F38" s="2"/>
      <c r="G38" s="2"/>
      <c r="H38" s="2"/>
      <c r="I38" s="2"/>
      <c r="J38" s="2"/>
      <c r="K38" s="2"/>
      <c r="L38" s="3"/>
      <c r="M38" s="1"/>
      <c r="N38" s="2"/>
      <c r="O38" s="4"/>
      <c r="P38" s="2"/>
      <c r="Q38" s="2"/>
      <c r="R38" s="4"/>
      <c r="S38" s="2"/>
      <c r="T38" s="2"/>
      <c r="U38" s="1"/>
      <c r="V38" s="2"/>
      <c r="W38" s="2"/>
      <c r="X38" s="2"/>
      <c r="Y38" s="2"/>
      <c r="Z38" s="2"/>
    </row>
    <row r="39" spans="1:26" x14ac:dyDescent="0.2">
      <c r="A39" s="1"/>
      <c r="B39" s="2"/>
      <c r="C39" s="4"/>
      <c r="D39" s="2"/>
      <c r="E39" s="13">
        <f t="shared" ref="E39:F39" si="5">SUM(E6:E37)</f>
        <v>267970</v>
      </c>
      <c r="F39" s="13">
        <f t="shared" si="5"/>
        <v>296106.84999999998</v>
      </c>
      <c r="G39" s="2"/>
      <c r="H39" s="2"/>
      <c r="I39" s="2"/>
      <c r="J39" s="2"/>
      <c r="K39" s="13">
        <f>SUM(K6:K37)</f>
        <v>116661.76013071898</v>
      </c>
      <c r="L39" s="14">
        <f>K39/F39</f>
        <v>0.39398534728500534</v>
      </c>
      <c r="M39" s="1"/>
      <c r="N39" s="2"/>
      <c r="O39" s="4"/>
      <c r="P39" s="2"/>
      <c r="Q39" s="2"/>
      <c r="R39" s="4"/>
      <c r="S39" s="2"/>
      <c r="T39" s="2"/>
      <c r="U39" s="1"/>
      <c r="V39" s="2"/>
      <c r="W39" s="2"/>
      <c r="X39" s="2"/>
      <c r="Y39" s="2"/>
      <c r="Z39" s="2"/>
    </row>
    <row r="40" spans="1:26" x14ac:dyDescent="0.2">
      <c r="A40" s="1"/>
      <c r="B40" s="2"/>
      <c r="C40" s="4"/>
      <c r="D40" s="2"/>
      <c r="E40" s="2"/>
      <c r="F40" s="2"/>
      <c r="G40" s="2"/>
      <c r="H40" s="2"/>
      <c r="I40" s="2"/>
      <c r="J40" s="2"/>
      <c r="K40" s="2"/>
      <c r="L40" s="3"/>
      <c r="M40" s="1"/>
      <c r="N40" s="2"/>
      <c r="O40" s="4"/>
      <c r="P40" s="2"/>
      <c r="Q40" s="2"/>
      <c r="R40" s="4"/>
      <c r="S40" s="2"/>
      <c r="T40" s="2"/>
      <c r="U40" s="1"/>
      <c r="V40" s="2"/>
      <c r="W40" s="2"/>
      <c r="X40" s="2"/>
      <c r="Y40" s="2"/>
      <c r="Z40" s="2"/>
    </row>
    <row r="41" spans="1:26" ht="15.75" customHeight="1" x14ac:dyDescent="0.2">
      <c r="A41" s="1"/>
      <c r="B41" s="1"/>
      <c r="C41" s="1"/>
      <c r="D41" s="2"/>
      <c r="E41" s="2"/>
      <c r="F41" s="5"/>
      <c r="G41" s="2"/>
      <c r="H41" s="2"/>
      <c r="I41" s="2"/>
      <c r="J41" s="2"/>
      <c r="K41" s="2"/>
      <c r="L41" s="3"/>
      <c r="M41" s="4"/>
      <c r="N41" s="2"/>
      <c r="O41" s="4"/>
      <c r="P41" s="2"/>
      <c r="Q41" s="2"/>
      <c r="R41" s="4"/>
      <c r="S41" s="2"/>
      <c r="T41" s="2"/>
      <c r="U41" s="1"/>
      <c r="V41" s="2"/>
      <c r="W41" s="2"/>
      <c r="X41" s="2"/>
      <c r="Y41" s="2"/>
      <c r="Z41" s="2"/>
    </row>
    <row r="42" spans="1:26" ht="15.75" customHeight="1" x14ac:dyDescent="0.2">
      <c r="A42" s="1"/>
      <c r="B42" s="1"/>
      <c r="C42" s="1"/>
      <c r="D42" s="2"/>
      <c r="E42" s="2"/>
      <c r="F42" s="5"/>
      <c r="G42" s="2"/>
      <c r="H42" s="2"/>
      <c r="I42" s="2"/>
      <c r="J42" s="2"/>
      <c r="K42" s="2"/>
      <c r="L42" s="3"/>
      <c r="M42" s="4"/>
      <c r="N42" s="2"/>
      <c r="O42" s="4"/>
      <c r="P42" s="2"/>
      <c r="Q42" s="2"/>
      <c r="R42" s="4"/>
      <c r="S42" s="2"/>
      <c r="T42" s="2"/>
      <c r="U42" s="1"/>
      <c r="V42" s="2"/>
      <c r="W42" s="2"/>
      <c r="X42" s="2"/>
      <c r="Y42" s="2"/>
      <c r="Z42" s="2"/>
    </row>
    <row r="43" spans="1:26" ht="15.75" customHeight="1" x14ac:dyDescent="0.2">
      <c r="A43" s="1"/>
      <c r="B43" s="1"/>
      <c r="C43" s="1"/>
      <c r="D43" s="2"/>
      <c r="E43" s="2"/>
      <c r="F43" s="5"/>
      <c r="G43" s="2"/>
      <c r="H43" s="2"/>
      <c r="I43" s="2"/>
      <c r="J43" s="2"/>
      <c r="K43" s="2"/>
      <c r="L43" s="3"/>
      <c r="M43" s="4"/>
      <c r="N43" s="2"/>
      <c r="O43" s="4"/>
      <c r="P43" s="2"/>
      <c r="Q43" s="2"/>
      <c r="R43" s="4"/>
      <c r="S43" s="2"/>
      <c r="T43" s="2"/>
      <c r="U43" s="1"/>
      <c r="V43" s="2"/>
      <c r="W43" s="2"/>
      <c r="X43" s="2"/>
      <c r="Y43" s="2"/>
      <c r="Z43" s="2"/>
    </row>
    <row r="44" spans="1:26" x14ac:dyDescent="0.2">
      <c r="A44" s="88" t="s">
        <v>47</v>
      </c>
      <c r="B44" s="89"/>
      <c r="C44" s="89"/>
      <c r="D44" s="2"/>
      <c r="E44" s="7" t="s">
        <v>194</v>
      </c>
      <c r="F44" s="8">
        <v>46129</v>
      </c>
      <c r="G44" s="7" t="s">
        <v>106</v>
      </c>
      <c r="H44" s="2"/>
      <c r="I44" s="9" t="s">
        <v>2</v>
      </c>
      <c r="J44" s="9"/>
      <c r="K44" s="9"/>
      <c r="L44" s="3"/>
      <c r="M44" s="1"/>
      <c r="N44" s="2"/>
      <c r="O44" s="4"/>
      <c r="P44" s="2"/>
      <c r="Q44" s="2"/>
      <c r="R44" s="4"/>
      <c r="S44" s="2"/>
      <c r="T44" s="2"/>
      <c r="U44" s="1"/>
      <c r="V44" s="2"/>
      <c r="W44" s="2"/>
      <c r="X44" s="2"/>
      <c r="Y44" s="2"/>
      <c r="Z44" s="2"/>
    </row>
    <row r="45" spans="1:26" ht="15.75" customHeight="1" x14ac:dyDescent="0.2">
      <c r="A45" s="1"/>
      <c r="B45" s="1"/>
      <c r="C45" s="1"/>
      <c r="D45" s="2"/>
      <c r="E45" s="2"/>
      <c r="F45" s="5"/>
      <c r="G45" s="2"/>
      <c r="H45" s="2"/>
      <c r="I45" s="2"/>
      <c r="J45" s="2"/>
      <c r="K45" s="2"/>
      <c r="L45" s="3"/>
      <c r="M45" s="4"/>
      <c r="N45" s="2"/>
      <c r="O45" s="4"/>
      <c r="P45" s="2"/>
      <c r="Q45" s="2"/>
      <c r="R45" s="4"/>
      <c r="S45" s="2"/>
      <c r="T45" s="2"/>
      <c r="U45" s="1"/>
      <c r="V45" s="2"/>
      <c r="W45" s="2"/>
      <c r="X45" s="2"/>
      <c r="Y45" s="2"/>
      <c r="Z45" s="2"/>
    </row>
    <row r="46" spans="1:26" ht="15.75" customHeight="1" x14ac:dyDescent="0.2">
      <c r="A46" s="6" t="s">
        <v>3</v>
      </c>
      <c r="B46" s="10" t="s">
        <v>4</v>
      </c>
      <c r="C46" s="6" t="s">
        <v>5</v>
      </c>
      <c r="D46" s="10" t="s">
        <v>6</v>
      </c>
      <c r="E46" s="10" t="s">
        <v>7</v>
      </c>
      <c r="F46" s="10" t="s">
        <v>8</v>
      </c>
      <c r="G46" s="2"/>
      <c r="H46" s="2"/>
      <c r="I46" s="10" t="s">
        <v>9</v>
      </c>
      <c r="J46" s="10" t="s">
        <v>7</v>
      </c>
      <c r="K46" s="10" t="s">
        <v>10</v>
      </c>
      <c r="L46" s="3"/>
      <c r="M46" s="1"/>
      <c r="N46" s="1"/>
      <c r="O46" s="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2</v>
      </c>
      <c r="B47" s="10" t="s">
        <v>15</v>
      </c>
      <c r="C47" s="11" t="s">
        <v>27</v>
      </c>
      <c r="D47" s="13">
        <v>25000</v>
      </c>
      <c r="E47" s="13">
        <f t="shared" ref="E47:E71" si="6">A47*D47</f>
        <v>50000</v>
      </c>
      <c r="F47" s="13">
        <f t="shared" ref="F47:F71" si="7">E47*1.105</f>
        <v>55250</v>
      </c>
      <c r="G47" s="2"/>
      <c r="H47" s="2"/>
      <c r="I47" s="13">
        <v>18000</v>
      </c>
      <c r="J47" s="13">
        <f t="shared" ref="J47:J68" si="8">I47*A47</f>
        <v>36000</v>
      </c>
      <c r="K47" s="13">
        <f t="shared" ref="K47:K71" si="9">F47-J47</f>
        <v>19250</v>
      </c>
      <c r="L47" s="14">
        <f t="shared" ref="L47:L71" si="10">IFERROR(K47/E47, 0)</f>
        <v>0.38500000000000001</v>
      </c>
      <c r="M47" s="1"/>
      <c r="N47" s="1"/>
      <c r="O47" s="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2</v>
      </c>
      <c r="B48" s="10" t="s">
        <v>17</v>
      </c>
      <c r="C48" s="11" t="s">
        <v>40</v>
      </c>
      <c r="D48" s="13">
        <v>1400</v>
      </c>
      <c r="E48" s="13">
        <f t="shared" si="6"/>
        <v>2800</v>
      </c>
      <c r="F48" s="13">
        <f t="shared" si="7"/>
        <v>3094</v>
      </c>
      <c r="G48" s="2"/>
      <c r="H48" s="2"/>
      <c r="I48" s="13">
        <v>1000</v>
      </c>
      <c r="J48" s="13">
        <f t="shared" si="8"/>
        <v>2000</v>
      </c>
      <c r="K48" s="13">
        <f t="shared" si="9"/>
        <v>1094</v>
      </c>
      <c r="L48" s="14">
        <f t="shared" si="10"/>
        <v>0.39071428571428574</v>
      </c>
      <c r="M48" s="1"/>
      <c r="N48" s="1"/>
      <c r="O48" s="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10</v>
      </c>
      <c r="B49" s="10" t="s">
        <v>17</v>
      </c>
      <c r="C49" s="11" t="s">
        <v>48</v>
      </c>
      <c r="D49" s="13">
        <v>900</v>
      </c>
      <c r="E49" s="13">
        <f t="shared" si="6"/>
        <v>9000</v>
      </c>
      <c r="F49" s="13">
        <f t="shared" si="7"/>
        <v>9945</v>
      </c>
      <c r="G49" s="2"/>
      <c r="H49" s="2"/>
      <c r="I49" s="13">
        <f>8000/15</f>
        <v>533.33333333333337</v>
      </c>
      <c r="J49" s="13">
        <f t="shared" si="8"/>
        <v>5333.3333333333339</v>
      </c>
      <c r="K49" s="13">
        <f t="shared" si="9"/>
        <v>4611.6666666666661</v>
      </c>
      <c r="L49" s="14">
        <f t="shared" si="10"/>
        <v>0.51240740740740731</v>
      </c>
      <c r="M49" s="1"/>
      <c r="N49" s="1"/>
      <c r="O49" s="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8</v>
      </c>
      <c r="B50" s="10" t="s">
        <v>17</v>
      </c>
      <c r="C50" s="11" t="s">
        <v>39</v>
      </c>
      <c r="D50" s="13">
        <v>1600</v>
      </c>
      <c r="E50" s="13">
        <f t="shared" si="6"/>
        <v>12800</v>
      </c>
      <c r="F50" s="13">
        <f t="shared" si="7"/>
        <v>14144</v>
      </c>
      <c r="G50" s="2"/>
      <c r="H50" s="2"/>
      <c r="I50" s="13">
        <f>14000/15</f>
        <v>933.33333333333337</v>
      </c>
      <c r="J50" s="13">
        <f t="shared" si="8"/>
        <v>7466.666666666667</v>
      </c>
      <c r="K50" s="13">
        <f t="shared" si="9"/>
        <v>6677.333333333333</v>
      </c>
      <c r="L50" s="14">
        <f t="shared" si="10"/>
        <v>0.52166666666666661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5</v>
      </c>
      <c r="B51" s="10" t="s">
        <v>17</v>
      </c>
      <c r="C51" s="11" t="s">
        <v>41</v>
      </c>
      <c r="D51" s="13">
        <v>2600</v>
      </c>
      <c r="E51" s="13">
        <f t="shared" si="6"/>
        <v>13000</v>
      </c>
      <c r="F51" s="13">
        <f t="shared" si="7"/>
        <v>14365</v>
      </c>
      <c r="G51" s="2"/>
      <c r="H51" s="2"/>
      <c r="I51" s="13">
        <f>19000/10</f>
        <v>1900</v>
      </c>
      <c r="J51" s="13">
        <f t="shared" si="8"/>
        <v>9500</v>
      </c>
      <c r="K51" s="13">
        <f t="shared" si="9"/>
        <v>4865</v>
      </c>
      <c r="L51" s="14">
        <f t="shared" si="10"/>
        <v>0.37423076923076926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0.5</v>
      </c>
      <c r="B52" s="10" t="s">
        <v>17</v>
      </c>
      <c r="C52" s="11" t="s">
        <v>31</v>
      </c>
      <c r="D52" s="13">
        <v>3200</v>
      </c>
      <c r="E52" s="13">
        <f t="shared" si="6"/>
        <v>1600</v>
      </c>
      <c r="F52" s="13">
        <f t="shared" si="7"/>
        <v>1768</v>
      </c>
      <c r="G52" s="2"/>
      <c r="H52" s="2"/>
      <c r="I52" s="13">
        <f>15000/7</f>
        <v>2142.8571428571427</v>
      </c>
      <c r="J52" s="13">
        <f t="shared" si="8"/>
        <v>1071.4285714285713</v>
      </c>
      <c r="K52" s="13">
        <f t="shared" si="9"/>
        <v>696.57142857142867</v>
      </c>
      <c r="L52" s="14">
        <f t="shared" si="10"/>
        <v>0.43535714285714294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0.5</v>
      </c>
      <c r="B53" s="10" t="s">
        <v>17</v>
      </c>
      <c r="C53" s="11" t="s">
        <v>32</v>
      </c>
      <c r="D53" s="13">
        <v>2400</v>
      </c>
      <c r="E53" s="13">
        <f t="shared" si="6"/>
        <v>1200</v>
      </c>
      <c r="F53" s="13">
        <f t="shared" si="7"/>
        <v>1326</v>
      </c>
      <c r="G53" s="2"/>
      <c r="H53" s="2"/>
      <c r="I53" s="13">
        <f>10000/7</f>
        <v>1428.5714285714287</v>
      </c>
      <c r="J53" s="13">
        <f t="shared" si="8"/>
        <v>714.28571428571433</v>
      </c>
      <c r="K53" s="13">
        <f t="shared" si="9"/>
        <v>611.71428571428567</v>
      </c>
      <c r="L53" s="14">
        <f t="shared" si="10"/>
        <v>0.50976190476190475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0.5</v>
      </c>
      <c r="B54" s="10" t="s">
        <v>17</v>
      </c>
      <c r="C54" s="11" t="s">
        <v>33</v>
      </c>
      <c r="D54" s="13">
        <v>2800</v>
      </c>
      <c r="E54" s="13">
        <f t="shared" si="6"/>
        <v>1400</v>
      </c>
      <c r="F54" s="13">
        <f t="shared" si="7"/>
        <v>1547</v>
      </c>
      <c r="G54" s="2"/>
      <c r="H54" s="2"/>
      <c r="I54" s="13">
        <v>2142.86</v>
      </c>
      <c r="J54" s="13">
        <f t="shared" si="8"/>
        <v>1071.43</v>
      </c>
      <c r="K54" s="13">
        <f t="shared" si="9"/>
        <v>475.56999999999994</v>
      </c>
      <c r="L54" s="14">
        <f t="shared" si="10"/>
        <v>0.33969285714285707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24</v>
      </c>
      <c r="B55" s="10" t="s">
        <v>4</v>
      </c>
      <c r="C55" s="11" t="s">
        <v>20</v>
      </c>
      <c r="D55" s="13">
        <v>500</v>
      </c>
      <c r="E55" s="13">
        <f t="shared" si="6"/>
        <v>12000</v>
      </c>
      <c r="F55" s="13">
        <f t="shared" si="7"/>
        <v>13260</v>
      </c>
      <c r="G55" s="2"/>
      <c r="H55" s="2"/>
      <c r="I55" s="13">
        <f>85000/242</f>
        <v>351.23966942148758</v>
      </c>
      <c r="J55" s="13">
        <f t="shared" si="8"/>
        <v>8429.7520661157014</v>
      </c>
      <c r="K55" s="13">
        <f t="shared" si="9"/>
        <v>4830.2479338842986</v>
      </c>
      <c r="L55" s="14">
        <f t="shared" si="10"/>
        <v>0.40252066115702489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7</v>
      </c>
      <c r="B56" s="10" t="s">
        <v>21</v>
      </c>
      <c r="C56" s="11" t="s">
        <v>22</v>
      </c>
      <c r="D56" s="13">
        <v>1700</v>
      </c>
      <c r="E56" s="13">
        <f t="shared" si="6"/>
        <v>11900</v>
      </c>
      <c r="F56" s="13">
        <f t="shared" si="7"/>
        <v>13149.5</v>
      </c>
      <c r="G56" s="2"/>
      <c r="H56" s="2"/>
      <c r="I56" s="13">
        <v>1400</v>
      </c>
      <c r="J56" s="13">
        <f t="shared" si="8"/>
        <v>9800</v>
      </c>
      <c r="K56" s="13">
        <f t="shared" si="9"/>
        <v>3349.5</v>
      </c>
      <c r="L56" s="14">
        <f t="shared" si="10"/>
        <v>0.28147058823529414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2</v>
      </c>
      <c r="B57" s="10" t="s">
        <v>17</v>
      </c>
      <c r="C57" s="11" t="s">
        <v>19</v>
      </c>
      <c r="D57" s="13">
        <v>3600</v>
      </c>
      <c r="E57" s="13">
        <f t="shared" si="6"/>
        <v>7200</v>
      </c>
      <c r="F57" s="13">
        <f t="shared" si="7"/>
        <v>7956</v>
      </c>
      <c r="G57" s="2"/>
      <c r="H57" s="2"/>
      <c r="I57" s="13">
        <f>15000/7</f>
        <v>2142.8571428571427</v>
      </c>
      <c r="J57" s="13">
        <f t="shared" si="8"/>
        <v>4285.7142857142853</v>
      </c>
      <c r="K57" s="13">
        <f t="shared" si="9"/>
        <v>3670.2857142857147</v>
      </c>
      <c r="L57" s="14">
        <f t="shared" si="10"/>
        <v>0.50976190476190486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1</v>
      </c>
      <c r="B58" s="10" t="s">
        <v>17</v>
      </c>
      <c r="C58" s="11" t="s">
        <v>43</v>
      </c>
      <c r="D58" s="13">
        <v>5000</v>
      </c>
      <c r="E58" s="13">
        <f t="shared" si="6"/>
        <v>5000</v>
      </c>
      <c r="F58" s="13">
        <f t="shared" si="7"/>
        <v>5525</v>
      </c>
      <c r="G58" s="2"/>
      <c r="H58" s="2"/>
      <c r="I58" s="13">
        <f>15000/5</f>
        <v>3000</v>
      </c>
      <c r="J58" s="13">
        <f t="shared" si="8"/>
        <v>3000</v>
      </c>
      <c r="K58" s="13">
        <f t="shared" si="9"/>
        <v>2525</v>
      </c>
      <c r="L58" s="14">
        <f t="shared" si="10"/>
        <v>0.505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1</v>
      </c>
      <c r="B59" s="10" t="s">
        <v>17</v>
      </c>
      <c r="C59" s="11" t="s">
        <v>30</v>
      </c>
      <c r="D59" s="13">
        <v>2600</v>
      </c>
      <c r="E59" s="13">
        <f t="shared" si="6"/>
        <v>2600</v>
      </c>
      <c r="F59" s="13">
        <f t="shared" si="7"/>
        <v>2873</v>
      </c>
      <c r="G59" s="2"/>
      <c r="H59" s="2"/>
      <c r="I59" s="13">
        <v>2000</v>
      </c>
      <c r="J59" s="13">
        <f t="shared" si="8"/>
        <v>2000</v>
      </c>
      <c r="K59" s="13">
        <f t="shared" si="9"/>
        <v>873</v>
      </c>
      <c r="L59" s="14">
        <f t="shared" si="10"/>
        <v>0.33576923076923076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1</v>
      </c>
      <c r="B60" s="10" t="s">
        <v>17</v>
      </c>
      <c r="C60" s="11" t="s">
        <v>36</v>
      </c>
      <c r="D60" s="13">
        <v>1800</v>
      </c>
      <c r="E60" s="13">
        <f t="shared" si="6"/>
        <v>1800</v>
      </c>
      <c r="F60" s="13">
        <f t="shared" si="7"/>
        <v>1989</v>
      </c>
      <c r="G60" s="2"/>
      <c r="H60" s="2"/>
      <c r="I60" s="13">
        <v>800</v>
      </c>
      <c r="J60" s="13">
        <f t="shared" si="8"/>
        <v>800</v>
      </c>
      <c r="K60" s="13">
        <f t="shared" si="9"/>
        <v>1189</v>
      </c>
      <c r="L60" s="14">
        <f t="shared" si="10"/>
        <v>0.66055555555555556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</v>
      </c>
      <c r="B61" s="10" t="s">
        <v>17</v>
      </c>
      <c r="C61" s="11" t="s">
        <v>34</v>
      </c>
      <c r="D61" s="13">
        <v>5000</v>
      </c>
      <c r="E61" s="13">
        <f t="shared" si="6"/>
        <v>5000</v>
      </c>
      <c r="F61" s="13">
        <f t="shared" si="7"/>
        <v>5525</v>
      </c>
      <c r="G61" s="2"/>
      <c r="H61" s="2"/>
      <c r="I61" s="13">
        <v>2300</v>
      </c>
      <c r="J61" s="13">
        <f t="shared" si="8"/>
        <v>2300</v>
      </c>
      <c r="K61" s="13">
        <f t="shared" si="9"/>
        <v>3225</v>
      </c>
      <c r="L61" s="14">
        <f t="shared" si="10"/>
        <v>0.64500000000000002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0.5</v>
      </c>
      <c r="B62" s="10" t="s">
        <v>21</v>
      </c>
      <c r="C62" s="11" t="s">
        <v>29</v>
      </c>
      <c r="D62" s="13">
        <v>3500</v>
      </c>
      <c r="E62" s="13">
        <f t="shared" si="6"/>
        <v>1750</v>
      </c>
      <c r="F62" s="13">
        <f t="shared" si="7"/>
        <v>1933.75</v>
      </c>
      <c r="G62" s="2"/>
      <c r="H62" s="2"/>
      <c r="I62" s="13">
        <v>1000</v>
      </c>
      <c r="J62" s="13">
        <f t="shared" si="8"/>
        <v>500</v>
      </c>
      <c r="K62" s="13">
        <f t="shared" si="9"/>
        <v>1433.75</v>
      </c>
      <c r="L62" s="14">
        <f t="shared" si="10"/>
        <v>0.81928571428571428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1</v>
      </c>
      <c r="B63" s="10" t="s">
        <v>21</v>
      </c>
      <c r="C63" s="11" t="s">
        <v>28</v>
      </c>
      <c r="D63" s="13">
        <v>3000</v>
      </c>
      <c r="E63" s="13">
        <f t="shared" si="6"/>
        <v>3000</v>
      </c>
      <c r="F63" s="13">
        <f t="shared" si="7"/>
        <v>3315</v>
      </c>
      <c r="G63" s="2"/>
      <c r="H63" s="2"/>
      <c r="I63" s="13">
        <v>2500</v>
      </c>
      <c r="J63" s="13">
        <f t="shared" si="8"/>
        <v>2500</v>
      </c>
      <c r="K63" s="13">
        <f t="shared" si="9"/>
        <v>815</v>
      </c>
      <c r="L63" s="14">
        <f t="shared" si="10"/>
        <v>0.27166666666666667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2</v>
      </c>
      <c r="B64" s="10" t="s">
        <v>21</v>
      </c>
      <c r="C64" s="11" t="s">
        <v>51</v>
      </c>
      <c r="D64" s="13">
        <v>1500</v>
      </c>
      <c r="E64" s="13">
        <f t="shared" si="6"/>
        <v>3000</v>
      </c>
      <c r="F64" s="13">
        <f t="shared" si="7"/>
        <v>3315</v>
      </c>
      <c r="G64" s="2"/>
      <c r="H64" s="2"/>
      <c r="I64" s="13">
        <v>750</v>
      </c>
      <c r="J64" s="13">
        <f t="shared" si="8"/>
        <v>1500</v>
      </c>
      <c r="K64" s="13">
        <f t="shared" si="9"/>
        <v>1815</v>
      </c>
      <c r="L64" s="14">
        <f t="shared" si="10"/>
        <v>0.60499999999999998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12</v>
      </c>
      <c r="B65" s="10" t="s">
        <v>21</v>
      </c>
      <c r="C65" s="11" t="s">
        <v>46</v>
      </c>
      <c r="D65" s="13">
        <v>600</v>
      </c>
      <c r="E65" s="13">
        <f t="shared" si="6"/>
        <v>7200</v>
      </c>
      <c r="F65" s="13">
        <f t="shared" si="7"/>
        <v>7956</v>
      </c>
      <c r="G65" s="2"/>
      <c r="H65" s="2"/>
      <c r="I65" s="13">
        <f>7000/24</f>
        <v>291.66666666666669</v>
      </c>
      <c r="J65" s="13">
        <f t="shared" si="8"/>
        <v>3500</v>
      </c>
      <c r="K65" s="13">
        <f t="shared" si="9"/>
        <v>4456</v>
      </c>
      <c r="L65" s="14">
        <f t="shared" si="10"/>
        <v>0.61888888888888893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1</v>
      </c>
      <c r="B66" s="10" t="s">
        <v>23</v>
      </c>
      <c r="C66" s="11" t="s">
        <v>26</v>
      </c>
      <c r="D66" s="13">
        <v>22000</v>
      </c>
      <c r="E66" s="13">
        <f t="shared" si="6"/>
        <v>22000</v>
      </c>
      <c r="F66" s="13">
        <f t="shared" si="7"/>
        <v>24310</v>
      </c>
      <c r="G66" s="2"/>
      <c r="H66" s="2"/>
      <c r="I66" s="13">
        <v>17000</v>
      </c>
      <c r="J66" s="13">
        <f t="shared" si="8"/>
        <v>17000</v>
      </c>
      <c r="K66" s="13">
        <f t="shared" si="9"/>
        <v>7310</v>
      </c>
      <c r="L66" s="14">
        <f t="shared" si="10"/>
        <v>0.33227272727272728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4</v>
      </c>
      <c r="B67" s="10" t="s">
        <v>17</v>
      </c>
      <c r="C67" s="11" t="s">
        <v>24</v>
      </c>
      <c r="D67" s="13">
        <v>3600</v>
      </c>
      <c r="E67" s="13">
        <f t="shared" si="6"/>
        <v>14400</v>
      </c>
      <c r="F67" s="13">
        <f t="shared" si="7"/>
        <v>15912</v>
      </c>
      <c r="G67" s="2"/>
      <c r="H67" s="2"/>
      <c r="I67" s="13">
        <f>50000/17</f>
        <v>2941.1764705882351</v>
      </c>
      <c r="J67" s="13">
        <f t="shared" si="8"/>
        <v>11764.705882352941</v>
      </c>
      <c r="K67" s="13">
        <f t="shared" si="9"/>
        <v>4147.2941176470595</v>
      </c>
      <c r="L67" s="14">
        <f t="shared" si="10"/>
        <v>0.28800653594771247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3</v>
      </c>
      <c r="B68" s="10" t="s">
        <v>17</v>
      </c>
      <c r="C68" s="11" t="s">
        <v>25</v>
      </c>
      <c r="D68" s="13">
        <v>4500</v>
      </c>
      <c r="E68" s="13">
        <f t="shared" si="6"/>
        <v>13500</v>
      </c>
      <c r="F68" s="13">
        <f t="shared" si="7"/>
        <v>14917.5</v>
      </c>
      <c r="G68" s="2"/>
      <c r="H68" s="2"/>
      <c r="I68" s="13">
        <f>62000/17</f>
        <v>3647.0588235294117</v>
      </c>
      <c r="J68" s="13">
        <f t="shared" si="8"/>
        <v>10941.176470588234</v>
      </c>
      <c r="K68" s="13">
        <f t="shared" si="9"/>
        <v>3976.3235294117658</v>
      </c>
      <c r="L68" s="14">
        <f t="shared" si="10"/>
        <v>0.2945424836601308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3</v>
      </c>
      <c r="B69" s="10" t="s">
        <v>17</v>
      </c>
      <c r="C69" s="11" t="s">
        <v>49</v>
      </c>
      <c r="D69" s="13">
        <v>2800</v>
      </c>
      <c r="E69" s="13">
        <f t="shared" si="6"/>
        <v>8400</v>
      </c>
      <c r="F69" s="13">
        <f t="shared" si="7"/>
        <v>9282</v>
      </c>
      <c r="G69" s="2"/>
      <c r="H69" s="2"/>
      <c r="I69" s="13">
        <f t="shared" ref="I69:J69" si="11">35000/18</f>
        <v>1944.4444444444443</v>
      </c>
      <c r="J69" s="13">
        <f t="shared" si="11"/>
        <v>1944.4444444444443</v>
      </c>
      <c r="K69" s="13">
        <f t="shared" si="9"/>
        <v>7337.5555555555557</v>
      </c>
      <c r="L69" s="14">
        <f t="shared" si="10"/>
        <v>0.87351851851851858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1</v>
      </c>
      <c r="B70" s="10" t="s">
        <v>17</v>
      </c>
      <c r="C70" s="11" t="s">
        <v>62</v>
      </c>
      <c r="D70" s="13">
        <v>3000</v>
      </c>
      <c r="E70" s="13">
        <f t="shared" si="6"/>
        <v>3000</v>
      </c>
      <c r="F70" s="13">
        <f t="shared" si="7"/>
        <v>3315</v>
      </c>
      <c r="G70" s="2"/>
      <c r="H70" s="2"/>
      <c r="I70" s="13">
        <f>28000/17</f>
        <v>1647.0588235294117</v>
      </c>
      <c r="J70" s="13">
        <f t="shared" ref="J70:J71" si="12">I70*A70</f>
        <v>1647.0588235294117</v>
      </c>
      <c r="K70" s="13">
        <f t="shared" si="9"/>
        <v>1667.9411764705883</v>
      </c>
      <c r="L70" s="14">
        <f t="shared" si="10"/>
        <v>0.55598039215686279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1</v>
      </c>
      <c r="B71" s="10" t="s">
        <v>17</v>
      </c>
      <c r="C71" s="11" t="s">
        <v>89</v>
      </c>
      <c r="D71" s="13">
        <v>12500</v>
      </c>
      <c r="E71" s="13">
        <f t="shared" si="6"/>
        <v>12500</v>
      </c>
      <c r="F71" s="13">
        <f t="shared" si="7"/>
        <v>13812.5</v>
      </c>
      <c r="G71" s="2"/>
      <c r="H71" s="2"/>
      <c r="I71" s="13">
        <f>45000/4</f>
        <v>11250</v>
      </c>
      <c r="J71" s="13">
        <f t="shared" si="12"/>
        <v>11250</v>
      </c>
      <c r="K71" s="13">
        <f t="shared" si="9"/>
        <v>2562.5</v>
      </c>
      <c r="L71" s="14">
        <f t="shared" si="10"/>
        <v>0.20499999999999999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"/>
      <c r="B72" s="2"/>
      <c r="C72" s="4"/>
      <c r="D72" s="2"/>
      <c r="E72" s="2"/>
      <c r="F72" s="2"/>
      <c r="G72" s="2"/>
      <c r="H72" s="2"/>
      <c r="I72" s="2"/>
      <c r="J72" s="2"/>
      <c r="K72" s="2"/>
      <c r="L72" s="3"/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"/>
      <c r="B73" s="2"/>
      <c r="C73" s="4"/>
      <c r="D73" s="2"/>
      <c r="E73" s="13">
        <f t="shared" ref="E73:F73" si="13">SUM(E47:E71)</f>
        <v>226050</v>
      </c>
      <c r="F73" s="13">
        <f t="shared" si="13"/>
        <v>249785.25</v>
      </c>
      <c r="G73" s="2"/>
      <c r="H73" s="2"/>
      <c r="I73" s="2"/>
      <c r="J73" s="2"/>
      <c r="K73" s="13">
        <f>SUM(K47:K71)</f>
        <v>93465.253741540699</v>
      </c>
      <c r="L73" s="14">
        <f>K73/F73</f>
        <v>0.37418243768013004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88" t="s">
        <v>50</v>
      </c>
      <c r="B76" s="89"/>
      <c r="C76" s="89"/>
      <c r="D76" s="2"/>
      <c r="E76" s="7" t="s">
        <v>194</v>
      </c>
      <c r="F76" s="8">
        <v>46129</v>
      </c>
      <c r="G76" s="7" t="s">
        <v>106</v>
      </c>
      <c r="H76" s="2"/>
      <c r="I76" s="9" t="s">
        <v>2</v>
      </c>
      <c r="J76" s="9"/>
      <c r="K76" s="9"/>
      <c r="L76" s="3"/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"/>
      <c r="B77" s="2"/>
      <c r="C77" s="5"/>
      <c r="D77" s="2"/>
      <c r="E77" s="2"/>
      <c r="F77" s="2"/>
      <c r="G77" s="2"/>
      <c r="H77" s="2"/>
      <c r="I77" s="2"/>
      <c r="J77" s="2"/>
      <c r="K77" s="2"/>
      <c r="L77" s="3"/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6" t="s">
        <v>3</v>
      </c>
      <c r="B78" s="10" t="s">
        <v>4</v>
      </c>
      <c r="C78" s="11" t="s">
        <v>5</v>
      </c>
      <c r="D78" s="10" t="s">
        <v>6</v>
      </c>
      <c r="E78" s="10" t="s">
        <v>7</v>
      </c>
      <c r="F78" s="10" t="s">
        <v>8</v>
      </c>
      <c r="G78" s="2"/>
      <c r="H78" s="2"/>
      <c r="I78" s="10" t="s">
        <v>9</v>
      </c>
      <c r="J78" s="10" t="s">
        <v>7</v>
      </c>
      <c r="K78" s="10" t="s">
        <v>10</v>
      </c>
      <c r="L78" s="3"/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2</v>
      </c>
      <c r="B79" s="10" t="s">
        <v>4</v>
      </c>
      <c r="C79" s="11" t="s">
        <v>13</v>
      </c>
      <c r="D79" s="13">
        <v>900</v>
      </c>
      <c r="E79" s="13">
        <f t="shared" ref="E79:E110" si="14">A79*D79</f>
        <v>1800</v>
      </c>
      <c r="F79" s="13">
        <f t="shared" ref="F79:F110" si="15">E79*1.105</f>
        <v>1989</v>
      </c>
      <c r="G79" s="2"/>
      <c r="H79" s="2"/>
      <c r="I79" s="13">
        <v>460</v>
      </c>
      <c r="J79" s="13">
        <f t="shared" ref="J79:J110" si="16">I79*A79</f>
        <v>920</v>
      </c>
      <c r="K79" s="13">
        <f t="shared" ref="K79:K110" si="17">F79-J79</f>
        <v>1069</v>
      </c>
      <c r="L79" s="14">
        <f t="shared" ref="L79:L110" si="18">IFERROR(K79/E79, 0)</f>
        <v>0.59388888888888891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1</v>
      </c>
      <c r="B80" s="10" t="s">
        <v>21</v>
      </c>
      <c r="C80" s="11" t="s">
        <v>51</v>
      </c>
      <c r="D80" s="13">
        <v>1500</v>
      </c>
      <c r="E80" s="13">
        <f t="shared" si="14"/>
        <v>1500</v>
      </c>
      <c r="F80" s="13">
        <f t="shared" si="15"/>
        <v>1657.5</v>
      </c>
      <c r="G80" s="2"/>
      <c r="H80" s="2"/>
      <c r="I80" s="13">
        <v>750</v>
      </c>
      <c r="J80" s="13">
        <f t="shared" si="16"/>
        <v>750</v>
      </c>
      <c r="K80" s="13">
        <f t="shared" si="17"/>
        <v>907.5</v>
      </c>
      <c r="L80" s="14">
        <f t="shared" si="18"/>
        <v>0.60499999999999998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5</v>
      </c>
      <c r="B81" s="10" t="s">
        <v>17</v>
      </c>
      <c r="C81" s="11" t="s">
        <v>62</v>
      </c>
      <c r="D81" s="13">
        <v>3000</v>
      </c>
      <c r="E81" s="13">
        <f t="shared" si="14"/>
        <v>15000</v>
      </c>
      <c r="F81" s="13">
        <f t="shared" si="15"/>
        <v>16575</v>
      </c>
      <c r="G81" s="2"/>
      <c r="H81" s="2"/>
      <c r="I81" s="13">
        <f>28000/17</f>
        <v>1647.0588235294117</v>
      </c>
      <c r="J81" s="13">
        <f t="shared" si="16"/>
        <v>8235.2941176470595</v>
      </c>
      <c r="K81" s="13">
        <f t="shared" si="17"/>
        <v>8339.7058823529405</v>
      </c>
      <c r="L81" s="14">
        <f t="shared" si="18"/>
        <v>0.55598039215686268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2</v>
      </c>
      <c r="B82" s="10" t="s">
        <v>17</v>
      </c>
      <c r="C82" s="11" t="s">
        <v>129</v>
      </c>
      <c r="D82" s="13">
        <v>1600</v>
      </c>
      <c r="E82" s="13">
        <f t="shared" si="14"/>
        <v>3200</v>
      </c>
      <c r="F82" s="13">
        <f t="shared" si="15"/>
        <v>3536</v>
      </c>
      <c r="G82" s="2"/>
      <c r="H82" s="2"/>
      <c r="I82" s="13">
        <v>1100</v>
      </c>
      <c r="J82" s="13">
        <f t="shared" si="16"/>
        <v>2200</v>
      </c>
      <c r="K82" s="13">
        <f t="shared" si="17"/>
        <v>1336</v>
      </c>
      <c r="L82" s="14">
        <f t="shared" si="18"/>
        <v>0.41749999999999998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1</v>
      </c>
      <c r="B83" s="10" t="s">
        <v>17</v>
      </c>
      <c r="C83" s="11" t="s">
        <v>99</v>
      </c>
      <c r="D83" s="13">
        <v>1500</v>
      </c>
      <c r="E83" s="13">
        <f t="shared" si="14"/>
        <v>1500</v>
      </c>
      <c r="F83" s="13">
        <f t="shared" si="15"/>
        <v>1657.5</v>
      </c>
      <c r="G83" s="2"/>
      <c r="H83" s="2"/>
      <c r="I83" s="13">
        <f>8000/7</f>
        <v>1142.8571428571429</v>
      </c>
      <c r="J83" s="13">
        <f t="shared" si="16"/>
        <v>1142.8571428571429</v>
      </c>
      <c r="K83" s="13">
        <f t="shared" si="17"/>
        <v>514.64285714285711</v>
      </c>
      <c r="L83" s="14">
        <f t="shared" si="18"/>
        <v>0.34309523809523806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1</v>
      </c>
      <c r="B84" s="10" t="s">
        <v>15</v>
      </c>
      <c r="C84" s="11" t="s">
        <v>27</v>
      </c>
      <c r="D84" s="13">
        <v>25000</v>
      </c>
      <c r="E84" s="13">
        <f t="shared" si="14"/>
        <v>25000</v>
      </c>
      <c r="F84" s="13">
        <f t="shared" si="15"/>
        <v>27625</v>
      </c>
      <c r="G84" s="2"/>
      <c r="H84" s="2"/>
      <c r="I84" s="13">
        <v>18000</v>
      </c>
      <c r="J84" s="13">
        <f t="shared" si="16"/>
        <v>18000</v>
      </c>
      <c r="K84" s="13">
        <f t="shared" si="17"/>
        <v>9625</v>
      </c>
      <c r="L84" s="14">
        <f t="shared" si="18"/>
        <v>0.38500000000000001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2</v>
      </c>
      <c r="B85" s="10" t="s">
        <v>4</v>
      </c>
      <c r="C85" s="11" t="s">
        <v>14</v>
      </c>
      <c r="D85" s="13">
        <v>3200</v>
      </c>
      <c r="E85" s="13">
        <f t="shared" si="14"/>
        <v>6400</v>
      </c>
      <c r="F85" s="13">
        <f t="shared" si="15"/>
        <v>7072</v>
      </c>
      <c r="G85" s="2"/>
      <c r="H85" s="2"/>
      <c r="I85" s="13">
        <f>20000/8</f>
        <v>2500</v>
      </c>
      <c r="J85" s="13">
        <f t="shared" si="16"/>
        <v>5000</v>
      </c>
      <c r="K85" s="13">
        <f t="shared" si="17"/>
        <v>2072</v>
      </c>
      <c r="L85" s="14">
        <f t="shared" si="18"/>
        <v>0.32374999999999998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12</v>
      </c>
      <c r="B86" s="10" t="s">
        <v>17</v>
      </c>
      <c r="C86" s="11" t="s">
        <v>48</v>
      </c>
      <c r="D86" s="13">
        <v>900</v>
      </c>
      <c r="E86" s="13">
        <f t="shared" si="14"/>
        <v>10800</v>
      </c>
      <c r="F86" s="13">
        <f t="shared" si="15"/>
        <v>11934</v>
      </c>
      <c r="G86" s="2"/>
      <c r="H86" s="2"/>
      <c r="I86" s="13">
        <f>8000/15</f>
        <v>533.33333333333337</v>
      </c>
      <c r="J86" s="13">
        <f t="shared" si="16"/>
        <v>6400</v>
      </c>
      <c r="K86" s="13">
        <f t="shared" si="17"/>
        <v>5534</v>
      </c>
      <c r="L86" s="14">
        <f t="shared" si="18"/>
        <v>0.51240740740740742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1</v>
      </c>
      <c r="B87" s="10" t="s">
        <v>21</v>
      </c>
      <c r="C87" s="11" t="s">
        <v>42</v>
      </c>
      <c r="D87" s="13">
        <v>4500</v>
      </c>
      <c r="E87" s="13">
        <f t="shared" si="14"/>
        <v>4500</v>
      </c>
      <c r="F87" s="13">
        <f t="shared" si="15"/>
        <v>4972.5</v>
      </c>
      <c r="G87" s="2"/>
      <c r="H87" s="2"/>
      <c r="I87" s="13">
        <v>1400</v>
      </c>
      <c r="J87" s="13">
        <f t="shared" si="16"/>
        <v>1400</v>
      </c>
      <c r="K87" s="13">
        <f t="shared" si="17"/>
        <v>3572.5</v>
      </c>
      <c r="L87" s="14">
        <f t="shared" si="18"/>
        <v>0.79388888888888887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4</v>
      </c>
      <c r="B88" s="10" t="s">
        <v>17</v>
      </c>
      <c r="C88" s="11" t="s">
        <v>18</v>
      </c>
      <c r="D88" s="13">
        <v>1600</v>
      </c>
      <c r="E88" s="13">
        <f t="shared" si="14"/>
        <v>6400</v>
      </c>
      <c r="F88" s="13">
        <f t="shared" si="15"/>
        <v>7072</v>
      </c>
      <c r="G88" s="2"/>
      <c r="H88" s="2"/>
      <c r="I88" s="13">
        <v>1000</v>
      </c>
      <c r="J88" s="13">
        <f t="shared" si="16"/>
        <v>4000</v>
      </c>
      <c r="K88" s="13">
        <f t="shared" si="17"/>
        <v>3072</v>
      </c>
      <c r="L88" s="14">
        <f t="shared" si="18"/>
        <v>0.48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1</v>
      </c>
      <c r="B89" s="10" t="s">
        <v>17</v>
      </c>
      <c r="C89" s="11" t="s">
        <v>19</v>
      </c>
      <c r="D89" s="13">
        <v>3600</v>
      </c>
      <c r="E89" s="13">
        <f t="shared" si="14"/>
        <v>3600</v>
      </c>
      <c r="F89" s="13">
        <f t="shared" si="15"/>
        <v>3978</v>
      </c>
      <c r="G89" s="2"/>
      <c r="H89" s="2"/>
      <c r="I89" s="13">
        <f>15000/7</f>
        <v>2142.8571428571427</v>
      </c>
      <c r="J89" s="13">
        <f t="shared" si="16"/>
        <v>2142.8571428571427</v>
      </c>
      <c r="K89" s="13">
        <f t="shared" si="17"/>
        <v>1835.1428571428573</v>
      </c>
      <c r="L89" s="14">
        <f t="shared" si="18"/>
        <v>0.50976190476190486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15</v>
      </c>
      <c r="B90" s="10" t="s">
        <v>4</v>
      </c>
      <c r="C90" s="11" t="s">
        <v>20</v>
      </c>
      <c r="D90" s="13">
        <v>500</v>
      </c>
      <c r="E90" s="13">
        <f t="shared" si="14"/>
        <v>7500</v>
      </c>
      <c r="F90" s="13">
        <f t="shared" si="15"/>
        <v>8287.5</v>
      </c>
      <c r="G90" s="2"/>
      <c r="H90" s="2"/>
      <c r="I90" s="13">
        <f>85000/242</f>
        <v>351.23966942148758</v>
      </c>
      <c r="J90" s="13">
        <f t="shared" si="16"/>
        <v>5268.5950413223136</v>
      </c>
      <c r="K90" s="13">
        <f t="shared" si="17"/>
        <v>3018.9049586776864</v>
      </c>
      <c r="L90" s="18">
        <f t="shared" si="18"/>
        <v>0.40252066115702484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3</v>
      </c>
      <c r="B91" s="10" t="s">
        <v>17</v>
      </c>
      <c r="C91" s="11" t="s">
        <v>41</v>
      </c>
      <c r="D91" s="13">
        <v>2600</v>
      </c>
      <c r="E91" s="13">
        <f t="shared" si="14"/>
        <v>7800</v>
      </c>
      <c r="F91" s="13">
        <f t="shared" si="15"/>
        <v>8619</v>
      </c>
      <c r="G91" s="2"/>
      <c r="H91" s="2"/>
      <c r="I91" s="13">
        <v>1900</v>
      </c>
      <c r="J91" s="13">
        <f t="shared" si="16"/>
        <v>5700</v>
      </c>
      <c r="K91" s="13">
        <f t="shared" si="17"/>
        <v>2919</v>
      </c>
      <c r="L91" s="18">
        <f t="shared" si="18"/>
        <v>0.37423076923076926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17</v>
      </c>
      <c r="B92" s="10" t="s">
        <v>21</v>
      </c>
      <c r="C92" s="11" t="s">
        <v>22</v>
      </c>
      <c r="D92" s="13">
        <v>1700</v>
      </c>
      <c r="E92" s="13">
        <f t="shared" si="14"/>
        <v>28900</v>
      </c>
      <c r="F92" s="13">
        <f t="shared" si="15"/>
        <v>31934.5</v>
      </c>
      <c r="G92" s="2"/>
      <c r="H92" s="2"/>
      <c r="I92" s="13">
        <v>1400</v>
      </c>
      <c r="J92" s="13">
        <f t="shared" si="16"/>
        <v>23800</v>
      </c>
      <c r="K92" s="13">
        <f t="shared" si="17"/>
        <v>8134.5</v>
      </c>
      <c r="L92" s="18">
        <f t="shared" si="18"/>
        <v>0.28147058823529414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4</v>
      </c>
      <c r="B93" s="10" t="s">
        <v>17</v>
      </c>
      <c r="C93" s="11" t="s">
        <v>43</v>
      </c>
      <c r="D93" s="13">
        <v>5000</v>
      </c>
      <c r="E93" s="13">
        <f t="shared" si="14"/>
        <v>20000</v>
      </c>
      <c r="F93" s="13">
        <f t="shared" si="15"/>
        <v>22100</v>
      </c>
      <c r="G93" s="2"/>
      <c r="H93" s="2"/>
      <c r="I93" s="13">
        <v>3000</v>
      </c>
      <c r="J93" s="13">
        <f t="shared" si="16"/>
        <v>12000</v>
      </c>
      <c r="K93" s="13">
        <f t="shared" si="17"/>
        <v>10100</v>
      </c>
      <c r="L93" s="18">
        <f t="shared" si="18"/>
        <v>0.505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2</v>
      </c>
      <c r="B94" s="10" t="s">
        <v>17</v>
      </c>
      <c r="C94" s="11" t="s">
        <v>67</v>
      </c>
      <c r="D94" s="13">
        <v>800</v>
      </c>
      <c r="E94" s="13">
        <f t="shared" si="14"/>
        <v>1600</v>
      </c>
      <c r="F94" s="13">
        <f t="shared" si="15"/>
        <v>1768</v>
      </c>
      <c r="G94" s="2"/>
      <c r="H94" s="2"/>
      <c r="I94" s="13">
        <f>8000/14</f>
        <v>571.42857142857144</v>
      </c>
      <c r="J94" s="13">
        <f t="shared" si="16"/>
        <v>1142.8571428571429</v>
      </c>
      <c r="K94" s="13">
        <f t="shared" si="17"/>
        <v>625.14285714285711</v>
      </c>
      <c r="L94" s="33">
        <f t="shared" si="18"/>
        <v>0.39071428571428568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5</v>
      </c>
      <c r="B95" s="10" t="s">
        <v>17</v>
      </c>
      <c r="C95" s="11" t="s">
        <v>24</v>
      </c>
      <c r="D95" s="13">
        <v>3600</v>
      </c>
      <c r="E95" s="13">
        <f t="shared" si="14"/>
        <v>18000</v>
      </c>
      <c r="F95" s="13">
        <f t="shared" si="15"/>
        <v>19890</v>
      </c>
      <c r="G95" s="2"/>
      <c r="H95" s="2"/>
      <c r="I95" s="13">
        <f>50000/17</f>
        <v>2941.1764705882351</v>
      </c>
      <c r="J95" s="13">
        <f t="shared" si="16"/>
        <v>14705.882352941175</v>
      </c>
      <c r="K95" s="13">
        <f t="shared" si="17"/>
        <v>5184.1176470588252</v>
      </c>
      <c r="L95" s="33">
        <f t="shared" si="18"/>
        <v>0.28800653594771253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5</v>
      </c>
      <c r="B96" s="10" t="s">
        <v>17</v>
      </c>
      <c r="C96" s="11" t="s">
        <v>25</v>
      </c>
      <c r="D96" s="13">
        <v>4500</v>
      </c>
      <c r="E96" s="13">
        <f t="shared" si="14"/>
        <v>22500</v>
      </c>
      <c r="F96" s="13">
        <f t="shared" si="15"/>
        <v>24862.5</v>
      </c>
      <c r="G96" s="2"/>
      <c r="H96" s="2"/>
      <c r="I96" s="13">
        <f>62000/17</f>
        <v>3647.0588235294117</v>
      </c>
      <c r="J96" s="13">
        <f t="shared" si="16"/>
        <v>18235.294117647059</v>
      </c>
      <c r="K96" s="13">
        <f t="shared" si="17"/>
        <v>6627.2058823529405</v>
      </c>
      <c r="L96" s="18">
        <f t="shared" si="18"/>
        <v>0.29454248366013069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1</v>
      </c>
      <c r="B97" s="10" t="s">
        <v>17</v>
      </c>
      <c r="C97" s="11" t="s">
        <v>33</v>
      </c>
      <c r="D97" s="13">
        <v>2800</v>
      </c>
      <c r="E97" s="13">
        <f t="shared" si="14"/>
        <v>2800</v>
      </c>
      <c r="F97" s="13">
        <f t="shared" si="15"/>
        <v>3094</v>
      </c>
      <c r="G97" s="2"/>
      <c r="H97" s="2"/>
      <c r="I97" s="13">
        <f>15000/7</f>
        <v>2142.8571428571427</v>
      </c>
      <c r="J97" s="13">
        <f t="shared" si="16"/>
        <v>2142.8571428571427</v>
      </c>
      <c r="K97" s="13">
        <f t="shared" si="17"/>
        <v>951.14285714285734</v>
      </c>
      <c r="L97" s="18">
        <f t="shared" si="18"/>
        <v>0.33969387755102048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17</v>
      </c>
      <c r="C98" s="11" t="s">
        <v>31</v>
      </c>
      <c r="D98" s="13">
        <v>3200</v>
      </c>
      <c r="E98" s="13">
        <f t="shared" si="14"/>
        <v>6400</v>
      </c>
      <c r="F98" s="13">
        <f t="shared" si="15"/>
        <v>7072</v>
      </c>
      <c r="G98" s="2"/>
      <c r="H98" s="2"/>
      <c r="I98" s="13">
        <v>2142.86</v>
      </c>
      <c r="J98" s="13">
        <f t="shared" si="16"/>
        <v>4285.72</v>
      </c>
      <c r="K98" s="13">
        <f t="shared" si="17"/>
        <v>2786.2799999999997</v>
      </c>
      <c r="L98" s="33">
        <f t="shared" si="18"/>
        <v>0.43535624999999994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2</v>
      </c>
      <c r="B99" s="10" t="s">
        <v>17</v>
      </c>
      <c r="C99" s="11" t="s">
        <v>32</v>
      </c>
      <c r="D99" s="13">
        <v>2400</v>
      </c>
      <c r="E99" s="13">
        <f t="shared" si="14"/>
        <v>4800</v>
      </c>
      <c r="F99" s="13">
        <f t="shared" si="15"/>
        <v>5304</v>
      </c>
      <c r="G99" s="2"/>
      <c r="H99" s="2"/>
      <c r="I99" s="13">
        <f>10000/7</f>
        <v>1428.5714285714287</v>
      </c>
      <c r="J99" s="13">
        <f t="shared" si="16"/>
        <v>2857.1428571428573</v>
      </c>
      <c r="K99" s="13">
        <f t="shared" si="17"/>
        <v>2446.8571428571427</v>
      </c>
      <c r="L99" s="18">
        <f t="shared" si="18"/>
        <v>0.50976190476190475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2</v>
      </c>
      <c r="B100" s="10" t="s">
        <v>23</v>
      </c>
      <c r="C100" s="11" t="s">
        <v>26</v>
      </c>
      <c r="D100" s="13">
        <v>22000</v>
      </c>
      <c r="E100" s="13">
        <f t="shared" si="14"/>
        <v>44000</v>
      </c>
      <c r="F100" s="13">
        <f t="shared" si="15"/>
        <v>48620</v>
      </c>
      <c r="G100" s="2"/>
      <c r="H100" s="2"/>
      <c r="I100" s="13">
        <v>17000</v>
      </c>
      <c r="J100" s="13">
        <f t="shared" si="16"/>
        <v>34000</v>
      </c>
      <c r="K100" s="13">
        <f t="shared" si="17"/>
        <v>14620</v>
      </c>
      <c r="L100" s="14">
        <f t="shared" si="18"/>
        <v>0.33227272727272728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17</v>
      </c>
      <c r="C101" s="11" t="s">
        <v>30</v>
      </c>
      <c r="D101" s="13">
        <v>2600</v>
      </c>
      <c r="E101" s="13">
        <f t="shared" si="14"/>
        <v>2600</v>
      </c>
      <c r="F101" s="13">
        <f t="shared" si="15"/>
        <v>2873</v>
      </c>
      <c r="G101" s="2"/>
      <c r="H101" s="2"/>
      <c r="I101" s="13">
        <v>2000</v>
      </c>
      <c r="J101" s="13">
        <f t="shared" si="16"/>
        <v>2000</v>
      </c>
      <c r="K101" s="13">
        <f t="shared" si="17"/>
        <v>873</v>
      </c>
      <c r="L101" s="14">
        <f t="shared" si="18"/>
        <v>0.33576923076923076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0.5</v>
      </c>
      <c r="B102" s="10" t="s">
        <v>21</v>
      </c>
      <c r="C102" s="11" t="s">
        <v>29</v>
      </c>
      <c r="D102" s="13">
        <v>3500</v>
      </c>
      <c r="E102" s="13">
        <f t="shared" si="14"/>
        <v>1750</v>
      </c>
      <c r="F102" s="13">
        <f t="shared" si="15"/>
        <v>1933.75</v>
      </c>
      <c r="G102" s="2"/>
      <c r="H102" s="2"/>
      <c r="I102" s="13">
        <v>1000</v>
      </c>
      <c r="J102" s="13">
        <f t="shared" si="16"/>
        <v>500</v>
      </c>
      <c r="K102" s="13">
        <f t="shared" si="17"/>
        <v>1433.75</v>
      </c>
      <c r="L102" s="14">
        <f t="shared" si="18"/>
        <v>0.81928571428571428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5</v>
      </c>
      <c r="B103" s="10" t="s">
        <v>17</v>
      </c>
      <c r="C103" s="11" t="s">
        <v>34</v>
      </c>
      <c r="D103" s="13">
        <v>5000</v>
      </c>
      <c r="E103" s="13">
        <f t="shared" si="14"/>
        <v>25000</v>
      </c>
      <c r="F103" s="13">
        <f t="shared" si="15"/>
        <v>27625</v>
      </c>
      <c r="G103" s="2"/>
      <c r="H103" s="2"/>
      <c r="I103" s="13">
        <v>2300</v>
      </c>
      <c r="J103" s="13">
        <f t="shared" si="16"/>
        <v>11500</v>
      </c>
      <c r="K103" s="13">
        <f t="shared" si="17"/>
        <v>16125</v>
      </c>
      <c r="L103" s="14">
        <f t="shared" si="18"/>
        <v>0.64500000000000002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1.3</v>
      </c>
      <c r="B104" s="10" t="s">
        <v>4</v>
      </c>
      <c r="C104" s="11" t="s">
        <v>36</v>
      </c>
      <c r="D104" s="13">
        <v>1800</v>
      </c>
      <c r="E104" s="13">
        <f t="shared" si="14"/>
        <v>2340</v>
      </c>
      <c r="F104" s="13">
        <f t="shared" si="15"/>
        <v>2585.6999999999998</v>
      </c>
      <c r="G104" s="2"/>
      <c r="H104" s="2"/>
      <c r="I104" s="13">
        <v>800</v>
      </c>
      <c r="J104" s="13">
        <f t="shared" si="16"/>
        <v>1040</v>
      </c>
      <c r="K104" s="13">
        <f t="shared" si="17"/>
        <v>1545.6999999999998</v>
      </c>
      <c r="L104" s="18">
        <f t="shared" si="18"/>
        <v>0.66055555555555545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0.5</v>
      </c>
      <c r="B105" s="10" t="s">
        <v>4</v>
      </c>
      <c r="C105" s="11" t="s">
        <v>38</v>
      </c>
      <c r="D105" s="13">
        <v>1800</v>
      </c>
      <c r="E105" s="13">
        <f t="shared" si="14"/>
        <v>900</v>
      </c>
      <c r="F105" s="13">
        <f t="shared" si="15"/>
        <v>994.5</v>
      </c>
      <c r="G105" s="2"/>
      <c r="H105" s="2"/>
      <c r="I105" s="13">
        <v>800</v>
      </c>
      <c r="J105" s="13">
        <f t="shared" si="16"/>
        <v>400</v>
      </c>
      <c r="K105" s="13">
        <f t="shared" si="17"/>
        <v>594.5</v>
      </c>
      <c r="L105" s="14">
        <f t="shared" si="18"/>
        <v>0.66055555555555556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15</v>
      </c>
      <c r="B106" s="10" t="s">
        <v>21</v>
      </c>
      <c r="C106" s="11" t="s">
        <v>46</v>
      </c>
      <c r="D106" s="13">
        <v>600</v>
      </c>
      <c r="E106" s="13">
        <f t="shared" si="14"/>
        <v>9000</v>
      </c>
      <c r="F106" s="13">
        <f t="shared" si="15"/>
        <v>9945</v>
      </c>
      <c r="G106" s="2"/>
      <c r="H106" s="2"/>
      <c r="I106" s="13">
        <f>7000/24</f>
        <v>291.66666666666669</v>
      </c>
      <c r="J106" s="13">
        <f t="shared" si="16"/>
        <v>4375</v>
      </c>
      <c r="K106" s="13">
        <f t="shared" si="17"/>
        <v>5570</v>
      </c>
      <c r="L106" s="14">
        <f t="shared" si="18"/>
        <v>0.61888888888888893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12</v>
      </c>
      <c r="B107" s="10" t="s">
        <v>17</v>
      </c>
      <c r="C107" s="11" t="s">
        <v>39</v>
      </c>
      <c r="D107" s="13">
        <v>1600</v>
      </c>
      <c r="E107" s="13">
        <f t="shared" si="14"/>
        <v>19200</v>
      </c>
      <c r="F107" s="13">
        <f t="shared" si="15"/>
        <v>21216</v>
      </c>
      <c r="G107" s="2"/>
      <c r="H107" s="2"/>
      <c r="I107" s="13">
        <f>14000/15</f>
        <v>933.33333333333337</v>
      </c>
      <c r="J107" s="13">
        <f t="shared" si="16"/>
        <v>11200</v>
      </c>
      <c r="K107" s="13">
        <f t="shared" si="17"/>
        <v>10016</v>
      </c>
      <c r="L107" s="14">
        <f t="shared" si="18"/>
        <v>0.52166666666666661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1</v>
      </c>
      <c r="B108" s="10" t="s">
        <v>15</v>
      </c>
      <c r="C108" s="11" t="s">
        <v>40</v>
      </c>
      <c r="D108" s="13">
        <v>12000</v>
      </c>
      <c r="E108" s="13">
        <f t="shared" si="14"/>
        <v>12000</v>
      </c>
      <c r="F108" s="13">
        <f t="shared" si="15"/>
        <v>13260</v>
      </c>
      <c r="G108" s="2"/>
      <c r="H108" s="2"/>
      <c r="I108" s="13">
        <v>7000</v>
      </c>
      <c r="J108" s="13">
        <f t="shared" si="16"/>
        <v>7000</v>
      </c>
      <c r="K108" s="13">
        <f t="shared" si="17"/>
        <v>6260</v>
      </c>
      <c r="L108" s="14">
        <f t="shared" si="18"/>
        <v>0.52166666666666661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3</v>
      </c>
      <c r="B109" s="10" t="s">
        <v>17</v>
      </c>
      <c r="C109" s="11" t="s">
        <v>40</v>
      </c>
      <c r="D109" s="13">
        <v>1400</v>
      </c>
      <c r="E109" s="13">
        <f t="shared" si="14"/>
        <v>4200</v>
      </c>
      <c r="F109" s="13">
        <f t="shared" si="15"/>
        <v>4641</v>
      </c>
      <c r="G109" s="2"/>
      <c r="H109" s="2"/>
      <c r="I109" s="13">
        <v>1000</v>
      </c>
      <c r="J109" s="13">
        <f t="shared" si="16"/>
        <v>3000</v>
      </c>
      <c r="K109" s="13">
        <f t="shared" si="17"/>
        <v>1641</v>
      </c>
      <c r="L109" s="14">
        <f t="shared" si="18"/>
        <v>0.39071428571428574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1</v>
      </c>
      <c r="B110" s="10" t="s">
        <v>17</v>
      </c>
      <c r="C110" s="11" t="s">
        <v>61</v>
      </c>
      <c r="D110" s="13">
        <v>2800</v>
      </c>
      <c r="E110" s="13">
        <f t="shared" si="14"/>
        <v>2800</v>
      </c>
      <c r="F110" s="13">
        <f t="shared" si="15"/>
        <v>3094</v>
      </c>
      <c r="G110" s="2"/>
      <c r="H110" s="2"/>
      <c r="I110" s="13">
        <f>25000/14</f>
        <v>1785.7142857142858</v>
      </c>
      <c r="J110" s="13">
        <f t="shared" si="16"/>
        <v>1785.7142857142858</v>
      </c>
      <c r="K110" s="13">
        <f t="shared" si="17"/>
        <v>1308.2857142857142</v>
      </c>
      <c r="L110" s="14">
        <f t="shared" si="18"/>
        <v>0.46724489795918367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5"/>
      <c r="B111" s="2"/>
      <c r="C111" s="4"/>
      <c r="D111" s="13"/>
      <c r="E111" s="2"/>
      <c r="F111" s="2"/>
      <c r="G111" s="2"/>
      <c r="H111" s="2"/>
      <c r="I111" s="2"/>
      <c r="J111" s="2"/>
      <c r="K111" s="2"/>
      <c r="L111" s="3"/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"/>
      <c r="B112" s="2"/>
      <c r="C112" s="4"/>
      <c r="D112" s="2"/>
      <c r="E112" s="13">
        <f t="shared" ref="E112:F112" si="19">SUM(E79:E110)</f>
        <v>323790</v>
      </c>
      <c r="F112" s="13">
        <f t="shared" si="19"/>
        <v>357787.95</v>
      </c>
      <c r="G112" s="2"/>
      <c r="H112" s="2"/>
      <c r="I112" s="2"/>
      <c r="J112" s="2"/>
      <c r="K112" s="13">
        <f>SUM(K79:K110)</f>
        <v>140657.87865615668</v>
      </c>
      <c r="L112" s="14">
        <f>K112/F112</f>
        <v>0.39313196170009829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88" t="s">
        <v>53</v>
      </c>
      <c r="B115" s="89"/>
      <c r="C115" s="89"/>
      <c r="D115" s="2"/>
      <c r="E115" s="7" t="s">
        <v>58</v>
      </c>
      <c r="F115" s="8">
        <v>46129</v>
      </c>
      <c r="G115" s="7" t="s">
        <v>106</v>
      </c>
      <c r="H115" s="2"/>
      <c r="I115" s="9" t="s">
        <v>2</v>
      </c>
      <c r="J115" s="9"/>
      <c r="K115" s="9"/>
      <c r="L115" s="3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3"/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6" t="s">
        <v>3</v>
      </c>
      <c r="B117" s="10" t="s">
        <v>4</v>
      </c>
      <c r="C117" s="11" t="s">
        <v>5</v>
      </c>
      <c r="D117" s="10" t="s">
        <v>6</v>
      </c>
      <c r="E117" s="10" t="s">
        <v>7</v>
      </c>
      <c r="F117" s="10" t="s">
        <v>8</v>
      </c>
      <c r="G117" s="2"/>
      <c r="H117" s="2"/>
      <c r="I117" s="10" t="s">
        <v>9</v>
      </c>
      <c r="J117" s="10" t="s">
        <v>7</v>
      </c>
      <c r="K117" s="10" t="s">
        <v>10</v>
      </c>
      <c r="L117" s="3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2</v>
      </c>
      <c r="B118" s="10" t="s">
        <v>23</v>
      </c>
      <c r="C118" s="11" t="s">
        <v>39</v>
      </c>
      <c r="D118" s="13">
        <v>22000</v>
      </c>
      <c r="E118" s="13">
        <f t="shared" ref="E118:E154" si="20">A118*D118</f>
        <v>44000</v>
      </c>
      <c r="F118" s="13">
        <f t="shared" ref="F118:F153" si="21">E118*1.105</f>
        <v>48620</v>
      </c>
      <c r="G118" s="2"/>
      <c r="H118" s="2"/>
      <c r="I118" s="13">
        <f>14000</f>
        <v>14000</v>
      </c>
      <c r="J118" s="13">
        <f t="shared" ref="J118:J154" si="22">I118*A118</f>
        <v>28000</v>
      </c>
      <c r="K118" s="13">
        <f t="shared" ref="K118:K154" si="23">F118-J118</f>
        <v>20620</v>
      </c>
      <c r="L118" s="14">
        <f t="shared" ref="L118:L154" si="24">IFERROR(K118/E118, 0)</f>
        <v>0.46863636363636363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2</v>
      </c>
      <c r="B119" s="10" t="s">
        <v>23</v>
      </c>
      <c r="C119" s="11" t="s">
        <v>43</v>
      </c>
      <c r="D119" s="13">
        <v>22000</v>
      </c>
      <c r="E119" s="13">
        <f t="shared" si="20"/>
        <v>44000</v>
      </c>
      <c r="F119" s="13">
        <f t="shared" si="21"/>
        <v>48620</v>
      </c>
      <c r="G119" s="2"/>
      <c r="H119" s="2"/>
      <c r="I119" s="13">
        <v>15000</v>
      </c>
      <c r="J119" s="13">
        <f t="shared" si="22"/>
        <v>30000</v>
      </c>
      <c r="K119" s="13">
        <f t="shared" si="23"/>
        <v>18620</v>
      </c>
      <c r="L119" s="14">
        <f t="shared" si="24"/>
        <v>0.42318181818181816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2</v>
      </c>
      <c r="B120" s="10" t="s">
        <v>23</v>
      </c>
      <c r="C120" s="11" t="s">
        <v>46</v>
      </c>
      <c r="D120" s="13">
        <v>13000</v>
      </c>
      <c r="E120" s="13">
        <f t="shared" si="20"/>
        <v>26000</v>
      </c>
      <c r="F120" s="13">
        <f t="shared" si="21"/>
        <v>28730</v>
      </c>
      <c r="G120" s="2"/>
      <c r="H120" s="2"/>
      <c r="I120" s="13">
        <v>7000</v>
      </c>
      <c r="J120" s="13">
        <f t="shared" si="22"/>
        <v>14000</v>
      </c>
      <c r="K120" s="13">
        <f t="shared" si="23"/>
        <v>14730</v>
      </c>
      <c r="L120" s="14">
        <f t="shared" si="24"/>
        <v>0.56653846153846155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5</v>
      </c>
      <c r="B121" s="10" t="s">
        <v>15</v>
      </c>
      <c r="C121" s="11" t="s">
        <v>27</v>
      </c>
      <c r="D121" s="13">
        <v>25000</v>
      </c>
      <c r="E121" s="13">
        <f t="shared" si="20"/>
        <v>125000</v>
      </c>
      <c r="F121" s="13">
        <f t="shared" si="21"/>
        <v>138125</v>
      </c>
      <c r="G121" s="2"/>
      <c r="H121" s="2"/>
      <c r="I121" s="13">
        <v>18000</v>
      </c>
      <c r="J121" s="13">
        <f t="shared" si="22"/>
        <v>90000</v>
      </c>
      <c r="K121" s="13">
        <f t="shared" si="23"/>
        <v>48125</v>
      </c>
      <c r="L121" s="14">
        <f t="shared" si="24"/>
        <v>0.38500000000000001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2</v>
      </c>
      <c r="B122" s="10" t="s">
        <v>15</v>
      </c>
      <c r="C122" s="11" t="s">
        <v>16</v>
      </c>
      <c r="D122" s="13">
        <v>13000</v>
      </c>
      <c r="E122" s="13">
        <f t="shared" si="20"/>
        <v>26000</v>
      </c>
      <c r="F122" s="13">
        <f t="shared" si="21"/>
        <v>28730</v>
      </c>
      <c r="G122" s="2"/>
      <c r="H122" s="2"/>
      <c r="I122" s="13">
        <v>8000</v>
      </c>
      <c r="J122" s="13">
        <f t="shared" si="22"/>
        <v>16000</v>
      </c>
      <c r="K122" s="13">
        <f t="shared" si="23"/>
        <v>12730</v>
      </c>
      <c r="L122" s="14">
        <f t="shared" si="24"/>
        <v>0.48961538461538462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1</v>
      </c>
      <c r="B123" s="10" t="s">
        <v>15</v>
      </c>
      <c r="C123" s="11" t="s">
        <v>129</v>
      </c>
      <c r="D123" s="13">
        <v>16000</v>
      </c>
      <c r="E123" s="13">
        <f t="shared" si="20"/>
        <v>16000</v>
      </c>
      <c r="F123" s="13">
        <f t="shared" si="21"/>
        <v>17680</v>
      </c>
      <c r="G123" s="2"/>
      <c r="H123" s="2"/>
      <c r="I123" s="13">
        <v>11000</v>
      </c>
      <c r="J123" s="13">
        <f t="shared" si="22"/>
        <v>11000</v>
      </c>
      <c r="K123" s="13">
        <f t="shared" si="23"/>
        <v>6680</v>
      </c>
      <c r="L123" s="14">
        <f t="shared" si="24"/>
        <v>0.41749999999999998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8.25</v>
      </c>
      <c r="B124" s="10" t="s">
        <v>4</v>
      </c>
      <c r="C124" s="11" t="s">
        <v>36</v>
      </c>
      <c r="D124" s="13">
        <v>1800</v>
      </c>
      <c r="E124" s="13">
        <f t="shared" si="20"/>
        <v>14850</v>
      </c>
      <c r="F124" s="13">
        <f t="shared" si="21"/>
        <v>16409.25</v>
      </c>
      <c r="G124" s="2"/>
      <c r="H124" s="2"/>
      <c r="I124" s="13">
        <v>800</v>
      </c>
      <c r="J124" s="13">
        <f t="shared" si="22"/>
        <v>6600</v>
      </c>
      <c r="K124" s="13">
        <f t="shared" si="23"/>
        <v>9809.25</v>
      </c>
      <c r="L124" s="14">
        <f t="shared" si="24"/>
        <v>0.66055555555555556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4.25</v>
      </c>
      <c r="B125" s="10" t="s">
        <v>4</v>
      </c>
      <c r="C125" s="11" t="s">
        <v>38</v>
      </c>
      <c r="D125" s="13">
        <v>1800</v>
      </c>
      <c r="E125" s="13">
        <f t="shared" si="20"/>
        <v>7650</v>
      </c>
      <c r="F125" s="13">
        <f t="shared" si="21"/>
        <v>8453.25</v>
      </c>
      <c r="G125" s="2"/>
      <c r="H125" s="2"/>
      <c r="I125" s="13">
        <v>800</v>
      </c>
      <c r="J125" s="13">
        <f t="shared" si="22"/>
        <v>3400</v>
      </c>
      <c r="K125" s="13">
        <f t="shared" si="23"/>
        <v>5053.25</v>
      </c>
      <c r="L125" s="14">
        <f t="shared" si="24"/>
        <v>0.66055555555555556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50</v>
      </c>
      <c r="B126" s="10" t="s">
        <v>4</v>
      </c>
      <c r="C126" s="11" t="s">
        <v>20</v>
      </c>
      <c r="D126" s="13">
        <v>500</v>
      </c>
      <c r="E126" s="13">
        <f t="shared" si="20"/>
        <v>25000</v>
      </c>
      <c r="F126" s="13">
        <f t="shared" si="21"/>
        <v>27625</v>
      </c>
      <c r="G126" s="2"/>
      <c r="H126" s="2"/>
      <c r="I126" s="13">
        <f>85000/224</f>
        <v>379.46428571428572</v>
      </c>
      <c r="J126" s="13">
        <f t="shared" si="22"/>
        <v>18973.214285714286</v>
      </c>
      <c r="K126" s="13">
        <f t="shared" si="23"/>
        <v>8651.7857142857138</v>
      </c>
      <c r="L126" s="14">
        <f t="shared" si="24"/>
        <v>0.34607142857142853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5</v>
      </c>
      <c r="B127" s="10" t="s">
        <v>17</v>
      </c>
      <c r="C127" s="34" t="s">
        <v>31</v>
      </c>
      <c r="D127" s="13">
        <v>3200</v>
      </c>
      <c r="E127" s="13">
        <f t="shared" si="20"/>
        <v>16000</v>
      </c>
      <c r="F127" s="13">
        <f t="shared" si="21"/>
        <v>17680</v>
      </c>
      <c r="G127" s="2"/>
      <c r="H127" s="2"/>
      <c r="I127" s="13">
        <f>15000/7</f>
        <v>2142.8571428571427</v>
      </c>
      <c r="J127" s="13">
        <f t="shared" si="22"/>
        <v>10714.285714285714</v>
      </c>
      <c r="K127" s="13">
        <f t="shared" si="23"/>
        <v>6965.7142857142862</v>
      </c>
      <c r="L127" s="14">
        <f t="shared" si="24"/>
        <v>0.43535714285714289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4</v>
      </c>
      <c r="B128" s="10" t="s">
        <v>17</v>
      </c>
      <c r="C128" s="11" t="s">
        <v>32</v>
      </c>
      <c r="D128" s="13">
        <v>2400</v>
      </c>
      <c r="E128" s="13">
        <f t="shared" si="20"/>
        <v>9600</v>
      </c>
      <c r="F128" s="13">
        <f t="shared" si="21"/>
        <v>10608</v>
      </c>
      <c r="G128" s="2"/>
      <c r="H128" s="2"/>
      <c r="I128" s="13">
        <f>10000/7</f>
        <v>1428.5714285714287</v>
      </c>
      <c r="J128" s="13">
        <f t="shared" si="22"/>
        <v>5714.2857142857147</v>
      </c>
      <c r="K128" s="13">
        <f t="shared" si="23"/>
        <v>4893.7142857142853</v>
      </c>
      <c r="L128" s="14">
        <f t="shared" si="24"/>
        <v>0.50976190476190475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4</v>
      </c>
      <c r="B129" s="10" t="s">
        <v>17</v>
      </c>
      <c r="C129" s="11" t="s">
        <v>33</v>
      </c>
      <c r="D129" s="13">
        <v>2800</v>
      </c>
      <c r="E129" s="13">
        <f t="shared" si="20"/>
        <v>11200</v>
      </c>
      <c r="F129" s="13">
        <f t="shared" si="21"/>
        <v>12376</v>
      </c>
      <c r="G129" s="2"/>
      <c r="H129" s="2"/>
      <c r="I129" s="13">
        <f>15000/7</f>
        <v>2142.8571428571427</v>
      </c>
      <c r="J129" s="13">
        <f t="shared" si="22"/>
        <v>8571.4285714285706</v>
      </c>
      <c r="K129" s="13">
        <f t="shared" si="23"/>
        <v>3804.5714285714294</v>
      </c>
      <c r="L129" s="14">
        <f t="shared" si="24"/>
        <v>0.33969387755102048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1</v>
      </c>
      <c r="B130" s="10" t="s">
        <v>4</v>
      </c>
      <c r="C130" s="11" t="s">
        <v>14</v>
      </c>
      <c r="D130" s="13">
        <v>3200</v>
      </c>
      <c r="E130" s="13">
        <f t="shared" si="20"/>
        <v>3200</v>
      </c>
      <c r="F130" s="13">
        <f t="shared" si="21"/>
        <v>3536</v>
      </c>
      <c r="G130" s="2"/>
      <c r="H130" s="13"/>
      <c r="I130" s="13">
        <f>20000/8</f>
        <v>2500</v>
      </c>
      <c r="J130" s="13">
        <f t="shared" si="22"/>
        <v>2500</v>
      </c>
      <c r="K130" s="13">
        <f t="shared" si="23"/>
        <v>1036</v>
      </c>
      <c r="L130" s="14">
        <f t="shared" si="24"/>
        <v>0.32374999999999998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2.2999999999999998</v>
      </c>
      <c r="B131" s="10" t="s">
        <v>4</v>
      </c>
      <c r="C131" s="11" t="s">
        <v>41</v>
      </c>
      <c r="D131" s="13">
        <v>2600</v>
      </c>
      <c r="E131" s="13">
        <f t="shared" si="20"/>
        <v>5979.9999999999991</v>
      </c>
      <c r="F131" s="13">
        <f t="shared" si="21"/>
        <v>6607.8999999999987</v>
      </c>
      <c r="G131" s="2"/>
      <c r="H131" s="13"/>
      <c r="I131" s="13">
        <f>18000/10</f>
        <v>1800</v>
      </c>
      <c r="J131" s="13">
        <f t="shared" si="22"/>
        <v>4140</v>
      </c>
      <c r="K131" s="13">
        <f t="shared" si="23"/>
        <v>2467.8999999999987</v>
      </c>
      <c r="L131" s="14">
        <f t="shared" si="24"/>
        <v>0.41269230769230753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6</v>
      </c>
      <c r="B132" s="10" t="s">
        <v>21</v>
      </c>
      <c r="C132" s="11" t="s">
        <v>34</v>
      </c>
      <c r="D132" s="13">
        <v>5000</v>
      </c>
      <c r="E132" s="13">
        <f t="shared" si="20"/>
        <v>30000</v>
      </c>
      <c r="F132" s="13">
        <f t="shared" si="21"/>
        <v>33150</v>
      </c>
      <c r="G132" s="2"/>
      <c r="H132" s="2"/>
      <c r="I132" s="13">
        <f>2300</f>
        <v>2300</v>
      </c>
      <c r="J132" s="13">
        <f t="shared" si="22"/>
        <v>13800</v>
      </c>
      <c r="K132" s="13">
        <f t="shared" si="23"/>
        <v>19350</v>
      </c>
      <c r="L132" s="14">
        <f t="shared" si="24"/>
        <v>0.64500000000000002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1</v>
      </c>
      <c r="B133" s="10" t="s">
        <v>21</v>
      </c>
      <c r="C133" s="11" t="s">
        <v>42</v>
      </c>
      <c r="D133" s="13">
        <v>4500</v>
      </c>
      <c r="E133" s="13">
        <f t="shared" si="20"/>
        <v>4500</v>
      </c>
      <c r="F133" s="13">
        <f t="shared" si="21"/>
        <v>4972.5</v>
      </c>
      <c r="G133" s="2"/>
      <c r="H133" s="2"/>
      <c r="I133" s="13">
        <v>1400</v>
      </c>
      <c r="J133" s="13">
        <f t="shared" si="22"/>
        <v>1400</v>
      </c>
      <c r="K133" s="13">
        <f t="shared" si="23"/>
        <v>3572.5</v>
      </c>
      <c r="L133" s="14">
        <f t="shared" si="24"/>
        <v>0.79388888888888887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1</v>
      </c>
      <c r="B134" s="10" t="s">
        <v>17</v>
      </c>
      <c r="C134" s="11" t="s">
        <v>19</v>
      </c>
      <c r="D134" s="13">
        <v>3600</v>
      </c>
      <c r="E134" s="13">
        <f t="shared" si="20"/>
        <v>3600</v>
      </c>
      <c r="F134" s="13">
        <f t="shared" si="21"/>
        <v>3978</v>
      </c>
      <c r="G134" s="2"/>
      <c r="H134" s="2"/>
      <c r="I134" s="13">
        <f>15000/7</f>
        <v>2142.8571428571427</v>
      </c>
      <c r="J134" s="13">
        <f t="shared" si="22"/>
        <v>2142.8571428571427</v>
      </c>
      <c r="K134" s="13">
        <f t="shared" si="23"/>
        <v>1835.1428571428573</v>
      </c>
      <c r="L134" s="14">
        <f t="shared" si="24"/>
        <v>0.50976190476190486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2</v>
      </c>
      <c r="B135" s="10" t="s">
        <v>17</v>
      </c>
      <c r="C135" s="11" t="s">
        <v>61</v>
      </c>
      <c r="D135" s="13">
        <v>2800</v>
      </c>
      <c r="E135" s="13">
        <f t="shared" si="20"/>
        <v>5600</v>
      </c>
      <c r="F135" s="13">
        <f t="shared" si="21"/>
        <v>6188</v>
      </c>
      <c r="G135" s="2"/>
      <c r="H135" s="2"/>
      <c r="I135" s="13">
        <f>25000/14</f>
        <v>1785.7142857142858</v>
      </c>
      <c r="J135" s="13">
        <f t="shared" si="22"/>
        <v>3571.4285714285716</v>
      </c>
      <c r="K135" s="13">
        <f t="shared" si="23"/>
        <v>2616.5714285714284</v>
      </c>
      <c r="L135" s="14">
        <f t="shared" si="24"/>
        <v>0.46724489795918367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2</v>
      </c>
      <c r="B136" s="10" t="s">
        <v>21</v>
      </c>
      <c r="C136" s="11" t="s">
        <v>52</v>
      </c>
      <c r="D136" s="13">
        <v>2000</v>
      </c>
      <c r="E136" s="13">
        <f t="shared" si="20"/>
        <v>4000</v>
      </c>
      <c r="F136" s="13">
        <f t="shared" si="21"/>
        <v>4420</v>
      </c>
      <c r="G136" s="2"/>
      <c r="H136" s="2"/>
      <c r="I136" s="13">
        <v>1000</v>
      </c>
      <c r="J136" s="13">
        <f t="shared" si="22"/>
        <v>2000</v>
      </c>
      <c r="K136" s="13">
        <f t="shared" si="23"/>
        <v>2420</v>
      </c>
      <c r="L136" s="14">
        <f t="shared" si="24"/>
        <v>0.60499999999999998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2</v>
      </c>
      <c r="B137" s="10" t="s">
        <v>21</v>
      </c>
      <c r="C137" s="11" t="s">
        <v>28</v>
      </c>
      <c r="D137" s="13">
        <v>3000</v>
      </c>
      <c r="E137" s="13">
        <f t="shared" si="20"/>
        <v>6000</v>
      </c>
      <c r="F137" s="13">
        <f t="shared" si="21"/>
        <v>6630</v>
      </c>
      <c r="G137" s="2"/>
      <c r="H137" s="2"/>
      <c r="I137" s="13">
        <v>2500</v>
      </c>
      <c r="J137" s="13">
        <f t="shared" si="22"/>
        <v>5000</v>
      </c>
      <c r="K137" s="13">
        <f t="shared" si="23"/>
        <v>1630</v>
      </c>
      <c r="L137" s="14">
        <f t="shared" si="24"/>
        <v>0.27166666666666667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</v>
      </c>
      <c r="B138" s="10" t="s">
        <v>21</v>
      </c>
      <c r="C138" s="11" t="s">
        <v>29</v>
      </c>
      <c r="D138" s="13">
        <v>3500</v>
      </c>
      <c r="E138" s="13">
        <f t="shared" si="20"/>
        <v>3500</v>
      </c>
      <c r="F138" s="13">
        <f t="shared" si="21"/>
        <v>3867.5</v>
      </c>
      <c r="G138" s="2"/>
      <c r="H138" s="2"/>
      <c r="I138" s="13">
        <v>1000</v>
      </c>
      <c r="J138" s="13">
        <f t="shared" si="22"/>
        <v>1000</v>
      </c>
      <c r="K138" s="13">
        <f t="shared" si="23"/>
        <v>2867.5</v>
      </c>
      <c r="L138" s="14">
        <f t="shared" si="24"/>
        <v>0.81928571428571428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2</v>
      </c>
      <c r="B139" s="10" t="s">
        <v>4</v>
      </c>
      <c r="C139" s="11" t="s">
        <v>13</v>
      </c>
      <c r="D139" s="13">
        <v>900</v>
      </c>
      <c r="E139" s="13">
        <f t="shared" si="20"/>
        <v>1800</v>
      </c>
      <c r="F139" s="13">
        <f t="shared" si="21"/>
        <v>1989</v>
      </c>
      <c r="G139" s="2"/>
      <c r="H139" s="2"/>
      <c r="I139" s="13">
        <v>460</v>
      </c>
      <c r="J139" s="13">
        <f t="shared" si="22"/>
        <v>920</v>
      </c>
      <c r="K139" s="13">
        <f t="shared" si="23"/>
        <v>1069</v>
      </c>
      <c r="L139" s="14">
        <f t="shared" si="24"/>
        <v>0.59388888888888891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5</v>
      </c>
      <c r="B140" s="10" t="s">
        <v>17</v>
      </c>
      <c r="C140" s="11" t="s">
        <v>56</v>
      </c>
      <c r="D140" s="13">
        <v>1200</v>
      </c>
      <c r="E140" s="13">
        <f t="shared" si="20"/>
        <v>6000</v>
      </c>
      <c r="F140" s="13">
        <f t="shared" si="21"/>
        <v>6630</v>
      </c>
      <c r="G140" s="2"/>
      <c r="H140" s="2"/>
      <c r="I140" s="13">
        <f>13000/16</f>
        <v>812.5</v>
      </c>
      <c r="J140" s="13">
        <f t="shared" si="22"/>
        <v>4062.5</v>
      </c>
      <c r="K140" s="13">
        <f t="shared" si="23"/>
        <v>2567.5</v>
      </c>
      <c r="L140" s="14">
        <f t="shared" si="24"/>
        <v>0.42791666666666667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5</v>
      </c>
      <c r="B141" s="10" t="s">
        <v>17</v>
      </c>
      <c r="C141" s="11" t="s">
        <v>18</v>
      </c>
      <c r="D141" s="13">
        <v>1600</v>
      </c>
      <c r="E141" s="13">
        <f t="shared" si="20"/>
        <v>8000</v>
      </c>
      <c r="F141" s="13">
        <f t="shared" si="21"/>
        <v>8840</v>
      </c>
      <c r="G141" s="2"/>
      <c r="H141" s="2"/>
      <c r="I141" s="13">
        <v>1000</v>
      </c>
      <c r="J141" s="13">
        <f t="shared" si="22"/>
        <v>5000</v>
      </c>
      <c r="K141" s="13">
        <f t="shared" si="23"/>
        <v>3840</v>
      </c>
      <c r="L141" s="14">
        <f t="shared" si="24"/>
        <v>0.48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1</v>
      </c>
      <c r="B142" s="10" t="s">
        <v>21</v>
      </c>
      <c r="C142" s="11" t="s">
        <v>51</v>
      </c>
      <c r="D142" s="13">
        <v>1500</v>
      </c>
      <c r="E142" s="13">
        <f t="shared" si="20"/>
        <v>1500</v>
      </c>
      <c r="F142" s="13">
        <f t="shared" si="21"/>
        <v>1657.5</v>
      </c>
      <c r="G142" s="2"/>
      <c r="H142" s="2"/>
      <c r="I142" s="13">
        <f>18000/24</f>
        <v>750</v>
      </c>
      <c r="J142" s="13">
        <f t="shared" si="22"/>
        <v>750</v>
      </c>
      <c r="K142" s="13">
        <f t="shared" si="23"/>
        <v>907.5</v>
      </c>
      <c r="L142" s="14">
        <f t="shared" si="24"/>
        <v>0.60499999999999998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1</v>
      </c>
      <c r="B143" s="10" t="s">
        <v>17</v>
      </c>
      <c r="C143" s="11" t="s">
        <v>93</v>
      </c>
      <c r="D143" s="13">
        <v>3000</v>
      </c>
      <c r="E143" s="13">
        <f t="shared" si="20"/>
        <v>3000</v>
      </c>
      <c r="F143" s="13">
        <f t="shared" si="21"/>
        <v>3315</v>
      </c>
      <c r="G143" s="2"/>
      <c r="H143" s="2"/>
      <c r="I143" s="13">
        <f>10000/5</f>
        <v>2000</v>
      </c>
      <c r="J143" s="13">
        <f t="shared" si="22"/>
        <v>2000</v>
      </c>
      <c r="K143" s="13">
        <f t="shared" si="23"/>
        <v>1315</v>
      </c>
      <c r="L143" s="14">
        <f t="shared" si="24"/>
        <v>0.43833333333333335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3</v>
      </c>
      <c r="B144" s="10" t="s">
        <v>4</v>
      </c>
      <c r="C144" s="11" t="s">
        <v>65</v>
      </c>
      <c r="D144" s="13">
        <v>1000</v>
      </c>
      <c r="E144" s="13">
        <f t="shared" si="20"/>
        <v>3000</v>
      </c>
      <c r="F144" s="13">
        <f t="shared" si="21"/>
        <v>3315</v>
      </c>
      <c r="G144" s="2"/>
      <c r="H144" s="2"/>
      <c r="I144" s="13">
        <f>20000/50</f>
        <v>400</v>
      </c>
      <c r="J144" s="13">
        <f t="shared" si="22"/>
        <v>1200</v>
      </c>
      <c r="K144" s="13">
        <f t="shared" si="23"/>
        <v>2115</v>
      </c>
      <c r="L144" s="14">
        <f t="shared" si="24"/>
        <v>0.70499999999999996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1</v>
      </c>
      <c r="B145" s="10" t="s">
        <v>23</v>
      </c>
      <c r="C145" s="11" t="s">
        <v>22</v>
      </c>
      <c r="D145" s="13">
        <v>19000</v>
      </c>
      <c r="E145" s="13">
        <f t="shared" si="20"/>
        <v>19000</v>
      </c>
      <c r="F145" s="13">
        <f t="shared" si="21"/>
        <v>20995</v>
      </c>
      <c r="G145" s="2"/>
      <c r="H145" s="2"/>
      <c r="I145" s="13">
        <v>14000</v>
      </c>
      <c r="J145" s="13">
        <f t="shared" si="22"/>
        <v>14000</v>
      </c>
      <c r="K145" s="13">
        <f t="shared" si="23"/>
        <v>6995</v>
      </c>
      <c r="L145" s="14">
        <f t="shared" si="24"/>
        <v>0.36815789473684213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3</v>
      </c>
      <c r="B146" s="10" t="s">
        <v>17</v>
      </c>
      <c r="C146" s="11" t="s">
        <v>35</v>
      </c>
      <c r="D146" s="13">
        <v>2500</v>
      </c>
      <c r="E146" s="13">
        <f t="shared" si="20"/>
        <v>7500</v>
      </c>
      <c r="F146" s="13">
        <f t="shared" si="21"/>
        <v>8287.5</v>
      </c>
      <c r="G146" s="2"/>
      <c r="H146" s="2"/>
      <c r="I146" s="13">
        <f>14000/9</f>
        <v>1555.5555555555557</v>
      </c>
      <c r="J146" s="13">
        <f t="shared" si="22"/>
        <v>4666.666666666667</v>
      </c>
      <c r="K146" s="13">
        <f t="shared" si="23"/>
        <v>3620.833333333333</v>
      </c>
      <c r="L146" s="14">
        <f t="shared" si="24"/>
        <v>0.48277777777777775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2</v>
      </c>
      <c r="B147" s="10" t="s">
        <v>15</v>
      </c>
      <c r="C147" s="11" t="s">
        <v>40</v>
      </c>
      <c r="D147" s="13">
        <v>12000</v>
      </c>
      <c r="E147" s="13">
        <f t="shared" si="20"/>
        <v>24000</v>
      </c>
      <c r="F147" s="13">
        <f t="shared" si="21"/>
        <v>26520</v>
      </c>
      <c r="G147" s="2"/>
      <c r="H147" s="2"/>
      <c r="I147" s="13">
        <v>7000</v>
      </c>
      <c r="J147" s="13">
        <f t="shared" si="22"/>
        <v>14000</v>
      </c>
      <c r="K147" s="13">
        <f t="shared" si="23"/>
        <v>12520</v>
      </c>
      <c r="L147" s="14">
        <f t="shared" si="24"/>
        <v>0.52166666666666661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1</v>
      </c>
      <c r="B148" s="10" t="s">
        <v>23</v>
      </c>
      <c r="C148" s="11" t="s">
        <v>25</v>
      </c>
      <c r="D148" s="13">
        <v>72000</v>
      </c>
      <c r="E148" s="13">
        <f t="shared" si="20"/>
        <v>72000</v>
      </c>
      <c r="F148" s="13">
        <f t="shared" si="21"/>
        <v>79560</v>
      </c>
      <c r="G148" s="2"/>
      <c r="H148" s="2"/>
      <c r="I148" s="13">
        <v>62000</v>
      </c>
      <c r="J148" s="13">
        <f t="shared" si="22"/>
        <v>62000</v>
      </c>
      <c r="K148" s="13">
        <f t="shared" si="23"/>
        <v>17560</v>
      </c>
      <c r="L148" s="14">
        <f t="shared" si="24"/>
        <v>0.24388888888888888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1</v>
      </c>
      <c r="B149" s="10" t="s">
        <v>23</v>
      </c>
      <c r="C149" s="11" t="s">
        <v>24</v>
      </c>
      <c r="D149" s="13">
        <v>60000</v>
      </c>
      <c r="E149" s="13">
        <f t="shared" si="20"/>
        <v>60000</v>
      </c>
      <c r="F149" s="13">
        <f t="shared" si="21"/>
        <v>66300</v>
      </c>
      <c r="G149" s="2"/>
      <c r="H149" s="2"/>
      <c r="I149" s="13">
        <v>50000</v>
      </c>
      <c r="J149" s="13">
        <f t="shared" si="22"/>
        <v>50000</v>
      </c>
      <c r="K149" s="13">
        <f t="shared" si="23"/>
        <v>16300</v>
      </c>
      <c r="L149" s="14">
        <f t="shared" si="24"/>
        <v>0.27166666666666667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2</v>
      </c>
      <c r="B150" s="10" t="s">
        <v>23</v>
      </c>
      <c r="C150" s="11" t="s">
        <v>26</v>
      </c>
      <c r="D150" s="13">
        <v>22000</v>
      </c>
      <c r="E150" s="13">
        <f t="shared" si="20"/>
        <v>44000</v>
      </c>
      <c r="F150" s="13">
        <f t="shared" si="21"/>
        <v>48620</v>
      </c>
      <c r="G150" s="2"/>
      <c r="H150" s="2"/>
      <c r="I150" s="13">
        <v>17000</v>
      </c>
      <c r="J150" s="13">
        <f t="shared" si="22"/>
        <v>34000</v>
      </c>
      <c r="K150" s="13">
        <f t="shared" si="23"/>
        <v>14620</v>
      </c>
      <c r="L150" s="14">
        <f t="shared" si="24"/>
        <v>0.33227272727272728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</v>
      </c>
      <c r="B151" s="10" t="s">
        <v>23</v>
      </c>
      <c r="C151" s="11" t="s">
        <v>67</v>
      </c>
      <c r="D151" s="13">
        <v>13000</v>
      </c>
      <c r="E151" s="13">
        <f t="shared" si="20"/>
        <v>13000</v>
      </c>
      <c r="F151" s="13">
        <f t="shared" si="21"/>
        <v>14365</v>
      </c>
      <c r="G151" s="2"/>
      <c r="H151" s="2"/>
      <c r="I151" s="13">
        <v>8000</v>
      </c>
      <c r="J151" s="13">
        <f t="shared" si="22"/>
        <v>8000</v>
      </c>
      <c r="K151" s="13">
        <f t="shared" si="23"/>
        <v>6365</v>
      </c>
      <c r="L151" s="14">
        <f t="shared" si="24"/>
        <v>0.48961538461538462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12</v>
      </c>
      <c r="B152" s="10" t="s">
        <v>4</v>
      </c>
      <c r="C152" s="11" t="s">
        <v>62</v>
      </c>
      <c r="D152" s="13">
        <v>3000</v>
      </c>
      <c r="E152" s="13">
        <f t="shared" si="20"/>
        <v>36000</v>
      </c>
      <c r="F152" s="13">
        <f t="shared" si="21"/>
        <v>39780</v>
      </c>
      <c r="G152" s="2"/>
      <c r="H152" s="2"/>
      <c r="I152" s="13">
        <f>28000/17</f>
        <v>1647.0588235294117</v>
      </c>
      <c r="J152" s="13">
        <f t="shared" si="22"/>
        <v>19764.705882352941</v>
      </c>
      <c r="K152" s="13">
        <f t="shared" si="23"/>
        <v>20015.294117647059</v>
      </c>
      <c r="L152" s="14">
        <f t="shared" si="24"/>
        <v>0.55598039215686279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4</v>
      </c>
      <c r="B153" s="10" t="s">
        <v>17</v>
      </c>
      <c r="C153" s="11" t="s">
        <v>89</v>
      </c>
      <c r="D153" s="13">
        <v>12500</v>
      </c>
      <c r="E153" s="13">
        <f t="shared" si="20"/>
        <v>50000</v>
      </c>
      <c r="F153" s="13">
        <f t="shared" si="21"/>
        <v>55250</v>
      </c>
      <c r="G153" s="2"/>
      <c r="H153" s="7" t="s">
        <v>37</v>
      </c>
      <c r="I153" s="13">
        <f>45000/4</f>
        <v>11250</v>
      </c>
      <c r="J153" s="13">
        <f t="shared" si="22"/>
        <v>45000</v>
      </c>
      <c r="K153" s="13">
        <f t="shared" si="23"/>
        <v>10250</v>
      </c>
      <c r="L153" s="14">
        <f t="shared" si="24"/>
        <v>0.20499999999999999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0.5</v>
      </c>
      <c r="B154" s="10" t="s">
        <v>23</v>
      </c>
      <c r="C154" s="11" t="s">
        <v>12</v>
      </c>
      <c r="D154" s="13">
        <v>54000</v>
      </c>
      <c r="E154" s="13">
        <f t="shared" si="20"/>
        <v>27000</v>
      </c>
      <c r="F154" s="13">
        <f>E154*1.21</f>
        <v>32670</v>
      </c>
      <c r="G154" s="2"/>
      <c r="H154" s="2"/>
      <c r="I154" s="13">
        <v>54000</v>
      </c>
      <c r="J154" s="13">
        <f t="shared" si="22"/>
        <v>27000</v>
      </c>
      <c r="K154" s="13">
        <f t="shared" si="23"/>
        <v>5670</v>
      </c>
      <c r="L154" s="14">
        <f t="shared" si="24"/>
        <v>0.21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5"/>
      <c r="B155" s="2"/>
      <c r="C155" s="4"/>
      <c r="D155" s="2"/>
      <c r="E155" s="2"/>
      <c r="F155" s="2"/>
      <c r="G155" s="2"/>
      <c r="H155" s="2"/>
      <c r="I155" s="2"/>
      <c r="J155" s="2"/>
      <c r="K155" s="2"/>
      <c r="L155" s="3"/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"/>
      <c r="B156" s="2"/>
      <c r="C156" s="4"/>
      <c r="D156" s="2"/>
      <c r="E156" s="13">
        <f t="shared" ref="E156:F156" si="25">SUM(E118:E154)</f>
        <v>807480</v>
      </c>
      <c r="F156" s="13">
        <f t="shared" si="25"/>
        <v>895100.4</v>
      </c>
      <c r="G156" s="2"/>
      <c r="H156" s="2"/>
      <c r="I156" s="2"/>
      <c r="J156" s="2"/>
      <c r="K156" s="13">
        <f>SUM(K118:K154)</f>
        <v>324209.02745098039</v>
      </c>
      <c r="L156" s="14">
        <f>K156/F156</f>
        <v>0.36220409179906565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"/>
      <c r="B157" s="2"/>
      <c r="C157" s="4"/>
      <c r="D157" s="2"/>
      <c r="E157" s="2"/>
      <c r="F157" s="2"/>
      <c r="G157" s="2"/>
      <c r="H157" s="2"/>
      <c r="I157" s="2"/>
      <c r="J157" s="2"/>
      <c r="K157" s="2"/>
      <c r="L157" s="3"/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"/>
      <c r="B158" s="2"/>
      <c r="C158" s="4"/>
      <c r="D158" s="2"/>
      <c r="E158" s="2"/>
      <c r="F158" s="2"/>
      <c r="G158" s="2"/>
      <c r="H158" s="2"/>
      <c r="I158" s="2"/>
      <c r="J158" s="2"/>
      <c r="K158" s="2"/>
      <c r="L158" s="3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"/>
      <c r="B159" s="2"/>
      <c r="C159" s="4"/>
      <c r="D159" s="2"/>
      <c r="E159" s="2"/>
      <c r="F159" s="2"/>
      <c r="G159" s="2"/>
      <c r="H159" s="2"/>
      <c r="I159" s="2"/>
      <c r="J159" s="2"/>
      <c r="K159" s="2"/>
      <c r="L159" s="3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"/>
      <c r="B160" s="1"/>
      <c r="C160" s="1"/>
      <c r="D160" s="2"/>
      <c r="E160" s="2"/>
      <c r="F160" s="5"/>
      <c r="G160" s="2"/>
      <c r="H160" s="2"/>
      <c r="I160" s="2"/>
      <c r="J160" s="2"/>
      <c r="K160" s="2"/>
      <c r="L160" s="3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88" t="s">
        <v>57</v>
      </c>
      <c r="B161" s="89"/>
      <c r="C161" s="89"/>
      <c r="D161" s="2"/>
      <c r="E161" s="7" t="s">
        <v>1088</v>
      </c>
      <c r="F161" s="8">
        <v>46129</v>
      </c>
      <c r="G161" s="2"/>
      <c r="H161" s="2"/>
      <c r="I161" s="9" t="s">
        <v>2</v>
      </c>
      <c r="J161" s="9"/>
      <c r="K161" s="9"/>
      <c r="L161" s="3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3"/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6" t="s">
        <v>3</v>
      </c>
      <c r="B163" s="10" t="s">
        <v>4</v>
      </c>
      <c r="C163" s="11" t="s">
        <v>5</v>
      </c>
      <c r="D163" s="10" t="s">
        <v>6</v>
      </c>
      <c r="E163" s="10" t="s">
        <v>7</v>
      </c>
      <c r="F163" s="10" t="s">
        <v>8</v>
      </c>
      <c r="G163" s="2"/>
      <c r="H163" s="2"/>
      <c r="I163" s="10" t="s">
        <v>9</v>
      </c>
      <c r="J163" s="10" t="s">
        <v>7</v>
      </c>
      <c r="K163" s="10" t="s">
        <v>10</v>
      </c>
      <c r="L163" s="3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25</v>
      </c>
      <c r="B164" s="10" t="s">
        <v>4</v>
      </c>
      <c r="C164" s="11" t="s">
        <v>20</v>
      </c>
      <c r="D164" s="13">
        <v>500</v>
      </c>
      <c r="E164" s="13">
        <f t="shared" ref="E164:E191" si="26">A164*D164</f>
        <v>12500</v>
      </c>
      <c r="F164" s="13">
        <f t="shared" ref="F164:F190" si="27">E164*1.105</f>
        <v>13812.5</v>
      </c>
      <c r="G164" s="2"/>
      <c r="H164" s="2"/>
      <c r="I164" s="13">
        <f>85000/242</f>
        <v>351.23966942148758</v>
      </c>
      <c r="J164" s="13">
        <f t="shared" ref="J164:J191" si="28">I164*A164</f>
        <v>8780.991735537189</v>
      </c>
      <c r="K164" s="13">
        <f t="shared" ref="K164:K191" si="29">F164-J164</f>
        <v>5031.508264462811</v>
      </c>
      <c r="L164" s="14">
        <f t="shared" ref="L164:L191" si="30">IFERROR(K164/E164, 0)</f>
        <v>0.40252066115702489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2">
        <v>3.8</v>
      </c>
      <c r="B165" s="10" t="s">
        <v>17</v>
      </c>
      <c r="C165" s="11" t="s">
        <v>34</v>
      </c>
      <c r="D165" s="13">
        <v>5000</v>
      </c>
      <c r="E165" s="13">
        <f t="shared" si="26"/>
        <v>19000</v>
      </c>
      <c r="F165" s="13">
        <f t="shared" si="27"/>
        <v>20995</v>
      </c>
      <c r="G165" s="2"/>
      <c r="H165" s="2"/>
      <c r="I165" s="13">
        <v>2300</v>
      </c>
      <c r="J165" s="13">
        <f t="shared" si="28"/>
        <v>8740</v>
      </c>
      <c r="K165" s="13">
        <f t="shared" si="29"/>
        <v>12255</v>
      </c>
      <c r="L165" s="14">
        <f t="shared" si="30"/>
        <v>0.64500000000000002</v>
      </c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1</v>
      </c>
      <c r="B166" s="10" t="s">
        <v>17</v>
      </c>
      <c r="C166" s="11" t="s">
        <v>30</v>
      </c>
      <c r="D166" s="13">
        <v>2600</v>
      </c>
      <c r="E166" s="13">
        <f t="shared" si="26"/>
        <v>2600</v>
      </c>
      <c r="F166" s="13">
        <f t="shared" si="27"/>
        <v>2873</v>
      </c>
      <c r="G166" s="2"/>
      <c r="H166" s="2"/>
      <c r="I166" s="13">
        <v>2000</v>
      </c>
      <c r="J166" s="13">
        <f t="shared" si="28"/>
        <v>2000</v>
      </c>
      <c r="K166" s="13">
        <f t="shared" si="29"/>
        <v>873</v>
      </c>
      <c r="L166" s="14">
        <f t="shared" si="30"/>
        <v>0.33576923076923076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1</v>
      </c>
      <c r="B167" s="10" t="s">
        <v>21</v>
      </c>
      <c r="C167" s="11" t="s">
        <v>51</v>
      </c>
      <c r="D167" s="13">
        <v>1500</v>
      </c>
      <c r="E167" s="13">
        <f t="shared" si="26"/>
        <v>1500</v>
      </c>
      <c r="F167" s="13">
        <f t="shared" si="27"/>
        <v>1657.5</v>
      </c>
      <c r="G167" s="2"/>
      <c r="H167" s="2"/>
      <c r="I167" s="13">
        <v>750</v>
      </c>
      <c r="J167" s="13">
        <f t="shared" si="28"/>
        <v>750</v>
      </c>
      <c r="K167" s="13">
        <f t="shared" si="29"/>
        <v>907.5</v>
      </c>
      <c r="L167" s="14">
        <f t="shared" si="30"/>
        <v>0.60499999999999998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2</v>
      </c>
      <c r="B168" s="10" t="s">
        <v>17</v>
      </c>
      <c r="C168" s="11" t="s">
        <v>31</v>
      </c>
      <c r="D168" s="13">
        <v>3200</v>
      </c>
      <c r="E168" s="13">
        <f t="shared" si="26"/>
        <v>6400</v>
      </c>
      <c r="F168" s="13">
        <f t="shared" si="27"/>
        <v>7072</v>
      </c>
      <c r="G168" s="2"/>
      <c r="I168" s="13">
        <f>15000/7</f>
        <v>2142.8571428571427</v>
      </c>
      <c r="J168" s="13">
        <f t="shared" si="28"/>
        <v>4285.7142857142853</v>
      </c>
      <c r="K168" s="13">
        <f t="shared" si="29"/>
        <v>2786.2857142857147</v>
      </c>
      <c r="L168" s="14">
        <f t="shared" si="30"/>
        <v>0.43535714285714294</v>
      </c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1</v>
      </c>
      <c r="B169" s="10" t="s">
        <v>17</v>
      </c>
      <c r="C169" s="11" t="s">
        <v>32</v>
      </c>
      <c r="D169" s="13">
        <v>2400</v>
      </c>
      <c r="E169" s="13">
        <f t="shared" si="26"/>
        <v>2400</v>
      </c>
      <c r="F169" s="13">
        <f t="shared" si="27"/>
        <v>2652</v>
      </c>
      <c r="G169" s="2"/>
      <c r="I169" s="13">
        <f>10000/7</f>
        <v>1428.5714285714287</v>
      </c>
      <c r="J169" s="13">
        <f t="shared" si="28"/>
        <v>1428.5714285714287</v>
      </c>
      <c r="K169" s="13">
        <f t="shared" si="29"/>
        <v>1223.4285714285713</v>
      </c>
      <c r="L169" s="14">
        <f t="shared" si="30"/>
        <v>0.50976190476190475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2</v>
      </c>
      <c r="B170" s="10" t="s">
        <v>15</v>
      </c>
      <c r="C170" s="11" t="s">
        <v>40</v>
      </c>
      <c r="D170" s="13">
        <v>12000</v>
      </c>
      <c r="E170" s="13">
        <f t="shared" si="26"/>
        <v>24000</v>
      </c>
      <c r="F170" s="13">
        <f t="shared" si="27"/>
        <v>26520</v>
      </c>
      <c r="G170" s="2"/>
      <c r="I170" s="13">
        <v>7000</v>
      </c>
      <c r="J170" s="13">
        <f t="shared" si="28"/>
        <v>14000</v>
      </c>
      <c r="K170" s="13">
        <f t="shared" si="29"/>
        <v>12520</v>
      </c>
      <c r="L170" s="14">
        <f t="shared" si="30"/>
        <v>0.52166666666666661</v>
      </c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12</v>
      </c>
      <c r="B171" s="10" t="s">
        <v>17</v>
      </c>
      <c r="C171" s="11" t="s">
        <v>39</v>
      </c>
      <c r="D171" s="13">
        <v>1600</v>
      </c>
      <c r="E171" s="13">
        <f t="shared" si="26"/>
        <v>19200</v>
      </c>
      <c r="F171" s="13">
        <f t="shared" si="27"/>
        <v>21216</v>
      </c>
      <c r="G171" s="2"/>
      <c r="H171" s="2"/>
      <c r="I171" s="13">
        <f>14000/15</f>
        <v>933.33333333333337</v>
      </c>
      <c r="J171" s="13">
        <f t="shared" si="28"/>
        <v>11200</v>
      </c>
      <c r="K171" s="13">
        <f t="shared" si="29"/>
        <v>10016</v>
      </c>
      <c r="L171" s="14">
        <f t="shared" si="30"/>
        <v>0.52166666666666661</v>
      </c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25</v>
      </c>
      <c r="B172" s="10" t="s">
        <v>21</v>
      </c>
      <c r="C172" s="11" t="s">
        <v>46</v>
      </c>
      <c r="D172" s="13">
        <v>600</v>
      </c>
      <c r="E172" s="13">
        <f t="shared" si="26"/>
        <v>15000</v>
      </c>
      <c r="F172" s="13">
        <f t="shared" si="27"/>
        <v>16575</v>
      </c>
      <c r="G172" s="2"/>
      <c r="H172" s="2"/>
      <c r="I172" s="13">
        <f>7000/24</f>
        <v>291.66666666666669</v>
      </c>
      <c r="J172" s="13">
        <f t="shared" si="28"/>
        <v>7291.666666666667</v>
      </c>
      <c r="K172" s="13">
        <f t="shared" si="29"/>
        <v>9283.3333333333321</v>
      </c>
      <c r="L172" s="14">
        <f t="shared" si="30"/>
        <v>0.61888888888888882</v>
      </c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3</v>
      </c>
      <c r="B173" s="10" t="s">
        <v>17</v>
      </c>
      <c r="C173" s="11" t="s">
        <v>43</v>
      </c>
      <c r="D173" s="13">
        <v>5000</v>
      </c>
      <c r="E173" s="13">
        <f t="shared" si="26"/>
        <v>15000</v>
      </c>
      <c r="F173" s="13">
        <f t="shared" si="27"/>
        <v>16575</v>
      </c>
      <c r="G173" s="2"/>
      <c r="H173" s="2"/>
      <c r="I173" s="13">
        <v>3000</v>
      </c>
      <c r="J173" s="13">
        <f t="shared" si="28"/>
        <v>9000</v>
      </c>
      <c r="K173" s="13">
        <f t="shared" si="29"/>
        <v>7575</v>
      </c>
      <c r="L173" s="14">
        <f t="shared" si="30"/>
        <v>0.505</v>
      </c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2">
        <v>2</v>
      </c>
      <c r="B174" s="10" t="s">
        <v>4</v>
      </c>
      <c r="C174" s="11" t="s">
        <v>41</v>
      </c>
      <c r="D174" s="13">
        <v>2600</v>
      </c>
      <c r="E174" s="13">
        <f t="shared" si="26"/>
        <v>5200</v>
      </c>
      <c r="F174" s="13">
        <f t="shared" si="27"/>
        <v>5746</v>
      </c>
      <c r="G174" s="2"/>
      <c r="H174" s="2"/>
      <c r="I174" s="13">
        <f>19000/10</f>
        <v>1900</v>
      </c>
      <c r="J174" s="13">
        <f t="shared" si="28"/>
        <v>3800</v>
      </c>
      <c r="K174" s="13">
        <f t="shared" si="29"/>
        <v>1946</v>
      </c>
      <c r="L174" s="14">
        <f t="shared" si="30"/>
        <v>0.37423076923076926</v>
      </c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2</v>
      </c>
      <c r="B175" s="10" t="s">
        <v>4</v>
      </c>
      <c r="C175" s="11" t="s">
        <v>13</v>
      </c>
      <c r="D175" s="13">
        <v>900</v>
      </c>
      <c r="E175" s="13">
        <f t="shared" si="26"/>
        <v>1800</v>
      </c>
      <c r="F175" s="13">
        <f t="shared" si="27"/>
        <v>1989</v>
      </c>
      <c r="G175" s="2"/>
      <c r="H175" s="2"/>
      <c r="I175" s="13">
        <v>460</v>
      </c>
      <c r="J175" s="13">
        <f t="shared" si="28"/>
        <v>920</v>
      </c>
      <c r="K175" s="13">
        <f t="shared" si="29"/>
        <v>1069</v>
      </c>
      <c r="L175" s="14">
        <f t="shared" si="30"/>
        <v>0.59388888888888891</v>
      </c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1</v>
      </c>
      <c r="B176" s="10" t="s">
        <v>21</v>
      </c>
      <c r="C176" s="11" t="s">
        <v>29</v>
      </c>
      <c r="D176" s="13">
        <v>3500</v>
      </c>
      <c r="E176" s="13">
        <f t="shared" si="26"/>
        <v>3500</v>
      </c>
      <c r="F176" s="13">
        <f t="shared" si="27"/>
        <v>3867.5</v>
      </c>
      <c r="G176" s="2"/>
      <c r="H176" s="2"/>
      <c r="I176" s="13">
        <v>1000</v>
      </c>
      <c r="J176" s="13">
        <f t="shared" si="28"/>
        <v>1000</v>
      </c>
      <c r="K176" s="13">
        <f t="shared" si="29"/>
        <v>2867.5</v>
      </c>
      <c r="L176" s="14">
        <f t="shared" si="30"/>
        <v>0.81928571428571428</v>
      </c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2">
        <v>2</v>
      </c>
      <c r="B177" s="10" t="s">
        <v>17</v>
      </c>
      <c r="C177" s="11" t="s">
        <v>19</v>
      </c>
      <c r="D177" s="13">
        <v>3600</v>
      </c>
      <c r="E177" s="13">
        <f t="shared" si="26"/>
        <v>7200</v>
      </c>
      <c r="F177" s="13">
        <f t="shared" si="27"/>
        <v>7956</v>
      </c>
      <c r="G177" s="2"/>
      <c r="H177" s="2"/>
      <c r="I177" s="13">
        <f>15000/7</f>
        <v>2142.8571428571427</v>
      </c>
      <c r="J177" s="13">
        <f t="shared" si="28"/>
        <v>4285.7142857142853</v>
      </c>
      <c r="K177" s="13">
        <f t="shared" si="29"/>
        <v>3670.2857142857147</v>
      </c>
      <c r="L177" s="14">
        <f t="shared" si="30"/>
        <v>0.50976190476190486</v>
      </c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2">
        <v>0.6</v>
      </c>
      <c r="B178" s="10" t="s">
        <v>17</v>
      </c>
      <c r="C178" s="11" t="s">
        <v>55</v>
      </c>
      <c r="D178" s="13">
        <v>21000</v>
      </c>
      <c r="E178" s="13">
        <f t="shared" si="26"/>
        <v>12600</v>
      </c>
      <c r="F178" s="13">
        <f t="shared" si="27"/>
        <v>13923</v>
      </c>
      <c r="G178" s="2"/>
      <c r="H178" s="2"/>
      <c r="I178" s="13">
        <v>16000</v>
      </c>
      <c r="J178" s="13">
        <f t="shared" si="28"/>
        <v>9600</v>
      </c>
      <c r="K178" s="13">
        <f t="shared" si="29"/>
        <v>4323</v>
      </c>
      <c r="L178" s="14">
        <f t="shared" si="30"/>
        <v>0.34309523809523812</v>
      </c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2">
        <v>2</v>
      </c>
      <c r="B179" s="10" t="s">
        <v>17</v>
      </c>
      <c r="C179" s="11" t="s">
        <v>61</v>
      </c>
      <c r="D179" s="13">
        <v>2800</v>
      </c>
      <c r="E179" s="13">
        <f t="shared" si="26"/>
        <v>5600</v>
      </c>
      <c r="F179" s="13">
        <f t="shared" si="27"/>
        <v>6188</v>
      </c>
      <c r="G179" s="2"/>
      <c r="H179" s="2"/>
      <c r="I179" s="13">
        <f>30000/14</f>
        <v>2142.8571428571427</v>
      </c>
      <c r="J179" s="13">
        <f t="shared" si="28"/>
        <v>4285.7142857142853</v>
      </c>
      <c r="K179" s="13">
        <f t="shared" si="29"/>
        <v>1902.2857142857147</v>
      </c>
      <c r="L179" s="14">
        <f t="shared" si="30"/>
        <v>0.33969387755102048</v>
      </c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2">
        <v>2.2000000000000002</v>
      </c>
      <c r="B180" s="10" t="s">
        <v>17</v>
      </c>
      <c r="C180" s="11" t="s">
        <v>36</v>
      </c>
      <c r="D180" s="13">
        <v>1800</v>
      </c>
      <c r="E180" s="13">
        <f t="shared" si="26"/>
        <v>3960.0000000000005</v>
      </c>
      <c r="F180" s="13">
        <f t="shared" si="27"/>
        <v>4375.8</v>
      </c>
      <c r="G180" s="2"/>
      <c r="H180" s="2"/>
      <c r="I180" s="13">
        <v>800</v>
      </c>
      <c r="J180" s="13">
        <f t="shared" si="28"/>
        <v>1760.0000000000002</v>
      </c>
      <c r="K180" s="13">
        <f t="shared" si="29"/>
        <v>2615.8000000000002</v>
      </c>
      <c r="L180" s="14">
        <f t="shared" si="30"/>
        <v>0.66055555555555556</v>
      </c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2.1</v>
      </c>
      <c r="B181" s="10" t="s">
        <v>17</v>
      </c>
      <c r="C181" s="11" t="s">
        <v>38</v>
      </c>
      <c r="D181" s="13">
        <v>1800</v>
      </c>
      <c r="E181" s="13">
        <f t="shared" si="26"/>
        <v>3780</v>
      </c>
      <c r="F181" s="13">
        <f t="shared" si="27"/>
        <v>4176.8999999999996</v>
      </c>
      <c r="G181" s="2"/>
      <c r="H181" s="2"/>
      <c r="I181" s="13">
        <v>800</v>
      </c>
      <c r="J181" s="13">
        <f t="shared" si="28"/>
        <v>1680</v>
      </c>
      <c r="K181" s="13">
        <f t="shared" si="29"/>
        <v>2496.8999999999996</v>
      </c>
      <c r="L181" s="14">
        <f t="shared" si="30"/>
        <v>0.66055555555555545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2">
        <v>1</v>
      </c>
      <c r="B182" s="10" t="s">
        <v>17</v>
      </c>
      <c r="C182" s="11" t="s">
        <v>35</v>
      </c>
      <c r="D182" s="13">
        <v>2500</v>
      </c>
      <c r="E182" s="13">
        <f t="shared" si="26"/>
        <v>2500</v>
      </c>
      <c r="F182" s="13">
        <f t="shared" si="27"/>
        <v>2762.5</v>
      </c>
      <c r="G182" s="2"/>
      <c r="H182" s="2"/>
      <c r="I182" s="13">
        <f>14000/9</f>
        <v>1555.5555555555557</v>
      </c>
      <c r="J182" s="13">
        <f t="shared" si="28"/>
        <v>1555.5555555555557</v>
      </c>
      <c r="K182" s="13">
        <f t="shared" si="29"/>
        <v>1206.9444444444443</v>
      </c>
      <c r="L182" s="14">
        <f t="shared" si="30"/>
        <v>0.48277777777777775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4</v>
      </c>
      <c r="B183" s="10" t="s">
        <v>15</v>
      </c>
      <c r="C183" s="11" t="s">
        <v>27</v>
      </c>
      <c r="D183" s="13">
        <v>25000</v>
      </c>
      <c r="E183" s="13">
        <f t="shared" si="26"/>
        <v>100000</v>
      </c>
      <c r="F183" s="13">
        <f t="shared" si="27"/>
        <v>110500</v>
      </c>
      <c r="G183" s="2"/>
      <c r="H183" s="2"/>
      <c r="I183" s="13">
        <v>18000</v>
      </c>
      <c r="J183" s="13">
        <f t="shared" si="28"/>
        <v>72000</v>
      </c>
      <c r="K183" s="13">
        <f t="shared" si="29"/>
        <v>38500</v>
      </c>
      <c r="L183" s="14">
        <f t="shared" si="30"/>
        <v>0.38500000000000001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1</v>
      </c>
      <c r="B184" s="10" t="s">
        <v>15</v>
      </c>
      <c r="C184" s="11" t="s">
        <v>129</v>
      </c>
      <c r="D184" s="13">
        <v>16000</v>
      </c>
      <c r="E184" s="13">
        <f t="shared" si="26"/>
        <v>16000</v>
      </c>
      <c r="F184" s="13">
        <f t="shared" si="27"/>
        <v>17680</v>
      </c>
      <c r="G184" s="2"/>
      <c r="H184" s="2"/>
      <c r="I184" s="13">
        <v>11000</v>
      </c>
      <c r="J184" s="13">
        <f t="shared" si="28"/>
        <v>11000</v>
      </c>
      <c r="K184" s="13">
        <f t="shared" si="29"/>
        <v>6680</v>
      </c>
      <c r="L184" s="14">
        <f t="shared" si="30"/>
        <v>0.41749999999999998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2</v>
      </c>
      <c r="B185" s="10" t="s">
        <v>17</v>
      </c>
      <c r="C185" s="11" t="s">
        <v>18</v>
      </c>
      <c r="D185" s="13">
        <v>1600</v>
      </c>
      <c r="E185" s="13">
        <f t="shared" si="26"/>
        <v>3200</v>
      </c>
      <c r="F185" s="13">
        <f t="shared" si="27"/>
        <v>3536</v>
      </c>
      <c r="G185" s="2"/>
      <c r="H185" s="2"/>
      <c r="I185" s="13">
        <v>1000</v>
      </c>
      <c r="J185" s="13">
        <f t="shared" si="28"/>
        <v>2000</v>
      </c>
      <c r="K185" s="13">
        <f t="shared" si="29"/>
        <v>1536</v>
      </c>
      <c r="L185" s="14">
        <f t="shared" si="30"/>
        <v>0.48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2</v>
      </c>
      <c r="B186" s="10" t="s">
        <v>17</v>
      </c>
      <c r="C186" s="11" t="s">
        <v>56</v>
      </c>
      <c r="D186" s="13">
        <v>1200</v>
      </c>
      <c r="E186" s="13">
        <f t="shared" si="26"/>
        <v>2400</v>
      </c>
      <c r="F186" s="13">
        <f t="shared" si="27"/>
        <v>2652</v>
      </c>
      <c r="G186" s="2"/>
      <c r="H186" s="2"/>
      <c r="I186" s="13">
        <f>13000/16</f>
        <v>812.5</v>
      </c>
      <c r="J186" s="13">
        <f t="shared" si="28"/>
        <v>1625</v>
      </c>
      <c r="K186" s="13">
        <f t="shared" si="29"/>
        <v>1027</v>
      </c>
      <c r="L186" s="14">
        <f t="shared" si="30"/>
        <v>0.42791666666666667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1</v>
      </c>
      <c r="B187" s="10" t="s">
        <v>23</v>
      </c>
      <c r="C187" s="11" t="s">
        <v>25</v>
      </c>
      <c r="D187" s="13">
        <v>72000</v>
      </c>
      <c r="E187" s="13">
        <f t="shared" si="26"/>
        <v>72000</v>
      </c>
      <c r="F187" s="13">
        <f t="shared" si="27"/>
        <v>79560</v>
      </c>
      <c r="G187" s="2"/>
      <c r="H187" s="13"/>
      <c r="I187" s="13">
        <v>50000</v>
      </c>
      <c r="J187" s="13">
        <f t="shared" si="28"/>
        <v>50000</v>
      </c>
      <c r="K187" s="13">
        <f t="shared" si="29"/>
        <v>29560</v>
      </c>
      <c r="L187" s="14">
        <f t="shared" si="30"/>
        <v>0.41055555555555556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1</v>
      </c>
      <c r="B188" s="10" t="s">
        <v>23</v>
      </c>
      <c r="C188" s="11" t="s">
        <v>24</v>
      </c>
      <c r="D188" s="13">
        <v>60000</v>
      </c>
      <c r="E188" s="13">
        <f t="shared" si="26"/>
        <v>60000</v>
      </c>
      <c r="F188" s="13">
        <f t="shared" si="27"/>
        <v>66300</v>
      </c>
      <c r="G188" s="2"/>
      <c r="H188" s="13"/>
      <c r="I188" s="13">
        <v>62000</v>
      </c>
      <c r="J188" s="13">
        <f t="shared" si="28"/>
        <v>62000</v>
      </c>
      <c r="K188" s="13">
        <f t="shared" si="29"/>
        <v>4300</v>
      </c>
      <c r="L188" s="14">
        <f t="shared" si="30"/>
        <v>7.166666666666667E-2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0.5</v>
      </c>
      <c r="B189" s="10" t="s">
        <v>17</v>
      </c>
      <c r="C189" s="11" t="s">
        <v>89</v>
      </c>
      <c r="D189" s="13">
        <v>12500</v>
      </c>
      <c r="E189" s="13">
        <f t="shared" si="26"/>
        <v>6250</v>
      </c>
      <c r="F189" s="13">
        <f t="shared" si="27"/>
        <v>6906.25</v>
      </c>
      <c r="G189" s="2"/>
      <c r="H189" s="2"/>
      <c r="I189" s="13">
        <f>45000/4</f>
        <v>11250</v>
      </c>
      <c r="J189" s="13">
        <f t="shared" si="28"/>
        <v>5625</v>
      </c>
      <c r="K189" s="13">
        <f t="shared" si="29"/>
        <v>1281.25</v>
      </c>
      <c r="L189" s="14">
        <f t="shared" si="30"/>
        <v>0.20499999999999999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2</v>
      </c>
      <c r="B190" s="10" t="s">
        <v>23</v>
      </c>
      <c r="C190" s="11" t="s">
        <v>26</v>
      </c>
      <c r="D190" s="13">
        <v>22000</v>
      </c>
      <c r="E190" s="13">
        <f t="shared" si="26"/>
        <v>44000</v>
      </c>
      <c r="F190" s="13">
        <f t="shared" si="27"/>
        <v>48620</v>
      </c>
      <c r="G190" s="2"/>
      <c r="H190" s="2"/>
      <c r="I190" s="13">
        <v>17000</v>
      </c>
      <c r="J190" s="13">
        <f t="shared" si="28"/>
        <v>34000</v>
      </c>
      <c r="K190" s="13">
        <f t="shared" si="29"/>
        <v>14620</v>
      </c>
      <c r="L190" s="14">
        <f t="shared" si="30"/>
        <v>0.33227272727272728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0.5</v>
      </c>
      <c r="B191" s="10" t="s">
        <v>23</v>
      </c>
      <c r="C191" s="11" t="s">
        <v>12</v>
      </c>
      <c r="D191" s="13">
        <v>54000</v>
      </c>
      <c r="E191" s="13">
        <f t="shared" si="26"/>
        <v>27000</v>
      </c>
      <c r="F191" s="13">
        <f>E191*1.21</f>
        <v>32670</v>
      </c>
      <c r="G191" s="2"/>
      <c r="H191" s="2"/>
      <c r="I191" s="13">
        <v>54000</v>
      </c>
      <c r="J191" s="13">
        <f t="shared" si="28"/>
        <v>27000</v>
      </c>
      <c r="K191" s="13">
        <f t="shared" si="29"/>
        <v>5670</v>
      </c>
      <c r="L191" s="14">
        <f t="shared" si="30"/>
        <v>0.21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5"/>
      <c r="B192" s="2"/>
      <c r="C192" s="4"/>
      <c r="D192" s="2"/>
      <c r="E192" s="2"/>
      <c r="F192" s="2"/>
      <c r="G192" s="2"/>
      <c r="H192" s="2"/>
      <c r="I192" s="2"/>
      <c r="J192" s="2"/>
      <c r="K192" s="2"/>
      <c r="L192" s="3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"/>
      <c r="B193" s="2"/>
      <c r="C193" s="4"/>
      <c r="D193" s="2"/>
      <c r="E193" s="13">
        <f t="shared" ref="E193:F193" si="31">SUM(E164:E191)</f>
        <v>494590</v>
      </c>
      <c r="F193" s="13">
        <f t="shared" si="31"/>
        <v>549356.94999999995</v>
      </c>
      <c r="G193" s="2"/>
      <c r="H193" s="2"/>
      <c r="I193" s="2"/>
      <c r="J193" s="2"/>
      <c r="K193" s="13">
        <f>SUM(K164:K191)</f>
        <v>187743.02175652629</v>
      </c>
      <c r="L193" s="14">
        <f>K193/F193</f>
        <v>0.34175051713922305</v>
      </c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88" t="s">
        <v>59</v>
      </c>
      <c r="B196" s="89"/>
      <c r="C196" s="89"/>
      <c r="D196" s="2"/>
      <c r="E196" s="7" t="s">
        <v>1</v>
      </c>
      <c r="F196" s="8">
        <v>46129</v>
      </c>
      <c r="G196" s="2"/>
      <c r="H196" s="2"/>
      <c r="I196" s="9" t="s">
        <v>2</v>
      </c>
      <c r="J196" s="9"/>
      <c r="K196" s="9"/>
      <c r="L196" s="3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3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6" t="s">
        <v>3</v>
      </c>
      <c r="B198" s="10" t="s">
        <v>4</v>
      </c>
      <c r="C198" s="11" t="s">
        <v>5</v>
      </c>
      <c r="D198" s="10" t="s">
        <v>6</v>
      </c>
      <c r="E198" s="10" t="s">
        <v>7</v>
      </c>
      <c r="F198" s="10" t="s">
        <v>8</v>
      </c>
      <c r="G198" s="2"/>
      <c r="H198" s="2"/>
      <c r="I198" s="10" t="s">
        <v>9</v>
      </c>
      <c r="J198" s="10" t="s">
        <v>7</v>
      </c>
      <c r="K198" s="10" t="s">
        <v>10</v>
      </c>
      <c r="L198" s="3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2">
        <v>2</v>
      </c>
      <c r="B199" s="10" t="s">
        <v>17</v>
      </c>
      <c r="C199" s="11" t="s">
        <v>43</v>
      </c>
      <c r="D199" s="13">
        <v>5000</v>
      </c>
      <c r="E199" s="13">
        <f t="shared" ref="E199:E220" si="32">A199*D199</f>
        <v>10000</v>
      </c>
      <c r="F199" s="13">
        <f t="shared" ref="F199:F220" si="33">E199*1.105</f>
        <v>11050</v>
      </c>
      <c r="G199" s="2"/>
      <c r="H199" s="2"/>
      <c r="I199" s="13">
        <v>3000</v>
      </c>
      <c r="J199" s="13">
        <f t="shared" ref="J199:J220" si="34">I199*A199</f>
        <v>6000</v>
      </c>
      <c r="K199" s="13">
        <f t="shared" ref="K199:K220" si="35">F199-J199</f>
        <v>5050</v>
      </c>
      <c r="L199" s="14">
        <f t="shared" ref="L199:L220" si="36">IFERROR(K199/E199, 0)</f>
        <v>0.505</v>
      </c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2">
        <v>10</v>
      </c>
      <c r="B200" s="10" t="s">
        <v>21</v>
      </c>
      <c r="C200" s="11" t="s">
        <v>46</v>
      </c>
      <c r="D200" s="13">
        <v>600</v>
      </c>
      <c r="E200" s="13">
        <f t="shared" si="32"/>
        <v>6000</v>
      </c>
      <c r="F200" s="13">
        <f t="shared" si="33"/>
        <v>6630</v>
      </c>
      <c r="G200" s="2"/>
      <c r="H200" s="2"/>
      <c r="I200" s="13">
        <f>7000/24</f>
        <v>291.66666666666669</v>
      </c>
      <c r="J200" s="13">
        <f t="shared" si="34"/>
        <v>2916.666666666667</v>
      </c>
      <c r="K200" s="13">
        <f t="shared" si="35"/>
        <v>3713.333333333333</v>
      </c>
      <c r="L200" s="14">
        <f t="shared" si="36"/>
        <v>0.61888888888888882</v>
      </c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2">
        <v>2</v>
      </c>
      <c r="B201" s="10" t="s">
        <v>17</v>
      </c>
      <c r="C201" s="11" t="s">
        <v>19</v>
      </c>
      <c r="D201" s="13">
        <v>3600</v>
      </c>
      <c r="E201" s="13">
        <f t="shared" si="32"/>
        <v>7200</v>
      </c>
      <c r="F201" s="13">
        <f t="shared" si="33"/>
        <v>7956</v>
      </c>
      <c r="G201" s="2"/>
      <c r="H201" s="2"/>
      <c r="I201" s="13">
        <f>15000/7</f>
        <v>2142.8571428571427</v>
      </c>
      <c r="J201" s="13">
        <f t="shared" si="34"/>
        <v>4285.7142857142853</v>
      </c>
      <c r="K201" s="13">
        <f t="shared" si="35"/>
        <v>3670.2857142857147</v>
      </c>
      <c r="L201" s="14">
        <f t="shared" si="36"/>
        <v>0.50976190476190486</v>
      </c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2">
        <v>1</v>
      </c>
      <c r="B202" s="10" t="s">
        <v>21</v>
      </c>
      <c r="C202" s="11" t="s">
        <v>51</v>
      </c>
      <c r="D202" s="13">
        <v>1500</v>
      </c>
      <c r="E202" s="13">
        <f t="shared" si="32"/>
        <v>1500</v>
      </c>
      <c r="F202" s="13">
        <f t="shared" si="33"/>
        <v>1657.5</v>
      </c>
      <c r="G202" s="2"/>
      <c r="H202" s="2"/>
      <c r="I202" s="13">
        <v>750</v>
      </c>
      <c r="J202" s="13">
        <f t="shared" si="34"/>
        <v>750</v>
      </c>
      <c r="K202" s="13">
        <f t="shared" si="35"/>
        <v>907.5</v>
      </c>
      <c r="L202" s="14">
        <f t="shared" si="36"/>
        <v>0.60499999999999998</v>
      </c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2">
        <v>15</v>
      </c>
      <c r="B203" s="10" t="s">
        <v>4</v>
      </c>
      <c r="C203" s="11" t="s">
        <v>20</v>
      </c>
      <c r="D203" s="13">
        <v>500</v>
      </c>
      <c r="E203" s="13">
        <f t="shared" si="32"/>
        <v>7500</v>
      </c>
      <c r="F203" s="13">
        <f t="shared" si="33"/>
        <v>8287.5</v>
      </c>
      <c r="G203" s="2"/>
      <c r="H203" s="2"/>
      <c r="I203" s="13">
        <f>85000/242</f>
        <v>351.23966942148758</v>
      </c>
      <c r="J203" s="13">
        <f t="shared" si="34"/>
        <v>5268.5950413223136</v>
      </c>
      <c r="K203" s="13">
        <f t="shared" si="35"/>
        <v>3018.9049586776864</v>
      </c>
      <c r="L203" s="14">
        <f t="shared" si="36"/>
        <v>0.40252066115702484</v>
      </c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2">
        <v>2</v>
      </c>
      <c r="B204" s="10" t="s">
        <v>4</v>
      </c>
      <c r="C204" s="11" t="s">
        <v>41</v>
      </c>
      <c r="D204" s="13">
        <v>2600</v>
      </c>
      <c r="E204" s="13">
        <f t="shared" si="32"/>
        <v>5200</v>
      </c>
      <c r="F204" s="13">
        <f t="shared" si="33"/>
        <v>5746</v>
      </c>
      <c r="G204" s="2"/>
      <c r="H204" s="2"/>
      <c r="I204" s="13">
        <f>19000/10</f>
        <v>1900</v>
      </c>
      <c r="J204" s="13">
        <f t="shared" si="34"/>
        <v>3800</v>
      </c>
      <c r="K204" s="13">
        <f t="shared" si="35"/>
        <v>1946</v>
      </c>
      <c r="L204" s="14">
        <f t="shared" si="36"/>
        <v>0.37423076923076926</v>
      </c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2">
        <v>2</v>
      </c>
      <c r="B205" s="10" t="s">
        <v>17</v>
      </c>
      <c r="C205" s="11" t="s">
        <v>34</v>
      </c>
      <c r="D205" s="13">
        <v>5000</v>
      </c>
      <c r="E205" s="13">
        <f t="shared" si="32"/>
        <v>10000</v>
      </c>
      <c r="F205" s="13">
        <f t="shared" si="33"/>
        <v>11050</v>
      </c>
      <c r="G205" s="2"/>
      <c r="H205" s="2"/>
      <c r="I205" s="13">
        <v>2300</v>
      </c>
      <c r="J205" s="13">
        <f t="shared" si="34"/>
        <v>4600</v>
      </c>
      <c r="K205" s="13">
        <f t="shared" si="35"/>
        <v>6450</v>
      </c>
      <c r="L205" s="14">
        <f t="shared" si="36"/>
        <v>0.64500000000000002</v>
      </c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2">
        <v>1</v>
      </c>
      <c r="B206" s="10" t="s">
        <v>17</v>
      </c>
      <c r="C206" s="11" t="s">
        <v>35</v>
      </c>
      <c r="D206" s="13">
        <v>2500</v>
      </c>
      <c r="E206" s="13">
        <f t="shared" si="32"/>
        <v>2500</v>
      </c>
      <c r="F206" s="13">
        <f t="shared" si="33"/>
        <v>2762.5</v>
      </c>
      <c r="G206" s="2"/>
      <c r="H206" s="2"/>
      <c r="I206" s="13">
        <f>14000/9</f>
        <v>1555.5555555555557</v>
      </c>
      <c r="J206" s="13">
        <f t="shared" si="34"/>
        <v>1555.5555555555557</v>
      </c>
      <c r="K206" s="13">
        <f t="shared" si="35"/>
        <v>1206.9444444444443</v>
      </c>
      <c r="L206" s="14">
        <f t="shared" si="36"/>
        <v>0.48277777777777775</v>
      </c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2">
        <v>2</v>
      </c>
      <c r="B207" s="10" t="s">
        <v>21</v>
      </c>
      <c r="C207" s="11" t="s">
        <v>52</v>
      </c>
      <c r="D207" s="13">
        <v>2000</v>
      </c>
      <c r="E207" s="13">
        <f t="shared" si="32"/>
        <v>4000</v>
      </c>
      <c r="F207" s="13">
        <f t="shared" si="33"/>
        <v>4420</v>
      </c>
      <c r="G207" s="2"/>
      <c r="H207" s="2"/>
      <c r="I207" s="13">
        <v>1000</v>
      </c>
      <c r="J207" s="13">
        <f t="shared" si="34"/>
        <v>2000</v>
      </c>
      <c r="K207" s="13">
        <f t="shared" si="35"/>
        <v>2420</v>
      </c>
      <c r="L207" s="14">
        <f t="shared" si="36"/>
        <v>0.60499999999999998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2">
        <v>2</v>
      </c>
      <c r="B208" s="10" t="s">
        <v>4</v>
      </c>
      <c r="C208" s="11" t="s">
        <v>65</v>
      </c>
      <c r="D208" s="13">
        <v>1000</v>
      </c>
      <c r="E208" s="13">
        <f t="shared" si="32"/>
        <v>2000</v>
      </c>
      <c r="F208" s="13">
        <f t="shared" si="33"/>
        <v>2210</v>
      </c>
      <c r="G208" s="2"/>
      <c r="H208" s="2"/>
      <c r="I208" s="13">
        <f>20000/50</f>
        <v>400</v>
      </c>
      <c r="J208" s="13">
        <f t="shared" si="34"/>
        <v>800</v>
      </c>
      <c r="K208" s="13">
        <f t="shared" si="35"/>
        <v>1410</v>
      </c>
      <c r="L208" s="14">
        <f t="shared" si="36"/>
        <v>0.70499999999999996</v>
      </c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2">
        <v>0.5</v>
      </c>
      <c r="B209" s="10" t="s">
        <v>17</v>
      </c>
      <c r="C209" s="11" t="s">
        <v>93</v>
      </c>
      <c r="D209" s="13">
        <v>3000</v>
      </c>
      <c r="E209" s="13">
        <f t="shared" si="32"/>
        <v>1500</v>
      </c>
      <c r="F209" s="13">
        <f t="shared" si="33"/>
        <v>1657.5</v>
      </c>
      <c r="G209" s="2"/>
      <c r="H209" s="2"/>
      <c r="I209" s="13">
        <f>10000/5</f>
        <v>2000</v>
      </c>
      <c r="J209" s="13">
        <f t="shared" si="34"/>
        <v>1000</v>
      </c>
      <c r="K209" s="13">
        <f t="shared" si="35"/>
        <v>657.5</v>
      </c>
      <c r="L209" s="14">
        <f t="shared" si="36"/>
        <v>0.43833333333333335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2">
        <v>1</v>
      </c>
      <c r="B210" s="10" t="s">
        <v>17</v>
      </c>
      <c r="C210" s="11" t="s">
        <v>30</v>
      </c>
      <c r="D210" s="13">
        <v>2600</v>
      </c>
      <c r="E210" s="13">
        <f t="shared" si="32"/>
        <v>2600</v>
      </c>
      <c r="F210" s="13">
        <f t="shared" si="33"/>
        <v>2873</v>
      </c>
      <c r="G210" s="2"/>
      <c r="H210" s="2"/>
      <c r="I210" s="13">
        <v>2000</v>
      </c>
      <c r="J210" s="13">
        <f t="shared" si="34"/>
        <v>2000</v>
      </c>
      <c r="K210" s="13">
        <f t="shared" si="35"/>
        <v>873</v>
      </c>
      <c r="L210" s="14">
        <f t="shared" si="36"/>
        <v>0.33576923076923076</v>
      </c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2">
        <v>1.5</v>
      </c>
      <c r="B211" s="10" t="s">
        <v>17</v>
      </c>
      <c r="C211" s="11" t="s">
        <v>18</v>
      </c>
      <c r="D211" s="13">
        <v>1600</v>
      </c>
      <c r="E211" s="13">
        <f t="shared" si="32"/>
        <v>2400</v>
      </c>
      <c r="F211" s="13">
        <f t="shared" si="33"/>
        <v>2652</v>
      </c>
      <c r="G211" s="2"/>
      <c r="H211" s="2"/>
      <c r="I211" s="13">
        <v>1000</v>
      </c>
      <c r="J211" s="13">
        <f t="shared" si="34"/>
        <v>1500</v>
      </c>
      <c r="K211" s="13">
        <f t="shared" si="35"/>
        <v>1152</v>
      </c>
      <c r="L211" s="14">
        <f t="shared" si="36"/>
        <v>0.48</v>
      </c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2">
        <v>1</v>
      </c>
      <c r="B212" s="10" t="s">
        <v>15</v>
      </c>
      <c r="C212" s="11" t="s">
        <v>40</v>
      </c>
      <c r="D212" s="13">
        <v>12000</v>
      </c>
      <c r="E212" s="13">
        <f t="shared" si="32"/>
        <v>12000</v>
      </c>
      <c r="F212" s="13">
        <f t="shared" si="33"/>
        <v>13260</v>
      </c>
      <c r="G212" s="2"/>
      <c r="H212" s="2"/>
      <c r="I212" s="13">
        <v>7000</v>
      </c>
      <c r="J212" s="13">
        <f t="shared" si="34"/>
        <v>7000</v>
      </c>
      <c r="K212" s="13">
        <f t="shared" si="35"/>
        <v>6260</v>
      </c>
      <c r="L212" s="14">
        <f t="shared" si="36"/>
        <v>0.52166666666666661</v>
      </c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2">
        <v>1</v>
      </c>
      <c r="B213" s="10" t="s">
        <v>15</v>
      </c>
      <c r="C213" s="11" t="s">
        <v>48</v>
      </c>
      <c r="D213" s="13">
        <v>13000</v>
      </c>
      <c r="E213" s="13">
        <f t="shared" si="32"/>
        <v>13000</v>
      </c>
      <c r="F213" s="13">
        <f t="shared" si="33"/>
        <v>14365</v>
      </c>
      <c r="G213" s="2"/>
      <c r="H213" s="2"/>
      <c r="I213" s="13">
        <v>8000</v>
      </c>
      <c r="J213" s="13">
        <f t="shared" si="34"/>
        <v>8000</v>
      </c>
      <c r="K213" s="13">
        <f t="shared" si="35"/>
        <v>6365</v>
      </c>
      <c r="L213" s="14">
        <f t="shared" si="36"/>
        <v>0.48961538461538462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2">
        <v>3</v>
      </c>
      <c r="B214" s="10" t="s">
        <v>15</v>
      </c>
      <c r="C214" s="11" t="s">
        <v>27</v>
      </c>
      <c r="D214" s="13">
        <v>25000</v>
      </c>
      <c r="E214" s="13">
        <f t="shared" si="32"/>
        <v>75000</v>
      </c>
      <c r="F214" s="13">
        <f t="shared" si="33"/>
        <v>82875</v>
      </c>
      <c r="G214" s="2"/>
      <c r="H214" s="2"/>
      <c r="I214" s="13">
        <v>18000</v>
      </c>
      <c r="J214" s="13">
        <f t="shared" si="34"/>
        <v>54000</v>
      </c>
      <c r="K214" s="13">
        <f t="shared" si="35"/>
        <v>28875</v>
      </c>
      <c r="L214" s="14">
        <f t="shared" si="36"/>
        <v>0.38500000000000001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7</v>
      </c>
      <c r="B215" s="10" t="s">
        <v>17</v>
      </c>
      <c r="C215" s="11" t="s">
        <v>129</v>
      </c>
      <c r="D215" s="13">
        <v>16000</v>
      </c>
      <c r="E215" s="13">
        <f t="shared" si="32"/>
        <v>112000</v>
      </c>
      <c r="F215" s="13">
        <f t="shared" si="33"/>
        <v>123760</v>
      </c>
      <c r="G215" s="2"/>
      <c r="H215" s="2"/>
      <c r="I215" s="13">
        <v>11000</v>
      </c>
      <c r="J215" s="13">
        <f t="shared" si="34"/>
        <v>77000</v>
      </c>
      <c r="K215" s="13">
        <f t="shared" si="35"/>
        <v>46760</v>
      </c>
      <c r="L215" s="14">
        <f t="shared" si="36"/>
        <v>0.41749999999999998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2</v>
      </c>
      <c r="B216" s="10" t="s">
        <v>23</v>
      </c>
      <c r="C216" s="11" t="s">
        <v>26</v>
      </c>
      <c r="D216" s="13">
        <v>22000</v>
      </c>
      <c r="E216" s="13">
        <f t="shared" si="32"/>
        <v>44000</v>
      </c>
      <c r="F216" s="13">
        <f t="shared" si="33"/>
        <v>48620</v>
      </c>
      <c r="G216" s="2"/>
      <c r="H216" s="2"/>
      <c r="I216" s="13">
        <v>17000</v>
      </c>
      <c r="J216" s="13">
        <f t="shared" si="34"/>
        <v>34000</v>
      </c>
      <c r="K216" s="13">
        <f t="shared" si="35"/>
        <v>14620</v>
      </c>
      <c r="L216" s="14">
        <f t="shared" si="36"/>
        <v>0.33227272727272728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4</v>
      </c>
      <c r="B217" s="10" t="s">
        <v>17</v>
      </c>
      <c r="C217" s="11" t="s">
        <v>25</v>
      </c>
      <c r="D217" s="13">
        <v>4500</v>
      </c>
      <c r="E217" s="13">
        <f t="shared" si="32"/>
        <v>18000</v>
      </c>
      <c r="F217" s="13">
        <f t="shared" si="33"/>
        <v>19890</v>
      </c>
      <c r="G217" s="2"/>
      <c r="H217" s="2"/>
      <c r="I217" s="13">
        <f>62000/17</f>
        <v>3647.0588235294117</v>
      </c>
      <c r="J217" s="13">
        <f t="shared" si="34"/>
        <v>14588.235294117647</v>
      </c>
      <c r="K217" s="13">
        <f t="shared" si="35"/>
        <v>5301.7647058823532</v>
      </c>
      <c r="L217" s="14">
        <f t="shared" si="36"/>
        <v>0.29454248366013075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5</v>
      </c>
      <c r="B218" s="10" t="s">
        <v>17</v>
      </c>
      <c r="C218" s="11" t="s">
        <v>24</v>
      </c>
      <c r="D218" s="13">
        <v>3600</v>
      </c>
      <c r="E218" s="13">
        <f t="shared" si="32"/>
        <v>18000</v>
      </c>
      <c r="F218" s="13">
        <f t="shared" si="33"/>
        <v>19890</v>
      </c>
      <c r="G218" s="2"/>
      <c r="I218" s="13">
        <f>50000/17</f>
        <v>2941.1764705882351</v>
      </c>
      <c r="J218" s="13">
        <f t="shared" si="34"/>
        <v>14705.882352941175</v>
      </c>
      <c r="K218" s="13">
        <f t="shared" si="35"/>
        <v>5184.1176470588252</v>
      </c>
      <c r="L218" s="14">
        <f t="shared" si="36"/>
        <v>0.28800653594771253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2">
        <v>4</v>
      </c>
      <c r="B219" s="10" t="s">
        <v>17</v>
      </c>
      <c r="C219" s="11" t="s">
        <v>62</v>
      </c>
      <c r="D219" s="13">
        <v>3000</v>
      </c>
      <c r="E219" s="13">
        <f t="shared" si="32"/>
        <v>12000</v>
      </c>
      <c r="F219" s="13">
        <f t="shared" si="33"/>
        <v>13260</v>
      </c>
      <c r="G219" s="2"/>
      <c r="I219" s="13">
        <f>28000/17</f>
        <v>1647.0588235294117</v>
      </c>
      <c r="J219" s="13">
        <f t="shared" si="34"/>
        <v>6588.2352941176468</v>
      </c>
      <c r="K219" s="13">
        <f t="shared" si="35"/>
        <v>6671.7647058823532</v>
      </c>
      <c r="L219" s="14">
        <f t="shared" si="36"/>
        <v>0.55598039215686279</v>
      </c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1</v>
      </c>
      <c r="B220" s="10" t="s">
        <v>17</v>
      </c>
      <c r="C220" s="11" t="s">
        <v>1085</v>
      </c>
      <c r="D220" s="13">
        <v>2800</v>
      </c>
      <c r="E220" s="13">
        <f t="shared" si="32"/>
        <v>2800</v>
      </c>
      <c r="F220" s="13">
        <f t="shared" si="33"/>
        <v>3094</v>
      </c>
      <c r="G220" s="2"/>
      <c r="H220" s="2"/>
      <c r="I220" s="13">
        <v>3080</v>
      </c>
      <c r="J220" s="13">
        <f t="shared" si="34"/>
        <v>3080</v>
      </c>
      <c r="K220" s="13">
        <f t="shared" si="35"/>
        <v>14</v>
      </c>
      <c r="L220" s="14">
        <f t="shared" si="36"/>
        <v>5.0000000000000001E-3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5"/>
      <c r="B221" s="2"/>
      <c r="C221" s="4"/>
      <c r="D221" s="2"/>
      <c r="E221" s="2"/>
      <c r="F221" s="2"/>
      <c r="G221" s="2"/>
      <c r="H221" s="2"/>
      <c r="I221" s="2"/>
      <c r="J221" s="2"/>
      <c r="K221" s="2"/>
      <c r="L221" s="3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"/>
      <c r="B222" s="2"/>
      <c r="C222" s="4"/>
      <c r="D222" s="2"/>
      <c r="E222" s="13">
        <f t="shared" ref="E222:F222" si="37">SUM(E199:E220)</f>
        <v>369200</v>
      </c>
      <c r="F222" s="13">
        <f t="shared" si="37"/>
        <v>407966</v>
      </c>
      <c r="G222" s="2"/>
      <c r="H222" s="2"/>
      <c r="I222" s="2"/>
      <c r="J222" s="2"/>
      <c r="K222" s="13">
        <f>SUM(K199:K220)</f>
        <v>152527.1155095647</v>
      </c>
      <c r="L222" s="14">
        <f>K222/F222</f>
        <v>0.37387212539663772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88" t="s">
        <v>63</v>
      </c>
      <c r="B225" s="89"/>
      <c r="C225" s="89"/>
      <c r="D225" s="2"/>
      <c r="E225" s="7" t="s">
        <v>1088</v>
      </c>
      <c r="F225" s="8">
        <v>46129</v>
      </c>
      <c r="G225" s="7"/>
      <c r="H225" s="2"/>
      <c r="I225" s="9" t="s">
        <v>2</v>
      </c>
      <c r="J225" s="9"/>
      <c r="K225" s="9"/>
      <c r="L225" s="3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3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6" t="s">
        <v>3</v>
      </c>
      <c r="B227" s="10" t="s">
        <v>4</v>
      </c>
      <c r="C227" s="11" t="s">
        <v>5</v>
      </c>
      <c r="D227" s="10" t="s">
        <v>6</v>
      </c>
      <c r="E227" s="10" t="s">
        <v>7</v>
      </c>
      <c r="F227" s="10" t="s">
        <v>8</v>
      </c>
      <c r="G227" s="2"/>
      <c r="H227" s="2"/>
      <c r="I227" s="10" t="s">
        <v>9</v>
      </c>
      <c r="J227" s="10" t="s">
        <v>7</v>
      </c>
      <c r="K227" s="10" t="s">
        <v>10</v>
      </c>
      <c r="L227" s="3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1</v>
      </c>
      <c r="B228" s="10" t="s">
        <v>21</v>
      </c>
      <c r="C228" s="11" t="s">
        <v>51</v>
      </c>
      <c r="D228" s="13">
        <v>1500</v>
      </c>
      <c r="E228" s="13">
        <f t="shared" ref="E228:E259" si="38">A228*D228</f>
        <v>1500</v>
      </c>
      <c r="F228" s="13">
        <f t="shared" ref="F228:F259" si="39">E228*1.105</f>
        <v>1657.5</v>
      </c>
      <c r="G228" s="2"/>
      <c r="H228" s="2"/>
      <c r="I228" s="13">
        <v>750</v>
      </c>
      <c r="J228" s="13">
        <f t="shared" ref="J228:J259" si="40">I228*A228</f>
        <v>750</v>
      </c>
      <c r="K228" s="13">
        <f t="shared" ref="K228:K259" si="41">F228-J228</f>
        <v>907.5</v>
      </c>
      <c r="L228" s="14">
        <f t="shared" ref="L228:L259" si="42">IFERROR(K228/E228, 0)</f>
        <v>0.60499999999999998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1</v>
      </c>
      <c r="B229" s="10" t="s">
        <v>4</v>
      </c>
      <c r="C229" s="11" t="s">
        <v>64</v>
      </c>
      <c r="D229" s="13">
        <v>2500</v>
      </c>
      <c r="E229" s="13">
        <f t="shared" si="38"/>
        <v>2500</v>
      </c>
      <c r="F229" s="13">
        <f t="shared" si="39"/>
        <v>2762.5</v>
      </c>
      <c r="G229" s="2"/>
      <c r="H229" s="2"/>
      <c r="I229" s="13">
        <v>1000</v>
      </c>
      <c r="J229" s="13">
        <f t="shared" si="40"/>
        <v>1000</v>
      </c>
      <c r="K229" s="13">
        <f t="shared" si="41"/>
        <v>1762.5</v>
      </c>
      <c r="L229" s="14">
        <f t="shared" si="42"/>
        <v>0.70499999999999996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6.15</v>
      </c>
      <c r="B230" s="10" t="s">
        <v>17</v>
      </c>
      <c r="C230" s="11" t="s">
        <v>62</v>
      </c>
      <c r="D230" s="13">
        <v>3000</v>
      </c>
      <c r="E230" s="13">
        <f t="shared" si="38"/>
        <v>18450</v>
      </c>
      <c r="F230" s="13">
        <f t="shared" si="39"/>
        <v>20387.25</v>
      </c>
      <c r="G230" s="2"/>
      <c r="H230" s="2"/>
      <c r="I230" s="13">
        <f>28000/17</f>
        <v>1647.0588235294117</v>
      </c>
      <c r="J230" s="13">
        <f t="shared" si="40"/>
        <v>10129.411764705883</v>
      </c>
      <c r="K230" s="13">
        <f t="shared" si="41"/>
        <v>10257.838235294117</v>
      </c>
      <c r="L230" s="14">
        <f t="shared" si="42"/>
        <v>0.55598039215686268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0.5</v>
      </c>
      <c r="B231" s="10" t="s">
        <v>15</v>
      </c>
      <c r="C231" s="11" t="s">
        <v>129</v>
      </c>
      <c r="D231" s="13">
        <v>16000</v>
      </c>
      <c r="E231" s="13">
        <f t="shared" si="38"/>
        <v>8000</v>
      </c>
      <c r="F231" s="13">
        <f t="shared" si="39"/>
        <v>8840</v>
      </c>
      <c r="G231" s="2"/>
      <c r="H231" s="2"/>
      <c r="I231" s="13">
        <v>11000</v>
      </c>
      <c r="J231" s="13">
        <f t="shared" si="40"/>
        <v>5500</v>
      </c>
      <c r="K231" s="13">
        <f t="shared" si="41"/>
        <v>3340</v>
      </c>
      <c r="L231" s="14">
        <f t="shared" si="42"/>
        <v>0.41749999999999998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1</v>
      </c>
      <c r="B232" s="10" t="s">
        <v>15</v>
      </c>
      <c r="C232" s="11" t="s">
        <v>16</v>
      </c>
      <c r="D232" s="13">
        <v>13000</v>
      </c>
      <c r="E232" s="13">
        <f t="shared" si="38"/>
        <v>13000</v>
      </c>
      <c r="F232" s="13">
        <f t="shared" si="39"/>
        <v>14365</v>
      </c>
      <c r="G232" s="2"/>
      <c r="H232" s="2"/>
      <c r="I232" s="13">
        <v>8000</v>
      </c>
      <c r="J232" s="13">
        <f t="shared" si="40"/>
        <v>8000</v>
      </c>
      <c r="K232" s="13">
        <f t="shared" si="41"/>
        <v>6365</v>
      </c>
      <c r="L232" s="14">
        <f t="shared" si="42"/>
        <v>0.48961538461538462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4</v>
      </c>
      <c r="B233" s="10" t="s">
        <v>4</v>
      </c>
      <c r="C233" s="11" t="s">
        <v>41</v>
      </c>
      <c r="D233" s="13">
        <v>2600</v>
      </c>
      <c r="E233" s="13">
        <f t="shared" si="38"/>
        <v>10400</v>
      </c>
      <c r="F233" s="13">
        <f t="shared" si="39"/>
        <v>11492</v>
      </c>
      <c r="G233" s="2"/>
      <c r="H233" s="2"/>
      <c r="I233" s="13">
        <f>19000/10</f>
        <v>1900</v>
      </c>
      <c r="J233" s="13">
        <f t="shared" si="40"/>
        <v>7600</v>
      </c>
      <c r="K233" s="13">
        <f t="shared" si="41"/>
        <v>3892</v>
      </c>
      <c r="L233" s="14">
        <f t="shared" si="42"/>
        <v>0.37423076923076926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4</v>
      </c>
      <c r="B234" s="10" t="s">
        <v>4</v>
      </c>
      <c r="C234" s="11" t="s">
        <v>14</v>
      </c>
      <c r="D234" s="13">
        <v>3200</v>
      </c>
      <c r="E234" s="13">
        <f t="shared" si="38"/>
        <v>12800</v>
      </c>
      <c r="F234" s="13">
        <f t="shared" si="39"/>
        <v>14144</v>
      </c>
      <c r="G234" s="2"/>
      <c r="H234" s="2"/>
      <c r="I234" s="13">
        <f>20000/8</f>
        <v>2500</v>
      </c>
      <c r="J234" s="13">
        <f t="shared" si="40"/>
        <v>10000</v>
      </c>
      <c r="K234" s="13">
        <f t="shared" si="41"/>
        <v>4144</v>
      </c>
      <c r="L234" s="14">
        <f t="shared" si="42"/>
        <v>0.32374999999999998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0.6</v>
      </c>
      <c r="B235" s="10" t="s">
        <v>17</v>
      </c>
      <c r="C235" s="11" t="s">
        <v>42</v>
      </c>
      <c r="D235" s="13">
        <v>4500</v>
      </c>
      <c r="E235" s="13">
        <f t="shared" si="38"/>
        <v>2700</v>
      </c>
      <c r="F235" s="13">
        <f t="shared" si="39"/>
        <v>2983.5</v>
      </c>
      <c r="G235" s="2"/>
      <c r="H235" s="2"/>
      <c r="I235" s="13">
        <v>1400</v>
      </c>
      <c r="J235" s="13">
        <f t="shared" si="40"/>
        <v>840</v>
      </c>
      <c r="K235" s="13">
        <f t="shared" si="41"/>
        <v>2143.5</v>
      </c>
      <c r="L235" s="14">
        <f t="shared" si="42"/>
        <v>0.79388888888888887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4</v>
      </c>
      <c r="B236" s="10" t="s">
        <v>17</v>
      </c>
      <c r="C236" s="11" t="s">
        <v>18</v>
      </c>
      <c r="D236" s="13">
        <v>1600</v>
      </c>
      <c r="E236" s="13">
        <f t="shared" si="38"/>
        <v>6400</v>
      </c>
      <c r="F236" s="13">
        <f t="shared" si="39"/>
        <v>7072</v>
      </c>
      <c r="G236" s="2"/>
      <c r="H236" s="2"/>
      <c r="I236" s="13">
        <v>1000</v>
      </c>
      <c r="J236" s="13">
        <f t="shared" si="40"/>
        <v>4000</v>
      </c>
      <c r="K236" s="13">
        <f t="shared" si="41"/>
        <v>3072</v>
      </c>
      <c r="L236" s="14">
        <f t="shared" si="42"/>
        <v>0.48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8</v>
      </c>
      <c r="B237" s="10" t="s">
        <v>17</v>
      </c>
      <c r="C237" s="11" t="s">
        <v>56</v>
      </c>
      <c r="D237" s="13">
        <v>1200</v>
      </c>
      <c r="E237" s="13">
        <f t="shared" si="38"/>
        <v>9600</v>
      </c>
      <c r="F237" s="13">
        <f t="shared" si="39"/>
        <v>10608</v>
      </c>
      <c r="G237" s="2"/>
      <c r="H237" s="2"/>
      <c r="I237" s="13">
        <f>13000/16</f>
        <v>812.5</v>
      </c>
      <c r="J237" s="13">
        <f t="shared" si="40"/>
        <v>6500</v>
      </c>
      <c r="K237" s="13">
        <f t="shared" si="41"/>
        <v>4108</v>
      </c>
      <c r="L237" s="14">
        <f t="shared" si="42"/>
        <v>0.42791666666666667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2">
        <v>1</v>
      </c>
      <c r="B238" s="10" t="s">
        <v>21</v>
      </c>
      <c r="C238" s="11" t="s">
        <v>28</v>
      </c>
      <c r="D238" s="13">
        <v>3000</v>
      </c>
      <c r="E238" s="13">
        <f t="shared" si="38"/>
        <v>3000</v>
      </c>
      <c r="F238" s="13">
        <f t="shared" si="39"/>
        <v>3315</v>
      </c>
      <c r="G238" s="2"/>
      <c r="H238" s="2"/>
      <c r="I238" s="13">
        <v>2500</v>
      </c>
      <c r="J238" s="13">
        <f t="shared" si="40"/>
        <v>2500</v>
      </c>
      <c r="K238" s="13">
        <f t="shared" si="41"/>
        <v>815</v>
      </c>
      <c r="L238" s="18">
        <f t="shared" si="42"/>
        <v>0.27166666666666667</v>
      </c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2">
        <v>38</v>
      </c>
      <c r="B239" s="10" t="s">
        <v>21</v>
      </c>
      <c r="C239" s="11" t="s">
        <v>22</v>
      </c>
      <c r="D239" s="13">
        <v>1700</v>
      </c>
      <c r="E239" s="13">
        <f t="shared" si="38"/>
        <v>64600</v>
      </c>
      <c r="F239" s="13">
        <f t="shared" si="39"/>
        <v>71383</v>
      </c>
      <c r="G239" s="2"/>
      <c r="H239" s="2"/>
      <c r="I239" s="13">
        <v>1400</v>
      </c>
      <c r="J239" s="13">
        <f t="shared" si="40"/>
        <v>53200</v>
      </c>
      <c r="K239" s="13">
        <f t="shared" si="41"/>
        <v>18183</v>
      </c>
      <c r="L239" s="33">
        <f t="shared" si="42"/>
        <v>0.28147058823529414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2">
        <v>3</v>
      </c>
      <c r="B240" s="10" t="s">
        <v>17</v>
      </c>
      <c r="C240" s="11" t="s">
        <v>43</v>
      </c>
      <c r="D240" s="13">
        <v>5000</v>
      </c>
      <c r="E240" s="13">
        <f t="shared" si="38"/>
        <v>15000</v>
      </c>
      <c r="F240" s="13">
        <f t="shared" si="39"/>
        <v>16575</v>
      </c>
      <c r="G240" s="2"/>
      <c r="H240" s="2"/>
      <c r="I240" s="13">
        <v>3000</v>
      </c>
      <c r="J240" s="13">
        <f t="shared" si="40"/>
        <v>9000</v>
      </c>
      <c r="K240" s="13">
        <f t="shared" si="41"/>
        <v>7575</v>
      </c>
      <c r="L240" s="18">
        <f t="shared" si="42"/>
        <v>0.505</v>
      </c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2">
        <v>2</v>
      </c>
      <c r="B241" s="10" t="s">
        <v>15</v>
      </c>
      <c r="C241" s="11" t="s">
        <v>27</v>
      </c>
      <c r="D241" s="13">
        <v>25000</v>
      </c>
      <c r="E241" s="13">
        <f t="shared" si="38"/>
        <v>50000</v>
      </c>
      <c r="F241" s="13">
        <f t="shared" si="39"/>
        <v>55250</v>
      </c>
      <c r="G241" s="7" t="s">
        <v>37</v>
      </c>
      <c r="H241" s="2"/>
      <c r="I241" s="13">
        <v>18000</v>
      </c>
      <c r="J241" s="13">
        <f t="shared" si="40"/>
        <v>36000</v>
      </c>
      <c r="K241" s="13">
        <f t="shared" si="41"/>
        <v>19250</v>
      </c>
      <c r="L241" s="36">
        <f t="shared" si="42"/>
        <v>0.38500000000000001</v>
      </c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2">
        <v>1</v>
      </c>
      <c r="B242" s="10" t="s">
        <v>21</v>
      </c>
      <c r="C242" s="11" t="s">
        <v>29</v>
      </c>
      <c r="D242" s="13">
        <v>3500</v>
      </c>
      <c r="E242" s="13">
        <f t="shared" si="38"/>
        <v>3500</v>
      </c>
      <c r="F242" s="13">
        <f t="shared" si="39"/>
        <v>3867.5</v>
      </c>
      <c r="G242" s="2"/>
      <c r="H242" s="2"/>
      <c r="I242" s="13">
        <v>1000</v>
      </c>
      <c r="J242" s="13">
        <f t="shared" si="40"/>
        <v>1000</v>
      </c>
      <c r="K242" s="13">
        <f t="shared" si="41"/>
        <v>2867.5</v>
      </c>
      <c r="L242" s="36">
        <f t="shared" si="42"/>
        <v>0.81928571428571428</v>
      </c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2">
        <v>25</v>
      </c>
      <c r="B243" s="10" t="s">
        <v>17</v>
      </c>
      <c r="C243" s="11" t="s">
        <v>39</v>
      </c>
      <c r="D243" s="13">
        <v>1600</v>
      </c>
      <c r="E243" s="13">
        <f t="shared" si="38"/>
        <v>40000</v>
      </c>
      <c r="F243" s="13">
        <f t="shared" si="39"/>
        <v>44200</v>
      </c>
      <c r="G243" s="2"/>
      <c r="H243" s="2"/>
      <c r="I243" s="13">
        <f>14000/15</f>
        <v>933.33333333333337</v>
      </c>
      <c r="J243" s="13">
        <f t="shared" si="40"/>
        <v>23333.333333333336</v>
      </c>
      <c r="K243" s="13">
        <f t="shared" si="41"/>
        <v>20866.666666666664</v>
      </c>
      <c r="L243" s="14">
        <f t="shared" si="42"/>
        <v>0.52166666666666661</v>
      </c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2">
        <v>1</v>
      </c>
      <c r="B244" s="10" t="s">
        <v>15</v>
      </c>
      <c r="C244" s="11" t="s">
        <v>40</v>
      </c>
      <c r="D244" s="13">
        <v>12000</v>
      </c>
      <c r="E244" s="13">
        <f t="shared" si="38"/>
        <v>12000</v>
      </c>
      <c r="F244" s="13">
        <f t="shared" si="39"/>
        <v>13260</v>
      </c>
      <c r="G244" s="2"/>
      <c r="H244" s="2"/>
      <c r="I244" s="13">
        <v>7000</v>
      </c>
      <c r="J244" s="13">
        <f t="shared" si="40"/>
        <v>7000</v>
      </c>
      <c r="K244" s="13">
        <f t="shared" si="41"/>
        <v>6260</v>
      </c>
      <c r="L244" s="14">
        <f t="shared" si="42"/>
        <v>0.52166666666666661</v>
      </c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3</v>
      </c>
      <c r="B245" s="10" t="s">
        <v>23</v>
      </c>
      <c r="C245" s="11" t="s">
        <v>26</v>
      </c>
      <c r="D245" s="13">
        <v>22000</v>
      </c>
      <c r="E245" s="13">
        <f t="shared" si="38"/>
        <v>66000</v>
      </c>
      <c r="F245" s="13">
        <f t="shared" si="39"/>
        <v>72930</v>
      </c>
      <c r="G245" s="2"/>
      <c r="H245" s="2"/>
      <c r="I245" s="13">
        <v>17000</v>
      </c>
      <c r="J245" s="13">
        <f t="shared" si="40"/>
        <v>51000</v>
      </c>
      <c r="K245" s="13">
        <f t="shared" si="41"/>
        <v>21930</v>
      </c>
      <c r="L245" s="14">
        <f t="shared" si="42"/>
        <v>0.33227272727272728</v>
      </c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0.5</v>
      </c>
      <c r="B246" s="10" t="s">
        <v>23</v>
      </c>
      <c r="C246" s="11" t="s">
        <v>25</v>
      </c>
      <c r="D246" s="13">
        <v>72000</v>
      </c>
      <c r="E246" s="13">
        <f t="shared" si="38"/>
        <v>36000</v>
      </c>
      <c r="F246" s="13">
        <f t="shared" si="39"/>
        <v>39780</v>
      </c>
      <c r="G246" s="7" t="s">
        <v>37</v>
      </c>
      <c r="H246" s="2"/>
      <c r="I246" s="13">
        <v>62000</v>
      </c>
      <c r="J246" s="13">
        <f t="shared" si="40"/>
        <v>31000</v>
      </c>
      <c r="K246" s="13">
        <f t="shared" si="41"/>
        <v>8780</v>
      </c>
      <c r="L246" s="14">
        <f t="shared" si="42"/>
        <v>0.24388888888888888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0.5</v>
      </c>
      <c r="B247" s="10" t="s">
        <v>23</v>
      </c>
      <c r="C247" s="11" t="s">
        <v>24</v>
      </c>
      <c r="D247" s="13">
        <v>60000</v>
      </c>
      <c r="E247" s="13">
        <f t="shared" si="38"/>
        <v>30000</v>
      </c>
      <c r="F247" s="13">
        <f t="shared" si="39"/>
        <v>33150</v>
      </c>
      <c r="G247" s="2"/>
      <c r="H247" s="2"/>
      <c r="I247" s="13">
        <v>50000</v>
      </c>
      <c r="J247" s="13">
        <f t="shared" si="40"/>
        <v>25000</v>
      </c>
      <c r="K247" s="13">
        <f t="shared" si="41"/>
        <v>8150</v>
      </c>
      <c r="L247" s="18">
        <f t="shared" si="42"/>
        <v>0.27166666666666667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20</v>
      </c>
      <c r="B248" s="10" t="s">
        <v>21</v>
      </c>
      <c r="C248" s="11" t="s">
        <v>46</v>
      </c>
      <c r="D248" s="13">
        <v>600</v>
      </c>
      <c r="E248" s="13">
        <f t="shared" si="38"/>
        <v>12000</v>
      </c>
      <c r="F248" s="13">
        <f t="shared" si="39"/>
        <v>13260</v>
      </c>
      <c r="G248" s="2"/>
      <c r="H248" s="2"/>
      <c r="I248" s="13">
        <f>7000/24</f>
        <v>291.66666666666669</v>
      </c>
      <c r="J248" s="13">
        <f t="shared" si="40"/>
        <v>5833.3333333333339</v>
      </c>
      <c r="K248" s="13">
        <f t="shared" si="41"/>
        <v>7426.6666666666661</v>
      </c>
      <c r="L248" s="18">
        <f t="shared" si="42"/>
        <v>0.61888888888888882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5</v>
      </c>
      <c r="B249" s="10" t="s">
        <v>17</v>
      </c>
      <c r="C249" s="11" t="s">
        <v>31</v>
      </c>
      <c r="D249" s="13">
        <v>3200</v>
      </c>
      <c r="E249" s="13">
        <f t="shared" si="38"/>
        <v>16000</v>
      </c>
      <c r="F249" s="13">
        <f t="shared" si="39"/>
        <v>17680</v>
      </c>
      <c r="G249" s="2"/>
      <c r="H249" s="2"/>
      <c r="I249" s="13">
        <f>15000/7</f>
        <v>2142.8571428571427</v>
      </c>
      <c r="J249" s="13">
        <f t="shared" si="40"/>
        <v>10714.285714285714</v>
      </c>
      <c r="K249" s="13">
        <f t="shared" si="41"/>
        <v>6965.7142857142862</v>
      </c>
      <c r="L249" s="18">
        <f t="shared" si="42"/>
        <v>0.43535714285714289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4</v>
      </c>
      <c r="B250" s="10" t="s">
        <v>17</v>
      </c>
      <c r="C250" s="11" t="s">
        <v>32</v>
      </c>
      <c r="D250" s="13">
        <v>2400</v>
      </c>
      <c r="E250" s="13">
        <f t="shared" si="38"/>
        <v>9600</v>
      </c>
      <c r="F250" s="13">
        <f t="shared" si="39"/>
        <v>10608</v>
      </c>
      <c r="G250" s="2"/>
      <c r="H250" s="2"/>
      <c r="I250" s="13">
        <f>10000/7</f>
        <v>1428.5714285714287</v>
      </c>
      <c r="J250" s="13">
        <f t="shared" si="40"/>
        <v>5714.2857142857147</v>
      </c>
      <c r="K250" s="13">
        <f t="shared" si="41"/>
        <v>4893.7142857142853</v>
      </c>
      <c r="L250" s="18">
        <f t="shared" si="42"/>
        <v>0.50976190476190475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4</v>
      </c>
      <c r="B251" s="10" t="s">
        <v>17</v>
      </c>
      <c r="C251" s="11" t="s">
        <v>33</v>
      </c>
      <c r="D251" s="13">
        <v>2800</v>
      </c>
      <c r="E251" s="13">
        <f t="shared" si="38"/>
        <v>11200</v>
      </c>
      <c r="F251" s="13">
        <f t="shared" si="39"/>
        <v>12376</v>
      </c>
      <c r="G251" s="7" t="s">
        <v>37</v>
      </c>
      <c r="H251" s="2"/>
      <c r="I251" s="13">
        <f>15000/7</f>
        <v>2142.8571428571427</v>
      </c>
      <c r="J251" s="13">
        <f t="shared" si="40"/>
        <v>8571.4285714285706</v>
      </c>
      <c r="K251" s="13">
        <f t="shared" si="41"/>
        <v>3804.5714285714294</v>
      </c>
      <c r="L251" s="18">
        <f t="shared" si="42"/>
        <v>0.33969387755102048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</v>
      </c>
      <c r="B252" s="10" t="s">
        <v>17</v>
      </c>
      <c r="C252" s="11" t="s">
        <v>30</v>
      </c>
      <c r="D252" s="13">
        <v>2600</v>
      </c>
      <c r="E252" s="13">
        <f t="shared" si="38"/>
        <v>2600</v>
      </c>
      <c r="F252" s="13">
        <f t="shared" si="39"/>
        <v>2873</v>
      </c>
      <c r="G252" s="2"/>
      <c r="H252" s="2"/>
      <c r="I252" s="13">
        <v>2000</v>
      </c>
      <c r="J252" s="13">
        <f t="shared" si="40"/>
        <v>2000</v>
      </c>
      <c r="K252" s="13">
        <f t="shared" si="41"/>
        <v>873</v>
      </c>
      <c r="L252" s="18">
        <f t="shared" si="42"/>
        <v>0.33576923076923076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0.6</v>
      </c>
      <c r="B253" s="10" t="s">
        <v>17</v>
      </c>
      <c r="C253" s="11" t="s">
        <v>93</v>
      </c>
      <c r="D253" s="13">
        <v>3000</v>
      </c>
      <c r="E253" s="13">
        <f t="shared" si="38"/>
        <v>1800</v>
      </c>
      <c r="F253" s="13">
        <f t="shared" si="39"/>
        <v>1989</v>
      </c>
      <c r="G253" s="2"/>
      <c r="H253" s="2"/>
      <c r="I253" s="13">
        <f>10000/5</f>
        <v>2000</v>
      </c>
      <c r="J253" s="13">
        <f t="shared" si="40"/>
        <v>1200</v>
      </c>
      <c r="K253" s="13">
        <f t="shared" si="41"/>
        <v>789</v>
      </c>
      <c r="L253" s="14">
        <f t="shared" si="42"/>
        <v>0.43833333333333335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0.9</v>
      </c>
      <c r="B254" s="10" t="s">
        <v>17</v>
      </c>
      <c r="C254" s="11" t="s">
        <v>61</v>
      </c>
      <c r="D254" s="13">
        <v>2800</v>
      </c>
      <c r="E254" s="13">
        <f t="shared" si="38"/>
        <v>2520</v>
      </c>
      <c r="F254" s="13">
        <f t="shared" si="39"/>
        <v>2784.6</v>
      </c>
      <c r="G254" s="7" t="s">
        <v>37</v>
      </c>
      <c r="H254" s="2"/>
      <c r="I254" s="13">
        <f>30000/14</f>
        <v>2142.8571428571427</v>
      </c>
      <c r="J254" s="13">
        <f t="shared" si="40"/>
        <v>1928.5714285714284</v>
      </c>
      <c r="K254" s="13">
        <f t="shared" si="41"/>
        <v>856.02857142857147</v>
      </c>
      <c r="L254" s="14">
        <f t="shared" si="42"/>
        <v>0.33969387755102043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10</v>
      </c>
      <c r="B255" s="10" t="s">
        <v>17</v>
      </c>
      <c r="C255" s="11" t="s">
        <v>34</v>
      </c>
      <c r="D255" s="13">
        <v>5000</v>
      </c>
      <c r="E255" s="13">
        <f t="shared" si="38"/>
        <v>50000</v>
      </c>
      <c r="F255" s="13">
        <f t="shared" si="39"/>
        <v>55250</v>
      </c>
      <c r="G255" s="7" t="s">
        <v>37</v>
      </c>
      <c r="H255" s="2"/>
      <c r="I255" s="13">
        <v>2300</v>
      </c>
      <c r="J255" s="13">
        <f t="shared" si="40"/>
        <v>23000</v>
      </c>
      <c r="K255" s="13">
        <f t="shared" si="41"/>
        <v>32250</v>
      </c>
      <c r="L255" s="14">
        <f t="shared" si="42"/>
        <v>0.64500000000000002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4</v>
      </c>
      <c r="B256" s="10" t="s">
        <v>17</v>
      </c>
      <c r="C256" s="11" t="s">
        <v>35</v>
      </c>
      <c r="D256" s="13">
        <v>2500</v>
      </c>
      <c r="E256" s="13">
        <f t="shared" si="38"/>
        <v>10000</v>
      </c>
      <c r="F256" s="13">
        <f t="shared" si="39"/>
        <v>11050</v>
      </c>
      <c r="G256" s="2"/>
      <c r="H256" s="2"/>
      <c r="I256" s="13">
        <f>14000/9</f>
        <v>1555.5555555555557</v>
      </c>
      <c r="J256" s="13">
        <f t="shared" si="40"/>
        <v>6222.2222222222226</v>
      </c>
      <c r="K256" s="13">
        <f t="shared" si="41"/>
        <v>4827.7777777777774</v>
      </c>
      <c r="L256" s="14">
        <f t="shared" si="42"/>
        <v>0.48277777777777775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0.6</v>
      </c>
      <c r="B257" s="10" t="s">
        <v>17</v>
      </c>
      <c r="C257" s="11" t="s">
        <v>42</v>
      </c>
      <c r="D257" s="13">
        <v>4500</v>
      </c>
      <c r="E257" s="13">
        <f t="shared" si="38"/>
        <v>2700</v>
      </c>
      <c r="F257" s="13">
        <f t="shared" si="39"/>
        <v>2983.5</v>
      </c>
      <c r="G257" s="2"/>
      <c r="H257" s="2"/>
      <c r="I257" s="13">
        <v>1400</v>
      </c>
      <c r="J257" s="13">
        <f t="shared" si="40"/>
        <v>840</v>
      </c>
      <c r="K257" s="13">
        <f t="shared" si="41"/>
        <v>2143.5</v>
      </c>
      <c r="L257" s="14">
        <f t="shared" si="42"/>
        <v>0.79388888888888887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2.5</v>
      </c>
      <c r="B258" s="10" t="s">
        <v>17</v>
      </c>
      <c r="C258" s="11" t="s">
        <v>89</v>
      </c>
      <c r="D258" s="13">
        <v>12500</v>
      </c>
      <c r="E258" s="13">
        <f t="shared" si="38"/>
        <v>31250</v>
      </c>
      <c r="F258" s="13">
        <f t="shared" si="39"/>
        <v>34531.25</v>
      </c>
      <c r="G258" s="2"/>
      <c r="H258" s="2"/>
      <c r="I258" s="13">
        <f>45000/4</f>
        <v>11250</v>
      </c>
      <c r="J258" s="13">
        <f t="shared" si="40"/>
        <v>28125</v>
      </c>
      <c r="K258" s="13">
        <f t="shared" si="41"/>
        <v>6406.25</v>
      </c>
      <c r="L258" s="14">
        <f t="shared" si="42"/>
        <v>0.20499999999999999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3</v>
      </c>
      <c r="B259" s="10" t="s">
        <v>17</v>
      </c>
      <c r="C259" s="11" t="s">
        <v>162</v>
      </c>
      <c r="D259" s="13">
        <v>4000</v>
      </c>
      <c r="E259" s="13">
        <f t="shared" si="38"/>
        <v>12000</v>
      </c>
      <c r="F259" s="13">
        <f t="shared" si="39"/>
        <v>13260</v>
      </c>
      <c r="G259" s="2"/>
      <c r="H259" s="2"/>
      <c r="I259" s="13">
        <v>3000</v>
      </c>
      <c r="J259" s="13">
        <f t="shared" si="40"/>
        <v>9000</v>
      </c>
      <c r="K259" s="13">
        <f t="shared" si="41"/>
        <v>4260</v>
      </c>
      <c r="L259" s="14">
        <f t="shared" si="42"/>
        <v>0.35499999999999998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"/>
      <c r="B260" s="2"/>
      <c r="C260" s="4"/>
      <c r="D260" s="2"/>
      <c r="E260" s="2"/>
      <c r="F260" s="2"/>
      <c r="G260" s="2"/>
      <c r="H260" s="2"/>
      <c r="I260" s="2"/>
      <c r="J260" s="2"/>
      <c r="K260" s="2"/>
      <c r="L260" s="3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"/>
      <c r="B261" s="2"/>
      <c r="C261" s="4"/>
      <c r="D261" s="2"/>
      <c r="E261" s="13">
        <f t="shared" ref="E261:F261" si="43">SUM(E228:E259)</f>
        <v>567120</v>
      </c>
      <c r="F261" s="13">
        <f t="shared" si="43"/>
        <v>626667.6</v>
      </c>
      <c r="G261" s="2"/>
      <c r="H261" s="2"/>
      <c r="I261" s="2"/>
      <c r="J261" s="2"/>
      <c r="K261" s="13">
        <f>SUM(K228:K259)</f>
        <v>230165.72791783381</v>
      </c>
      <c r="L261" s="14">
        <f>K261/F261</f>
        <v>0.36728518901860224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0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0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88" t="s">
        <v>66</v>
      </c>
      <c r="B264" s="89"/>
      <c r="C264" s="89"/>
      <c r="D264" s="2"/>
      <c r="E264" s="7" t="s">
        <v>143</v>
      </c>
      <c r="F264" s="8">
        <v>46129</v>
      </c>
      <c r="G264" s="2"/>
      <c r="H264" s="2"/>
      <c r="I264" s="9" t="s">
        <v>2</v>
      </c>
      <c r="J264" s="9"/>
      <c r="K264" s="9"/>
      <c r="L264" s="3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3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6" t="s">
        <v>3</v>
      </c>
      <c r="B266" s="10" t="s">
        <v>4</v>
      </c>
      <c r="C266" s="11" t="s">
        <v>5</v>
      </c>
      <c r="D266" s="10" t="s">
        <v>6</v>
      </c>
      <c r="E266" s="10" t="s">
        <v>7</v>
      </c>
      <c r="F266" s="10" t="s">
        <v>8</v>
      </c>
      <c r="G266" s="2"/>
      <c r="H266" s="2"/>
      <c r="I266" s="10" t="s">
        <v>9</v>
      </c>
      <c r="J266" s="10" t="s">
        <v>7</v>
      </c>
      <c r="K266" s="10" t="s">
        <v>10</v>
      </c>
      <c r="L266" s="3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2</v>
      </c>
      <c r="B267" s="10" t="s">
        <v>15</v>
      </c>
      <c r="C267" s="11" t="s">
        <v>27</v>
      </c>
      <c r="D267" s="13">
        <v>25000</v>
      </c>
      <c r="E267" s="13">
        <f t="shared" ref="E267:E301" si="44">A267*D267</f>
        <v>50000</v>
      </c>
      <c r="F267" s="13">
        <f t="shared" ref="F267:F301" si="45">E267*1.105</f>
        <v>55250</v>
      </c>
      <c r="G267" s="2"/>
      <c r="H267" s="2"/>
      <c r="I267" s="13">
        <v>18000</v>
      </c>
      <c r="J267" s="13">
        <f t="shared" ref="J267:J301" si="46">I267*A267</f>
        <v>36000</v>
      </c>
      <c r="K267" s="13">
        <f t="shared" ref="K267:K301" si="47">F267-J267</f>
        <v>19250</v>
      </c>
      <c r="L267" s="14">
        <f t="shared" ref="L267:L301" si="48">IFERROR(K267/E267, 0)</f>
        <v>0.38500000000000001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2</v>
      </c>
      <c r="B268" s="10" t="s">
        <v>15</v>
      </c>
      <c r="C268" s="11" t="s">
        <v>48</v>
      </c>
      <c r="D268" s="13">
        <v>13000</v>
      </c>
      <c r="E268" s="13">
        <f t="shared" si="44"/>
        <v>26000</v>
      </c>
      <c r="F268" s="13">
        <f t="shared" si="45"/>
        <v>28730</v>
      </c>
      <c r="G268" s="2"/>
      <c r="H268" s="2"/>
      <c r="I268" s="13">
        <v>8000</v>
      </c>
      <c r="J268" s="13">
        <f t="shared" si="46"/>
        <v>16000</v>
      </c>
      <c r="K268" s="13">
        <f t="shared" si="47"/>
        <v>12730</v>
      </c>
      <c r="L268" s="14">
        <f t="shared" si="48"/>
        <v>0.48961538461538462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1</v>
      </c>
      <c r="B269" s="10" t="s">
        <v>15</v>
      </c>
      <c r="C269" s="11" t="s">
        <v>129</v>
      </c>
      <c r="D269" s="13">
        <v>16000</v>
      </c>
      <c r="E269" s="13">
        <f t="shared" si="44"/>
        <v>16000</v>
      </c>
      <c r="F269" s="13">
        <f t="shared" si="45"/>
        <v>17680</v>
      </c>
      <c r="G269" s="2"/>
      <c r="H269" s="7" t="s">
        <v>37</v>
      </c>
      <c r="I269" s="13">
        <v>11000</v>
      </c>
      <c r="J269" s="13">
        <f t="shared" si="46"/>
        <v>11000</v>
      </c>
      <c r="K269" s="13">
        <f t="shared" si="47"/>
        <v>6680</v>
      </c>
      <c r="L269" s="14">
        <f t="shared" si="48"/>
        <v>0.41749999999999998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3</v>
      </c>
      <c r="B270" s="10" t="s">
        <v>17</v>
      </c>
      <c r="C270" s="11" t="s">
        <v>56</v>
      </c>
      <c r="D270" s="13">
        <v>1200</v>
      </c>
      <c r="E270" s="13">
        <f t="shared" si="44"/>
        <v>3600</v>
      </c>
      <c r="F270" s="13">
        <f t="shared" si="45"/>
        <v>3978</v>
      </c>
      <c r="G270" s="2"/>
      <c r="H270" s="2"/>
      <c r="I270" s="13">
        <f>13000/16</f>
        <v>812.5</v>
      </c>
      <c r="J270" s="13">
        <f t="shared" si="46"/>
        <v>2437.5</v>
      </c>
      <c r="K270" s="13">
        <f t="shared" si="47"/>
        <v>1540.5</v>
      </c>
      <c r="L270" s="14">
        <f t="shared" si="48"/>
        <v>0.42791666666666667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3</v>
      </c>
      <c r="B271" s="10" t="s">
        <v>17</v>
      </c>
      <c r="C271" s="11" t="s">
        <v>18</v>
      </c>
      <c r="D271" s="13">
        <v>1600</v>
      </c>
      <c r="E271" s="13">
        <f t="shared" si="44"/>
        <v>4800</v>
      </c>
      <c r="F271" s="13">
        <f t="shared" si="45"/>
        <v>5304</v>
      </c>
      <c r="G271" s="2"/>
      <c r="H271" s="2"/>
      <c r="I271" s="13">
        <v>1000</v>
      </c>
      <c r="J271" s="13">
        <f t="shared" si="46"/>
        <v>3000</v>
      </c>
      <c r="K271" s="13">
        <f t="shared" si="47"/>
        <v>2304</v>
      </c>
      <c r="L271" s="14">
        <f t="shared" si="48"/>
        <v>0.48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3</v>
      </c>
      <c r="B272" s="10" t="s">
        <v>17</v>
      </c>
      <c r="C272" s="11" t="s">
        <v>31</v>
      </c>
      <c r="D272" s="13">
        <v>3200</v>
      </c>
      <c r="E272" s="13">
        <f t="shared" si="44"/>
        <v>9600</v>
      </c>
      <c r="F272" s="13">
        <f t="shared" si="45"/>
        <v>10608</v>
      </c>
      <c r="G272" s="2"/>
      <c r="H272" s="2"/>
      <c r="I272" s="13">
        <f>15000/7</f>
        <v>2142.8571428571427</v>
      </c>
      <c r="J272" s="13">
        <f t="shared" si="46"/>
        <v>6428.5714285714275</v>
      </c>
      <c r="K272" s="13">
        <f t="shared" si="47"/>
        <v>4179.4285714285725</v>
      </c>
      <c r="L272" s="14">
        <f t="shared" si="48"/>
        <v>0.43535714285714294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2</v>
      </c>
      <c r="B273" s="10" t="s">
        <v>17</v>
      </c>
      <c r="C273" s="11" t="s">
        <v>32</v>
      </c>
      <c r="D273" s="13">
        <v>2400</v>
      </c>
      <c r="E273" s="13">
        <f t="shared" si="44"/>
        <v>4800</v>
      </c>
      <c r="F273" s="13">
        <f t="shared" si="45"/>
        <v>5304</v>
      </c>
      <c r="G273" s="2"/>
      <c r="H273" s="2"/>
      <c r="I273" s="13">
        <f>10000/7</f>
        <v>1428.5714285714287</v>
      </c>
      <c r="J273" s="13">
        <f t="shared" si="46"/>
        <v>2857.1428571428573</v>
      </c>
      <c r="K273" s="13">
        <f t="shared" si="47"/>
        <v>2446.8571428571427</v>
      </c>
      <c r="L273" s="14">
        <f t="shared" si="48"/>
        <v>0.50976190476190475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2</v>
      </c>
      <c r="B274" s="10" t="s">
        <v>17</v>
      </c>
      <c r="C274" s="11" t="s">
        <v>33</v>
      </c>
      <c r="D274" s="13">
        <v>2800</v>
      </c>
      <c r="E274" s="13">
        <f t="shared" si="44"/>
        <v>5600</v>
      </c>
      <c r="F274" s="13">
        <f t="shared" si="45"/>
        <v>6188</v>
      </c>
      <c r="G274" s="2"/>
      <c r="H274" s="2"/>
      <c r="I274" s="13">
        <f>15000/7</f>
        <v>2142.8571428571427</v>
      </c>
      <c r="J274" s="13">
        <f t="shared" si="46"/>
        <v>4285.7142857142853</v>
      </c>
      <c r="K274" s="13">
        <f t="shared" si="47"/>
        <v>1902.2857142857147</v>
      </c>
      <c r="L274" s="14">
        <f t="shared" si="48"/>
        <v>0.33969387755102048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1.2</v>
      </c>
      <c r="B275" s="10" t="s">
        <v>17</v>
      </c>
      <c r="C275" s="11" t="s">
        <v>38</v>
      </c>
      <c r="D275" s="13">
        <v>1800</v>
      </c>
      <c r="E275" s="13">
        <f t="shared" si="44"/>
        <v>2160</v>
      </c>
      <c r="F275" s="13">
        <f t="shared" si="45"/>
        <v>2386.8000000000002</v>
      </c>
      <c r="G275" s="2"/>
      <c r="H275" s="7" t="s">
        <v>37</v>
      </c>
      <c r="I275" s="13">
        <v>800</v>
      </c>
      <c r="J275" s="13">
        <f t="shared" si="46"/>
        <v>960</v>
      </c>
      <c r="K275" s="13">
        <f t="shared" si="47"/>
        <v>1426.8000000000002</v>
      </c>
      <c r="L275" s="14">
        <f t="shared" si="48"/>
        <v>0.66055555555555567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4.3</v>
      </c>
      <c r="B276" s="10" t="s">
        <v>17</v>
      </c>
      <c r="C276" s="11" t="s">
        <v>36</v>
      </c>
      <c r="D276" s="13">
        <v>1800</v>
      </c>
      <c r="E276" s="13">
        <f t="shared" si="44"/>
        <v>7740</v>
      </c>
      <c r="F276" s="13">
        <f t="shared" si="45"/>
        <v>8552.7000000000007</v>
      </c>
      <c r="G276" s="2"/>
      <c r="H276" s="2"/>
      <c r="I276" s="13">
        <v>800</v>
      </c>
      <c r="J276" s="13">
        <f t="shared" si="46"/>
        <v>3440</v>
      </c>
      <c r="K276" s="13">
        <f t="shared" si="47"/>
        <v>5112.7000000000007</v>
      </c>
      <c r="L276" s="14">
        <f t="shared" si="48"/>
        <v>0.66055555555555567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1</v>
      </c>
      <c r="B277" s="10" t="s">
        <v>15</v>
      </c>
      <c r="C277" s="11" t="s">
        <v>40</v>
      </c>
      <c r="D277" s="13">
        <v>12000</v>
      </c>
      <c r="E277" s="13">
        <f t="shared" si="44"/>
        <v>12000</v>
      </c>
      <c r="F277" s="13">
        <f t="shared" si="45"/>
        <v>13260</v>
      </c>
      <c r="G277" s="2"/>
      <c r="H277" s="2"/>
      <c r="I277" s="13">
        <v>7000</v>
      </c>
      <c r="J277" s="13">
        <f t="shared" si="46"/>
        <v>7000</v>
      </c>
      <c r="K277" s="13">
        <f t="shared" si="47"/>
        <v>6260</v>
      </c>
      <c r="L277" s="14">
        <f t="shared" si="48"/>
        <v>0.52166666666666661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>
        <v>0.25</v>
      </c>
      <c r="B278" s="10" t="s">
        <v>21</v>
      </c>
      <c r="C278" s="11" t="s">
        <v>29</v>
      </c>
      <c r="D278" s="13">
        <v>3500</v>
      </c>
      <c r="E278" s="13">
        <f t="shared" si="44"/>
        <v>875</v>
      </c>
      <c r="F278" s="13">
        <f t="shared" si="45"/>
        <v>966.875</v>
      </c>
      <c r="G278" s="2"/>
      <c r="H278" s="7" t="s">
        <v>37</v>
      </c>
      <c r="I278" s="13">
        <v>1000</v>
      </c>
      <c r="J278" s="13">
        <f t="shared" si="46"/>
        <v>250</v>
      </c>
      <c r="K278" s="13">
        <f t="shared" si="47"/>
        <v>716.875</v>
      </c>
      <c r="L278" s="14">
        <f t="shared" si="48"/>
        <v>0.81928571428571428</v>
      </c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2">
        <v>0.25</v>
      </c>
      <c r="B279" s="10" t="s">
        <v>21</v>
      </c>
      <c r="C279" s="11" t="s">
        <v>28</v>
      </c>
      <c r="D279" s="13">
        <v>3000</v>
      </c>
      <c r="E279" s="13">
        <f t="shared" si="44"/>
        <v>750</v>
      </c>
      <c r="F279" s="13">
        <f t="shared" si="45"/>
        <v>828.75</v>
      </c>
      <c r="G279" s="2"/>
      <c r="H279" s="2"/>
      <c r="I279" s="13">
        <v>2500</v>
      </c>
      <c r="J279" s="13">
        <f t="shared" si="46"/>
        <v>625</v>
      </c>
      <c r="K279" s="13">
        <f t="shared" si="47"/>
        <v>203.75</v>
      </c>
      <c r="L279" s="14">
        <f t="shared" si="48"/>
        <v>0.27166666666666667</v>
      </c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2">
        <v>1</v>
      </c>
      <c r="B280" s="10" t="s">
        <v>17</v>
      </c>
      <c r="C280" s="11" t="s">
        <v>61</v>
      </c>
      <c r="D280" s="13">
        <v>2800</v>
      </c>
      <c r="E280" s="13">
        <f t="shared" si="44"/>
        <v>2800</v>
      </c>
      <c r="F280" s="13">
        <f t="shared" si="45"/>
        <v>3094</v>
      </c>
      <c r="G280" s="2"/>
      <c r="H280" s="2"/>
      <c r="I280" s="13">
        <f>30000/14</f>
        <v>2142.8571428571427</v>
      </c>
      <c r="J280" s="13">
        <f t="shared" si="46"/>
        <v>2142.8571428571427</v>
      </c>
      <c r="K280" s="13">
        <f t="shared" si="47"/>
        <v>951.14285714285734</v>
      </c>
      <c r="L280" s="14">
        <f t="shared" si="48"/>
        <v>0.33969387755102048</v>
      </c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1</v>
      </c>
      <c r="B281" s="10" t="s">
        <v>17</v>
      </c>
      <c r="C281" s="11" t="s">
        <v>42</v>
      </c>
      <c r="D281" s="13">
        <v>4500</v>
      </c>
      <c r="E281" s="13">
        <f t="shared" si="44"/>
        <v>4500</v>
      </c>
      <c r="F281" s="13">
        <f t="shared" si="45"/>
        <v>4972.5</v>
      </c>
      <c r="G281" s="2"/>
      <c r="H281" s="2"/>
      <c r="I281" s="13">
        <v>1400</v>
      </c>
      <c r="J281" s="13">
        <f t="shared" si="46"/>
        <v>1400</v>
      </c>
      <c r="K281" s="13">
        <f t="shared" si="47"/>
        <v>3572.5</v>
      </c>
      <c r="L281" s="14">
        <f t="shared" si="48"/>
        <v>0.79388888888888887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8</v>
      </c>
      <c r="B282" s="10" t="s">
        <v>17</v>
      </c>
      <c r="C282" s="11" t="s">
        <v>39</v>
      </c>
      <c r="D282" s="13">
        <v>1600</v>
      </c>
      <c r="E282" s="13">
        <f t="shared" si="44"/>
        <v>12800</v>
      </c>
      <c r="F282" s="13">
        <f t="shared" si="45"/>
        <v>14144</v>
      </c>
      <c r="G282" s="2"/>
      <c r="H282" s="2"/>
      <c r="I282" s="13">
        <f>14000/15</f>
        <v>933.33333333333337</v>
      </c>
      <c r="J282" s="13">
        <f t="shared" si="46"/>
        <v>7466.666666666667</v>
      </c>
      <c r="K282" s="13">
        <f t="shared" si="47"/>
        <v>6677.333333333333</v>
      </c>
      <c r="L282" s="14">
        <f t="shared" si="48"/>
        <v>0.52166666666666661</v>
      </c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6</v>
      </c>
      <c r="B283" s="10" t="s">
        <v>17</v>
      </c>
      <c r="C283" s="11" t="s">
        <v>43</v>
      </c>
      <c r="D283" s="13">
        <v>5000</v>
      </c>
      <c r="E283" s="13">
        <f t="shared" si="44"/>
        <v>30000</v>
      </c>
      <c r="F283" s="13">
        <f t="shared" si="45"/>
        <v>33150</v>
      </c>
      <c r="G283" s="2"/>
      <c r="H283" s="2"/>
      <c r="I283" s="13">
        <v>3000</v>
      </c>
      <c r="J283" s="13">
        <f t="shared" si="46"/>
        <v>18000</v>
      </c>
      <c r="K283" s="13">
        <f t="shared" si="47"/>
        <v>15150</v>
      </c>
      <c r="L283" s="14">
        <f t="shared" si="48"/>
        <v>0.505</v>
      </c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16</v>
      </c>
      <c r="B284" s="10" t="s">
        <v>21</v>
      </c>
      <c r="C284" s="11" t="s">
        <v>46</v>
      </c>
      <c r="D284" s="13">
        <v>600</v>
      </c>
      <c r="E284" s="13">
        <f t="shared" si="44"/>
        <v>9600</v>
      </c>
      <c r="F284" s="13">
        <f t="shared" si="45"/>
        <v>10608</v>
      </c>
      <c r="G284" s="2"/>
      <c r="H284" s="2"/>
      <c r="I284" s="13">
        <f>7000/24</f>
        <v>291.66666666666669</v>
      </c>
      <c r="J284" s="13">
        <f t="shared" si="46"/>
        <v>4666.666666666667</v>
      </c>
      <c r="K284" s="13">
        <f t="shared" si="47"/>
        <v>5941.333333333333</v>
      </c>
      <c r="L284" s="14">
        <f t="shared" si="48"/>
        <v>0.61888888888888882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1</v>
      </c>
      <c r="B285" s="10" t="s">
        <v>21</v>
      </c>
      <c r="C285" s="11" t="s">
        <v>52</v>
      </c>
      <c r="D285" s="13">
        <v>2000</v>
      </c>
      <c r="E285" s="13">
        <f t="shared" si="44"/>
        <v>2000</v>
      </c>
      <c r="F285" s="13">
        <f t="shared" si="45"/>
        <v>2210</v>
      </c>
      <c r="G285" s="2"/>
      <c r="H285" s="2"/>
      <c r="I285" s="13">
        <v>1000</v>
      </c>
      <c r="J285" s="13">
        <f t="shared" si="46"/>
        <v>1000</v>
      </c>
      <c r="K285" s="13">
        <f t="shared" si="47"/>
        <v>1210</v>
      </c>
      <c r="L285" s="14">
        <f t="shared" si="48"/>
        <v>0.60499999999999998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0.5</v>
      </c>
      <c r="B286" s="10" t="s">
        <v>17</v>
      </c>
      <c r="C286" s="11" t="s">
        <v>99</v>
      </c>
      <c r="D286" s="13">
        <v>1500</v>
      </c>
      <c r="E286" s="13">
        <f t="shared" si="44"/>
        <v>750</v>
      </c>
      <c r="F286" s="13">
        <f t="shared" si="45"/>
        <v>828.75</v>
      </c>
      <c r="G286" s="2"/>
      <c r="H286" s="2"/>
      <c r="I286" s="13">
        <v>700</v>
      </c>
      <c r="J286" s="13">
        <f t="shared" si="46"/>
        <v>350</v>
      </c>
      <c r="K286" s="13">
        <f t="shared" si="47"/>
        <v>478.75</v>
      </c>
      <c r="L286" s="14">
        <f t="shared" si="48"/>
        <v>0.63833333333333331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0.5</v>
      </c>
      <c r="B287" s="10" t="s">
        <v>17</v>
      </c>
      <c r="C287" s="11" t="s">
        <v>93</v>
      </c>
      <c r="D287" s="13">
        <v>3000</v>
      </c>
      <c r="E287" s="13">
        <f t="shared" si="44"/>
        <v>1500</v>
      </c>
      <c r="F287" s="13">
        <f t="shared" si="45"/>
        <v>1657.5</v>
      </c>
      <c r="G287" s="2"/>
      <c r="H287" s="2"/>
      <c r="I287" s="13">
        <f>10000/5</f>
        <v>2000</v>
      </c>
      <c r="J287" s="13">
        <f t="shared" si="46"/>
        <v>1000</v>
      </c>
      <c r="K287" s="13">
        <f t="shared" si="47"/>
        <v>657.5</v>
      </c>
      <c r="L287" s="14">
        <f t="shared" si="48"/>
        <v>0.43833333333333335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1.5</v>
      </c>
      <c r="B288" s="10" t="s">
        <v>17</v>
      </c>
      <c r="C288" s="11" t="s">
        <v>35</v>
      </c>
      <c r="D288" s="13">
        <v>2500</v>
      </c>
      <c r="E288" s="13">
        <f t="shared" si="44"/>
        <v>3750</v>
      </c>
      <c r="F288" s="13">
        <f t="shared" si="45"/>
        <v>4143.75</v>
      </c>
      <c r="G288" s="2"/>
      <c r="H288" s="2"/>
      <c r="I288" s="13">
        <f>14000/9</f>
        <v>1555.5555555555557</v>
      </c>
      <c r="J288" s="13">
        <f t="shared" si="46"/>
        <v>2333.3333333333335</v>
      </c>
      <c r="K288" s="13">
        <f t="shared" si="47"/>
        <v>1810.4166666666665</v>
      </c>
      <c r="L288" s="14">
        <f t="shared" si="48"/>
        <v>0.48277777777777775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1.5</v>
      </c>
      <c r="B289" s="10" t="s">
        <v>23</v>
      </c>
      <c r="C289" s="11" t="s">
        <v>26</v>
      </c>
      <c r="D289" s="13">
        <v>22000</v>
      </c>
      <c r="E289" s="13">
        <f t="shared" si="44"/>
        <v>33000</v>
      </c>
      <c r="F289" s="13">
        <f t="shared" si="45"/>
        <v>36465</v>
      </c>
      <c r="G289" s="2"/>
      <c r="H289" s="2"/>
      <c r="I289" s="13">
        <v>17000</v>
      </c>
      <c r="J289" s="13">
        <f t="shared" si="46"/>
        <v>25500</v>
      </c>
      <c r="K289" s="13">
        <f t="shared" si="47"/>
        <v>10965</v>
      </c>
      <c r="L289" s="14">
        <f t="shared" si="48"/>
        <v>0.33227272727272728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12</v>
      </c>
      <c r="B290" s="10" t="s">
        <v>17</v>
      </c>
      <c r="C290" s="11" t="s">
        <v>24</v>
      </c>
      <c r="D290" s="13">
        <v>3600</v>
      </c>
      <c r="E290" s="13">
        <f t="shared" si="44"/>
        <v>43200</v>
      </c>
      <c r="F290" s="13">
        <f t="shared" si="45"/>
        <v>47736</v>
      </c>
      <c r="G290" s="2"/>
      <c r="H290" s="2"/>
      <c r="I290" s="13">
        <v>2941.18</v>
      </c>
      <c r="J290" s="13">
        <f t="shared" si="46"/>
        <v>35294.159999999996</v>
      </c>
      <c r="K290" s="13">
        <f t="shared" si="47"/>
        <v>12441.840000000004</v>
      </c>
      <c r="L290" s="14">
        <f t="shared" si="48"/>
        <v>0.28800555555555563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10</v>
      </c>
      <c r="B291" s="10" t="s">
        <v>17</v>
      </c>
      <c r="C291" s="11" t="s">
        <v>25</v>
      </c>
      <c r="D291" s="13">
        <v>4500</v>
      </c>
      <c r="E291" s="13">
        <f t="shared" si="44"/>
        <v>45000</v>
      </c>
      <c r="F291" s="13">
        <f t="shared" si="45"/>
        <v>49725</v>
      </c>
      <c r="G291" s="2"/>
      <c r="H291" s="2"/>
      <c r="I291" s="13">
        <f>62000/17</f>
        <v>3647.0588235294117</v>
      </c>
      <c r="J291" s="13">
        <f t="shared" si="46"/>
        <v>36470.588235294119</v>
      </c>
      <c r="K291" s="13">
        <f t="shared" si="47"/>
        <v>13254.411764705881</v>
      </c>
      <c r="L291" s="14">
        <f t="shared" si="48"/>
        <v>0.29454248366013069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3</v>
      </c>
      <c r="B292" s="10" t="s">
        <v>17</v>
      </c>
      <c r="C292" s="11" t="s">
        <v>67</v>
      </c>
      <c r="D292" s="13">
        <v>1200</v>
      </c>
      <c r="E292" s="13">
        <f t="shared" si="44"/>
        <v>3600</v>
      </c>
      <c r="F292" s="13">
        <f t="shared" si="45"/>
        <v>3978</v>
      </c>
      <c r="G292" s="2"/>
      <c r="H292" s="2"/>
      <c r="I292" s="13">
        <f>8000/14</f>
        <v>571.42857142857144</v>
      </c>
      <c r="J292" s="13">
        <f t="shared" si="46"/>
        <v>1714.2857142857142</v>
      </c>
      <c r="K292" s="13">
        <f t="shared" si="47"/>
        <v>2263.7142857142858</v>
      </c>
      <c r="L292" s="14">
        <f t="shared" si="48"/>
        <v>0.62880952380952382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5</v>
      </c>
      <c r="B293" s="10" t="s">
        <v>17</v>
      </c>
      <c r="C293" s="11" t="s">
        <v>62</v>
      </c>
      <c r="D293" s="13">
        <v>3000</v>
      </c>
      <c r="E293" s="13">
        <f t="shared" si="44"/>
        <v>15000</v>
      </c>
      <c r="F293" s="13">
        <f t="shared" si="45"/>
        <v>16575</v>
      </c>
      <c r="G293" s="2"/>
      <c r="H293" s="2"/>
      <c r="I293" s="13">
        <f>28000/17</f>
        <v>1647.0588235294117</v>
      </c>
      <c r="J293" s="13">
        <f t="shared" si="46"/>
        <v>8235.2941176470595</v>
      </c>
      <c r="K293" s="13">
        <f t="shared" si="47"/>
        <v>8339.7058823529405</v>
      </c>
      <c r="L293" s="14">
        <f t="shared" si="48"/>
        <v>0.55598039215686268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1</v>
      </c>
      <c r="B294" s="10" t="s">
        <v>17</v>
      </c>
      <c r="C294" s="11" t="s">
        <v>89</v>
      </c>
      <c r="D294" s="13">
        <v>12500</v>
      </c>
      <c r="E294" s="13">
        <f t="shared" si="44"/>
        <v>12500</v>
      </c>
      <c r="F294" s="13">
        <f t="shared" si="45"/>
        <v>13812.5</v>
      </c>
      <c r="G294" s="2"/>
      <c r="H294" s="2"/>
      <c r="I294" s="13">
        <f>45000/4</f>
        <v>11250</v>
      </c>
      <c r="J294" s="13">
        <f t="shared" si="46"/>
        <v>11250</v>
      </c>
      <c r="K294" s="13">
        <f t="shared" si="47"/>
        <v>2562.5</v>
      </c>
      <c r="L294" s="14">
        <f t="shared" si="48"/>
        <v>0.20499999999999999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0.5</v>
      </c>
      <c r="B295" s="10" t="s">
        <v>17</v>
      </c>
      <c r="C295" s="11" t="s">
        <v>30</v>
      </c>
      <c r="D295" s="13">
        <v>2600</v>
      </c>
      <c r="E295" s="13">
        <f t="shared" si="44"/>
        <v>1300</v>
      </c>
      <c r="F295" s="13">
        <f t="shared" si="45"/>
        <v>1436.5</v>
      </c>
      <c r="G295" s="2"/>
      <c r="H295" s="2"/>
      <c r="I295" s="13">
        <v>2000</v>
      </c>
      <c r="J295" s="13">
        <f t="shared" si="46"/>
        <v>1000</v>
      </c>
      <c r="K295" s="13">
        <f t="shared" si="47"/>
        <v>436.5</v>
      </c>
      <c r="L295" s="14">
        <f t="shared" si="48"/>
        <v>0.33576923076923076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1</v>
      </c>
      <c r="B296" s="10" t="s">
        <v>21</v>
      </c>
      <c r="C296" s="11" t="s">
        <v>51</v>
      </c>
      <c r="D296" s="13">
        <v>1500</v>
      </c>
      <c r="E296" s="13">
        <f t="shared" si="44"/>
        <v>1500</v>
      </c>
      <c r="F296" s="13">
        <f t="shared" si="45"/>
        <v>1657.5</v>
      </c>
      <c r="G296" s="2"/>
      <c r="H296" s="2"/>
      <c r="I296" s="13">
        <v>750</v>
      </c>
      <c r="J296" s="13">
        <f t="shared" si="46"/>
        <v>750</v>
      </c>
      <c r="K296" s="13">
        <f t="shared" si="47"/>
        <v>907.5</v>
      </c>
      <c r="L296" s="14">
        <f t="shared" si="48"/>
        <v>0.60499999999999998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0.5</v>
      </c>
      <c r="B297" s="10" t="s">
        <v>4</v>
      </c>
      <c r="C297" s="11" t="s">
        <v>64</v>
      </c>
      <c r="D297" s="13">
        <v>2500</v>
      </c>
      <c r="E297" s="13">
        <f t="shared" si="44"/>
        <v>1250</v>
      </c>
      <c r="F297" s="13">
        <f t="shared" si="45"/>
        <v>1381.25</v>
      </c>
      <c r="G297" s="2"/>
      <c r="H297" s="2"/>
      <c r="I297" s="13">
        <v>1000</v>
      </c>
      <c r="J297" s="13">
        <f t="shared" si="46"/>
        <v>500</v>
      </c>
      <c r="K297" s="13">
        <f t="shared" si="47"/>
        <v>881.25</v>
      </c>
      <c r="L297" s="14">
        <f t="shared" si="48"/>
        <v>0.70499999999999996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12</v>
      </c>
      <c r="B298" s="10" t="s">
        <v>21</v>
      </c>
      <c r="C298" s="11" t="s">
        <v>22</v>
      </c>
      <c r="D298" s="13">
        <v>1700</v>
      </c>
      <c r="E298" s="13">
        <f t="shared" si="44"/>
        <v>20400</v>
      </c>
      <c r="F298" s="13">
        <f t="shared" si="45"/>
        <v>22542</v>
      </c>
      <c r="G298" s="2"/>
      <c r="H298" s="2"/>
      <c r="I298" s="13">
        <v>1400</v>
      </c>
      <c r="J298" s="13">
        <f t="shared" si="46"/>
        <v>16800</v>
      </c>
      <c r="K298" s="13">
        <f t="shared" si="47"/>
        <v>5742</v>
      </c>
      <c r="L298" s="14">
        <f t="shared" si="48"/>
        <v>0.28147058823529414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2</v>
      </c>
      <c r="B299" s="10" t="s">
        <v>17</v>
      </c>
      <c r="C299" s="11" t="s">
        <v>19</v>
      </c>
      <c r="D299" s="13">
        <v>3600</v>
      </c>
      <c r="E299" s="13">
        <f t="shared" si="44"/>
        <v>7200</v>
      </c>
      <c r="F299" s="13">
        <f t="shared" si="45"/>
        <v>7956</v>
      </c>
      <c r="G299" s="2"/>
      <c r="H299" s="2"/>
      <c r="I299" s="13">
        <f>15000/7</f>
        <v>2142.8571428571427</v>
      </c>
      <c r="J299" s="13">
        <f t="shared" si="46"/>
        <v>4285.7142857142853</v>
      </c>
      <c r="K299" s="13">
        <f t="shared" si="47"/>
        <v>3670.2857142857147</v>
      </c>
      <c r="L299" s="14">
        <f t="shared" si="48"/>
        <v>0.50976190476190486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</v>
      </c>
      <c r="B300" s="10" t="s">
        <v>4</v>
      </c>
      <c r="C300" s="11" t="s">
        <v>41</v>
      </c>
      <c r="D300" s="13">
        <v>2600</v>
      </c>
      <c r="E300" s="13">
        <f t="shared" si="44"/>
        <v>2600</v>
      </c>
      <c r="F300" s="13">
        <f t="shared" si="45"/>
        <v>2873</v>
      </c>
      <c r="G300" s="2"/>
      <c r="H300" s="2"/>
      <c r="I300" s="13">
        <f>19000/10</f>
        <v>1900</v>
      </c>
      <c r="J300" s="13">
        <f t="shared" si="46"/>
        <v>1900</v>
      </c>
      <c r="K300" s="13">
        <f t="shared" si="47"/>
        <v>973</v>
      </c>
      <c r="L300" s="14">
        <f t="shared" si="48"/>
        <v>0.37423076923076926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25</v>
      </c>
      <c r="B301" s="10" t="s">
        <v>4</v>
      </c>
      <c r="C301" s="11" t="s">
        <v>20</v>
      </c>
      <c r="D301" s="13">
        <v>500</v>
      </c>
      <c r="E301" s="13">
        <f t="shared" si="44"/>
        <v>12500</v>
      </c>
      <c r="F301" s="13">
        <f t="shared" si="45"/>
        <v>13812.5</v>
      </c>
      <c r="G301" s="2"/>
      <c r="H301" s="2"/>
      <c r="I301" s="13">
        <f>85000/242</f>
        <v>351.23966942148758</v>
      </c>
      <c r="J301" s="13">
        <f t="shared" si="46"/>
        <v>8780.991735537189</v>
      </c>
      <c r="K301" s="13">
        <f t="shared" si="47"/>
        <v>5031.508264462811</v>
      </c>
      <c r="L301" s="14">
        <f t="shared" si="48"/>
        <v>0.40252066115702489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"/>
      <c r="B302" s="2"/>
      <c r="C302" s="4"/>
      <c r="D302" s="2"/>
      <c r="E302" s="2"/>
      <c r="F302" s="2"/>
      <c r="G302" s="2"/>
      <c r="H302" s="2"/>
      <c r="I302" s="2"/>
      <c r="J302" s="2"/>
      <c r="K302" s="2"/>
      <c r="L302" s="3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"/>
      <c r="B303" s="2"/>
      <c r="C303" s="4"/>
      <c r="D303" s="2"/>
      <c r="E303" s="13">
        <f t="shared" ref="E303:F303" si="49">SUM(E267:E301)</f>
        <v>410675</v>
      </c>
      <c r="F303" s="13">
        <f t="shared" si="49"/>
        <v>453795.875</v>
      </c>
      <c r="G303" s="2"/>
      <c r="H303" s="2"/>
      <c r="I303" s="2"/>
      <c r="J303" s="2"/>
      <c r="K303" s="13">
        <f>SUM(K267:K301)</f>
        <v>168671.38853056927</v>
      </c>
      <c r="L303" s="14">
        <f>K303/F303</f>
        <v>0.37168999945310049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0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0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88" t="s">
        <v>44</v>
      </c>
      <c r="B306" s="89"/>
      <c r="C306" s="89"/>
      <c r="D306" s="2"/>
      <c r="E306" s="7" t="s">
        <v>179</v>
      </c>
      <c r="F306" s="8">
        <v>46129</v>
      </c>
      <c r="G306" s="7" t="s">
        <v>106</v>
      </c>
      <c r="H306" s="2"/>
      <c r="I306" s="91" t="s">
        <v>2</v>
      </c>
      <c r="J306" s="89"/>
      <c r="K306" s="89"/>
      <c r="L306" s="3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3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6" t="s">
        <v>3</v>
      </c>
      <c r="B308" s="10" t="s">
        <v>4</v>
      </c>
      <c r="C308" s="11" t="s">
        <v>5</v>
      </c>
      <c r="D308" s="10" t="s">
        <v>6</v>
      </c>
      <c r="E308" s="10" t="s">
        <v>7</v>
      </c>
      <c r="F308" s="10" t="s">
        <v>8</v>
      </c>
      <c r="G308" s="2"/>
      <c r="H308" s="2"/>
      <c r="I308" s="10" t="s">
        <v>9</v>
      </c>
      <c r="J308" s="10" t="s">
        <v>7</v>
      </c>
      <c r="K308" s="10" t="s">
        <v>10</v>
      </c>
      <c r="L308" s="3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2">
        <v>5</v>
      </c>
      <c r="B309" s="10" t="s">
        <v>15</v>
      </c>
      <c r="C309" s="11" t="s">
        <v>27</v>
      </c>
      <c r="D309" s="13">
        <v>25000</v>
      </c>
      <c r="E309" s="13">
        <f t="shared" ref="E309:E340" si="50">A309*D309</f>
        <v>125000</v>
      </c>
      <c r="F309" s="13">
        <f t="shared" ref="F309:F336" si="51">E309*1.105</f>
        <v>138125</v>
      </c>
      <c r="G309" s="2"/>
      <c r="H309" s="2"/>
      <c r="I309" s="13">
        <v>18000</v>
      </c>
      <c r="J309" s="13">
        <f t="shared" ref="J309:J340" si="52">I309*A309</f>
        <v>90000</v>
      </c>
      <c r="K309" s="13">
        <f t="shared" ref="K309:K340" si="53">F309-J309</f>
        <v>48125</v>
      </c>
      <c r="L309" s="14">
        <f t="shared" ref="L309:L329" si="54">IFERROR(K309/E309, 0)</f>
        <v>0.38500000000000001</v>
      </c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2">
        <v>1</v>
      </c>
      <c r="B310" s="10" t="s">
        <v>15</v>
      </c>
      <c r="C310" s="11" t="s">
        <v>48</v>
      </c>
      <c r="D310" s="13">
        <v>13000</v>
      </c>
      <c r="E310" s="13">
        <f t="shared" si="50"/>
        <v>13000</v>
      </c>
      <c r="F310" s="13">
        <f t="shared" si="51"/>
        <v>14365</v>
      </c>
      <c r="G310" s="2"/>
      <c r="H310" s="2"/>
      <c r="I310" s="13">
        <v>8000</v>
      </c>
      <c r="J310" s="13">
        <f t="shared" si="52"/>
        <v>8000</v>
      </c>
      <c r="K310" s="13">
        <f t="shared" si="53"/>
        <v>6365</v>
      </c>
      <c r="L310" s="14">
        <f t="shared" si="54"/>
        <v>0.48961538461538462</v>
      </c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2">
        <v>25</v>
      </c>
      <c r="B311" s="10" t="s">
        <v>4</v>
      </c>
      <c r="C311" s="11" t="s">
        <v>20</v>
      </c>
      <c r="D311" s="13">
        <v>500</v>
      </c>
      <c r="E311" s="13">
        <f t="shared" si="50"/>
        <v>12500</v>
      </c>
      <c r="F311" s="13">
        <f t="shared" si="51"/>
        <v>13812.5</v>
      </c>
      <c r="G311" s="2"/>
      <c r="H311" s="2"/>
      <c r="I311" s="13">
        <f>85000/242</f>
        <v>351.23966942148758</v>
      </c>
      <c r="J311" s="13">
        <f t="shared" si="52"/>
        <v>8780.991735537189</v>
      </c>
      <c r="K311" s="13">
        <f t="shared" si="53"/>
        <v>5031.508264462811</v>
      </c>
      <c r="L311" s="14">
        <f t="shared" si="54"/>
        <v>0.40252066115702489</v>
      </c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2">
        <v>4.5</v>
      </c>
      <c r="B312" s="10" t="s">
        <v>17</v>
      </c>
      <c r="C312" s="11" t="s">
        <v>41</v>
      </c>
      <c r="D312" s="13">
        <v>2600</v>
      </c>
      <c r="E312" s="13">
        <f t="shared" si="50"/>
        <v>11700</v>
      </c>
      <c r="F312" s="13">
        <f t="shared" si="51"/>
        <v>12928.5</v>
      </c>
      <c r="G312" s="2"/>
      <c r="H312" s="2"/>
      <c r="I312" s="13">
        <v>1900</v>
      </c>
      <c r="J312" s="13">
        <f t="shared" si="52"/>
        <v>8550</v>
      </c>
      <c r="K312" s="13">
        <f t="shared" si="53"/>
        <v>4378.5</v>
      </c>
      <c r="L312" s="14">
        <f t="shared" si="54"/>
        <v>0.37423076923076926</v>
      </c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2">
        <v>3</v>
      </c>
      <c r="B313" s="10" t="s">
        <v>17</v>
      </c>
      <c r="C313" s="11" t="s">
        <v>40</v>
      </c>
      <c r="D313" s="13">
        <v>1400</v>
      </c>
      <c r="E313" s="13">
        <f t="shared" si="50"/>
        <v>4200</v>
      </c>
      <c r="F313" s="13">
        <f t="shared" si="51"/>
        <v>4641</v>
      </c>
      <c r="G313" s="2"/>
      <c r="H313" s="2"/>
      <c r="I313" s="13">
        <v>1000</v>
      </c>
      <c r="J313" s="13">
        <f t="shared" si="52"/>
        <v>3000</v>
      </c>
      <c r="K313" s="13">
        <f t="shared" si="53"/>
        <v>1641</v>
      </c>
      <c r="L313" s="14">
        <f t="shared" si="54"/>
        <v>0.39071428571428574</v>
      </c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2">
        <v>3</v>
      </c>
      <c r="B314" s="10" t="s">
        <v>17</v>
      </c>
      <c r="C314" s="11" t="s">
        <v>18</v>
      </c>
      <c r="D314" s="13">
        <v>1600</v>
      </c>
      <c r="E314" s="13">
        <f t="shared" si="50"/>
        <v>4800</v>
      </c>
      <c r="F314" s="13">
        <f t="shared" si="51"/>
        <v>5304</v>
      </c>
      <c r="G314" s="2"/>
      <c r="H314" s="2"/>
      <c r="I314" s="13">
        <v>1000</v>
      </c>
      <c r="J314" s="13">
        <f t="shared" si="52"/>
        <v>3000</v>
      </c>
      <c r="K314" s="13">
        <f t="shared" si="53"/>
        <v>2304</v>
      </c>
      <c r="L314" s="14">
        <f t="shared" si="54"/>
        <v>0.48</v>
      </c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2">
        <v>1</v>
      </c>
      <c r="B315" s="10" t="s">
        <v>4</v>
      </c>
      <c r="C315" s="11" t="s">
        <v>13</v>
      </c>
      <c r="D315" s="13">
        <v>900</v>
      </c>
      <c r="E315" s="13">
        <f t="shared" si="50"/>
        <v>900</v>
      </c>
      <c r="F315" s="13">
        <f t="shared" si="51"/>
        <v>994.5</v>
      </c>
      <c r="G315" s="2"/>
      <c r="H315" s="2"/>
      <c r="I315" s="13">
        <v>460</v>
      </c>
      <c r="J315" s="13">
        <f t="shared" si="52"/>
        <v>460</v>
      </c>
      <c r="K315" s="13">
        <f t="shared" si="53"/>
        <v>534.5</v>
      </c>
      <c r="L315" s="14">
        <f t="shared" si="54"/>
        <v>0.59388888888888891</v>
      </c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2">
        <v>9.3000000000000007</v>
      </c>
      <c r="B316" s="10" t="s">
        <v>17</v>
      </c>
      <c r="C316" s="11" t="s">
        <v>34</v>
      </c>
      <c r="D316" s="13">
        <v>5000</v>
      </c>
      <c r="E316" s="13">
        <f t="shared" si="50"/>
        <v>46500</v>
      </c>
      <c r="F316" s="13">
        <f t="shared" si="51"/>
        <v>51382.5</v>
      </c>
      <c r="G316" s="2"/>
      <c r="H316" s="2"/>
      <c r="I316" s="13">
        <v>2300</v>
      </c>
      <c r="J316" s="13">
        <f t="shared" si="52"/>
        <v>21390</v>
      </c>
      <c r="K316" s="13">
        <f t="shared" si="53"/>
        <v>29992.5</v>
      </c>
      <c r="L316" s="14">
        <f t="shared" si="54"/>
        <v>0.64500000000000002</v>
      </c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2">
        <v>1</v>
      </c>
      <c r="B317" s="10" t="s">
        <v>17</v>
      </c>
      <c r="C317" s="11" t="s">
        <v>56</v>
      </c>
      <c r="D317" s="13">
        <v>1200</v>
      </c>
      <c r="E317" s="13">
        <f t="shared" si="50"/>
        <v>1200</v>
      </c>
      <c r="F317" s="13">
        <f t="shared" si="51"/>
        <v>1326</v>
      </c>
      <c r="G317" s="2"/>
      <c r="H317" s="2"/>
      <c r="I317" s="13">
        <f>13000/16</f>
        <v>812.5</v>
      </c>
      <c r="J317" s="13">
        <f t="shared" si="52"/>
        <v>812.5</v>
      </c>
      <c r="K317" s="13">
        <f t="shared" si="53"/>
        <v>513.5</v>
      </c>
      <c r="L317" s="14">
        <f t="shared" si="54"/>
        <v>0.42791666666666667</v>
      </c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2">
        <v>1</v>
      </c>
      <c r="B318" s="10" t="s">
        <v>17</v>
      </c>
      <c r="C318" s="11" t="s">
        <v>35</v>
      </c>
      <c r="D318" s="13">
        <v>2500</v>
      </c>
      <c r="E318" s="13">
        <f t="shared" si="50"/>
        <v>2500</v>
      </c>
      <c r="F318" s="13">
        <f t="shared" si="51"/>
        <v>2762.5</v>
      </c>
      <c r="G318" s="2"/>
      <c r="H318" s="2"/>
      <c r="I318" s="13">
        <f>14000/9</f>
        <v>1555.5555555555557</v>
      </c>
      <c r="J318" s="13">
        <f t="shared" si="52"/>
        <v>1555.5555555555557</v>
      </c>
      <c r="K318" s="13">
        <f t="shared" si="53"/>
        <v>1206.9444444444443</v>
      </c>
      <c r="L318" s="14">
        <f t="shared" si="54"/>
        <v>0.48277777777777775</v>
      </c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2">
        <v>1</v>
      </c>
      <c r="B319" s="10" t="s">
        <v>17</v>
      </c>
      <c r="C319" s="11" t="s">
        <v>32</v>
      </c>
      <c r="D319" s="13">
        <v>2400</v>
      </c>
      <c r="E319" s="13">
        <f t="shared" si="50"/>
        <v>2400</v>
      </c>
      <c r="F319" s="13">
        <f t="shared" si="51"/>
        <v>2652</v>
      </c>
      <c r="G319" s="2"/>
      <c r="H319" s="2"/>
      <c r="I319" s="13">
        <f>10000/7</f>
        <v>1428.5714285714287</v>
      </c>
      <c r="J319" s="13">
        <f t="shared" si="52"/>
        <v>1428.5714285714287</v>
      </c>
      <c r="K319" s="13">
        <f t="shared" si="53"/>
        <v>1223.4285714285713</v>
      </c>
      <c r="L319" s="14">
        <f t="shared" si="54"/>
        <v>0.50976190476190475</v>
      </c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2">
        <v>3</v>
      </c>
      <c r="B320" s="10" t="s">
        <v>17</v>
      </c>
      <c r="C320" s="11" t="s">
        <v>31</v>
      </c>
      <c r="D320" s="13">
        <v>3200</v>
      </c>
      <c r="E320" s="13">
        <f t="shared" si="50"/>
        <v>9600</v>
      </c>
      <c r="F320" s="13">
        <f t="shared" si="51"/>
        <v>10608</v>
      </c>
      <c r="G320" s="2"/>
      <c r="H320" s="2"/>
      <c r="I320" s="13">
        <f>15000/7</f>
        <v>2142.8571428571427</v>
      </c>
      <c r="J320" s="13">
        <f t="shared" si="52"/>
        <v>6428.5714285714275</v>
      </c>
      <c r="K320" s="13">
        <f t="shared" si="53"/>
        <v>4179.4285714285725</v>
      </c>
      <c r="L320" s="18">
        <f t="shared" si="54"/>
        <v>0.43535714285714294</v>
      </c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2">
        <v>14</v>
      </c>
      <c r="B321" s="10" t="s">
        <v>17</v>
      </c>
      <c r="C321" s="11" t="s">
        <v>39</v>
      </c>
      <c r="D321" s="13">
        <v>1600</v>
      </c>
      <c r="E321" s="13">
        <f t="shared" si="50"/>
        <v>22400</v>
      </c>
      <c r="F321" s="13">
        <f t="shared" si="51"/>
        <v>24752</v>
      </c>
      <c r="G321" s="2"/>
      <c r="H321" s="2"/>
      <c r="I321" s="13">
        <f>14000/15</f>
        <v>933.33333333333337</v>
      </c>
      <c r="J321" s="13">
        <f t="shared" si="52"/>
        <v>13066.666666666668</v>
      </c>
      <c r="K321" s="13">
        <f t="shared" si="53"/>
        <v>11685.333333333332</v>
      </c>
      <c r="L321" s="18">
        <f t="shared" si="54"/>
        <v>0.52166666666666661</v>
      </c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2">
        <v>3.4</v>
      </c>
      <c r="B322" s="10" t="s">
        <v>4</v>
      </c>
      <c r="C322" s="11" t="s">
        <v>38</v>
      </c>
      <c r="D322" s="13">
        <v>1800</v>
      </c>
      <c r="E322" s="13">
        <f t="shared" si="50"/>
        <v>6120</v>
      </c>
      <c r="F322" s="13">
        <f t="shared" si="51"/>
        <v>6762.5999999999995</v>
      </c>
      <c r="G322" s="2"/>
      <c r="H322" s="2"/>
      <c r="I322" s="13">
        <v>800</v>
      </c>
      <c r="J322" s="13">
        <f t="shared" si="52"/>
        <v>2720</v>
      </c>
      <c r="K322" s="13">
        <f t="shared" si="53"/>
        <v>4042.5999999999995</v>
      </c>
      <c r="L322" s="18">
        <f t="shared" si="54"/>
        <v>0.66055555555555545</v>
      </c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2">
        <v>3</v>
      </c>
      <c r="B323" s="10" t="s">
        <v>4</v>
      </c>
      <c r="C323" s="11" t="s">
        <v>36</v>
      </c>
      <c r="D323" s="13">
        <v>1800</v>
      </c>
      <c r="E323" s="13">
        <f t="shared" si="50"/>
        <v>5400</v>
      </c>
      <c r="F323" s="13">
        <f t="shared" si="51"/>
        <v>5967</v>
      </c>
      <c r="G323" s="2"/>
      <c r="H323" s="2"/>
      <c r="I323" s="13">
        <v>800</v>
      </c>
      <c r="J323" s="13">
        <f t="shared" si="52"/>
        <v>2400</v>
      </c>
      <c r="K323" s="13">
        <f t="shared" si="53"/>
        <v>3567</v>
      </c>
      <c r="L323" s="18">
        <f t="shared" si="54"/>
        <v>0.66055555555555556</v>
      </c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2">
        <v>0.5</v>
      </c>
      <c r="B324" s="10" t="s">
        <v>17</v>
      </c>
      <c r="C324" s="11" t="s">
        <v>30</v>
      </c>
      <c r="D324" s="13">
        <v>2600</v>
      </c>
      <c r="E324" s="13">
        <f t="shared" si="50"/>
        <v>1300</v>
      </c>
      <c r="F324" s="13">
        <f t="shared" si="51"/>
        <v>1436.5</v>
      </c>
      <c r="G324" s="2"/>
      <c r="H324" s="2"/>
      <c r="I324" s="13">
        <v>2000</v>
      </c>
      <c r="J324" s="13">
        <f t="shared" si="52"/>
        <v>1000</v>
      </c>
      <c r="K324" s="13">
        <f t="shared" si="53"/>
        <v>436.5</v>
      </c>
      <c r="L324" s="18">
        <f t="shared" si="54"/>
        <v>0.33576923076923076</v>
      </c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2">
        <v>1.4</v>
      </c>
      <c r="B325" s="10" t="s">
        <v>17</v>
      </c>
      <c r="C325" s="11" t="s">
        <v>19</v>
      </c>
      <c r="D325" s="13">
        <v>3600</v>
      </c>
      <c r="E325" s="13">
        <f t="shared" si="50"/>
        <v>5040</v>
      </c>
      <c r="F325" s="13">
        <f t="shared" si="51"/>
        <v>5569.2</v>
      </c>
      <c r="G325" s="2"/>
      <c r="H325" s="2"/>
      <c r="I325" s="13">
        <f>15000/7</f>
        <v>2142.8571428571427</v>
      </c>
      <c r="J325" s="13">
        <f t="shared" si="52"/>
        <v>2999.9999999999995</v>
      </c>
      <c r="K325" s="13">
        <f t="shared" si="53"/>
        <v>2569.2000000000003</v>
      </c>
      <c r="L325" s="33">
        <f t="shared" si="54"/>
        <v>0.50976190476190486</v>
      </c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2">
        <v>13</v>
      </c>
      <c r="B326" s="10" t="s">
        <v>21</v>
      </c>
      <c r="C326" s="11" t="s">
        <v>22</v>
      </c>
      <c r="D326" s="13">
        <v>1700</v>
      </c>
      <c r="E326" s="13">
        <f t="shared" si="50"/>
        <v>22100</v>
      </c>
      <c r="F326" s="13">
        <f t="shared" si="51"/>
        <v>24420.5</v>
      </c>
      <c r="G326" s="2"/>
      <c r="H326" s="2"/>
      <c r="I326" s="13">
        <v>1400</v>
      </c>
      <c r="J326" s="13">
        <f t="shared" si="52"/>
        <v>18200</v>
      </c>
      <c r="K326" s="13">
        <f t="shared" si="53"/>
        <v>6220.5</v>
      </c>
      <c r="L326" s="33">
        <f t="shared" si="54"/>
        <v>0.28147058823529414</v>
      </c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2">
        <v>15</v>
      </c>
      <c r="B327" s="10" t="s">
        <v>21</v>
      </c>
      <c r="C327" s="11" t="s">
        <v>46</v>
      </c>
      <c r="D327" s="13">
        <v>600</v>
      </c>
      <c r="E327" s="13">
        <f t="shared" si="50"/>
        <v>9000</v>
      </c>
      <c r="F327" s="13">
        <f t="shared" si="51"/>
        <v>9945</v>
      </c>
      <c r="G327" s="2"/>
      <c r="H327" s="2"/>
      <c r="I327" s="13">
        <f>7000/24</f>
        <v>291.66666666666669</v>
      </c>
      <c r="J327" s="13">
        <f t="shared" si="52"/>
        <v>4375</v>
      </c>
      <c r="K327" s="13">
        <f t="shared" si="53"/>
        <v>5570</v>
      </c>
      <c r="L327" s="18">
        <f t="shared" si="54"/>
        <v>0.61888888888888893</v>
      </c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2">
        <v>2.5</v>
      </c>
      <c r="B328" s="10" t="s">
        <v>17</v>
      </c>
      <c r="C328" s="11" t="s">
        <v>43</v>
      </c>
      <c r="D328" s="13">
        <v>5000</v>
      </c>
      <c r="E328" s="13">
        <f t="shared" si="50"/>
        <v>12500</v>
      </c>
      <c r="F328" s="13">
        <f t="shared" si="51"/>
        <v>13812.5</v>
      </c>
      <c r="G328" s="2"/>
      <c r="H328" s="2"/>
      <c r="I328" s="13">
        <f>15000/5</f>
        <v>3000</v>
      </c>
      <c r="J328" s="13">
        <f t="shared" si="52"/>
        <v>7500</v>
      </c>
      <c r="K328" s="13">
        <f t="shared" si="53"/>
        <v>6312.5</v>
      </c>
      <c r="L328" s="18">
        <f t="shared" si="54"/>
        <v>0.505</v>
      </c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2">
        <v>1</v>
      </c>
      <c r="B329" s="10" t="s">
        <v>21</v>
      </c>
      <c r="C329" s="11" t="s">
        <v>29</v>
      </c>
      <c r="D329" s="13">
        <v>3500</v>
      </c>
      <c r="E329" s="13">
        <f t="shared" si="50"/>
        <v>3500</v>
      </c>
      <c r="F329" s="13">
        <f t="shared" si="51"/>
        <v>3867.5</v>
      </c>
      <c r="G329" s="2"/>
      <c r="H329" s="2"/>
      <c r="I329" s="13">
        <v>1000</v>
      </c>
      <c r="J329" s="13">
        <f t="shared" si="52"/>
        <v>1000</v>
      </c>
      <c r="K329" s="13">
        <f t="shared" si="53"/>
        <v>2867.5</v>
      </c>
      <c r="L329" s="14">
        <f t="shared" si="54"/>
        <v>0.81928571428571428</v>
      </c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2">
        <v>0.5</v>
      </c>
      <c r="B330" s="10" t="s">
        <v>17</v>
      </c>
      <c r="C330" s="11" t="s">
        <v>42</v>
      </c>
      <c r="D330" s="13">
        <v>4500</v>
      </c>
      <c r="E330" s="13">
        <f t="shared" si="50"/>
        <v>2250</v>
      </c>
      <c r="F330" s="13">
        <f t="shared" si="51"/>
        <v>2486.25</v>
      </c>
      <c r="G330" s="2"/>
      <c r="H330" s="2"/>
      <c r="I330" s="13">
        <v>1400</v>
      </c>
      <c r="J330" s="13">
        <f t="shared" si="52"/>
        <v>700</v>
      </c>
      <c r="K330" s="13">
        <f t="shared" si="53"/>
        <v>1786.25</v>
      </c>
      <c r="L330" s="18">
        <f>IFERROR(K330/E330, 0)</f>
        <v>0.79388888888888887</v>
      </c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2">
        <v>1</v>
      </c>
      <c r="B331" s="10" t="s">
        <v>21</v>
      </c>
      <c r="C331" s="11" t="s">
        <v>28</v>
      </c>
      <c r="D331" s="13">
        <v>3000</v>
      </c>
      <c r="E331" s="13">
        <f t="shared" si="50"/>
        <v>3000</v>
      </c>
      <c r="F331" s="13">
        <f t="shared" si="51"/>
        <v>3315</v>
      </c>
      <c r="G331" s="2"/>
      <c r="H331" s="2"/>
      <c r="I331" s="13">
        <v>2500</v>
      </c>
      <c r="J331" s="13">
        <f t="shared" si="52"/>
        <v>2500</v>
      </c>
      <c r="K331" s="13">
        <f t="shared" si="53"/>
        <v>815</v>
      </c>
      <c r="L331" s="14">
        <f t="shared" ref="L331:L340" si="55">IFERROR(K331/E331, 0)</f>
        <v>0.27166666666666667</v>
      </c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2">
        <v>1</v>
      </c>
      <c r="B332" s="10" t="s">
        <v>23</v>
      </c>
      <c r="C332" s="11" t="s">
        <v>25</v>
      </c>
      <c r="D332" s="13">
        <v>72000</v>
      </c>
      <c r="E332" s="13">
        <f t="shared" si="50"/>
        <v>72000</v>
      </c>
      <c r="F332" s="13">
        <f t="shared" si="51"/>
        <v>79560</v>
      </c>
      <c r="G332" s="2"/>
      <c r="H332" s="2"/>
      <c r="I332" s="13">
        <v>62000</v>
      </c>
      <c r="J332" s="13">
        <f t="shared" si="52"/>
        <v>62000</v>
      </c>
      <c r="K332" s="13">
        <f t="shared" si="53"/>
        <v>17560</v>
      </c>
      <c r="L332" s="14">
        <f t="shared" si="55"/>
        <v>0.24388888888888888</v>
      </c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2">
        <v>1</v>
      </c>
      <c r="B333" s="10" t="s">
        <v>23</v>
      </c>
      <c r="C333" s="11" t="s">
        <v>24</v>
      </c>
      <c r="D333" s="13">
        <v>60000</v>
      </c>
      <c r="E333" s="13">
        <f t="shared" si="50"/>
        <v>60000</v>
      </c>
      <c r="F333" s="13">
        <f t="shared" si="51"/>
        <v>66300</v>
      </c>
      <c r="G333" s="2"/>
      <c r="H333" s="2"/>
      <c r="I333" s="13">
        <v>50000</v>
      </c>
      <c r="J333" s="13">
        <f t="shared" si="52"/>
        <v>50000</v>
      </c>
      <c r="K333" s="13">
        <f t="shared" si="53"/>
        <v>16300</v>
      </c>
      <c r="L333" s="14">
        <f t="shared" si="55"/>
        <v>0.27166666666666667</v>
      </c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2">
        <v>3</v>
      </c>
      <c r="B334" s="10" t="s">
        <v>17</v>
      </c>
      <c r="C334" s="11" t="s">
        <v>62</v>
      </c>
      <c r="D334" s="13">
        <v>3000</v>
      </c>
      <c r="E334" s="13">
        <f t="shared" si="50"/>
        <v>9000</v>
      </c>
      <c r="F334" s="13">
        <f t="shared" si="51"/>
        <v>9945</v>
      </c>
      <c r="G334" s="2"/>
      <c r="H334" s="2"/>
      <c r="I334" s="13">
        <f>28000/17</f>
        <v>1647.0588235294117</v>
      </c>
      <c r="J334" s="13">
        <f t="shared" si="52"/>
        <v>4941.1764705882351</v>
      </c>
      <c r="K334" s="13">
        <f t="shared" si="53"/>
        <v>5003.8235294117649</v>
      </c>
      <c r="L334" s="14">
        <f t="shared" si="55"/>
        <v>0.55598039215686279</v>
      </c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2">
        <v>0.5</v>
      </c>
      <c r="B335" s="10" t="s">
        <v>17</v>
      </c>
      <c r="C335" s="11" t="s">
        <v>89</v>
      </c>
      <c r="D335" s="13">
        <v>12500</v>
      </c>
      <c r="E335" s="13">
        <f t="shared" si="50"/>
        <v>6250</v>
      </c>
      <c r="F335" s="13">
        <f t="shared" si="51"/>
        <v>6906.25</v>
      </c>
      <c r="G335" s="2"/>
      <c r="H335" s="2"/>
      <c r="I335" s="13">
        <f>45000/4</f>
        <v>11250</v>
      </c>
      <c r="J335" s="13">
        <f t="shared" si="52"/>
        <v>5625</v>
      </c>
      <c r="K335" s="13">
        <f t="shared" si="53"/>
        <v>1281.25</v>
      </c>
      <c r="L335" s="14">
        <f t="shared" si="55"/>
        <v>0.20499999999999999</v>
      </c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2">
        <v>1.5</v>
      </c>
      <c r="B336" s="10" t="s">
        <v>23</v>
      </c>
      <c r="C336" s="11" t="s">
        <v>26</v>
      </c>
      <c r="D336" s="13">
        <v>22000</v>
      </c>
      <c r="E336" s="13">
        <f t="shared" si="50"/>
        <v>33000</v>
      </c>
      <c r="F336" s="13">
        <f t="shared" si="51"/>
        <v>36465</v>
      </c>
      <c r="G336" s="2"/>
      <c r="H336" s="2"/>
      <c r="I336" s="13">
        <v>17000</v>
      </c>
      <c r="J336" s="13">
        <f t="shared" si="52"/>
        <v>25500</v>
      </c>
      <c r="K336" s="13">
        <f t="shared" si="53"/>
        <v>10965</v>
      </c>
      <c r="L336" s="18">
        <f t="shared" si="55"/>
        <v>0.33227272727272728</v>
      </c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2">
        <v>3</v>
      </c>
      <c r="B337" s="10" t="s">
        <v>11</v>
      </c>
      <c r="C337" s="11" t="s">
        <v>12</v>
      </c>
      <c r="D337" s="13">
        <f>54000/12</f>
        <v>4500</v>
      </c>
      <c r="E337" s="13">
        <f t="shared" si="50"/>
        <v>13500</v>
      </c>
      <c r="F337" s="13">
        <f>E337*1.21</f>
        <v>16335</v>
      </c>
      <c r="G337" s="2"/>
      <c r="H337" s="2"/>
      <c r="I337" s="13">
        <v>4500</v>
      </c>
      <c r="J337" s="13">
        <f t="shared" si="52"/>
        <v>13500</v>
      </c>
      <c r="K337" s="13">
        <f t="shared" si="53"/>
        <v>2835</v>
      </c>
      <c r="L337" s="18">
        <f t="shared" si="55"/>
        <v>0.21</v>
      </c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2">
        <v>2</v>
      </c>
      <c r="B338" s="10" t="s">
        <v>17</v>
      </c>
      <c r="C338" s="11" t="s">
        <v>129</v>
      </c>
      <c r="D338" s="13">
        <v>1600</v>
      </c>
      <c r="E338" s="13">
        <f t="shared" si="50"/>
        <v>3200</v>
      </c>
      <c r="F338" s="13">
        <f t="shared" ref="F338:F340" si="56">E338*1.105</f>
        <v>3536</v>
      </c>
      <c r="G338" s="2"/>
      <c r="H338" s="2"/>
      <c r="I338" s="13">
        <v>1100</v>
      </c>
      <c r="J338" s="13">
        <f t="shared" si="52"/>
        <v>2200</v>
      </c>
      <c r="K338" s="13">
        <f t="shared" si="53"/>
        <v>1336</v>
      </c>
      <c r="L338" s="18">
        <f t="shared" si="55"/>
        <v>0.41749999999999998</v>
      </c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2">
        <v>1.5</v>
      </c>
      <c r="B339" s="10" t="s">
        <v>17</v>
      </c>
      <c r="C339" s="11" t="s">
        <v>61</v>
      </c>
      <c r="D339" s="13">
        <v>2800</v>
      </c>
      <c r="E339" s="13">
        <f t="shared" si="50"/>
        <v>4200</v>
      </c>
      <c r="F339" s="13">
        <f t="shared" si="56"/>
        <v>4641</v>
      </c>
      <c r="G339" s="2"/>
      <c r="H339" s="2"/>
      <c r="I339" s="13">
        <f>25000/14</f>
        <v>1785.7142857142858</v>
      </c>
      <c r="J339" s="13">
        <f t="shared" si="52"/>
        <v>2678.5714285714284</v>
      </c>
      <c r="K339" s="13">
        <f t="shared" si="53"/>
        <v>1962.4285714285716</v>
      </c>
      <c r="L339" s="18">
        <f t="shared" si="55"/>
        <v>0.46724489795918372</v>
      </c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2">
        <v>1</v>
      </c>
      <c r="B340" s="10" t="s">
        <v>21</v>
      </c>
      <c r="C340" s="11" t="s">
        <v>51</v>
      </c>
      <c r="D340" s="13">
        <v>1500</v>
      </c>
      <c r="E340" s="13">
        <f t="shared" si="50"/>
        <v>1500</v>
      </c>
      <c r="F340" s="13">
        <f t="shared" si="56"/>
        <v>1657.5</v>
      </c>
      <c r="G340" s="2"/>
      <c r="H340" s="2"/>
      <c r="I340" s="13">
        <v>750</v>
      </c>
      <c r="J340" s="13">
        <f t="shared" si="52"/>
        <v>750</v>
      </c>
      <c r="K340" s="13">
        <f t="shared" si="53"/>
        <v>907.5</v>
      </c>
      <c r="L340" s="33">
        <f t="shared" si="55"/>
        <v>0.60499999999999998</v>
      </c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5"/>
      <c r="B341" s="2"/>
      <c r="C341" s="4"/>
      <c r="D341" s="2"/>
      <c r="E341" s="2"/>
      <c r="F341" s="2"/>
      <c r="G341" s="2"/>
      <c r="H341" s="2"/>
      <c r="I341" s="2"/>
      <c r="J341" s="2"/>
      <c r="K341" s="2"/>
      <c r="L341" s="3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2"/>
      <c r="C342" s="4"/>
      <c r="D342" s="2"/>
      <c r="E342" s="13">
        <f t="shared" ref="E342:F342" si="57">SUM(E309:E340)</f>
        <v>529560</v>
      </c>
      <c r="F342" s="13">
        <f t="shared" si="57"/>
        <v>586581.30000000005</v>
      </c>
      <c r="G342" s="2"/>
      <c r="H342" s="2"/>
      <c r="I342" s="2"/>
      <c r="J342" s="2"/>
      <c r="K342" s="13">
        <f>SUM(K309:K340)</f>
        <v>209518.69528593807</v>
      </c>
      <c r="L342" s="14">
        <f>K342/F342</f>
        <v>0.35718611433050806</v>
      </c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0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6"/>
      <c r="B344" s="1"/>
      <c r="C344" s="1"/>
      <c r="D344" s="22"/>
      <c r="E344" s="8"/>
      <c r="F344" s="24"/>
      <c r="G344" s="2"/>
      <c r="H344" s="2"/>
      <c r="I344" s="2"/>
      <c r="J344" s="2"/>
      <c r="K344" s="2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6" t="s">
        <v>116</v>
      </c>
      <c r="B345" s="1"/>
      <c r="C345" s="1"/>
      <c r="D345" s="22" t="s">
        <v>1100</v>
      </c>
      <c r="E345" s="8">
        <v>46129</v>
      </c>
      <c r="F345" s="24" t="s">
        <v>37</v>
      </c>
      <c r="G345" s="2"/>
      <c r="H345" s="2"/>
      <c r="I345" s="2"/>
      <c r="J345" s="2"/>
      <c r="K345" s="2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2"/>
      <c r="C346" s="4"/>
      <c r="D346" s="2"/>
      <c r="E346" s="2"/>
      <c r="F346" s="2"/>
      <c r="G346" s="2"/>
      <c r="H346" s="2"/>
      <c r="I346" s="2"/>
      <c r="J346" s="2"/>
      <c r="K346" s="2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6" t="s">
        <v>3</v>
      </c>
      <c r="B347" s="10" t="s">
        <v>4</v>
      </c>
      <c r="C347" s="11" t="s">
        <v>5</v>
      </c>
      <c r="D347" s="10" t="s">
        <v>6</v>
      </c>
      <c r="E347" s="10" t="s">
        <v>7</v>
      </c>
      <c r="F347" s="2"/>
      <c r="G347" s="2"/>
      <c r="H347" s="2"/>
      <c r="I347" s="10" t="s">
        <v>6</v>
      </c>
      <c r="J347" s="10" t="s">
        <v>7</v>
      </c>
      <c r="K347" s="10" t="s">
        <v>10</v>
      </c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2">
        <v>2</v>
      </c>
      <c r="B348" s="10" t="s">
        <v>17</v>
      </c>
      <c r="C348" s="11" t="s">
        <v>55</v>
      </c>
      <c r="D348" s="13">
        <v>21000</v>
      </c>
      <c r="E348" s="13">
        <f t="shared" ref="E348:E363" si="58">A348*D348</f>
        <v>42000</v>
      </c>
      <c r="F348" s="2"/>
      <c r="G348" s="2"/>
      <c r="H348" s="2"/>
      <c r="I348" s="13">
        <v>16000</v>
      </c>
      <c r="J348" s="13">
        <f t="shared" ref="J348:J363" si="59">I348*A348</f>
        <v>32000</v>
      </c>
      <c r="K348" s="13">
        <f t="shared" ref="K348:K363" si="60">E348-J348</f>
        <v>10000</v>
      </c>
      <c r="L348" s="14">
        <f t="shared" ref="L348:L363" si="61">K348/E348</f>
        <v>0.23809523809523808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2">
        <v>2</v>
      </c>
      <c r="B349" s="10" t="s">
        <v>21</v>
      </c>
      <c r="C349" s="11" t="s">
        <v>51</v>
      </c>
      <c r="D349" s="13">
        <v>1500</v>
      </c>
      <c r="E349" s="13">
        <f t="shared" si="58"/>
        <v>3000</v>
      </c>
      <c r="F349" s="2"/>
      <c r="G349" s="2"/>
      <c r="H349" s="2"/>
      <c r="I349" s="13">
        <v>750</v>
      </c>
      <c r="J349" s="13">
        <f t="shared" si="59"/>
        <v>1500</v>
      </c>
      <c r="K349" s="13">
        <f t="shared" si="60"/>
        <v>1500</v>
      </c>
      <c r="L349" s="14">
        <f t="shared" si="61"/>
        <v>0.5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2">
        <v>1</v>
      </c>
      <c r="B350" s="10" t="s">
        <v>21</v>
      </c>
      <c r="C350" s="11" t="s">
        <v>42</v>
      </c>
      <c r="D350" s="13">
        <v>4000</v>
      </c>
      <c r="E350" s="13">
        <f t="shared" si="58"/>
        <v>4000</v>
      </c>
      <c r="F350" s="2"/>
      <c r="G350" s="2"/>
      <c r="H350" s="2"/>
      <c r="I350" s="13">
        <v>1400</v>
      </c>
      <c r="J350" s="13">
        <f t="shared" si="59"/>
        <v>1400</v>
      </c>
      <c r="K350" s="13">
        <f t="shared" si="60"/>
        <v>2600</v>
      </c>
      <c r="L350" s="14">
        <f t="shared" si="61"/>
        <v>0.65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2">
        <v>1</v>
      </c>
      <c r="B351" s="10" t="s">
        <v>21</v>
      </c>
      <c r="C351" s="11" t="s">
        <v>64</v>
      </c>
      <c r="D351" s="13">
        <v>2500</v>
      </c>
      <c r="E351" s="13">
        <f t="shared" si="58"/>
        <v>2500</v>
      </c>
      <c r="F351" s="2"/>
      <c r="G351" s="2"/>
      <c r="H351" s="2"/>
      <c r="I351" s="13">
        <v>1000</v>
      </c>
      <c r="J351" s="13">
        <f t="shared" si="59"/>
        <v>1000</v>
      </c>
      <c r="K351" s="13">
        <f t="shared" si="60"/>
        <v>1500</v>
      </c>
      <c r="L351" s="14">
        <f t="shared" si="61"/>
        <v>0.6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2">
        <v>6</v>
      </c>
      <c r="B352" s="10" t="s">
        <v>17</v>
      </c>
      <c r="C352" s="11" t="s">
        <v>39</v>
      </c>
      <c r="D352" s="13">
        <v>1600</v>
      </c>
      <c r="E352" s="13">
        <f t="shared" si="58"/>
        <v>9600</v>
      </c>
      <c r="F352" s="2"/>
      <c r="G352" s="2"/>
      <c r="H352" s="2"/>
      <c r="I352" s="13">
        <f>14000/15</f>
        <v>933.33333333333337</v>
      </c>
      <c r="J352" s="13">
        <f t="shared" si="59"/>
        <v>5600</v>
      </c>
      <c r="K352" s="13">
        <f t="shared" si="60"/>
        <v>4000</v>
      </c>
      <c r="L352" s="14">
        <f t="shared" si="61"/>
        <v>0.41666666666666669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2">
        <v>1</v>
      </c>
      <c r="B353" s="10" t="s">
        <v>17</v>
      </c>
      <c r="C353" s="11" t="s">
        <v>113</v>
      </c>
      <c r="D353" s="13">
        <v>4000</v>
      </c>
      <c r="E353" s="13">
        <f t="shared" si="58"/>
        <v>4000</v>
      </c>
      <c r="F353" s="2"/>
      <c r="G353" s="2"/>
      <c r="H353" s="2"/>
      <c r="I353" s="13">
        <v>2000</v>
      </c>
      <c r="J353" s="13">
        <f t="shared" si="59"/>
        <v>2000</v>
      </c>
      <c r="K353" s="13">
        <f t="shared" si="60"/>
        <v>2000</v>
      </c>
      <c r="L353" s="14">
        <f t="shared" si="61"/>
        <v>0.5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2">
        <v>3</v>
      </c>
      <c r="B354" s="10" t="s">
        <v>17</v>
      </c>
      <c r="C354" s="11" t="s">
        <v>18</v>
      </c>
      <c r="D354" s="13">
        <v>1600</v>
      </c>
      <c r="E354" s="13">
        <f t="shared" si="58"/>
        <v>4800</v>
      </c>
      <c r="F354" s="2"/>
      <c r="G354" s="2"/>
      <c r="H354" s="2"/>
      <c r="I354" s="13">
        <v>1000</v>
      </c>
      <c r="J354" s="13">
        <f t="shared" si="59"/>
        <v>3000</v>
      </c>
      <c r="K354" s="13">
        <f t="shared" si="60"/>
        <v>1800</v>
      </c>
      <c r="L354" s="14">
        <f t="shared" si="61"/>
        <v>0.375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2">
        <v>1</v>
      </c>
      <c r="B355" s="10" t="s">
        <v>21</v>
      </c>
      <c r="C355" s="11" t="s">
        <v>151</v>
      </c>
      <c r="D355" s="13">
        <v>3000</v>
      </c>
      <c r="E355" s="13">
        <f t="shared" si="58"/>
        <v>3000</v>
      </c>
      <c r="F355" s="2"/>
      <c r="G355" s="2"/>
      <c r="H355" s="2"/>
      <c r="I355" s="13">
        <v>2000</v>
      </c>
      <c r="J355" s="13">
        <f t="shared" si="59"/>
        <v>2000</v>
      </c>
      <c r="K355" s="13">
        <f t="shared" si="60"/>
        <v>1000</v>
      </c>
      <c r="L355" s="14">
        <f t="shared" si="61"/>
        <v>0.33333333333333331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2">
        <v>1</v>
      </c>
      <c r="B356" s="10" t="s">
        <v>4</v>
      </c>
      <c r="C356" s="11" t="s">
        <v>183</v>
      </c>
      <c r="D356" s="13">
        <v>6000</v>
      </c>
      <c r="E356" s="13">
        <f t="shared" si="58"/>
        <v>6000</v>
      </c>
      <c r="F356" s="2"/>
      <c r="G356" s="2"/>
      <c r="H356" s="2"/>
      <c r="I356" s="13">
        <v>4000</v>
      </c>
      <c r="J356" s="13">
        <f t="shared" si="59"/>
        <v>4000</v>
      </c>
      <c r="K356" s="13">
        <f t="shared" si="60"/>
        <v>2000</v>
      </c>
      <c r="L356" s="14">
        <f t="shared" si="61"/>
        <v>0.33333333333333331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2">
        <v>1</v>
      </c>
      <c r="B357" s="10" t="s">
        <v>23</v>
      </c>
      <c r="C357" s="11" t="s">
        <v>46</v>
      </c>
      <c r="D357" s="13">
        <v>12000</v>
      </c>
      <c r="E357" s="13">
        <f t="shared" si="58"/>
        <v>12000</v>
      </c>
      <c r="F357" s="2"/>
      <c r="G357" s="2"/>
      <c r="H357" s="2"/>
      <c r="I357" s="13">
        <v>7000</v>
      </c>
      <c r="J357" s="13">
        <f t="shared" si="59"/>
        <v>7000</v>
      </c>
      <c r="K357" s="13">
        <f t="shared" si="60"/>
        <v>5000</v>
      </c>
      <c r="L357" s="14">
        <f t="shared" si="61"/>
        <v>0.41666666666666669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2">
        <v>1</v>
      </c>
      <c r="B358" s="10" t="s">
        <v>23</v>
      </c>
      <c r="C358" s="11" t="s">
        <v>118</v>
      </c>
      <c r="D358" s="13">
        <v>12000</v>
      </c>
      <c r="E358" s="13">
        <f t="shared" si="58"/>
        <v>12000</v>
      </c>
      <c r="F358" s="2"/>
      <c r="G358" s="2"/>
      <c r="H358" s="2"/>
      <c r="I358" s="13">
        <v>8000</v>
      </c>
      <c r="J358" s="13">
        <f t="shared" si="59"/>
        <v>8000</v>
      </c>
      <c r="K358" s="13">
        <f t="shared" si="60"/>
        <v>4000</v>
      </c>
      <c r="L358" s="14">
        <f t="shared" si="61"/>
        <v>0.33333333333333331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2">
        <v>0.5</v>
      </c>
      <c r="B359" s="10" t="s">
        <v>17</v>
      </c>
      <c r="C359" s="11" t="s">
        <v>30</v>
      </c>
      <c r="D359" s="13">
        <v>2600</v>
      </c>
      <c r="E359" s="13">
        <f t="shared" si="58"/>
        <v>1300</v>
      </c>
      <c r="F359" s="2"/>
      <c r="G359" s="2"/>
      <c r="H359" s="2"/>
      <c r="I359" s="13">
        <v>2000</v>
      </c>
      <c r="J359" s="13">
        <f t="shared" si="59"/>
        <v>1000</v>
      </c>
      <c r="K359" s="13">
        <f t="shared" si="60"/>
        <v>300</v>
      </c>
      <c r="L359" s="14">
        <f t="shared" si="61"/>
        <v>0.23076923076923078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2">
        <v>10</v>
      </c>
      <c r="B360" s="10" t="s">
        <v>17</v>
      </c>
      <c r="C360" s="11" t="s">
        <v>88</v>
      </c>
      <c r="D360" s="13">
        <v>2400</v>
      </c>
      <c r="E360" s="13">
        <f t="shared" si="58"/>
        <v>24000</v>
      </c>
      <c r="F360" s="2"/>
      <c r="G360" s="2"/>
      <c r="H360" s="2"/>
      <c r="I360" s="13">
        <f>1000</f>
        <v>1000</v>
      </c>
      <c r="J360" s="13">
        <f t="shared" si="59"/>
        <v>10000</v>
      </c>
      <c r="K360" s="13">
        <f t="shared" si="60"/>
        <v>14000</v>
      </c>
      <c r="L360" s="14">
        <f t="shared" si="61"/>
        <v>0.58333333333333337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2">
        <v>8</v>
      </c>
      <c r="B361" s="10" t="s">
        <v>17</v>
      </c>
      <c r="C361" s="11" t="s">
        <v>26</v>
      </c>
      <c r="D361" s="13">
        <v>1800</v>
      </c>
      <c r="E361" s="13">
        <f t="shared" si="58"/>
        <v>14400</v>
      </c>
      <c r="F361" s="2"/>
      <c r="G361" s="2"/>
      <c r="H361" s="2"/>
      <c r="I361" s="13">
        <v>1000</v>
      </c>
      <c r="J361" s="13">
        <f t="shared" si="59"/>
        <v>8000</v>
      </c>
      <c r="K361" s="13">
        <f t="shared" si="60"/>
        <v>6400</v>
      </c>
      <c r="L361" s="14">
        <f t="shared" si="61"/>
        <v>0.44444444444444442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2">
        <v>6</v>
      </c>
      <c r="B362" s="10" t="s">
        <v>17</v>
      </c>
      <c r="C362" s="11" t="s">
        <v>123</v>
      </c>
      <c r="D362" s="13">
        <v>3000</v>
      </c>
      <c r="E362" s="13">
        <f t="shared" si="58"/>
        <v>18000</v>
      </c>
      <c r="F362" s="2"/>
      <c r="G362" s="2"/>
      <c r="H362" s="2"/>
      <c r="I362" s="13">
        <f>32000/17</f>
        <v>1882.3529411764705</v>
      </c>
      <c r="J362" s="13">
        <f t="shared" si="59"/>
        <v>11294.117647058823</v>
      </c>
      <c r="K362" s="13">
        <f t="shared" si="60"/>
        <v>6705.8823529411766</v>
      </c>
      <c r="L362" s="14">
        <f t="shared" si="61"/>
        <v>0.37254901960784315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2">
        <v>1</v>
      </c>
      <c r="B363" s="10" t="s">
        <v>21</v>
      </c>
      <c r="C363" s="11" t="s">
        <v>112</v>
      </c>
      <c r="D363" s="13">
        <v>3000</v>
      </c>
      <c r="E363" s="13">
        <f t="shared" si="58"/>
        <v>3000</v>
      </c>
      <c r="F363" s="2"/>
      <c r="G363" s="2"/>
      <c r="H363" s="2"/>
      <c r="I363" s="13">
        <v>2000</v>
      </c>
      <c r="J363" s="13">
        <f t="shared" si="59"/>
        <v>2000</v>
      </c>
      <c r="K363" s="13">
        <f t="shared" si="60"/>
        <v>1000</v>
      </c>
      <c r="L363" s="14">
        <f t="shared" si="61"/>
        <v>0.33333333333333331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"/>
      <c r="B364" s="2"/>
      <c r="C364" s="4"/>
      <c r="D364" s="2"/>
      <c r="E364" s="2"/>
      <c r="F364" s="2"/>
      <c r="G364" s="4"/>
      <c r="H364" s="2"/>
      <c r="I364" s="2"/>
      <c r="J364" s="2"/>
      <c r="K364" s="2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"/>
      <c r="B365" s="2"/>
      <c r="C365" s="4"/>
      <c r="D365" s="2"/>
      <c r="E365" s="13">
        <f>SUM(E348:E363)</f>
        <v>163600</v>
      </c>
      <c r="F365" s="2"/>
      <c r="G365" s="2"/>
      <c r="H365" s="2"/>
      <c r="I365" s="2"/>
      <c r="J365" s="2"/>
      <c r="K365" s="13">
        <f>SUM(K348:K363)</f>
        <v>63805.882352941175</v>
      </c>
      <c r="L365" s="14">
        <f>K365/E365</f>
        <v>0.3900115058248238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0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0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6" t="s">
        <v>149</v>
      </c>
      <c r="B368" s="1"/>
      <c r="C368" s="1"/>
      <c r="D368" s="22" t="s">
        <v>1049</v>
      </c>
      <c r="E368" s="8">
        <v>46129</v>
      </c>
      <c r="F368" s="24" t="s">
        <v>37</v>
      </c>
      <c r="G368" s="2"/>
      <c r="H368" s="2"/>
      <c r="I368" s="2"/>
      <c r="J368" s="2"/>
      <c r="K368" s="2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2"/>
      <c r="C369" s="4"/>
      <c r="D369" s="2"/>
      <c r="E369" s="2"/>
      <c r="F369" s="2"/>
      <c r="G369" s="2"/>
      <c r="H369" s="2"/>
      <c r="I369" s="2"/>
      <c r="J369" s="2"/>
      <c r="K369" s="2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6" t="s">
        <v>3</v>
      </c>
      <c r="B370" s="10" t="s">
        <v>4</v>
      </c>
      <c r="C370" s="11" t="s">
        <v>5</v>
      </c>
      <c r="D370" s="10" t="s">
        <v>6</v>
      </c>
      <c r="E370" s="10" t="s">
        <v>7</v>
      </c>
      <c r="F370" s="2"/>
      <c r="G370" s="2"/>
      <c r="H370" s="2"/>
      <c r="I370" s="10" t="s">
        <v>6</v>
      </c>
      <c r="J370" s="10" t="s">
        <v>7</v>
      </c>
      <c r="K370" s="10" t="s">
        <v>10</v>
      </c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2">
        <v>1</v>
      </c>
      <c r="B371" s="10" t="s">
        <v>23</v>
      </c>
      <c r="C371" s="11" t="s">
        <v>46</v>
      </c>
      <c r="D371" s="13">
        <v>12000</v>
      </c>
      <c r="E371" s="13">
        <f t="shared" ref="E371:E379" si="62">A371*D371</f>
        <v>12000</v>
      </c>
      <c r="F371" s="2"/>
      <c r="G371" s="2"/>
      <c r="H371" s="2"/>
      <c r="I371" s="13">
        <v>7000</v>
      </c>
      <c r="J371" s="13">
        <f t="shared" ref="J371:J379" si="63">I371*A371</f>
        <v>7000</v>
      </c>
      <c r="K371" s="13">
        <f t="shared" ref="K371:K379" si="64">E371-J371</f>
        <v>5000</v>
      </c>
      <c r="L371" s="14">
        <f t="shared" ref="L371:L379" si="65">K371/E371</f>
        <v>0.41666666666666669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2">
        <v>0.5</v>
      </c>
      <c r="B372" s="10" t="s">
        <v>23</v>
      </c>
      <c r="C372" s="11" t="s">
        <v>118</v>
      </c>
      <c r="D372" s="13">
        <v>12000</v>
      </c>
      <c r="E372" s="13">
        <f t="shared" si="62"/>
        <v>6000</v>
      </c>
      <c r="F372" s="2"/>
      <c r="G372" s="2"/>
      <c r="H372" s="2"/>
      <c r="I372" s="13">
        <v>8000</v>
      </c>
      <c r="J372" s="13">
        <f t="shared" si="63"/>
        <v>4000</v>
      </c>
      <c r="K372" s="13">
        <f t="shared" si="64"/>
        <v>2000</v>
      </c>
      <c r="L372" s="14">
        <f t="shared" si="65"/>
        <v>0.33333333333333331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2">
        <v>2</v>
      </c>
      <c r="B373" s="10" t="s">
        <v>17</v>
      </c>
      <c r="C373" s="11" t="s">
        <v>110</v>
      </c>
      <c r="D373" s="13">
        <v>4000</v>
      </c>
      <c r="E373" s="13">
        <f t="shared" si="62"/>
        <v>8000</v>
      </c>
      <c r="F373" s="2"/>
      <c r="G373" s="2"/>
      <c r="H373" s="2"/>
      <c r="I373" s="13">
        <v>2000</v>
      </c>
      <c r="J373" s="13">
        <f t="shared" si="63"/>
        <v>4000</v>
      </c>
      <c r="K373" s="13">
        <f t="shared" si="64"/>
        <v>4000</v>
      </c>
      <c r="L373" s="14">
        <f t="shared" si="65"/>
        <v>0.5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2">
        <v>12</v>
      </c>
      <c r="B374" s="10" t="s">
        <v>4</v>
      </c>
      <c r="C374" s="11" t="s">
        <v>65</v>
      </c>
      <c r="D374" s="13">
        <v>1000</v>
      </c>
      <c r="E374" s="13">
        <f t="shared" si="62"/>
        <v>12000</v>
      </c>
      <c r="F374" s="2"/>
      <c r="G374" s="2"/>
      <c r="H374" s="2"/>
      <c r="I374" s="13">
        <f>20000/50</f>
        <v>400</v>
      </c>
      <c r="J374" s="13">
        <f t="shared" si="63"/>
        <v>4800</v>
      </c>
      <c r="K374" s="13">
        <f t="shared" si="64"/>
        <v>7200</v>
      </c>
      <c r="L374" s="14">
        <f t="shared" si="65"/>
        <v>0.6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2">
        <v>4</v>
      </c>
      <c r="B375" s="10" t="s">
        <v>17</v>
      </c>
      <c r="C375" s="11" t="s">
        <v>18</v>
      </c>
      <c r="D375" s="13">
        <v>1600</v>
      </c>
      <c r="E375" s="13">
        <f t="shared" si="62"/>
        <v>6400</v>
      </c>
      <c r="F375" s="2"/>
      <c r="G375" s="2"/>
      <c r="H375" s="2"/>
      <c r="I375" s="13">
        <v>1000</v>
      </c>
      <c r="J375" s="13">
        <f t="shared" si="63"/>
        <v>4000</v>
      </c>
      <c r="K375" s="13">
        <f t="shared" si="64"/>
        <v>2400</v>
      </c>
      <c r="L375" s="14">
        <f t="shared" si="65"/>
        <v>0.375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2">
        <v>6</v>
      </c>
      <c r="B376" s="10" t="s">
        <v>17</v>
      </c>
      <c r="C376" s="11" t="s">
        <v>39</v>
      </c>
      <c r="D376" s="13">
        <v>1800</v>
      </c>
      <c r="E376" s="13">
        <f t="shared" si="62"/>
        <v>10800</v>
      </c>
      <c r="F376" s="2"/>
      <c r="G376" s="2"/>
      <c r="H376" s="2"/>
      <c r="I376" s="13">
        <f>14000/15</f>
        <v>933.33333333333337</v>
      </c>
      <c r="J376" s="13">
        <f t="shared" si="63"/>
        <v>5600</v>
      </c>
      <c r="K376" s="13">
        <f t="shared" si="64"/>
        <v>5200</v>
      </c>
      <c r="L376" s="36">
        <f t="shared" si="65"/>
        <v>0.48148148148148145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2">
        <v>0.5</v>
      </c>
      <c r="B377" s="10" t="s">
        <v>23</v>
      </c>
      <c r="C377" s="11" t="s">
        <v>85</v>
      </c>
      <c r="D377" s="13">
        <v>58000</v>
      </c>
      <c r="E377" s="13">
        <f t="shared" si="62"/>
        <v>29000</v>
      </c>
      <c r="F377" s="2"/>
      <c r="G377" s="2"/>
      <c r="H377" s="2"/>
      <c r="I377" s="13">
        <v>50000</v>
      </c>
      <c r="J377" s="13">
        <f t="shared" si="63"/>
        <v>25000</v>
      </c>
      <c r="K377" s="13">
        <f t="shared" si="64"/>
        <v>4000</v>
      </c>
      <c r="L377" s="33">
        <f t="shared" si="65"/>
        <v>0.13793103448275862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2">
        <v>2</v>
      </c>
      <c r="B378" s="10" t="s">
        <v>21</v>
      </c>
      <c r="C378" s="11" t="s">
        <v>51</v>
      </c>
      <c r="D378" s="13">
        <v>1500</v>
      </c>
      <c r="E378" s="13">
        <f t="shared" si="62"/>
        <v>3000</v>
      </c>
      <c r="F378" s="2"/>
      <c r="G378" s="2"/>
      <c r="H378" s="2"/>
      <c r="I378" s="13">
        <v>750</v>
      </c>
      <c r="J378" s="13">
        <f t="shared" si="63"/>
        <v>1500</v>
      </c>
      <c r="K378" s="13">
        <f t="shared" si="64"/>
        <v>1500</v>
      </c>
      <c r="L378" s="33">
        <f t="shared" si="65"/>
        <v>0.5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2">
        <v>0.5</v>
      </c>
      <c r="B379" s="10" t="s">
        <v>17</v>
      </c>
      <c r="C379" s="11" t="s">
        <v>111</v>
      </c>
      <c r="D379" s="13">
        <v>9800</v>
      </c>
      <c r="E379" s="13">
        <f t="shared" si="62"/>
        <v>4900</v>
      </c>
      <c r="F379" s="2"/>
      <c r="G379" s="2"/>
      <c r="H379" s="2"/>
      <c r="I379" s="13">
        <v>7000</v>
      </c>
      <c r="J379" s="13">
        <f t="shared" si="63"/>
        <v>3500</v>
      </c>
      <c r="K379" s="13">
        <f t="shared" si="64"/>
        <v>1400</v>
      </c>
      <c r="L379" s="18">
        <f t="shared" si="65"/>
        <v>0.2857142857142857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"/>
      <c r="B380" s="2"/>
      <c r="C380" s="4"/>
      <c r="D380" s="2"/>
      <c r="E380" s="2"/>
      <c r="F380" s="2"/>
      <c r="G380" s="4"/>
      <c r="H380" s="2"/>
      <c r="I380" s="2"/>
      <c r="J380" s="2"/>
      <c r="K380" s="2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"/>
      <c r="B381" s="2"/>
      <c r="C381" s="4"/>
      <c r="D381" s="2"/>
      <c r="E381" s="13">
        <f>SUM(E371:E379)</f>
        <v>92100</v>
      </c>
      <c r="F381" s="2"/>
      <c r="G381" s="2"/>
      <c r="H381" s="2"/>
      <c r="I381" s="2"/>
      <c r="J381" s="2"/>
      <c r="K381" s="13">
        <f>SUM(K371:K379)</f>
        <v>32700</v>
      </c>
      <c r="L381" s="14">
        <f>K381/E381</f>
        <v>0.35504885993485341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0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0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6" t="s">
        <v>131</v>
      </c>
      <c r="B384" s="1"/>
      <c r="C384" s="1"/>
      <c r="D384" s="12" t="s">
        <v>1101</v>
      </c>
      <c r="E384" s="8">
        <v>46129</v>
      </c>
      <c r="F384" s="15" t="s">
        <v>37</v>
      </c>
      <c r="G384" s="2"/>
      <c r="H384" s="2"/>
      <c r="I384" s="2"/>
      <c r="J384" s="2"/>
      <c r="K384" s="2"/>
      <c r="L384" s="3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3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6" t="s">
        <v>3</v>
      </c>
      <c r="B386" s="10" t="s">
        <v>4</v>
      </c>
      <c r="C386" s="6" t="s">
        <v>5</v>
      </c>
      <c r="D386" s="10" t="s">
        <v>6</v>
      </c>
      <c r="E386" s="10" t="s">
        <v>7</v>
      </c>
      <c r="F386" s="2"/>
      <c r="G386" s="2"/>
      <c r="H386" s="2"/>
      <c r="I386" s="10" t="s">
        <v>6</v>
      </c>
      <c r="J386" s="10" t="s">
        <v>7</v>
      </c>
      <c r="K386" s="10" t="s">
        <v>10</v>
      </c>
      <c r="L386" s="3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80">
        <v>2.8</v>
      </c>
      <c r="B387" s="10" t="s">
        <v>17</v>
      </c>
      <c r="C387" s="6" t="s">
        <v>34</v>
      </c>
      <c r="D387" s="13">
        <v>4500</v>
      </c>
      <c r="E387" s="13">
        <f t="shared" ref="E387:E403" si="66">A387*D387</f>
        <v>12600</v>
      </c>
      <c r="F387" s="2"/>
      <c r="G387" s="2"/>
      <c r="H387" s="2"/>
      <c r="I387" s="13">
        <v>2300</v>
      </c>
      <c r="J387" s="13">
        <f t="shared" ref="J387:J403" si="67">I387*A387</f>
        <v>6440</v>
      </c>
      <c r="K387" s="13">
        <f t="shared" ref="K387:K403" si="68">E387-J387</f>
        <v>6160</v>
      </c>
      <c r="L387" s="14">
        <f t="shared" ref="L387:L403" si="69">K387/E387</f>
        <v>0.48888888888888887</v>
      </c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80">
        <v>1</v>
      </c>
      <c r="B388" s="10" t="s">
        <v>21</v>
      </c>
      <c r="C388" s="6" t="s">
        <v>28</v>
      </c>
      <c r="D388" s="13">
        <v>3500</v>
      </c>
      <c r="E388" s="13">
        <f t="shared" si="66"/>
        <v>3500</v>
      </c>
      <c r="F388" s="2"/>
      <c r="G388" s="2"/>
      <c r="H388" s="2"/>
      <c r="I388" s="13">
        <v>2500</v>
      </c>
      <c r="J388" s="13">
        <f t="shared" si="67"/>
        <v>2500</v>
      </c>
      <c r="K388" s="13">
        <f t="shared" si="68"/>
        <v>1000</v>
      </c>
      <c r="L388" s="14">
        <f t="shared" si="69"/>
        <v>0.2857142857142857</v>
      </c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80">
        <v>1</v>
      </c>
      <c r="B389" s="10" t="s">
        <v>21</v>
      </c>
      <c r="C389" s="6" t="s">
        <v>42</v>
      </c>
      <c r="D389" s="13">
        <v>4000</v>
      </c>
      <c r="E389" s="13">
        <f t="shared" si="66"/>
        <v>4000</v>
      </c>
      <c r="F389" s="2"/>
      <c r="G389" s="2"/>
      <c r="H389" s="7"/>
      <c r="I389" s="13">
        <v>1400</v>
      </c>
      <c r="J389" s="13">
        <f t="shared" si="67"/>
        <v>1400</v>
      </c>
      <c r="K389" s="13">
        <f t="shared" si="68"/>
        <v>2600</v>
      </c>
      <c r="L389" s="14">
        <f t="shared" si="69"/>
        <v>0.65</v>
      </c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80">
        <v>0.5</v>
      </c>
      <c r="B390" s="10" t="s">
        <v>17</v>
      </c>
      <c r="C390" s="6" t="s">
        <v>73</v>
      </c>
      <c r="D390" s="13">
        <v>1200</v>
      </c>
      <c r="E390" s="13">
        <f t="shared" si="66"/>
        <v>600</v>
      </c>
      <c r="F390" s="2"/>
      <c r="G390" s="2"/>
      <c r="H390" s="7"/>
      <c r="I390" s="13">
        <v>500</v>
      </c>
      <c r="J390" s="13">
        <f t="shared" si="67"/>
        <v>250</v>
      </c>
      <c r="K390" s="13">
        <f t="shared" si="68"/>
        <v>350</v>
      </c>
      <c r="L390" s="14">
        <f t="shared" si="69"/>
        <v>0.58333333333333337</v>
      </c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80">
        <v>1</v>
      </c>
      <c r="B391" s="10" t="s">
        <v>4</v>
      </c>
      <c r="C391" s="6" t="s">
        <v>20</v>
      </c>
      <c r="D391" s="13">
        <v>500</v>
      </c>
      <c r="E391" s="13">
        <f t="shared" si="66"/>
        <v>500</v>
      </c>
      <c r="F391" s="2"/>
      <c r="G391" s="2"/>
      <c r="H391" s="2"/>
      <c r="I391" s="13">
        <f>85000/242</f>
        <v>351.23966942148758</v>
      </c>
      <c r="J391" s="13">
        <f t="shared" si="67"/>
        <v>351.23966942148758</v>
      </c>
      <c r="K391" s="13">
        <f t="shared" si="68"/>
        <v>148.76033057851242</v>
      </c>
      <c r="L391" s="14">
        <f t="shared" si="69"/>
        <v>0.29752066115702486</v>
      </c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80">
        <v>0.5</v>
      </c>
      <c r="B392" s="10" t="s">
        <v>17</v>
      </c>
      <c r="C392" s="6" t="s">
        <v>1102</v>
      </c>
      <c r="D392" s="13">
        <v>12000</v>
      </c>
      <c r="E392" s="13">
        <f t="shared" si="66"/>
        <v>6000</v>
      </c>
      <c r="F392" s="2"/>
      <c r="G392" s="2"/>
      <c r="H392" s="7"/>
      <c r="I392" s="13">
        <v>8000</v>
      </c>
      <c r="J392" s="13">
        <f t="shared" si="67"/>
        <v>4000</v>
      </c>
      <c r="K392" s="13">
        <f t="shared" si="68"/>
        <v>2000</v>
      </c>
      <c r="L392" s="14">
        <f t="shared" si="69"/>
        <v>0.33333333333333331</v>
      </c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80">
        <v>1</v>
      </c>
      <c r="B393" s="10" t="s">
        <v>4</v>
      </c>
      <c r="C393" s="6" t="s">
        <v>1103</v>
      </c>
      <c r="D393" s="13">
        <v>4000</v>
      </c>
      <c r="E393" s="13">
        <f t="shared" si="66"/>
        <v>4000</v>
      </c>
      <c r="F393" s="2"/>
      <c r="G393" s="2"/>
      <c r="H393" s="2"/>
      <c r="I393" s="13">
        <f t="shared" ref="I393:I394" si="70">20000/8</f>
        <v>2500</v>
      </c>
      <c r="J393" s="13">
        <f t="shared" si="67"/>
        <v>2500</v>
      </c>
      <c r="K393" s="13">
        <f t="shared" si="68"/>
        <v>1500</v>
      </c>
      <c r="L393" s="14">
        <f t="shared" si="69"/>
        <v>0.375</v>
      </c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80">
        <v>1</v>
      </c>
      <c r="B394" s="10" t="s">
        <v>4</v>
      </c>
      <c r="C394" s="6" t="s">
        <v>14</v>
      </c>
      <c r="D394" s="13">
        <v>3200</v>
      </c>
      <c r="E394" s="13">
        <f t="shared" si="66"/>
        <v>3200</v>
      </c>
      <c r="F394" s="2"/>
      <c r="G394" s="2"/>
      <c r="H394" s="2"/>
      <c r="I394" s="13">
        <f t="shared" si="70"/>
        <v>2500</v>
      </c>
      <c r="J394" s="13">
        <f t="shared" si="67"/>
        <v>2500</v>
      </c>
      <c r="K394" s="13">
        <f t="shared" si="68"/>
        <v>700</v>
      </c>
      <c r="L394" s="14">
        <f t="shared" si="69"/>
        <v>0.21875</v>
      </c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80">
        <v>0.5</v>
      </c>
      <c r="B395" s="10" t="s">
        <v>17</v>
      </c>
      <c r="C395" s="6" t="s">
        <v>1104</v>
      </c>
      <c r="D395" s="13">
        <v>6000</v>
      </c>
      <c r="E395" s="13">
        <f t="shared" si="66"/>
        <v>3000</v>
      </c>
      <c r="F395" s="2"/>
      <c r="G395" s="2"/>
      <c r="H395" s="7"/>
      <c r="I395" s="13">
        <v>3000</v>
      </c>
      <c r="J395" s="13">
        <f t="shared" si="67"/>
        <v>1500</v>
      </c>
      <c r="K395" s="13">
        <f t="shared" si="68"/>
        <v>1500</v>
      </c>
      <c r="L395" s="14">
        <f t="shared" si="69"/>
        <v>0.5</v>
      </c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80">
        <v>1</v>
      </c>
      <c r="B396" s="10" t="s">
        <v>4</v>
      </c>
      <c r="C396" s="6" t="s">
        <v>72</v>
      </c>
      <c r="D396" s="13">
        <v>3000</v>
      </c>
      <c r="E396" s="13">
        <f t="shared" si="66"/>
        <v>3000</v>
      </c>
      <c r="F396" s="2"/>
      <c r="G396" s="2"/>
      <c r="H396" s="7"/>
      <c r="I396" s="13">
        <v>2500</v>
      </c>
      <c r="J396" s="13">
        <f t="shared" si="67"/>
        <v>2500</v>
      </c>
      <c r="K396" s="13">
        <f t="shared" si="68"/>
        <v>500</v>
      </c>
      <c r="L396" s="14">
        <f t="shared" si="69"/>
        <v>0.16666666666666666</v>
      </c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80">
        <v>0.5</v>
      </c>
      <c r="B397" s="10" t="s">
        <v>15</v>
      </c>
      <c r="C397" s="6" t="s">
        <v>129</v>
      </c>
      <c r="D397" s="13">
        <v>16000</v>
      </c>
      <c r="E397" s="13">
        <f t="shared" si="66"/>
        <v>8000</v>
      </c>
      <c r="F397" s="2"/>
      <c r="G397" s="2"/>
      <c r="H397" s="2"/>
      <c r="I397" s="13">
        <v>11000</v>
      </c>
      <c r="J397" s="13">
        <f t="shared" si="67"/>
        <v>5500</v>
      </c>
      <c r="K397" s="13">
        <f t="shared" si="68"/>
        <v>2500</v>
      </c>
      <c r="L397" s="14">
        <f t="shared" si="69"/>
        <v>0.3125</v>
      </c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80">
        <v>0.25</v>
      </c>
      <c r="B398" s="10" t="s">
        <v>17</v>
      </c>
      <c r="C398" s="6" t="s">
        <v>49</v>
      </c>
      <c r="D398" s="13">
        <v>3000</v>
      </c>
      <c r="E398" s="13">
        <f t="shared" si="66"/>
        <v>750</v>
      </c>
      <c r="F398" s="2"/>
      <c r="G398" s="2"/>
      <c r="H398" s="7"/>
      <c r="I398" s="13">
        <v>1500</v>
      </c>
      <c r="J398" s="13">
        <f t="shared" si="67"/>
        <v>375</v>
      </c>
      <c r="K398" s="13">
        <f t="shared" si="68"/>
        <v>375</v>
      </c>
      <c r="L398" s="14">
        <f t="shared" si="69"/>
        <v>0.5</v>
      </c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80">
        <v>0.15</v>
      </c>
      <c r="B399" s="10" t="s">
        <v>17</v>
      </c>
      <c r="C399" s="6" t="s">
        <v>25</v>
      </c>
      <c r="D399" s="13">
        <v>4500</v>
      </c>
      <c r="E399" s="13">
        <f t="shared" si="66"/>
        <v>675</v>
      </c>
      <c r="F399" s="2"/>
      <c r="G399" s="2"/>
      <c r="H399" s="2"/>
      <c r="I399" s="13">
        <f>62000/17</f>
        <v>3647.0588235294117</v>
      </c>
      <c r="J399" s="13">
        <f t="shared" si="67"/>
        <v>547.05882352941171</v>
      </c>
      <c r="K399" s="13">
        <f t="shared" si="68"/>
        <v>127.94117647058829</v>
      </c>
      <c r="L399" s="14">
        <f t="shared" si="69"/>
        <v>0.18954248366013079</v>
      </c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80">
        <v>0.6</v>
      </c>
      <c r="B400" s="10" t="s">
        <v>17</v>
      </c>
      <c r="C400" s="6" t="s">
        <v>26</v>
      </c>
      <c r="D400" s="13">
        <v>1800</v>
      </c>
      <c r="E400" s="13">
        <f t="shared" si="66"/>
        <v>1080</v>
      </c>
      <c r="F400" s="2"/>
      <c r="G400" s="2"/>
      <c r="H400" s="2"/>
      <c r="I400" s="13">
        <v>1000</v>
      </c>
      <c r="J400" s="13">
        <f t="shared" si="67"/>
        <v>600</v>
      </c>
      <c r="K400" s="13">
        <f t="shared" si="68"/>
        <v>480</v>
      </c>
      <c r="L400" s="14">
        <f t="shared" si="69"/>
        <v>0.44444444444444442</v>
      </c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80">
        <v>1</v>
      </c>
      <c r="B401" s="10" t="s">
        <v>21</v>
      </c>
      <c r="C401" s="6" t="s">
        <v>112</v>
      </c>
      <c r="D401" s="13">
        <v>3000</v>
      </c>
      <c r="E401" s="13">
        <f t="shared" si="66"/>
        <v>3000</v>
      </c>
      <c r="F401" s="2"/>
      <c r="G401" s="2"/>
      <c r="H401" s="7"/>
      <c r="I401" s="13">
        <v>2000</v>
      </c>
      <c r="J401" s="13">
        <f t="shared" si="67"/>
        <v>2000</v>
      </c>
      <c r="K401" s="13">
        <f t="shared" si="68"/>
        <v>1000</v>
      </c>
      <c r="L401" s="14">
        <f t="shared" si="69"/>
        <v>0.33333333333333331</v>
      </c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80">
        <v>2</v>
      </c>
      <c r="B402" s="10" t="s">
        <v>17</v>
      </c>
      <c r="C402" s="6" t="s">
        <v>84</v>
      </c>
      <c r="D402" s="13">
        <v>1800</v>
      </c>
      <c r="E402" s="13">
        <f t="shared" si="66"/>
        <v>3600</v>
      </c>
      <c r="F402" s="2"/>
      <c r="G402" s="2"/>
      <c r="H402" s="7"/>
      <c r="I402" s="13">
        <v>1000</v>
      </c>
      <c r="J402" s="13">
        <f t="shared" si="67"/>
        <v>2000</v>
      </c>
      <c r="K402" s="13">
        <f t="shared" si="68"/>
        <v>1600</v>
      </c>
      <c r="L402" s="14">
        <f t="shared" si="69"/>
        <v>0.44444444444444442</v>
      </c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80">
        <v>1</v>
      </c>
      <c r="B403" s="10" t="s">
        <v>86</v>
      </c>
      <c r="C403" s="6" t="s">
        <v>88</v>
      </c>
      <c r="D403" s="13">
        <v>26000</v>
      </c>
      <c r="E403" s="13">
        <f t="shared" si="66"/>
        <v>26000</v>
      </c>
      <c r="F403" s="2"/>
      <c r="G403" s="2"/>
      <c r="H403" s="7"/>
      <c r="I403" s="13">
        <v>18000</v>
      </c>
      <c r="J403" s="13">
        <f t="shared" si="67"/>
        <v>18000</v>
      </c>
      <c r="K403" s="13">
        <f t="shared" si="68"/>
        <v>8000</v>
      </c>
      <c r="L403" s="14">
        <f t="shared" si="69"/>
        <v>0.30769230769230771</v>
      </c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81"/>
      <c r="B404" s="2"/>
      <c r="C404" s="1"/>
      <c r="D404" s="2"/>
      <c r="E404" s="2"/>
      <c r="F404" s="2"/>
      <c r="G404" s="1"/>
      <c r="H404" s="2"/>
      <c r="I404" s="2"/>
      <c r="J404" s="2"/>
      <c r="K404" s="2"/>
      <c r="L404" s="3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81"/>
      <c r="B405" s="2"/>
      <c r="C405" s="1"/>
      <c r="D405" s="2"/>
      <c r="E405" s="13">
        <f>SUM(E387:E403)</f>
        <v>83505</v>
      </c>
      <c r="F405" s="2"/>
      <c r="G405" s="2"/>
      <c r="H405" s="2"/>
      <c r="I405" s="2"/>
      <c r="J405" s="2"/>
      <c r="K405" s="13">
        <f>SUM(K387:K403)</f>
        <v>30541.7015070491</v>
      </c>
      <c r="L405" s="14">
        <f>K405/E405</f>
        <v>0.36574697930721634</v>
      </c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0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0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6" t="s">
        <v>214</v>
      </c>
      <c r="B408" s="6"/>
      <c r="C408" s="6"/>
      <c r="D408" s="22" t="s">
        <v>982</v>
      </c>
      <c r="E408" s="8">
        <v>46129</v>
      </c>
      <c r="F408" s="24"/>
      <c r="G408" s="2"/>
      <c r="H408" s="2"/>
      <c r="I408" s="2"/>
      <c r="J408" s="13"/>
      <c r="K408" s="13"/>
      <c r="L408" s="14"/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B409" s="2"/>
      <c r="C409" s="4"/>
      <c r="D409" s="2"/>
      <c r="E409" s="2"/>
      <c r="F409" s="2"/>
      <c r="G409" s="2"/>
      <c r="H409" s="2"/>
      <c r="I409" s="2"/>
      <c r="J409" s="13"/>
      <c r="K409" s="13"/>
      <c r="L409" s="14"/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6" t="s">
        <v>3</v>
      </c>
      <c r="B410" s="10" t="s">
        <v>4</v>
      </c>
      <c r="C410" s="11" t="s">
        <v>5</v>
      </c>
      <c r="D410" s="10" t="s">
        <v>6</v>
      </c>
      <c r="E410" s="10" t="s">
        <v>7</v>
      </c>
      <c r="F410" s="10"/>
      <c r="G410" s="2"/>
      <c r="H410" s="2"/>
      <c r="I410" s="10" t="s">
        <v>6</v>
      </c>
      <c r="J410" s="10" t="s">
        <v>7</v>
      </c>
      <c r="K410" s="10" t="s">
        <v>10</v>
      </c>
      <c r="L410" s="14"/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>
        <v>1</v>
      </c>
      <c r="B411" s="10" t="s">
        <v>15</v>
      </c>
      <c r="C411" s="11" t="s">
        <v>56</v>
      </c>
      <c r="D411" s="13">
        <v>16000</v>
      </c>
      <c r="E411" s="13">
        <f t="shared" ref="E411:E418" si="71">A411*D411</f>
        <v>16000</v>
      </c>
      <c r="F411" s="13"/>
      <c r="G411" s="2"/>
      <c r="H411" s="7"/>
      <c r="I411" s="13">
        <v>13000</v>
      </c>
      <c r="J411" s="13">
        <f t="shared" ref="J411:J418" si="72">I411*A411</f>
        <v>13000</v>
      </c>
      <c r="K411" s="13">
        <f t="shared" ref="K411:K418" si="73">E411-J411</f>
        <v>3000</v>
      </c>
      <c r="L411" s="14">
        <f t="shared" ref="L411:L418" si="74">K411/E411</f>
        <v>0.1875</v>
      </c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>
        <v>2.5</v>
      </c>
      <c r="B412" s="10" t="s">
        <v>17</v>
      </c>
      <c r="C412" s="11" t="s">
        <v>31</v>
      </c>
      <c r="D412" s="13">
        <v>3000</v>
      </c>
      <c r="E412" s="13">
        <f t="shared" si="71"/>
        <v>7500</v>
      </c>
      <c r="F412" s="13"/>
      <c r="G412" s="2"/>
      <c r="H412" s="7"/>
      <c r="I412" s="13">
        <f t="shared" ref="I412:I413" si="75">15000/7</f>
        <v>2142.8571428571427</v>
      </c>
      <c r="J412" s="13">
        <f t="shared" si="72"/>
        <v>5357.1428571428569</v>
      </c>
      <c r="K412" s="13">
        <f t="shared" si="73"/>
        <v>2142.8571428571431</v>
      </c>
      <c r="L412" s="14">
        <f t="shared" si="74"/>
        <v>0.28571428571428575</v>
      </c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>
        <v>2</v>
      </c>
      <c r="B413" s="10" t="s">
        <v>17</v>
      </c>
      <c r="C413" s="11" t="s">
        <v>33</v>
      </c>
      <c r="D413" s="13">
        <v>3200</v>
      </c>
      <c r="E413" s="13">
        <f t="shared" si="71"/>
        <v>6400</v>
      </c>
      <c r="F413" s="13"/>
      <c r="G413" s="2"/>
      <c r="H413" s="7"/>
      <c r="I413" s="13">
        <f t="shared" si="75"/>
        <v>2142.8571428571427</v>
      </c>
      <c r="J413" s="13">
        <f t="shared" si="72"/>
        <v>4285.7142857142853</v>
      </c>
      <c r="K413" s="13">
        <f t="shared" si="73"/>
        <v>2114.2857142857147</v>
      </c>
      <c r="L413" s="14">
        <f t="shared" si="74"/>
        <v>0.3303571428571429</v>
      </c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>
        <v>2.2999999999999998</v>
      </c>
      <c r="B414" s="10" t="s">
        <v>17</v>
      </c>
      <c r="C414" s="11" t="s">
        <v>32</v>
      </c>
      <c r="D414" s="13">
        <v>2600</v>
      </c>
      <c r="E414" s="13">
        <f t="shared" si="71"/>
        <v>5979.9999999999991</v>
      </c>
      <c r="F414" s="13"/>
      <c r="G414" s="2"/>
      <c r="H414" s="13"/>
      <c r="I414" s="13">
        <f>10000/7</f>
        <v>1428.5714285714287</v>
      </c>
      <c r="J414" s="13">
        <f t="shared" si="72"/>
        <v>3285.7142857142858</v>
      </c>
      <c r="K414" s="13">
        <f t="shared" si="73"/>
        <v>2694.2857142857133</v>
      </c>
      <c r="L414" s="14">
        <f t="shared" si="74"/>
        <v>0.45054945054945045</v>
      </c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A415" s="12">
        <v>0.8</v>
      </c>
      <c r="B415" s="10" t="s">
        <v>17</v>
      </c>
      <c r="C415" s="11" t="s">
        <v>88</v>
      </c>
      <c r="D415" s="13">
        <v>2400</v>
      </c>
      <c r="E415" s="13">
        <f t="shared" si="71"/>
        <v>1920</v>
      </c>
      <c r="F415" s="13"/>
      <c r="G415" s="2"/>
      <c r="H415" s="7"/>
      <c r="I415" s="13">
        <f>1000</f>
        <v>1000</v>
      </c>
      <c r="J415" s="13">
        <f t="shared" si="72"/>
        <v>800</v>
      </c>
      <c r="K415" s="13">
        <f t="shared" si="73"/>
        <v>1120</v>
      </c>
      <c r="L415" s="14">
        <f t="shared" si="74"/>
        <v>0.58333333333333337</v>
      </c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A416" s="12">
        <v>7</v>
      </c>
      <c r="B416" s="10" t="s">
        <v>17</v>
      </c>
      <c r="C416" s="11" t="s">
        <v>39</v>
      </c>
      <c r="D416" s="13">
        <v>1800</v>
      </c>
      <c r="E416" s="13">
        <f t="shared" si="71"/>
        <v>12600</v>
      </c>
      <c r="F416" s="13"/>
      <c r="G416" s="2"/>
      <c r="H416" s="7"/>
      <c r="I416" s="13">
        <f>14000/15</f>
        <v>933.33333333333337</v>
      </c>
      <c r="J416" s="13">
        <f t="shared" si="72"/>
        <v>6533.3333333333339</v>
      </c>
      <c r="K416" s="13">
        <f t="shared" si="73"/>
        <v>6066.6666666666661</v>
      </c>
      <c r="L416" s="14">
        <f t="shared" si="74"/>
        <v>0.48148148148148145</v>
      </c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A417" s="12">
        <v>1</v>
      </c>
      <c r="B417" s="10" t="s">
        <v>23</v>
      </c>
      <c r="C417" s="11" t="s">
        <v>110</v>
      </c>
      <c r="D417" s="13">
        <v>18000</v>
      </c>
      <c r="E417" s="13">
        <f t="shared" si="71"/>
        <v>18000</v>
      </c>
      <c r="F417" s="13"/>
      <c r="G417" s="2"/>
      <c r="H417" s="7"/>
      <c r="I417" s="13">
        <v>10000</v>
      </c>
      <c r="J417" s="13">
        <f t="shared" si="72"/>
        <v>10000</v>
      </c>
      <c r="K417" s="13">
        <f t="shared" si="73"/>
        <v>8000</v>
      </c>
      <c r="L417" s="14">
        <f t="shared" si="74"/>
        <v>0.44444444444444442</v>
      </c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A418" s="12">
        <v>1</v>
      </c>
      <c r="B418" s="10" t="s">
        <v>23</v>
      </c>
      <c r="C418" s="11" t="s">
        <v>87</v>
      </c>
      <c r="D418" s="13">
        <v>42000</v>
      </c>
      <c r="E418" s="13">
        <f t="shared" si="71"/>
        <v>42000</v>
      </c>
      <c r="F418" s="13"/>
      <c r="G418" s="2"/>
      <c r="H418" s="7"/>
      <c r="I418" s="13">
        <v>28000</v>
      </c>
      <c r="J418" s="13">
        <f t="shared" si="72"/>
        <v>28000</v>
      </c>
      <c r="K418" s="13">
        <f t="shared" si="73"/>
        <v>14000</v>
      </c>
      <c r="L418" s="14">
        <f t="shared" si="74"/>
        <v>0.33333333333333331</v>
      </c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2"/>
      <c r="B419" s="10"/>
      <c r="C419" s="11"/>
      <c r="D419" s="13"/>
      <c r="E419" s="13"/>
      <c r="F419" s="13"/>
      <c r="H419" s="2"/>
      <c r="I419" s="2"/>
      <c r="J419" s="13"/>
      <c r="K419" s="13"/>
      <c r="L419" s="1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12"/>
      <c r="B420" s="10"/>
      <c r="C420" s="11"/>
      <c r="D420" s="13"/>
      <c r="E420" s="13">
        <f>SUM(E411:E419)</f>
        <v>110400</v>
      </c>
      <c r="F420" s="13"/>
      <c r="G420" s="2"/>
      <c r="H420" s="2"/>
      <c r="I420" s="2"/>
      <c r="J420" s="13"/>
      <c r="K420" s="13">
        <f>SUM(K411:K418)</f>
        <v>39138.095238095237</v>
      </c>
      <c r="L420" s="14">
        <f>K420/E420</f>
        <v>0.35451173222912352</v>
      </c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/>
      <c r="B421" s="10"/>
      <c r="C421" s="11"/>
      <c r="D421" s="13"/>
      <c r="E421" s="13"/>
      <c r="F421" s="13"/>
      <c r="G421" s="2"/>
      <c r="H421" s="2"/>
      <c r="I421" s="2"/>
      <c r="J421" s="13"/>
      <c r="K421" s="13"/>
      <c r="L421" s="1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0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0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0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6" t="s">
        <v>222</v>
      </c>
      <c r="B425" s="6"/>
      <c r="C425" s="6"/>
      <c r="D425" s="22" t="s">
        <v>1105</v>
      </c>
      <c r="E425" s="8">
        <v>46129</v>
      </c>
      <c r="F425" s="24"/>
      <c r="G425" s="2"/>
      <c r="H425" s="2"/>
      <c r="I425" s="2"/>
      <c r="J425" s="13"/>
      <c r="K425" s="13"/>
      <c r="L425" s="14"/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B426" s="2"/>
      <c r="C426" s="4"/>
      <c r="D426" s="2"/>
      <c r="E426" s="2"/>
      <c r="F426" s="2"/>
      <c r="G426" s="2"/>
      <c r="H426" s="2"/>
      <c r="I426" s="2"/>
      <c r="J426" s="13"/>
      <c r="K426" s="13"/>
      <c r="L426" s="14"/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6" t="s">
        <v>3</v>
      </c>
      <c r="B427" s="10" t="s">
        <v>4</v>
      </c>
      <c r="C427" s="11" t="s">
        <v>5</v>
      </c>
      <c r="D427" s="10" t="s">
        <v>6</v>
      </c>
      <c r="E427" s="10" t="s">
        <v>7</v>
      </c>
      <c r="F427" s="10"/>
      <c r="G427" s="2"/>
      <c r="H427" s="2"/>
      <c r="I427" s="10" t="s">
        <v>6</v>
      </c>
      <c r="J427" s="10" t="s">
        <v>7</v>
      </c>
      <c r="K427" s="10" t="s">
        <v>10</v>
      </c>
      <c r="L427" s="14"/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>
        <v>1</v>
      </c>
      <c r="B428" s="10" t="s">
        <v>4</v>
      </c>
      <c r="C428" s="11" t="s">
        <v>183</v>
      </c>
      <c r="D428" s="13">
        <v>6000</v>
      </c>
      <c r="E428" s="13">
        <f t="shared" ref="E428:E433" si="76">A428*D428</f>
        <v>6000</v>
      </c>
      <c r="F428" s="13"/>
      <c r="G428" s="2"/>
      <c r="H428" s="7"/>
      <c r="I428" s="13">
        <v>4000</v>
      </c>
      <c r="J428" s="13">
        <f t="shared" ref="J428:J433" si="77">I428*A428</f>
        <v>4000</v>
      </c>
      <c r="K428" s="13">
        <f t="shared" ref="K428:K433" si="78">E428-J428</f>
        <v>2000</v>
      </c>
      <c r="L428" s="14">
        <f t="shared" ref="L428:L433" si="79">K428/E428</f>
        <v>0.33333333333333331</v>
      </c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>
        <v>2</v>
      </c>
      <c r="B429" s="10" t="s">
        <v>17</v>
      </c>
      <c r="C429" s="11" t="s">
        <v>182</v>
      </c>
      <c r="D429" s="13">
        <v>12500</v>
      </c>
      <c r="E429" s="13">
        <f t="shared" si="76"/>
        <v>25000</v>
      </c>
      <c r="F429" s="13"/>
      <c r="G429" s="2"/>
      <c r="H429" s="7"/>
      <c r="I429" s="13">
        <f>45000/4</f>
        <v>11250</v>
      </c>
      <c r="J429" s="13">
        <f t="shared" si="77"/>
        <v>22500</v>
      </c>
      <c r="K429" s="13">
        <f t="shared" si="78"/>
        <v>2500</v>
      </c>
      <c r="L429" s="14">
        <f t="shared" si="79"/>
        <v>0.1</v>
      </c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>
        <v>2</v>
      </c>
      <c r="B430" s="10" t="s">
        <v>17</v>
      </c>
      <c r="C430" s="11" t="s">
        <v>93</v>
      </c>
      <c r="D430" s="13">
        <v>3200</v>
      </c>
      <c r="E430" s="13">
        <f t="shared" si="76"/>
        <v>6400</v>
      </c>
      <c r="F430" s="13"/>
      <c r="G430" s="2"/>
      <c r="H430" s="7"/>
      <c r="I430" s="13">
        <f>10000/5</f>
        <v>2000</v>
      </c>
      <c r="J430" s="13">
        <f t="shared" si="77"/>
        <v>4000</v>
      </c>
      <c r="K430" s="13">
        <f t="shared" si="78"/>
        <v>2400</v>
      </c>
      <c r="L430" s="14">
        <f t="shared" si="79"/>
        <v>0.375</v>
      </c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>
        <v>7</v>
      </c>
      <c r="B431" s="10" t="s">
        <v>126</v>
      </c>
      <c r="C431" s="11" t="s">
        <v>46</v>
      </c>
      <c r="D431" s="13">
        <v>500</v>
      </c>
      <c r="E431" s="13">
        <f t="shared" si="76"/>
        <v>3500</v>
      </c>
      <c r="F431" s="13"/>
      <c r="G431" s="2"/>
      <c r="H431" s="7"/>
      <c r="I431" s="13">
        <f>7000/24</f>
        <v>291.66666666666669</v>
      </c>
      <c r="J431" s="13">
        <f t="shared" si="77"/>
        <v>2041.6666666666667</v>
      </c>
      <c r="K431" s="13">
        <f t="shared" si="78"/>
        <v>1458.3333333333333</v>
      </c>
      <c r="L431" s="14">
        <f t="shared" si="79"/>
        <v>0.41666666666666663</v>
      </c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>
        <v>1</v>
      </c>
      <c r="B432" s="10" t="s">
        <v>17</v>
      </c>
      <c r="C432" s="11" t="s">
        <v>43</v>
      </c>
      <c r="D432" s="13">
        <v>4500</v>
      </c>
      <c r="E432" s="13">
        <f t="shared" si="76"/>
        <v>4500</v>
      </c>
      <c r="F432" s="13"/>
      <c r="G432" s="2"/>
      <c r="H432" s="7"/>
      <c r="I432" s="13">
        <v>3000</v>
      </c>
      <c r="J432" s="13">
        <f t="shared" si="77"/>
        <v>3000</v>
      </c>
      <c r="K432" s="13">
        <f t="shared" si="78"/>
        <v>1500</v>
      </c>
      <c r="L432" s="14">
        <f t="shared" si="79"/>
        <v>0.33333333333333331</v>
      </c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>
        <v>1</v>
      </c>
      <c r="B433" s="10" t="s">
        <v>23</v>
      </c>
      <c r="C433" s="11" t="s">
        <v>127</v>
      </c>
      <c r="D433" s="13">
        <v>22000</v>
      </c>
      <c r="E433" s="13">
        <f t="shared" si="76"/>
        <v>22000</v>
      </c>
      <c r="F433" s="13"/>
      <c r="G433" s="2"/>
      <c r="H433" s="7"/>
      <c r="I433" s="13">
        <v>17000</v>
      </c>
      <c r="J433" s="13">
        <f t="shared" si="77"/>
        <v>17000</v>
      </c>
      <c r="K433" s="13">
        <f t="shared" si="78"/>
        <v>5000</v>
      </c>
      <c r="L433" s="14">
        <f t="shared" si="79"/>
        <v>0.22727272727272727</v>
      </c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2"/>
      <c r="B434" s="10"/>
      <c r="C434" s="11"/>
      <c r="D434" s="13"/>
      <c r="E434" s="13"/>
      <c r="F434" s="13"/>
      <c r="H434" s="2"/>
      <c r="I434" s="2"/>
      <c r="J434" s="13"/>
      <c r="K434" s="13"/>
      <c r="L434" s="1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2"/>
      <c r="B435" s="10"/>
      <c r="C435" s="11"/>
      <c r="D435" s="13"/>
      <c r="E435" s="13">
        <f>SUM(E428:E433)</f>
        <v>67400</v>
      </c>
      <c r="F435" s="13"/>
      <c r="G435" s="2"/>
      <c r="H435" s="2"/>
      <c r="I435" s="2"/>
      <c r="J435" s="13"/>
      <c r="K435" s="13">
        <f>SUM(K428:K433)</f>
        <v>14858.333333333334</v>
      </c>
      <c r="L435" s="14">
        <f>K435/E435</f>
        <v>0.22045004945598418</v>
      </c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0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0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0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88" t="s">
        <v>70</v>
      </c>
      <c r="B439" s="89"/>
      <c r="C439" s="89"/>
      <c r="D439" s="2"/>
      <c r="E439" s="7" t="s">
        <v>122</v>
      </c>
      <c r="F439" s="8">
        <v>46129</v>
      </c>
      <c r="G439" s="7" t="s">
        <v>106</v>
      </c>
      <c r="H439" s="2"/>
      <c r="I439" s="91" t="s">
        <v>2</v>
      </c>
      <c r="J439" s="89"/>
      <c r="K439" s="89"/>
      <c r="L439" s="3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3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6" t="s">
        <v>3</v>
      </c>
      <c r="B441" s="10" t="s">
        <v>4</v>
      </c>
      <c r="C441" s="11" t="s">
        <v>5</v>
      </c>
      <c r="D441" s="10" t="s">
        <v>6</v>
      </c>
      <c r="E441" s="10" t="s">
        <v>7</v>
      </c>
      <c r="F441" s="10" t="s">
        <v>8</v>
      </c>
      <c r="G441" s="2"/>
      <c r="H441" s="2"/>
      <c r="I441" s="10" t="s">
        <v>9</v>
      </c>
      <c r="J441" s="10" t="s">
        <v>7</v>
      </c>
      <c r="K441" s="10" t="s">
        <v>10</v>
      </c>
      <c r="L441" s="3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2">
        <v>1</v>
      </c>
      <c r="B442" s="10" t="s">
        <v>15</v>
      </c>
      <c r="C442" s="11" t="s">
        <v>27</v>
      </c>
      <c r="D442" s="13">
        <v>25000</v>
      </c>
      <c r="E442" s="13">
        <f t="shared" ref="E442:E455" si="80">A442*D442</f>
        <v>25000</v>
      </c>
      <c r="F442" s="13">
        <f t="shared" ref="F442:F454" si="81">E442*1.105</f>
        <v>27625</v>
      </c>
      <c r="G442" s="2"/>
      <c r="H442" s="2"/>
      <c r="I442" s="13">
        <v>18000</v>
      </c>
      <c r="J442" s="13">
        <f t="shared" ref="J442:J455" si="82">I442*A442</f>
        <v>18000</v>
      </c>
      <c r="K442" s="13">
        <f t="shared" ref="K442:K455" si="83">F442-J442</f>
        <v>9625</v>
      </c>
      <c r="L442" s="18">
        <f t="shared" ref="L442:L455" si="84">IFERROR(K442/E442, 0)</f>
        <v>0.38500000000000001</v>
      </c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2">
        <v>4</v>
      </c>
      <c r="B443" s="10" t="s">
        <v>17</v>
      </c>
      <c r="C443" s="11" t="s">
        <v>56</v>
      </c>
      <c r="D443" s="13">
        <v>1200</v>
      </c>
      <c r="E443" s="13">
        <f t="shared" si="80"/>
        <v>4800</v>
      </c>
      <c r="F443" s="13">
        <f t="shared" si="81"/>
        <v>5304</v>
      </c>
      <c r="G443" s="2"/>
      <c r="H443" s="2"/>
      <c r="I443" s="13">
        <f>13000/16</f>
        <v>812.5</v>
      </c>
      <c r="J443" s="13">
        <f t="shared" si="82"/>
        <v>3250</v>
      </c>
      <c r="K443" s="13">
        <f t="shared" si="83"/>
        <v>2054</v>
      </c>
      <c r="L443" s="18">
        <f t="shared" si="84"/>
        <v>0.42791666666666667</v>
      </c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2">
        <v>5</v>
      </c>
      <c r="B444" s="10" t="s">
        <v>17</v>
      </c>
      <c r="C444" s="11" t="s">
        <v>39</v>
      </c>
      <c r="D444" s="13">
        <v>1600</v>
      </c>
      <c r="E444" s="13">
        <f t="shared" si="80"/>
        <v>8000</v>
      </c>
      <c r="F444" s="13">
        <f t="shared" si="81"/>
        <v>8840</v>
      </c>
      <c r="G444" s="2"/>
      <c r="H444" s="2"/>
      <c r="I444" s="13">
        <f>14000/15</f>
        <v>933.33333333333337</v>
      </c>
      <c r="J444" s="13">
        <f t="shared" si="82"/>
        <v>4666.666666666667</v>
      </c>
      <c r="K444" s="13">
        <f t="shared" si="83"/>
        <v>4173.333333333333</v>
      </c>
      <c r="L444" s="18">
        <f t="shared" si="84"/>
        <v>0.52166666666666661</v>
      </c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2">
        <v>1</v>
      </c>
      <c r="B445" s="10" t="s">
        <v>17</v>
      </c>
      <c r="C445" s="11" t="s">
        <v>129</v>
      </c>
      <c r="D445" s="13">
        <v>1600</v>
      </c>
      <c r="E445" s="13">
        <f t="shared" si="80"/>
        <v>1600</v>
      </c>
      <c r="F445" s="13">
        <f t="shared" si="81"/>
        <v>1768</v>
      </c>
      <c r="G445" s="2"/>
      <c r="H445" s="2"/>
      <c r="I445" s="13">
        <v>1100</v>
      </c>
      <c r="J445" s="13">
        <f t="shared" si="82"/>
        <v>1100</v>
      </c>
      <c r="K445" s="13">
        <f t="shared" si="83"/>
        <v>668</v>
      </c>
      <c r="L445" s="18">
        <f t="shared" si="84"/>
        <v>0.41749999999999998</v>
      </c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2">
        <v>1</v>
      </c>
      <c r="B446" s="10" t="s">
        <v>17</v>
      </c>
      <c r="C446" s="11" t="s">
        <v>88</v>
      </c>
      <c r="D446" s="13">
        <v>1400</v>
      </c>
      <c r="E446" s="13">
        <f t="shared" si="80"/>
        <v>1400</v>
      </c>
      <c r="F446" s="13">
        <f t="shared" si="81"/>
        <v>1547</v>
      </c>
      <c r="G446" s="2"/>
      <c r="H446" s="2"/>
      <c r="I446" s="13">
        <f>1000</f>
        <v>1000</v>
      </c>
      <c r="J446" s="13">
        <f t="shared" si="82"/>
        <v>1000</v>
      </c>
      <c r="K446" s="13">
        <f t="shared" si="83"/>
        <v>547</v>
      </c>
      <c r="L446" s="18">
        <f t="shared" si="84"/>
        <v>0.39071428571428574</v>
      </c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2">
        <v>2</v>
      </c>
      <c r="B447" s="10" t="s">
        <v>17</v>
      </c>
      <c r="C447" s="11" t="s">
        <v>40</v>
      </c>
      <c r="D447" s="13">
        <v>1400</v>
      </c>
      <c r="E447" s="13">
        <f t="shared" si="80"/>
        <v>2800</v>
      </c>
      <c r="F447" s="13">
        <f t="shared" si="81"/>
        <v>3094</v>
      </c>
      <c r="G447" s="2"/>
      <c r="H447" s="2"/>
      <c r="I447" s="13">
        <v>1000</v>
      </c>
      <c r="J447" s="13">
        <f t="shared" si="82"/>
        <v>2000</v>
      </c>
      <c r="K447" s="13">
        <f t="shared" si="83"/>
        <v>1094</v>
      </c>
      <c r="L447" s="18">
        <f t="shared" si="84"/>
        <v>0.39071428571428574</v>
      </c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2">
        <v>2</v>
      </c>
      <c r="B448" s="10" t="s">
        <v>17</v>
      </c>
      <c r="C448" s="11" t="s">
        <v>62</v>
      </c>
      <c r="D448" s="13">
        <v>3000</v>
      </c>
      <c r="E448" s="13">
        <f t="shared" si="80"/>
        <v>6000</v>
      </c>
      <c r="F448" s="13">
        <f t="shared" si="81"/>
        <v>6630</v>
      </c>
      <c r="G448" s="2"/>
      <c r="H448" s="2"/>
      <c r="I448" s="13">
        <f>28000/17</f>
        <v>1647.0588235294117</v>
      </c>
      <c r="J448" s="13">
        <f t="shared" si="82"/>
        <v>3294.1176470588234</v>
      </c>
      <c r="K448" s="13">
        <f t="shared" si="83"/>
        <v>3335.8823529411766</v>
      </c>
      <c r="L448" s="18">
        <f t="shared" si="84"/>
        <v>0.55598039215686279</v>
      </c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2">
        <v>4</v>
      </c>
      <c r="B449" s="10" t="s">
        <v>17</v>
      </c>
      <c r="C449" s="11" t="s">
        <v>26</v>
      </c>
      <c r="D449" s="13">
        <v>1600</v>
      </c>
      <c r="E449" s="13">
        <f t="shared" si="80"/>
        <v>6400</v>
      </c>
      <c r="F449" s="13">
        <f t="shared" si="81"/>
        <v>7072</v>
      </c>
      <c r="G449" s="2"/>
      <c r="H449" s="2"/>
      <c r="I449" s="13">
        <f>17000/15</f>
        <v>1133.3333333333333</v>
      </c>
      <c r="J449" s="13">
        <f t="shared" si="82"/>
        <v>4533.333333333333</v>
      </c>
      <c r="K449" s="13">
        <f t="shared" si="83"/>
        <v>2538.666666666667</v>
      </c>
      <c r="L449" s="18">
        <f t="shared" si="84"/>
        <v>0.39666666666666672</v>
      </c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2">
        <v>1</v>
      </c>
      <c r="B450" s="10" t="s">
        <v>17</v>
      </c>
      <c r="C450" s="11" t="s">
        <v>25</v>
      </c>
      <c r="D450" s="13">
        <v>4500</v>
      </c>
      <c r="E450" s="13">
        <f t="shared" si="80"/>
        <v>4500</v>
      </c>
      <c r="F450" s="13">
        <f t="shared" si="81"/>
        <v>4972.5</v>
      </c>
      <c r="G450" s="2"/>
      <c r="H450" s="2"/>
      <c r="I450" s="13">
        <f>62000/17</f>
        <v>3647.0588235294117</v>
      </c>
      <c r="J450" s="13">
        <f t="shared" si="82"/>
        <v>3647.0588235294117</v>
      </c>
      <c r="K450" s="13">
        <f t="shared" si="83"/>
        <v>1325.4411764705883</v>
      </c>
      <c r="L450" s="18">
        <f t="shared" si="84"/>
        <v>0.29454248366013075</v>
      </c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2">
        <v>2</v>
      </c>
      <c r="B451" s="10" t="s">
        <v>17</v>
      </c>
      <c r="C451" s="11" t="s">
        <v>24</v>
      </c>
      <c r="D451" s="13">
        <v>3600</v>
      </c>
      <c r="E451" s="13">
        <f t="shared" si="80"/>
        <v>7200</v>
      </c>
      <c r="F451" s="13">
        <f t="shared" si="81"/>
        <v>7956</v>
      </c>
      <c r="G451" s="2"/>
      <c r="H451" s="2"/>
      <c r="I451" s="13">
        <f>50000/17</f>
        <v>2941.1764705882351</v>
      </c>
      <c r="J451" s="13">
        <f t="shared" si="82"/>
        <v>5882.3529411764703</v>
      </c>
      <c r="K451" s="13">
        <f t="shared" si="83"/>
        <v>2073.6470588235297</v>
      </c>
      <c r="L451" s="18">
        <f t="shared" si="84"/>
        <v>0.28800653594771247</v>
      </c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2">
        <v>1</v>
      </c>
      <c r="B452" s="10" t="s">
        <v>17</v>
      </c>
      <c r="C452" s="11" t="s">
        <v>123</v>
      </c>
      <c r="D452" s="13">
        <v>3200</v>
      </c>
      <c r="E452" s="13">
        <f t="shared" si="80"/>
        <v>3200</v>
      </c>
      <c r="F452" s="13">
        <f t="shared" si="81"/>
        <v>3536</v>
      </c>
      <c r="G452" s="2"/>
      <c r="H452" s="2"/>
      <c r="I452" s="13">
        <f>32000/17</f>
        <v>1882.3529411764705</v>
      </c>
      <c r="J452" s="13">
        <f t="shared" si="82"/>
        <v>1882.3529411764705</v>
      </c>
      <c r="K452" s="13">
        <f t="shared" si="83"/>
        <v>1653.6470588235295</v>
      </c>
      <c r="L452" s="18">
        <f t="shared" si="84"/>
        <v>0.51676470588235301</v>
      </c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2">
        <v>2</v>
      </c>
      <c r="B453" s="10" t="s">
        <v>17</v>
      </c>
      <c r="C453" s="11" t="s">
        <v>67</v>
      </c>
      <c r="D453" s="13">
        <v>800</v>
      </c>
      <c r="E453" s="13">
        <f t="shared" si="80"/>
        <v>1600</v>
      </c>
      <c r="F453" s="13">
        <f t="shared" si="81"/>
        <v>1768</v>
      </c>
      <c r="G453" s="2"/>
      <c r="H453" s="2"/>
      <c r="I453" s="13">
        <f>8000/14</f>
        <v>571.42857142857144</v>
      </c>
      <c r="J453" s="13">
        <f t="shared" si="82"/>
        <v>1142.8571428571429</v>
      </c>
      <c r="K453" s="13">
        <f t="shared" si="83"/>
        <v>625.14285714285711</v>
      </c>
      <c r="L453" s="18">
        <f t="shared" si="84"/>
        <v>0.39071428571428568</v>
      </c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2">
        <v>1</v>
      </c>
      <c r="B454" s="10" t="s">
        <v>17</v>
      </c>
      <c r="C454" s="11" t="s">
        <v>1106</v>
      </c>
      <c r="D454" s="13">
        <v>3500</v>
      </c>
      <c r="E454" s="13">
        <f t="shared" si="80"/>
        <v>3500</v>
      </c>
      <c r="F454" s="13">
        <f t="shared" si="81"/>
        <v>3867.5</v>
      </c>
      <c r="G454" s="2"/>
      <c r="H454" s="2"/>
      <c r="I454" s="13">
        <v>3080</v>
      </c>
      <c r="J454" s="13">
        <f t="shared" si="82"/>
        <v>3080</v>
      </c>
      <c r="K454" s="13">
        <f t="shared" si="83"/>
        <v>787.5</v>
      </c>
      <c r="L454" s="18">
        <f t="shared" si="84"/>
        <v>0.22500000000000001</v>
      </c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2">
        <v>6</v>
      </c>
      <c r="B455" s="10" t="s">
        <v>11</v>
      </c>
      <c r="C455" s="11" t="s">
        <v>12</v>
      </c>
      <c r="D455" s="13">
        <v>4500</v>
      </c>
      <c r="E455" s="13">
        <f t="shared" si="80"/>
        <v>27000</v>
      </c>
      <c r="F455" s="13">
        <f>E455*1.21</f>
        <v>32670</v>
      </c>
      <c r="G455" s="2"/>
      <c r="H455" s="2"/>
      <c r="I455" s="13">
        <v>4500</v>
      </c>
      <c r="J455" s="13">
        <f t="shared" si="82"/>
        <v>27000</v>
      </c>
      <c r="K455" s="13">
        <f t="shared" si="83"/>
        <v>5670</v>
      </c>
      <c r="L455" s="18">
        <f t="shared" si="84"/>
        <v>0.21</v>
      </c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"/>
      <c r="B456" s="2"/>
      <c r="C456" s="4"/>
      <c r="D456" s="2"/>
      <c r="E456" s="2"/>
      <c r="F456" s="2"/>
      <c r="G456" s="2"/>
      <c r="H456" s="2"/>
      <c r="I456" s="2"/>
      <c r="J456" s="2"/>
      <c r="K456" s="2"/>
      <c r="L456" s="3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"/>
      <c r="B457" s="2"/>
      <c r="C457" s="4"/>
      <c r="D457" s="2"/>
      <c r="E457" s="13">
        <f t="shared" ref="E457:F457" si="85">SUM(E442:E455)</f>
        <v>103000</v>
      </c>
      <c r="F457" s="13">
        <f t="shared" si="85"/>
        <v>116650</v>
      </c>
      <c r="G457" s="2"/>
      <c r="H457" s="2"/>
      <c r="I457" s="2"/>
      <c r="J457" s="2"/>
      <c r="K457" s="13">
        <f>SUM(K442:K455)</f>
        <v>36171.26050420168</v>
      </c>
      <c r="L457" s="18">
        <f>K457/F457</f>
        <v>0.31008367341793125</v>
      </c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0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0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6" t="s">
        <v>174</v>
      </c>
      <c r="B460" s="25"/>
      <c r="C460" s="1"/>
      <c r="D460" s="12" t="s">
        <v>120</v>
      </c>
      <c r="E460" s="8">
        <v>46129</v>
      </c>
      <c r="F460" s="15" t="s">
        <v>37</v>
      </c>
      <c r="G460" s="2"/>
      <c r="H460" s="2"/>
      <c r="I460" s="2"/>
      <c r="J460" s="2"/>
      <c r="K460" s="2"/>
      <c r="L460" s="3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2"/>
      <c r="C461" s="1"/>
      <c r="D461" s="2"/>
      <c r="E461" s="2"/>
      <c r="F461" s="2"/>
      <c r="G461" s="2"/>
      <c r="H461" s="2"/>
      <c r="I461" s="2"/>
      <c r="J461" s="2"/>
      <c r="K461" s="2"/>
      <c r="L461" s="3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6" t="s">
        <v>3</v>
      </c>
      <c r="B462" s="10" t="s">
        <v>4</v>
      </c>
      <c r="C462" s="6" t="s">
        <v>5</v>
      </c>
      <c r="D462" s="10" t="s">
        <v>6</v>
      </c>
      <c r="E462" s="10" t="s">
        <v>7</v>
      </c>
      <c r="F462" s="2"/>
      <c r="G462" s="2"/>
      <c r="H462" s="2"/>
      <c r="I462" s="10" t="s">
        <v>6</v>
      </c>
      <c r="J462" s="10" t="s">
        <v>7</v>
      </c>
      <c r="K462" s="10" t="s">
        <v>10</v>
      </c>
      <c r="L462" s="3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2">
        <v>0.5</v>
      </c>
      <c r="B463" s="10" t="s">
        <v>23</v>
      </c>
      <c r="C463" s="6" t="s">
        <v>26</v>
      </c>
      <c r="D463" s="13">
        <v>22000</v>
      </c>
      <c r="E463" s="13">
        <f t="shared" ref="E463:E480" si="86">A463*D463</f>
        <v>11000</v>
      </c>
      <c r="F463" s="2"/>
      <c r="G463" s="2"/>
      <c r="H463" s="2"/>
      <c r="I463" s="13">
        <v>17000</v>
      </c>
      <c r="J463" s="13">
        <f t="shared" ref="J463:J480" si="87">I463*A463</f>
        <v>8500</v>
      </c>
      <c r="K463" s="13">
        <f t="shared" ref="K463:K480" si="88">E463-J463</f>
        <v>2500</v>
      </c>
      <c r="L463" s="14">
        <f t="shared" ref="L463:L480" si="89">K463/E463</f>
        <v>0.22727272727272727</v>
      </c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2">
        <v>2</v>
      </c>
      <c r="B464" s="10" t="s">
        <v>23</v>
      </c>
      <c r="C464" s="6" t="s">
        <v>46</v>
      </c>
      <c r="D464" s="13">
        <v>12000</v>
      </c>
      <c r="E464" s="13">
        <f t="shared" si="86"/>
        <v>24000</v>
      </c>
      <c r="F464" s="2"/>
      <c r="G464" s="2"/>
      <c r="H464" s="2"/>
      <c r="I464" s="13">
        <v>7000</v>
      </c>
      <c r="J464" s="13">
        <f t="shared" si="87"/>
        <v>14000</v>
      </c>
      <c r="K464" s="13">
        <f t="shared" si="88"/>
        <v>10000</v>
      </c>
      <c r="L464" s="14">
        <f t="shared" si="89"/>
        <v>0.41666666666666669</v>
      </c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2">
        <v>1</v>
      </c>
      <c r="B465" s="10" t="s">
        <v>23</v>
      </c>
      <c r="C465" s="6" t="s">
        <v>118</v>
      </c>
      <c r="D465" s="13">
        <v>11000</v>
      </c>
      <c r="E465" s="13">
        <f t="shared" si="86"/>
        <v>11000</v>
      </c>
      <c r="F465" s="2"/>
      <c r="G465" s="2"/>
      <c r="H465" s="2"/>
      <c r="I465" s="13">
        <v>8000</v>
      </c>
      <c r="J465" s="13">
        <f t="shared" si="87"/>
        <v>8000</v>
      </c>
      <c r="K465" s="13">
        <f t="shared" si="88"/>
        <v>3000</v>
      </c>
      <c r="L465" s="14">
        <f t="shared" si="89"/>
        <v>0.27272727272727271</v>
      </c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2">
        <v>1.5</v>
      </c>
      <c r="B466" s="10" t="s">
        <v>17</v>
      </c>
      <c r="C466" s="6" t="s">
        <v>79</v>
      </c>
      <c r="D466" s="13">
        <v>3800</v>
      </c>
      <c r="E466" s="13">
        <f t="shared" si="86"/>
        <v>5700</v>
      </c>
      <c r="F466" s="2"/>
      <c r="G466" s="2"/>
      <c r="H466" s="2"/>
      <c r="I466" s="13">
        <v>2000</v>
      </c>
      <c r="J466" s="13">
        <f t="shared" si="87"/>
        <v>3000</v>
      </c>
      <c r="K466" s="13">
        <f t="shared" si="88"/>
        <v>2700</v>
      </c>
      <c r="L466" s="14">
        <f t="shared" si="89"/>
        <v>0.47368421052631576</v>
      </c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2">
        <v>1</v>
      </c>
      <c r="B467" s="10" t="s">
        <v>23</v>
      </c>
      <c r="C467" s="6" t="s">
        <v>33</v>
      </c>
      <c r="D467" s="13">
        <v>22000</v>
      </c>
      <c r="E467" s="13">
        <f t="shared" si="86"/>
        <v>22000</v>
      </c>
      <c r="F467" s="2"/>
      <c r="G467" s="2"/>
      <c r="H467" s="2"/>
      <c r="I467" s="13">
        <f t="shared" ref="I467:I468" si="90">15000/7</f>
        <v>2142.8571428571427</v>
      </c>
      <c r="J467" s="13">
        <f t="shared" si="87"/>
        <v>2142.8571428571427</v>
      </c>
      <c r="K467" s="13">
        <f t="shared" si="88"/>
        <v>19857.142857142859</v>
      </c>
      <c r="L467" s="14">
        <f t="shared" si="89"/>
        <v>0.90259740259740262</v>
      </c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2">
        <v>1</v>
      </c>
      <c r="B468" s="10" t="s">
        <v>23</v>
      </c>
      <c r="C468" s="6" t="s">
        <v>31</v>
      </c>
      <c r="D468" s="13">
        <v>20000</v>
      </c>
      <c r="E468" s="13">
        <f t="shared" si="86"/>
        <v>20000</v>
      </c>
      <c r="F468" s="2"/>
      <c r="G468" s="2"/>
      <c r="H468" s="2"/>
      <c r="I468" s="13">
        <f t="shared" si="90"/>
        <v>2142.8571428571427</v>
      </c>
      <c r="J468" s="13">
        <f t="shared" si="87"/>
        <v>2142.8571428571427</v>
      </c>
      <c r="K468" s="13">
        <f t="shared" si="88"/>
        <v>17857.142857142859</v>
      </c>
      <c r="L468" s="14">
        <f t="shared" si="89"/>
        <v>0.8928571428571429</v>
      </c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2">
        <v>1</v>
      </c>
      <c r="B469" s="10" t="s">
        <v>23</v>
      </c>
      <c r="C469" s="6" t="s">
        <v>1107</v>
      </c>
      <c r="D469" s="13">
        <v>42000</v>
      </c>
      <c r="E469" s="13">
        <f t="shared" si="86"/>
        <v>42000</v>
      </c>
      <c r="F469" s="2"/>
      <c r="G469" s="2"/>
      <c r="H469" s="2"/>
      <c r="I469" s="13">
        <v>30000</v>
      </c>
      <c r="J469" s="13">
        <f t="shared" si="87"/>
        <v>30000</v>
      </c>
      <c r="K469" s="13">
        <f t="shared" si="88"/>
        <v>12000</v>
      </c>
      <c r="L469" s="14">
        <f t="shared" si="89"/>
        <v>0.2857142857142857</v>
      </c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2">
        <v>2</v>
      </c>
      <c r="B470" s="10" t="s">
        <v>21</v>
      </c>
      <c r="C470" s="6" t="s">
        <v>34</v>
      </c>
      <c r="D470" s="13">
        <v>3800</v>
      </c>
      <c r="E470" s="13">
        <f t="shared" si="86"/>
        <v>7600</v>
      </c>
      <c r="F470" s="2"/>
      <c r="G470" s="2"/>
      <c r="H470" s="2"/>
      <c r="I470" s="13">
        <v>2300</v>
      </c>
      <c r="J470" s="13">
        <f t="shared" si="87"/>
        <v>4600</v>
      </c>
      <c r="K470" s="13">
        <f t="shared" si="88"/>
        <v>3000</v>
      </c>
      <c r="L470" s="14">
        <f t="shared" si="89"/>
        <v>0.39473684210526316</v>
      </c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2">
        <v>0.5</v>
      </c>
      <c r="B471" s="10" t="s">
        <v>86</v>
      </c>
      <c r="C471" s="6" t="s">
        <v>13</v>
      </c>
      <c r="D471" s="13">
        <v>35000</v>
      </c>
      <c r="E471" s="13">
        <f t="shared" si="86"/>
        <v>17500</v>
      </c>
      <c r="F471" s="2"/>
      <c r="G471" s="2"/>
      <c r="H471" s="2"/>
      <c r="I471" s="13">
        <v>23000</v>
      </c>
      <c r="J471" s="13">
        <f t="shared" si="87"/>
        <v>11500</v>
      </c>
      <c r="K471" s="13">
        <f t="shared" si="88"/>
        <v>6000</v>
      </c>
      <c r="L471" s="14">
        <f t="shared" si="89"/>
        <v>0.34285714285714286</v>
      </c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2">
        <v>2</v>
      </c>
      <c r="B472" s="10" t="s">
        <v>21</v>
      </c>
      <c r="C472" s="6" t="s">
        <v>29</v>
      </c>
      <c r="D472" s="13">
        <v>3500</v>
      </c>
      <c r="E472" s="13">
        <f t="shared" si="86"/>
        <v>7000</v>
      </c>
      <c r="F472" s="2"/>
      <c r="G472" s="2"/>
      <c r="H472" s="2"/>
      <c r="I472" s="13">
        <v>1000</v>
      </c>
      <c r="J472" s="13">
        <f t="shared" si="87"/>
        <v>2000</v>
      </c>
      <c r="K472" s="13">
        <f t="shared" si="88"/>
        <v>5000</v>
      </c>
      <c r="L472" s="14">
        <f t="shared" si="89"/>
        <v>0.7142857142857143</v>
      </c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2">
        <v>3</v>
      </c>
      <c r="B473" s="10" t="s">
        <v>21</v>
      </c>
      <c r="C473" s="6" t="s">
        <v>42</v>
      </c>
      <c r="D473" s="13">
        <v>4000</v>
      </c>
      <c r="E473" s="13">
        <f t="shared" si="86"/>
        <v>12000</v>
      </c>
      <c r="F473" s="2"/>
      <c r="G473" s="2"/>
      <c r="H473" s="2"/>
      <c r="I473" s="13">
        <v>1400</v>
      </c>
      <c r="J473" s="13">
        <f t="shared" si="87"/>
        <v>4200</v>
      </c>
      <c r="K473" s="13">
        <f t="shared" si="88"/>
        <v>7800</v>
      </c>
      <c r="L473" s="14">
        <f t="shared" si="89"/>
        <v>0.65</v>
      </c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2">
        <v>1</v>
      </c>
      <c r="B474" s="10" t="s">
        <v>23</v>
      </c>
      <c r="C474" s="6" t="s">
        <v>93</v>
      </c>
      <c r="D474" s="13">
        <v>15000</v>
      </c>
      <c r="E474" s="13">
        <f t="shared" si="86"/>
        <v>15000</v>
      </c>
      <c r="F474" s="2"/>
      <c r="G474" s="2"/>
      <c r="H474" s="2"/>
      <c r="I474" s="13">
        <v>10000</v>
      </c>
      <c r="J474" s="13">
        <f t="shared" si="87"/>
        <v>10000</v>
      </c>
      <c r="K474" s="13">
        <f t="shared" si="88"/>
        <v>5000</v>
      </c>
      <c r="L474" s="14">
        <f t="shared" si="89"/>
        <v>0.33333333333333331</v>
      </c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2">
        <v>1</v>
      </c>
      <c r="B475" s="10" t="s">
        <v>86</v>
      </c>
      <c r="C475" s="6" t="s">
        <v>49</v>
      </c>
      <c r="D475" s="13">
        <v>30000</v>
      </c>
      <c r="E475" s="13">
        <f t="shared" si="86"/>
        <v>30000</v>
      </c>
      <c r="F475" s="2"/>
      <c r="G475" s="2"/>
      <c r="H475" s="2"/>
      <c r="I475" s="13">
        <v>24000</v>
      </c>
      <c r="J475" s="13">
        <f t="shared" si="87"/>
        <v>24000</v>
      </c>
      <c r="K475" s="13">
        <f t="shared" si="88"/>
        <v>6000</v>
      </c>
      <c r="L475" s="14">
        <f t="shared" si="89"/>
        <v>0.2</v>
      </c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2">
        <v>3.5</v>
      </c>
      <c r="B476" s="10" t="s">
        <v>15</v>
      </c>
      <c r="C476" s="6" t="s">
        <v>141</v>
      </c>
      <c r="D476" s="13">
        <v>15000</v>
      </c>
      <c r="E476" s="13">
        <f t="shared" si="86"/>
        <v>52500</v>
      </c>
      <c r="F476" s="2"/>
      <c r="G476" s="2"/>
      <c r="H476" s="2"/>
      <c r="I476" s="13">
        <v>13000</v>
      </c>
      <c r="J476" s="13">
        <f t="shared" si="87"/>
        <v>45500</v>
      </c>
      <c r="K476" s="13">
        <f t="shared" si="88"/>
        <v>7000</v>
      </c>
      <c r="L476" s="14">
        <f t="shared" si="89"/>
        <v>0.13333333333333333</v>
      </c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2">
        <v>3.9</v>
      </c>
      <c r="B477" s="10" t="s">
        <v>17</v>
      </c>
      <c r="C477" s="6" t="s">
        <v>162</v>
      </c>
      <c r="D477" s="13">
        <v>3800</v>
      </c>
      <c r="E477" s="13">
        <f t="shared" si="86"/>
        <v>14820</v>
      </c>
      <c r="F477" s="2"/>
      <c r="G477" s="2"/>
      <c r="H477" s="2"/>
      <c r="I477" s="13">
        <f>30000/10</f>
        <v>3000</v>
      </c>
      <c r="J477" s="13">
        <f t="shared" si="87"/>
        <v>11700</v>
      </c>
      <c r="K477" s="13">
        <f t="shared" si="88"/>
        <v>3120</v>
      </c>
      <c r="L477" s="14">
        <f t="shared" si="89"/>
        <v>0.21052631578947367</v>
      </c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2">
        <v>1</v>
      </c>
      <c r="B478" s="10" t="s">
        <v>23</v>
      </c>
      <c r="C478" s="6" t="s">
        <v>1089</v>
      </c>
      <c r="D478" s="13">
        <v>28000</v>
      </c>
      <c r="E478" s="13">
        <f t="shared" si="86"/>
        <v>28000</v>
      </c>
      <c r="F478" s="2"/>
      <c r="G478" s="2"/>
      <c r="H478" s="2"/>
      <c r="I478" s="13">
        <v>20000</v>
      </c>
      <c r="J478" s="13">
        <f t="shared" si="87"/>
        <v>20000</v>
      </c>
      <c r="K478" s="13">
        <f t="shared" si="88"/>
        <v>8000</v>
      </c>
      <c r="L478" s="14">
        <f t="shared" si="89"/>
        <v>0.2857142857142857</v>
      </c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2">
        <v>1</v>
      </c>
      <c r="B479" s="10" t="s">
        <v>86</v>
      </c>
      <c r="C479" s="6" t="s">
        <v>89</v>
      </c>
      <c r="D479" s="13">
        <v>55000</v>
      </c>
      <c r="E479" s="13">
        <f t="shared" si="86"/>
        <v>55000</v>
      </c>
      <c r="F479" s="2"/>
      <c r="G479" s="2"/>
      <c r="H479" s="2"/>
      <c r="I479" s="13">
        <f>11250*4</f>
        <v>45000</v>
      </c>
      <c r="J479" s="13">
        <f t="shared" si="87"/>
        <v>45000</v>
      </c>
      <c r="K479" s="13">
        <f t="shared" si="88"/>
        <v>10000</v>
      </c>
      <c r="L479" s="14">
        <f t="shared" si="89"/>
        <v>0.18181818181818182</v>
      </c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2">
        <v>2.5</v>
      </c>
      <c r="B480" s="10" t="s">
        <v>23</v>
      </c>
      <c r="C480" s="6" t="s">
        <v>12</v>
      </c>
      <c r="D480" s="13">
        <v>58000</v>
      </c>
      <c r="E480" s="13">
        <f t="shared" si="86"/>
        <v>145000</v>
      </c>
      <c r="F480" s="2"/>
      <c r="G480" s="2"/>
      <c r="H480" s="2"/>
      <c r="I480" s="13">
        <v>50000</v>
      </c>
      <c r="J480" s="13">
        <f t="shared" si="87"/>
        <v>125000</v>
      </c>
      <c r="K480" s="13">
        <f t="shared" si="88"/>
        <v>20000</v>
      </c>
      <c r="L480" s="14">
        <f t="shared" si="89"/>
        <v>0.13793103448275862</v>
      </c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2"/>
      <c r="C481" s="1"/>
      <c r="D481" s="2"/>
      <c r="E481" s="2"/>
      <c r="F481" s="2"/>
      <c r="G481" s="1"/>
      <c r="H481" s="2"/>
      <c r="I481" s="2"/>
      <c r="J481" s="2"/>
      <c r="K481" s="2"/>
      <c r="L481" s="3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2"/>
      <c r="C482" s="1"/>
      <c r="D482" s="2"/>
      <c r="E482" s="13">
        <f>SUM(E463:E480)</f>
        <v>520120</v>
      </c>
      <c r="F482" s="2"/>
      <c r="G482" s="2"/>
      <c r="H482" s="2"/>
      <c r="I482" s="2"/>
      <c r="J482" s="2"/>
      <c r="K482" s="13">
        <f>SUM(K463:K480)</f>
        <v>148834.28571428571</v>
      </c>
      <c r="L482" s="14">
        <f>K482/E482</f>
        <v>0.28615374474022476</v>
      </c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0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6" t="s">
        <v>96</v>
      </c>
      <c r="B484" s="1"/>
      <c r="C484" s="1"/>
      <c r="D484" s="22" t="s">
        <v>71</v>
      </c>
      <c r="E484" s="8">
        <v>46129</v>
      </c>
      <c r="F484" s="24" t="s">
        <v>37</v>
      </c>
      <c r="G484" s="2"/>
      <c r="H484" s="2"/>
      <c r="I484" s="2"/>
      <c r="J484" s="2"/>
      <c r="K484" s="2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2"/>
      <c r="C485" s="4"/>
      <c r="D485" s="2"/>
      <c r="E485" s="2"/>
      <c r="F485" s="2"/>
      <c r="G485" s="2"/>
      <c r="H485" s="2"/>
      <c r="I485" s="2"/>
      <c r="J485" s="2"/>
      <c r="K485" s="2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6" t="s">
        <v>3</v>
      </c>
      <c r="B486" s="10" t="s">
        <v>4</v>
      </c>
      <c r="C486" s="11" t="s">
        <v>5</v>
      </c>
      <c r="D486" s="10" t="s">
        <v>6</v>
      </c>
      <c r="E486" s="10" t="s">
        <v>7</v>
      </c>
      <c r="F486" s="2"/>
      <c r="G486" s="2"/>
      <c r="H486" s="2"/>
      <c r="I486" s="10" t="s">
        <v>6</v>
      </c>
      <c r="J486" s="10" t="s">
        <v>7</v>
      </c>
      <c r="K486" s="10" t="s">
        <v>10</v>
      </c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2">
        <v>1</v>
      </c>
      <c r="B487" s="10" t="s">
        <v>23</v>
      </c>
      <c r="C487" s="11" t="s">
        <v>82</v>
      </c>
      <c r="D487" s="13">
        <v>30000</v>
      </c>
      <c r="E487" s="13">
        <f t="shared" ref="E487:E500" si="91">A487*D487</f>
        <v>30000</v>
      </c>
      <c r="F487" s="2"/>
      <c r="G487" s="2"/>
      <c r="H487" s="2"/>
      <c r="I487" s="13">
        <v>25000</v>
      </c>
      <c r="J487" s="13">
        <f t="shared" ref="J487:J500" si="92">I487*A487</f>
        <v>25000</v>
      </c>
      <c r="K487" s="13">
        <f t="shared" ref="K487:K500" si="93">E487-J487</f>
        <v>5000</v>
      </c>
      <c r="L487" s="14">
        <f t="shared" ref="L487:L500" si="94">K487/E487</f>
        <v>0.16666666666666666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2">
        <v>2</v>
      </c>
      <c r="B488" s="10" t="s">
        <v>23</v>
      </c>
      <c r="C488" s="11" t="s">
        <v>99</v>
      </c>
      <c r="D488" s="13">
        <v>11000</v>
      </c>
      <c r="E488" s="13">
        <f t="shared" si="91"/>
        <v>22000</v>
      </c>
      <c r="F488" s="2"/>
      <c r="G488" s="2"/>
      <c r="H488" s="2"/>
      <c r="I488" s="13">
        <v>7000</v>
      </c>
      <c r="J488" s="13">
        <f t="shared" si="92"/>
        <v>14000</v>
      </c>
      <c r="K488" s="13">
        <f t="shared" si="93"/>
        <v>8000</v>
      </c>
      <c r="L488" s="14">
        <f t="shared" si="94"/>
        <v>0.36363636363636365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2">
        <v>0.5</v>
      </c>
      <c r="B489" s="10" t="s">
        <v>23</v>
      </c>
      <c r="C489" s="11" t="s">
        <v>39</v>
      </c>
      <c r="D489" s="13">
        <v>16000</v>
      </c>
      <c r="E489" s="13">
        <f t="shared" si="91"/>
        <v>8000</v>
      </c>
      <c r="F489" s="2"/>
      <c r="G489" s="2"/>
      <c r="H489" s="2"/>
      <c r="I489" s="13">
        <v>8000</v>
      </c>
      <c r="J489" s="13">
        <f t="shared" si="92"/>
        <v>4000</v>
      </c>
      <c r="K489" s="13">
        <f t="shared" si="93"/>
        <v>4000</v>
      </c>
      <c r="L489" s="14">
        <f t="shared" si="94"/>
        <v>0.5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2">
        <v>2</v>
      </c>
      <c r="B490" s="10" t="s">
        <v>23</v>
      </c>
      <c r="C490" s="11" t="s">
        <v>130</v>
      </c>
      <c r="D490" s="13">
        <v>11000</v>
      </c>
      <c r="E490" s="13">
        <f t="shared" si="91"/>
        <v>22000</v>
      </c>
      <c r="F490" s="2"/>
      <c r="G490" s="2"/>
      <c r="H490" s="2"/>
      <c r="I490" s="13">
        <v>6000</v>
      </c>
      <c r="J490" s="13">
        <f t="shared" si="92"/>
        <v>12000</v>
      </c>
      <c r="K490" s="13">
        <f t="shared" si="93"/>
        <v>10000</v>
      </c>
      <c r="L490" s="14">
        <f t="shared" si="94"/>
        <v>0.45454545454545453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2">
        <v>3</v>
      </c>
      <c r="B491" s="10" t="s">
        <v>15</v>
      </c>
      <c r="C491" s="11" t="s">
        <v>56</v>
      </c>
      <c r="D491" s="13">
        <v>14500</v>
      </c>
      <c r="E491" s="13">
        <f t="shared" si="91"/>
        <v>43500</v>
      </c>
      <c r="F491" s="2"/>
      <c r="G491" s="2"/>
      <c r="H491" s="2"/>
      <c r="I491" s="13">
        <v>10000</v>
      </c>
      <c r="J491" s="13">
        <f t="shared" si="92"/>
        <v>30000</v>
      </c>
      <c r="K491" s="13">
        <f t="shared" si="93"/>
        <v>13500</v>
      </c>
      <c r="L491" s="14">
        <f t="shared" si="94"/>
        <v>0.31034482758620691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2">
        <v>3</v>
      </c>
      <c r="B492" s="10" t="s">
        <v>15</v>
      </c>
      <c r="C492" s="11" t="s">
        <v>16</v>
      </c>
      <c r="D492" s="13">
        <v>12500</v>
      </c>
      <c r="E492" s="13">
        <f t="shared" si="91"/>
        <v>37500</v>
      </c>
      <c r="F492" s="2"/>
      <c r="G492" s="2"/>
      <c r="H492" s="2"/>
      <c r="I492" s="13">
        <v>8000</v>
      </c>
      <c r="J492" s="13">
        <f t="shared" si="92"/>
        <v>24000</v>
      </c>
      <c r="K492" s="13">
        <f t="shared" si="93"/>
        <v>13500</v>
      </c>
      <c r="L492" s="14">
        <f t="shared" si="94"/>
        <v>0.36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2">
        <v>3</v>
      </c>
      <c r="B493" s="10" t="s">
        <v>15</v>
      </c>
      <c r="C493" s="11" t="s">
        <v>84</v>
      </c>
      <c r="D493" s="13">
        <v>14500</v>
      </c>
      <c r="E493" s="13">
        <f t="shared" si="91"/>
        <v>43500</v>
      </c>
      <c r="F493" s="2"/>
      <c r="G493" s="2"/>
      <c r="H493" s="2"/>
      <c r="I493" s="13">
        <v>9500</v>
      </c>
      <c r="J493" s="13">
        <f t="shared" si="92"/>
        <v>28500</v>
      </c>
      <c r="K493" s="13">
        <f t="shared" si="93"/>
        <v>15000</v>
      </c>
      <c r="L493" s="14">
        <f t="shared" si="94"/>
        <v>0.34482758620689657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2">
        <v>1</v>
      </c>
      <c r="B494" s="10" t="s">
        <v>15</v>
      </c>
      <c r="C494" s="11" t="s">
        <v>167</v>
      </c>
      <c r="D494" s="13">
        <v>15000</v>
      </c>
      <c r="E494" s="13">
        <f t="shared" si="91"/>
        <v>15000</v>
      </c>
      <c r="F494" s="2"/>
      <c r="G494" s="2"/>
      <c r="H494" s="2"/>
      <c r="I494" s="13">
        <v>10000</v>
      </c>
      <c r="J494" s="13">
        <f t="shared" si="92"/>
        <v>10000</v>
      </c>
      <c r="K494" s="13">
        <f t="shared" si="93"/>
        <v>5000</v>
      </c>
      <c r="L494" s="14">
        <f t="shared" si="94"/>
        <v>0.33333333333333331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2">
        <v>2</v>
      </c>
      <c r="B495" s="10" t="s">
        <v>15</v>
      </c>
      <c r="C495" s="11" t="s">
        <v>129</v>
      </c>
      <c r="D495" s="13">
        <v>16000</v>
      </c>
      <c r="E495" s="13">
        <f t="shared" si="91"/>
        <v>32000</v>
      </c>
      <c r="F495" s="2"/>
      <c r="G495" s="2"/>
      <c r="H495" s="2"/>
      <c r="I495" s="13">
        <v>11000</v>
      </c>
      <c r="J495" s="13">
        <f t="shared" si="92"/>
        <v>22000</v>
      </c>
      <c r="K495" s="13">
        <f t="shared" si="93"/>
        <v>10000</v>
      </c>
      <c r="L495" s="14">
        <f t="shared" si="94"/>
        <v>0.3125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2">
        <v>3</v>
      </c>
      <c r="B496" s="10" t="s">
        <v>17</v>
      </c>
      <c r="C496" s="11" t="s">
        <v>30</v>
      </c>
      <c r="D496" s="13">
        <v>2600</v>
      </c>
      <c r="E496" s="13">
        <f t="shared" si="91"/>
        <v>7800</v>
      </c>
      <c r="F496" s="2"/>
      <c r="G496" s="2"/>
      <c r="H496" s="2"/>
      <c r="I496" s="13">
        <v>2000</v>
      </c>
      <c r="J496" s="13">
        <f t="shared" si="92"/>
        <v>6000</v>
      </c>
      <c r="K496" s="13">
        <f t="shared" si="93"/>
        <v>1800</v>
      </c>
      <c r="L496" s="14">
        <f t="shared" si="94"/>
        <v>0.23076923076923078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2">
        <v>12</v>
      </c>
      <c r="B497" s="10" t="s">
        <v>21</v>
      </c>
      <c r="C497" s="11" t="s">
        <v>46</v>
      </c>
      <c r="D497" s="13">
        <v>500</v>
      </c>
      <c r="E497" s="13">
        <f t="shared" si="91"/>
        <v>6000</v>
      </c>
      <c r="F497" s="2"/>
      <c r="G497" s="2"/>
      <c r="H497" s="2"/>
      <c r="I497" s="13">
        <v>291</v>
      </c>
      <c r="J497" s="13">
        <f t="shared" si="92"/>
        <v>3492</v>
      </c>
      <c r="K497" s="13">
        <f t="shared" si="93"/>
        <v>2508</v>
      </c>
      <c r="L497" s="14">
        <f t="shared" si="94"/>
        <v>0.41799999999999998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2">
        <v>1</v>
      </c>
      <c r="B498" s="10" t="s">
        <v>23</v>
      </c>
      <c r="C498" s="11" t="s">
        <v>118</v>
      </c>
      <c r="D498" s="13">
        <v>12000</v>
      </c>
      <c r="E498" s="13">
        <f t="shared" si="91"/>
        <v>12000</v>
      </c>
      <c r="F498" s="2"/>
      <c r="G498" s="2"/>
      <c r="H498" s="2"/>
      <c r="I498" s="13">
        <v>8000</v>
      </c>
      <c r="J498" s="13">
        <f t="shared" si="92"/>
        <v>8000</v>
      </c>
      <c r="K498" s="13">
        <f t="shared" si="93"/>
        <v>4000</v>
      </c>
      <c r="L498" s="14">
        <f t="shared" si="94"/>
        <v>0.33333333333333331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2">
        <v>12</v>
      </c>
      <c r="B499" s="10" t="s">
        <v>21</v>
      </c>
      <c r="C499" s="11" t="s">
        <v>51</v>
      </c>
      <c r="D499" s="13">
        <v>1500</v>
      </c>
      <c r="E499" s="13">
        <f t="shared" si="91"/>
        <v>18000</v>
      </c>
      <c r="F499" s="2"/>
      <c r="G499" s="2"/>
      <c r="H499" s="2"/>
      <c r="I499" s="13">
        <v>750</v>
      </c>
      <c r="J499" s="13">
        <f t="shared" si="92"/>
        <v>9000</v>
      </c>
      <c r="K499" s="13">
        <f t="shared" si="93"/>
        <v>9000</v>
      </c>
      <c r="L499" s="14">
        <f t="shared" si="94"/>
        <v>0.5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2">
        <v>0.5</v>
      </c>
      <c r="B500" s="10" t="s">
        <v>86</v>
      </c>
      <c r="C500" s="11" t="s">
        <v>1108</v>
      </c>
      <c r="D500" s="13">
        <v>35000</v>
      </c>
      <c r="E500" s="13">
        <f t="shared" si="91"/>
        <v>17500</v>
      </c>
      <c r="F500" s="2"/>
      <c r="G500" s="2"/>
      <c r="H500" s="2"/>
      <c r="I500" s="13">
        <v>23000</v>
      </c>
      <c r="J500" s="13">
        <f t="shared" si="92"/>
        <v>11500</v>
      </c>
      <c r="K500" s="13">
        <f t="shared" si="93"/>
        <v>6000</v>
      </c>
      <c r="L500" s="14">
        <f t="shared" si="94"/>
        <v>0.34285714285714286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"/>
      <c r="B501" s="2"/>
      <c r="C501" s="4"/>
      <c r="D501" s="2"/>
      <c r="E501" s="2"/>
      <c r="F501" s="2"/>
      <c r="G501" s="4"/>
      <c r="H501" s="2"/>
      <c r="I501" s="2"/>
      <c r="J501" s="2"/>
      <c r="K501" s="2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"/>
      <c r="B502" s="2"/>
      <c r="C502" s="4"/>
      <c r="D502" s="2"/>
      <c r="E502" s="13">
        <f>SUM(E487:E500)</f>
        <v>314800</v>
      </c>
      <c r="F502" s="2"/>
      <c r="G502" s="2"/>
      <c r="H502" s="2"/>
      <c r="I502" s="2"/>
      <c r="J502" s="2"/>
      <c r="K502" s="13">
        <f>SUM(K487:K500)</f>
        <v>107308</v>
      </c>
      <c r="L502" s="14">
        <f>K502/E502</f>
        <v>0.34087674714104194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0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0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1"/>
      <c r="C505" s="1"/>
      <c r="D505" s="1"/>
      <c r="E505" s="8"/>
      <c r="F505" s="1"/>
      <c r="G505" s="1"/>
      <c r="H505" s="1"/>
      <c r="I505" s="1"/>
      <c r="J505" s="1"/>
      <c r="K505" s="1"/>
      <c r="L505" s="20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6" t="s">
        <v>91</v>
      </c>
      <c r="B506" s="1"/>
      <c r="C506" s="1"/>
      <c r="D506" s="22" t="s">
        <v>1105</v>
      </c>
      <c r="E506" s="8">
        <v>46129</v>
      </c>
      <c r="F506" s="24" t="s">
        <v>37</v>
      </c>
      <c r="G506" s="2"/>
      <c r="H506" s="2"/>
      <c r="I506" s="2"/>
      <c r="J506" s="2"/>
      <c r="K506" s="2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2"/>
      <c r="C507" s="4"/>
      <c r="D507" s="2"/>
      <c r="E507" s="2"/>
      <c r="F507" s="2"/>
      <c r="G507" s="2"/>
      <c r="H507" s="2"/>
      <c r="I507" s="2"/>
      <c r="J507" s="2"/>
      <c r="K507" s="2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6" t="s">
        <v>3</v>
      </c>
      <c r="B508" s="10" t="s">
        <v>4</v>
      </c>
      <c r="C508" s="11" t="s">
        <v>5</v>
      </c>
      <c r="D508" s="10" t="s">
        <v>6</v>
      </c>
      <c r="E508" s="10" t="s">
        <v>7</v>
      </c>
      <c r="F508" s="2"/>
      <c r="G508" s="2"/>
      <c r="H508" s="2"/>
      <c r="I508" s="10" t="s">
        <v>6</v>
      </c>
      <c r="J508" s="10" t="s">
        <v>7</v>
      </c>
      <c r="K508" s="10" t="s">
        <v>10</v>
      </c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2">
        <v>1</v>
      </c>
      <c r="B509" s="10" t="s">
        <v>23</v>
      </c>
      <c r="C509" s="11" t="s">
        <v>46</v>
      </c>
      <c r="D509" s="13">
        <v>13000</v>
      </c>
      <c r="E509" s="13">
        <f t="shared" ref="E509:E514" si="95">A509*D509</f>
        <v>13000</v>
      </c>
      <c r="F509" s="2"/>
      <c r="G509" s="2"/>
      <c r="H509" s="2"/>
      <c r="I509" s="13">
        <v>7000</v>
      </c>
      <c r="J509" s="13">
        <f t="shared" ref="J509:J514" si="96">I509*A509</f>
        <v>7000</v>
      </c>
      <c r="K509" s="13">
        <f t="shared" ref="K509:K514" si="97">E509-J509</f>
        <v>6000</v>
      </c>
      <c r="L509" s="14">
        <f t="shared" ref="L509:L514" si="98">K509/E509</f>
        <v>0.46153846153846156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2">
        <v>4</v>
      </c>
      <c r="B510" s="10" t="s">
        <v>17</v>
      </c>
      <c r="C510" s="11" t="s">
        <v>81</v>
      </c>
      <c r="D510" s="13">
        <v>1800</v>
      </c>
      <c r="E510" s="13">
        <f t="shared" si="95"/>
        <v>7200</v>
      </c>
      <c r="F510" s="2"/>
      <c r="G510" s="2"/>
      <c r="H510" s="2"/>
      <c r="I510" s="13">
        <v>500</v>
      </c>
      <c r="J510" s="13">
        <f t="shared" si="96"/>
        <v>2000</v>
      </c>
      <c r="K510" s="13">
        <f t="shared" si="97"/>
        <v>5200</v>
      </c>
      <c r="L510" s="14">
        <f t="shared" si="98"/>
        <v>0.72222222222222221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2">
        <v>1</v>
      </c>
      <c r="B511" s="10" t="s">
        <v>17</v>
      </c>
      <c r="C511" s="11" t="s">
        <v>79</v>
      </c>
      <c r="D511" s="13">
        <v>5000</v>
      </c>
      <c r="E511" s="13">
        <f t="shared" si="95"/>
        <v>5000</v>
      </c>
      <c r="F511" s="2"/>
      <c r="G511" s="2"/>
      <c r="H511" s="2"/>
      <c r="I511" s="13">
        <v>2000</v>
      </c>
      <c r="J511" s="13">
        <f t="shared" si="96"/>
        <v>2000</v>
      </c>
      <c r="K511" s="13">
        <f t="shared" si="97"/>
        <v>3000</v>
      </c>
      <c r="L511" s="36">
        <f t="shared" si="98"/>
        <v>0.6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2">
        <v>1</v>
      </c>
      <c r="B512" s="10" t="s">
        <v>17</v>
      </c>
      <c r="C512" s="11" t="s">
        <v>88</v>
      </c>
      <c r="D512" s="13">
        <v>2200</v>
      </c>
      <c r="E512" s="13">
        <f t="shared" si="95"/>
        <v>2200</v>
      </c>
      <c r="F512" s="2"/>
      <c r="G512" s="2"/>
      <c r="H512" s="2"/>
      <c r="I512" s="13">
        <f>1000</f>
        <v>1000</v>
      </c>
      <c r="J512" s="13">
        <f t="shared" si="96"/>
        <v>1000</v>
      </c>
      <c r="K512" s="13">
        <f t="shared" si="97"/>
        <v>1200</v>
      </c>
      <c r="L512" s="36">
        <f t="shared" si="98"/>
        <v>0.54545454545454541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2">
        <v>0.2</v>
      </c>
      <c r="B513" s="10" t="s">
        <v>17</v>
      </c>
      <c r="C513" s="11" t="s">
        <v>93</v>
      </c>
      <c r="D513" s="13">
        <v>2500</v>
      </c>
      <c r="E513" s="13">
        <f t="shared" si="95"/>
        <v>500</v>
      </c>
      <c r="F513" s="2"/>
      <c r="G513" s="2"/>
      <c r="H513" s="2"/>
      <c r="I513" s="13">
        <f>10000/5</f>
        <v>2000</v>
      </c>
      <c r="J513" s="13">
        <f t="shared" si="96"/>
        <v>400</v>
      </c>
      <c r="K513" s="13">
        <f t="shared" si="97"/>
        <v>100</v>
      </c>
      <c r="L513" s="14">
        <f t="shared" si="98"/>
        <v>0.2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2">
        <v>3</v>
      </c>
      <c r="B514" s="10" t="s">
        <v>21</v>
      </c>
      <c r="C514" s="11" t="s">
        <v>51</v>
      </c>
      <c r="D514" s="13">
        <v>1500</v>
      </c>
      <c r="E514" s="13">
        <f t="shared" si="95"/>
        <v>4500</v>
      </c>
      <c r="F514" s="2"/>
      <c r="G514" s="2"/>
      <c r="H514" s="2"/>
      <c r="I514" s="13">
        <v>750</v>
      </c>
      <c r="J514" s="13">
        <f t="shared" si="96"/>
        <v>2250</v>
      </c>
      <c r="K514" s="13">
        <f t="shared" si="97"/>
        <v>2250</v>
      </c>
      <c r="L514" s="14">
        <f t="shared" si="98"/>
        <v>0.5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2"/>
      <c r="C515" s="4"/>
      <c r="D515" s="2"/>
      <c r="E515" s="2"/>
      <c r="F515" s="2"/>
      <c r="G515" s="4"/>
      <c r="H515" s="2"/>
      <c r="I515" s="2"/>
      <c r="J515" s="2"/>
      <c r="K515" s="2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2"/>
      <c r="C516" s="4"/>
      <c r="D516" s="2"/>
      <c r="E516" s="13">
        <f>SUM(E509:E514)</f>
        <v>32400</v>
      </c>
      <c r="F516" s="2"/>
      <c r="G516" s="2"/>
      <c r="H516" s="2"/>
      <c r="I516" s="2"/>
      <c r="J516" s="2"/>
      <c r="K516" s="13">
        <f>SUM(K509:K514)</f>
        <v>17750</v>
      </c>
      <c r="L516" s="14">
        <f>K516/E516</f>
        <v>0.5478395061728395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0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0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88" t="s">
        <v>140</v>
      </c>
      <c r="B519" s="89"/>
      <c r="C519" s="89"/>
      <c r="D519" s="2"/>
      <c r="E519" s="7" t="s">
        <v>982</v>
      </c>
      <c r="F519" s="8">
        <v>46129</v>
      </c>
      <c r="G519" s="7"/>
      <c r="H519" s="2"/>
      <c r="I519" s="9" t="s">
        <v>2</v>
      </c>
      <c r="J519" s="9"/>
      <c r="K519" s="9"/>
      <c r="L519" s="3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3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6" t="s">
        <v>3</v>
      </c>
      <c r="B521" s="10" t="s">
        <v>4</v>
      </c>
      <c r="C521" s="11" t="s">
        <v>5</v>
      </c>
      <c r="D521" s="10" t="s">
        <v>6</v>
      </c>
      <c r="E521" s="10" t="s">
        <v>7</v>
      </c>
      <c r="F521" s="10" t="s">
        <v>8</v>
      </c>
      <c r="G521" s="2"/>
      <c r="H521" s="2"/>
      <c r="I521" s="10" t="s">
        <v>9</v>
      </c>
      <c r="J521" s="10" t="s">
        <v>7</v>
      </c>
      <c r="K521" s="10" t="s">
        <v>10</v>
      </c>
      <c r="L521" s="3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2">
        <v>4</v>
      </c>
      <c r="B522" s="10" t="s">
        <v>15</v>
      </c>
      <c r="C522" s="11" t="s">
        <v>141</v>
      </c>
      <c r="D522" s="13">
        <v>16000</v>
      </c>
      <c r="E522" s="13">
        <f t="shared" ref="E522:E527" si="99">A522*D522</f>
        <v>64000</v>
      </c>
      <c r="F522" s="13">
        <f t="shared" ref="F522:F527" si="100">E522*1.105</f>
        <v>70720</v>
      </c>
      <c r="G522" s="2"/>
      <c r="H522" s="2"/>
      <c r="I522" s="13">
        <v>13000</v>
      </c>
      <c r="J522" s="13">
        <f t="shared" ref="J522:J527" si="101">I522*A522</f>
        <v>52000</v>
      </c>
      <c r="K522" s="13">
        <f t="shared" ref="K522:K527" si="102">F522-J522</f>
        <v>18720</v>
      </c>
      <c r="L522" s="14">
        <f t="shared" ref="L522:L523" si="103">IFERROR(K522/E522, 0)</f>
        <v>0.29249999999999998</v>
      </c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2">
        <v>1</v>
      </c>
      <c r="B523" s="10" t="s">
        <v>23</v>
      </c>
      <c r="C523" s="11" t="s">
        <v>81</v>
      </c>
      <c r="D523" s="13">
        <v>15000</v>
      </c>
      <c r="E523" s="13">
        <f t="shared" si="99"/>
        <v>15000</v>
      </c>
      <c r="F523" s="13">
        <f t="shared" si="100"/>
        <v>16575</v>
      </c>
      <c r="G523" s="2"/>
      <c r="H523" s="2"/>
      <c r="I523" s="13">
        <v>8000</v>
      </c>
      <c r="J523" s="13">
        <f t="shared" si="101"/>
        <v>8000</v>
      </c>
      <c r="K523" s="13">
        <f t="shared" si="102"/>
        <v>8575</v>
      </c>
      <c r="L523" s="14">
        <f t="shared" si="103"/>
        <v>0.57166666666666666</v>
      </c>
      <c r="M523" s="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2">
        <v>1</v>
      </c>
      <c r="B524" s="10" t="s">
        <v>23</v>
      </c>
      <c r="C524" s="11" t="s">
        <v>130</v>
      </c>
      <c r="D524" s="13">
        <v>11000</v>
      </c>
      <c r="E524" s="13">
        <f t="shared" si="99"/>
        <v>11000</v>
      </c>
      <c r="F524" s="13">
        <f t="shared" si="100"/>
        <v>12155</v>
      </c>
      <c r="G524" s="2"/>
      <c r="H524" s="2"/>
      <c r="I524" s="13">
        <v>6000</v>
      </c>
      <c r="J524" s="13">
        <f t="shared" si="101"/>
        <v>6000</v>
      </c>
      <c r="K524" s="13">
        <f t="shared" si="102"/>
        <v>6155</v>
      </c>
      <c r="L524" s="18">
        <f>IFERROR(K524/E524, 0)</f>
        <v>0.55954545454545457</v>
      </c>
      <c r="M524" s="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2">
        <v>20</v>
      </c>
      <c r="B525" s="10" t="s">
        <v>21</v>
      </c>
      <c r="C525" s="11" t="s">
        <v>46</v>
      </c>
      <c r="D525" s="13">
        <v>500</v>
      </c>
      <c r="E525" s="13">
        <f t="shared" si="99"/>
        <v>10000</v>
      </c>
      <c r="F525" s="13">
        <f t="shared" si="100"/>
        <v>11050</v>
      </c>
      <c r="G525" s="2"/>
      <c r="H525" s="2"/>
      <c r="I525" s="13">
        <f>7000/24</f>
        <v>291.66666666666669</v>
      </c>
      <c r="J525" s="13">
        <f t="shared" si="101"/>
        <v>5833.3333333333339</v>
      </c>
      <c r="K525" s="13">
        <f t="shared" si="102"/>
        <v>5216.6666666666661</v>
      </c>
      <c r="L525" s="14">
        <f t="shared" ref="L525:L527" si="104">IFERROR(K525/E525, 0)</f>
        <v>0.52166666666666661</v>
      </c>
      <c r="M525" s="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2">
        <v>2</v>
      </c>
      <c r="B526" s="10" t="s">
        <v>21</v>
      </c>
      <c r="C526" s="11" t="s">
        <v>51</v>
      </c>
      <c r="D526" s="13">
        <v>1500</v>
      </c>
      <c r="E526" s="13">
        <f t="shared" si="99"/>
        <v>3000</v>
      </c>
      <c r="F526" s="13">
        <f t="shared" si="100"/>
        <v>3315</v>
      </c>
      <c r="G526" s="2"/>
      <c r="H526" s="2"/>
      <c r="I526" s="13">
        <v>750</v>
      </c>
      <c r="J526" s="13">
        <f t="shared" si="101"/>
        <v>1500</v>
      </c>
      <c r="K526" s="13">
        <f t="shared" si="102"/>
        <v>1815</v>
      </c>
      <c r="L526" s="14">
        <f t="shared" si="104"/>
        <v>0.60499999999999998</v>
      </c>
      <c r="M526" s="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2">
        <v>1</v>
      </c>
      <c r="B527" s="10" t="s">
        <v>17</v>
      </c>
      <c r="C527" s="11" t="s">
        <v>88</v>
      </c>
      <c r="D527" s="13">
        <v>2600</v>
      </c>
      <c r="E527" s="13">
        <f t="shared" si="99"/>
        <v>2600</v>
      </c>
      <c r="F527" s="13">
        <f t="shared" si="100"/>
        <v>2873</v>
      </c>
      <c r="G527" s="2"/>
      <c r="H527" s="2"/>
      <c r="I527" s="13">
        <f>1000</f>
        <v>1000</v>
      </c>
      <c r="J527" s="13">
        <f t="shared" si="101"/>
        <v>1000</v>
      </c>
      <c r="K527" s="13">
        <f t="shared" si="102"/>
        <v>1873</v>
      </c>
      <c r="L527" s="14">
        <f t="shared" si="104"/>
        <v>0.7203846153846154</v>
      </c>
      <c r="M527" s="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"/>
      <c r="B528" s="2"/>
      <c r="C528" s="4"/>
      <c r="D528" s="2"/>
      <c r="E528" s="2"/>
      <c r="F528" s="13"/>
      <c r="G528" s="2"/>
      <c r="H528" s="2"/>
      <c r="I528" s="2"/>
      <c r="J528" s="2"/>
      <c r="K528" s="2"/>
      <c r="L528" s="3"/>
      <c r="M528" s="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"/>
      <c r="B529" s="2"/>
      <c r="C529" s="4"/>
      <c r="D529" s="2"/>
      <c r="E529" s="13">
        <f t="shared" ref="E529:F529" si="105">SUM(E522:E527)</f>
        <v>105600</v>
      </c>
      <c r="F529" s="13">
        <f t="shared" si="105"/>
        <v>116688</v>
      </c>
      <c r="G529" s="2"/>
      <c r="H529" s="2"/>
      <c r="I529" s="2"/>
      <c r="J529" s="2"/>
      <c r="K529" s="13">
        <f>SUM(K522:K527)</f>
        <v>42354.666666666664</v>
      </c>
      <c r="L529" s="14">
        <f>K529/F529</f>
        <v>0.36297362767951002</v>
      </c>
      <c r="M529" s="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0"/>
      <c r="M530" s="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0"/>
      <c r="M531" s="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6" t="s">
        <v>1000</v>
      </c>
      <c r="B532" s="1"/>
      <c r="C532" s="1"/>
      <c r="D532" s="22" t="s">
        <v>71</v>
      </c>
      <c r="E532" s="8">
        <v>46129</v>
      </c>
      <c r="F532" s="24" t="s">
        <v>37</v>
      </c>
      <c r="G532" s="2"/>
      <c r="H532" s="2"/>
      <c r="I532" s="2"/>
      <c r="J532" s="2"/>
      <c r="K532" s="2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2"/>
      <c r="C533" s="4"/>
      <c r="D533" s="2"/>
      <c r="E533" s="2"/>
      <c r="F533" s="2"/>
      <c r="G533" s="2"/>
      <c r="H533" s="2"/>
      <c r="I533" s="2"/>
      <c r="J533" s="2"/>
      <c r="K533" s="2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6" t="s">
        <v>3</v>
      </c>
      <c r="B534" s="10" t="s">
        <v>4</v>
      </c>
      <c r="C534" s="11" t="s">
        <v>5</v>
      </c>
      <c r="D534" s="10" t="s">
        <v>6</v>
      </c>
      <c r="E534" s="10" t="s">
        <v>7</v>
      </c>
      <c r="F534" s="2"/>
      <c r="G534" s="2"/>
      <c r="H534" s="2"/>
      <c r="I534" s="10" t="s">
        <v>6</v>
      </c>
      <c r="J534" s="10" t="s">
        <v>7</v>
      </c>
      <c r="K534" s="10" t="s">
        <v>10</v>
      </c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2">
        <v>0.5</v>
      </c>
      <c r="B535" s="10" t="s">
        <v>23</v>
      </c>
      <c r="C535" s="11" t="s">
        <v>85</v>
      </c>
      <c r="D535" s="13">
        <v>53000</v>
      </c>
      <c r="E535" s="13">
        <f t="shared" ref="E535:E537" si="106">A535*D535</f>
        <v>26500</v>
      </c>
      <c r="F535" s="2"/>
      <c r="G535" s="2"/>
      <c r="H535" s="2"/>
      <c r="I535" s="13">
        <v>50000</v>
      </c>
      <c r="J535" s="13">
        <f t="shared" ref="J535:J537" si="107">I535*A535</f>
        <v>25000</v>
      </c>
      <c r="K535" s="13">
        <f t="shared" ref="K535:K537" si="108">E535-J535</f>
        <v>1500</v>
      </c>
      <c r="L535" s="14">
        <f t="shared" ref="L535:L537" si="109">K535/E535</f>
        <v>5.6603773584905662E-2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2">
        <v>1.1000000000000001</v>
      </c>
      <c r="B536" s="10" t="s">
        <v>17</v>
      </c>
      <c r="C536" s="11" t="s">
        <v>110</v>
      </c>
      <c r="D536" s="13">
        <v>4000</v>
      </c>
      <c r="E536" s="13">
        <f t="shared" si="106"/>
        <v>4400</v>
      </c>
      <c r="F536" s="2"/>
      <c r="G536" s="2"/>
      <c r="H536" s="2"/>
      <c r="I536" s="13">
        <v>2000</v>
      </c>
      <c r="J536" s="13">
        <f t="shared" si="107"/>
        <v>2200</v>
      </c>
      <c r="K536" s="13">
        <f t="shared" si="108"/>
        <v>2200</v>
      </c>
      <c r="L536" s="14">
        <f t="shared" si="109"/>
        <v>0.5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2">
        <v>6</v>
      </c>
      <c r="B537" s="10" t="s">
        <v>21</v>
      </c>
      <c r="C537" s="11" t="s">
        <v>46</v>
      </c>
      <c r="D537" s="13">
        <v>500</v>
      </c>
      <c r="E537" s="13">
        <f t="shared" si="106"/>
        <v>3000</v>
      </c>
      <c r="F537" s="2"/>
      <c r="G537" s="2"/>
      <c r="H537" s="2"/>
      <c r="I537" s="13">
        <f>7000/24</f>
        <v>291.66666666666669</v>
      </c>
      <c r="J537" s="13">
        <f t="shared" si="107"/>
        <v>1750</v>
      </c>
      <c r="K537" s="13">
        <f t="shared" si="108"/>
        <v>1250</v>
      </c>
      <c r="L537" s="14">
        <f t="shared" si="109"/>
        <v>0.41666666666666669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2"/>
      <c r="C538" s="4"/>
      <c r="D538" s="2"/>
      <c r="E538" s="2"/>
      <c r="F538" s="2"/>
      <c r="G538" s="4"/>
      <c r="H538" s="2"/>
      <c r="I538" s="2"/>
      <c r="J538" s="2"/>
      <c r="K538" s="2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2"/>
      <c r="C539" s="4"/>
      <c r="D539" s="2"/>
      <c r="E539" s="13">
        <f>SUM(E535:E537)</f>
        <v>33900</v>
      </c>
      <c r="F539" s="2"/>
      <c r="G539" s="2"/>
      <c r="H539" s="2"/>
      <c r="I539" s="2"/>
      <c r="J539" s="2"/>
      <c r="K539" s="13">
        <f>SUM(K535:K537)</f>
        <v>4950</v>
      </c>
      <c r="L539" s="14">
        <f>K539/E539</f>
        <v>0.14601769911504425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0"/>
      <c r="M540" s="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0"/>
      <c r="M541" s="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6" t="s">
        <v>119</v>
      </c>
      <c r="B542" s="1"/>
      <c r="C542" s="1"/>
      <c r="D542" s="22" t="s">
        <v>1049</v>
      </c>
      <c r="E542" s="8">
        <v>46129</v>
      </c>
      <c r="F542" s="24" t="s">
        <v>37</v>
      </c>
      <c r="G542" s="2"/>
      <c r="H542" s="2"/>
      <c r="I542" s="2"/>
      <c r="J542" s="2"/>
      <c r="K542" s="2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2"/>
      <c r="C543" s="4"/>
      <c r="D543" s="2"/>
      <c r="E543" s="2"/>
      <c r="F543" s="2"/>
      <c r="G543" s="2"/>
      <c r="H543" s="2"/>
      <c r="I543" s="2"/>
      <c r="J543" s="2"/>
      <c r="K543" s="2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6" t="s">
        <v>3</v>
      </c>
      <c r="B544" s="10" t="s">
        <v>4</v>
      </c>
      <c r="C544" s="11" t="s">
        <v>5</v>
      </c>
      <c r="D544" s="10" t="s">
        <v>6</v>
      </c>
      <c r="E544" s="10" t="s">
        <v>7</v>
      </c>
      <c r="F544" s="2"/>
      <c r="G544" s="2"/>
      <c r="H544" s="2"/>
      <c r="I544" s="10" t="s">
        <v>6</v>
      </c>
      <c r="J544" s="10" t="s">
        <v>7</v>
      </c>
      <c r="K544" s="10" t="s">
        <v>10</v>
      </c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2">
        <v>2</v>
      </c>
      <c r="B545" s="10" t="s">
        <v>21</v>
      </c>
      <c r="C545" s="11" t="s">
        <v>51</v>
      </c>
      <c r="D545" s="13">
        <v>1500</v>
      </c>
      <c r="E545" s="13">
        <f t="shared" ref="E545:E559" si="110">A545*D545</f>
        <v>3000</v>
      </c>
      <c r="F545" s="2"/>
      <c r="G545" s="2"/>
      <c r="H545" s="2"/>
      <c r="I545" s="13">
        <v>750</v>
      </c>
      <c r="J545" s="13">
        <f t="shared" ref="J545:J559" si="111">I545*A545</f>
        <v>1500</v>
      </c>
      <c r="K545" s="13">
        <f t="shared" ref="K545:K559" si="112">E545-J545</f>
        <v>1500</v>
      </c>
      <c r="L545" s="14">
        <f t="shared" ref="L545:L559" si="113">K545/E545</f>
        <v>0.5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2">
        <v>2</v>
      </c>
      <c r="B546" s="10" t="s">
        <v>17</v>
      </c>
      <c r="C546" s="11" t="s">
        <v>87</v>
      </c>
      <c r="D546" s="13">
        <v>3000</v>
      </c>
      <c r="E546" s="13">
        <f t="shared" si="110"/>
        <v>6000</v>
      </c>
      <c r="F546" s="2"/>
      <c r="G546" s="2"/>
      <c r="H546" s="2"/>
      <c r="I546" s="13">
        <v>1647.06</v>
      </c>
      <c r="J546" s="13">
        <f t="shared" si="111"/>
        <v>3294.12</v>
      </c>
      <c r="K546" s="13">
        <f t="shared" si="112"/>
        <v>2705.88</v>
      </c>
      <c r="L546" s="14">
        <f t="shared" si="113"/>
        <v>0.45097999999999999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2">
        <v>2</v>
      </c>
      <c r="B547" s="10" t="s">
        <v>17</v>
      </c>
      <c r="C547" s="11" t="s">
        <v>99</v>
      </c>
      <c r="D547" s="13">
        <v>1500</v>
      </c>
      <c r="E547" s="13">
        <f t="shared" si="110"/>
        <v>3000</v>
      </c>
      <c r="F547" s="2"/>
      <c r="G547" s="2"/>
      <c r="H547" s="2"/>
      <c r="I547" s="13">
        <v>700</v>
      </c>
      <c r="J547" s="13">
        <f t="shared" si="111"/>
        <v>1400</v>
      </c>
      <c r="K547" s="13">
        <f t="shared" si="112"/>
        <v>1600</v>
      </c>
      <c r="L547" s="14">
        <f t="shared" si="113"/>
        <v>0.53333333333333333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2">
        <v>1</v>
      </c>
      <c r="B548" s="10" t="s">
        <v>17</v>
      </c>
      <c r="C548" s="11" t="s">
        <v>55</v>
      </c>
      <c r="D548" s="13">
        <v>21000</v>
      </c>
      <c r="E548" s="13">
        <f t="shared" si="110"/>
        <v>21000</v>
      </c>
      <c r="F548" s="2"/>
      <c r="G548" s="2"/>
      <c r="H548" s="2"/>
      <c r="I548" s="13">
        <v>16000</v>
      </c>
      <c r="J548" s="13">
        <f t="shared" si="111"/>
        <v>16000</v>
      </c>
      <c r="K548" s="13">
        <f t="shared" si="112"/>
        <v>5000</v>
      </c>
      <c r="L548" s="14">
        <f t="shared" si="113"/>
        <v>0.23809523809523808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2">
        <v>2</v>
      </c>
      <c r="B549" s="10" t="s">
        <v>17</v>
      </c>
      <c r="C549" s="11" t="s">
        <v>89</v>
      </c>
      <c r="D549" s="13">
        <v>12500</v>
      </c>
      <c r="E549" s="13">
        <f t="shared" si="110"/>
        <v>25000</v>
      </c>
      <c r="F549" s="2"/>
      <c r="G549" s="2"/>
      <c r="H549" s="2"/>
      <c r="I549" s="13">
        <f>45000/4</f>
        <v>11250</v>
      </c>
      <c r="J549" s="13">
        <f t="shared" si="111"/>
        <v>22500</v>
      </c>
      <c r="K549" s="13">
        <f t="shared" si="112"/>
        <v>2500</v>
      </c>
      <c r="L549" s="14">
        <f t="shared" si="113"/>
        <v>0.1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2">
        <v>2</v>
      </c>
      <c r="B550" s="10" t="s">
        <v>23</v>
      </c>
      <c r="C550" s="11" t="s">
        <v>85</v>
      </c>
      <c r="D550" s="13">
        <v>55000</v>
      </c>
      <c r="E550" s="13">
        <f t="shared" si="110"/>
        <v>110000</v>
      </c>
      <c r="F550" s="2"/>
      <c r="G550" s="2"/>
      <c r="H550" s="2"/>
      <c r="I550" s="13">
        <v>50000</v>
      </c>
      <c r="J550" s="13">
        <f t="shared" si="111"/>
        <v>100000</v>
      </c>
      <c r="K550" s="13">
        <f t="shared" si="112"/>
        <v>10000</v>
      </c>
      <c r="L550" s="14">
        <f t="shared" si="113"/>
        <v>9.0909090909090912E-2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2">
        <v>1</v>
      </c>
      <c r="B551" s="10" t="s">
        <v>23</v>
      </c>
      <c r="C551" s="11" t="s">
        <v>88</v>
      </c>
      <c r="D551" s="13">
        <v>26000</v>
      </c>
      <c r="E551" s="13">
        <f t="shared" si="110"/>
        <v>26000</v>
      </c>
      <c r="F551" s="2"/>
      <c r="G551" s="2"/>
      <c r="H551" s="2"/>
      <c r="I551" s="13">
        <v>18000</v>
      </c>
      <c r="J551" s="13">
        <f t="shared" si="111"/>
        <v>18000</v>
      </c>
      <c r="K551" s="13">
        <f t="shared" si="112"/>
        <v>8000</v>
      </c>
      <c r="L551" s="14">
        <f t="shared" si="113"/>
        <v>0.30769230769230771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2">
        <v>1</v>
      </c>
      <c r="B552" s="10" t="s">
        <v>17</v>
      </c>
      <c r="C552" s="11" t="s">
        <v>31</v>
      </c>
      <c r="D552" s="13">
        <v>3000</v>
      </c>
      <c r="E552" s="13">
        <f t="shared" si="110"/>
        <v>3000</v>
      </c>
      <c r="F552" s="2"/>
      <c r="G552" s="2"/>
      <c r="H552" s="2"/>
      <c r="I552" s="13">
        <f>15000/7</f>
        <v>2142.8571428571427</v>
      </c>
      <c r="J552" s="13">
        <f t="shared" si="111"/>
        <v>2142.8571428571427</v>
      </c>
      <c r="K552" s="13">
        <f t="shared" si="112"/>
        <v>857.14285714285734</v>
      </c>
      <c r="L552" s="14">
        <f t="shared" si="113"/>
        <v>0.28571428571428575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2">
        <v>1</v>
      </c>
      <c r="B553" s="10" t="s">
        <v>17</v>
      </c>
      <c r="C553" s="11" t="s">
        <v>32</v>
      </c>
      <c r="D553" s="13">
        <v>2600</v>
      </c>
      <c r="E553" s="13">
        <f t="shared" si="110"/>
        <v>2600</v>
      </c>
      <c r="F553" s="2"/>
      <c r="G553" s="2"/>
      <c r="H553" s="2"/>
      <c r="I553" s="13">
        <f>10000/7</f>
        <v>1428.5714285714287</v>
      </c>
      <c r="J553" s="13">
        <f t="shared" si="111"/>
        <v>1428.5714285714287</v>
      </c>
      <c r="K553" s="13">
        <f t="shared" si="112"/>
        <v>1171.4285714285713</v>
      </c>
      <c r="L553" s="14">
        <f t="shared" si="113"/>
        <v>0.4505494505494505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2">
        <v>1</v>
      </c>
      <c r="B554" s="10" t="s">
        <v>23</v>
      </c>
      <c r="C554" s="11" t="s">
        <v>26</v>
      </c>
      <c r="D554" s="13">
        <v>22000</v>
      </c>
      <c r="E554" s="13">
        <f t="shared" si="110"/>
        <v>22000</v>
      </c>
      <c r="F554" s="2"/>
      <c r="G554" s="2"/>
      <c r="H554" s="2"/>
      <c r="I554" s="13">
        <v>17000</v>
      </c>
      <c r="J554" s="13">
        <f t="shared" si="111"/>
        <v>17000</v>
      </c>
      <c r="K554" s="13">
        <f t="shared" si="112"/>
        <v>5000</v>
      </c>
      <c r="L554" s="14">
        <f t="shared" si="113"/>
        <v>0.22727272727272727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2">
        <v>15</v>
      </c>
      <c r="B555" s="10" t="s">
        <v>4</v>
      </c>
      <c r="C555" s="11" t="s">
        <v>65</v>
      </c>
      <c r="D555" s="13">
        <v>1000</v>
      </c>
      <c r="E555" s="13">
        <f t="shared" si="110"/>
        <v>15000</v>
      </c>
      <c r="F555" s="2"/>
      <c r="G555" s="2"/>
      <c r="H555" s="2"/>
      <c r="I555" s="13">
        <f>20000/50</f>
        <v>400</v>
      </c>
      <c r="J555" s="13">
        <f t="shared" si="111"/>
        <v>6000</v>
      </c>
      <c r="K555" s="13">
        <f t="shared" si="112"/>
        <v>9000</v>
      </c>
      <c r="L555" s="14">
        <f t="shared" si="113"/>
        <v>0.6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2">
        <v>1</v>
      </c>
      <c r="B556" s="10" t="s">
        <v>17</v>
      </c>
      <c r="C556" s="11" t="s">
        <v>1109</v>
      </c>
      <c r="D556" s="13">
        <v>3000</v>
      </c>
      <c r="E556" s="13">
        <f t="shared" si="110"/>
        <v>3000</v>
      </c>
      <c r="F556" s="2"/>
      <c r="G556" s="2"/>
      <c r="H556" s="2"/>
      <c r="I556" s="13">
        <f>32000/17</f>
        <v>1882.3529411764705</v>
      </c>
      <c r="J556" s="13">
        <f t="shared" si="111"/>
        <v>1882.3529411764705</v>
      </c>
      <c r="K556" s="13">
        <f t="shared" si="112"/>
        <v>1117.6470588235295</v>
      </c>
      <c r="L556" s="14">
        <f t="shared" si="113"/>
        <v>0.37254901960784315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2">
        <v>0.5</v>
      </c>
      <c r="B557" s="10" t="s">
        <v>23</v>
      </c>
      <c r="C557" s="11" t="s">
        <v>81</v>
      </c>
      <c r="D557" s="13">
        <v>16000</v>
      </c>
      <c r="E557" s="13">
        <f t="shared" si="110"/>
        <v>8000</v>
      </c>
      <c r="F557" s="2"/>
      <c r="G557" s="2"/>
      <c r="H557" s="2"/>
      <c r="I557" s="13">
        <v>8000</v>
      </c>
      <c r="J557" s="13">
        <f t="shared" si="111"/>
        <v>4000</v>
      </c>
      <c r="K557" s="13">
        <f t="shared" si="112"/>
        <v>4000</v>
      </c>
      <c r="L557" s="14">
        <f t="shared" si="113"/>
        <v>0.5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2">
        <v>1</v>
      </c>
      <c r="B558" s="10" t="s">
        <v>17</v>
      </c>
      <c r="C558" s="11" t="s">
        <v>162</v>
      </c>
      <c r="D558" s="13">
        <v>4000</v>
      </c>
      <c r="E558" s="13">
        <f t="shared" si="110"/>
        <v>4000</v>
      </c>
      <c r="F558" s="2"/>
      <c r="G558" s="2"/>
      <c r="H558" s="2"/>
      <c r="I558" s="13">
        <v>3000</v>
      </c>
      <c r="J558" s="13">
        <f t="shared" si="111"/>
        <v>3000</v>
      </c>
      <c r="K558" s="13">
        <f t="shared" si="112"/>
        <v>1000</v>
      </c>
      <c r="L558" s="14">
        <f t="shared" si="113"/>
        <v>0.25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2">
        <v>1.7</v>
      </c>
      <c r="B559" s="10" t="s">
        <v>17</v>
      </c>
      <c r="C559" s="11" t="s">
        <v>16</v>
      </c>
      <c r="D559" s="13">
        <v>1000</v>
      </c>
      <c r="E559" s="13">
        <f t="shared" si="110"/>
        <v>1700</v>
      </c>
      <c r="F559" s="2"/>
      <c r="G559" s="2"/>
      <c r="H559" s="2"/>
      <c r="I559" s="13">
        <f>8000/15</f>
        <v>533.33333333333337</v>
      </c>
      <c r="J559" s="13">
        <f t="shared" si="111"/>
        <v>906.66666666666674</v>
      </c>
      <c r="K559" s="13">
        <f t="shared" si="112"/>
        <v>793.33333333333326</v>
      </c>
      <c r="L559" s="14">
        <f t="shared" si="113"/>
        <v>0.46666666666666662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"/>
      <c r="B560" s="2"/>
      <c r="C560" s="4"/>
      <c r="D560" s="2"/>
      <c r="E560" s="2"/>
      <c r="F560" s="2"/>
      <c r="G560" s="4"/>
      <c r="H560" s="2"/>
      <c r="I560" s="2"/>
      <c r="J560" s="2"/>
      <c r="K560" s="2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2"/>
      <c r="C561" s="4"/>
      <c r="D561" s="2"/>
      <c r="E561" s="13">
        <f>SUM(E545:E559)</f>
        <v>253300</v>
      </c>
      <c r="F561" s="2"/>
      <c r="G561" s="2"/>
      <c r="H561" s="2"/>
      <c r="I561" s="2"/>
      <c r="J561" s="2"/>
      <c r="K561" s="13">
        <f>SUM(K545:K559)</f>
        <v>54245.431820728299</v>
      </c>
      <c r="L561" s="14">
        <f>K561/E561</f>
        <v>0.21415488282956296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0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0"/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6" t="s">
        <v>121</v>
      </c>
      <c r="B564" s="1"/>
      <c r="C564" s="1"/>
      <c r="D564" s="22" t="s">
        <v>69</v>
      </c>
      <c r="E564" s="8">
        <v>46129</v>
      </c>
      <c r="F564" s="24" t="s">
        <v>37</v>
      </c>
      <c r="G564" s="2"/>
      <c r="H564" s="2"/>
      <c r="I564" s="2"/>
      <c r="J564" s="2"/>
      <c r="K564" s="2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2"/>
      <c r="C565" s="4"/>
      <c r="D565" s="2"/>
      <c r="E565" s="2"/>
      <c r="F565" s="2"/>
      <c r="G565" s="2"/>
      <c r="H565" s="2"/>
      <c r="I565" s="2"/>
      <c r="J565" s="2"/>
      <c r="K565" s="2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6" t="s">
        <v>3</v>
      </c>
      <c r="B566" s="10" t="s">
        <v>4</v>
      </c>
      <c r="C566" s="11" t="s">
        <v>5</v>
      </c>
      <c r="D566" s="10" t="s">
        <v>6</v>
      </c>
      <c r="E566" s="10" t="s">
        <v>7</v>
      </c>
      <c r="F566" s="2"/>
      <c r="G566" s="2"/>
      <c r="H566" s="2"/>
      <c r="I566" s="10" t="s">
        <v>6</v>
      </c>
      <c r="J566" s="10" t="s">
        <v>7</v>
      </c>
      <c r="K566" s="10" t="s">
        <v>10</v>
      </c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2">
        <v>2</v>
      </c>
      <c r="B567" s="10" t="s">
        <v>17</v>
      </c>
      <c r="C567" s="11" t="s">
        <v>87</v>
      </c>
      <c r="D567" s="13">
        <v>3000</v>
      </c>
      <c r="E567" s="13">
        <f t="shared" ref="E567:E577" si="114">A567*D567</f>
        <v>6000</v>
      </c>
      <c r="F567" s="2"/>
      <c r="G567" s="2"/>
      <c r="H567" s="2"/>
      <c r="I567" s="13">
        <f>28000/17</f>
        <v>1647.0588235294117</v>
      </c>
      <c r="J567" s="13">
        <f t="shared" ref="J567:J577" si="115">I567*A567</f>
        <v>3294.1176470588234</v>
      </c>
      <c r="K567" s="13">
        <f t="shared" ref="K567:K577" si="116">E567-J567</f>
        <v>2705.8823529411766</v>
      </c>
      <c r="L567" s="14">
        <f t="shared" ref="L567:L577" si="117">K567/E567</f>
        <v>0.45098039215686275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2">
        <v>1</v>
      </c>
      <c r="B568" s="10" t="s">
        <v>17</v>
      </c>
      <c r="C568" s="11" t="s">
        <v>77</v>
      </c>
      <c r="D568" s="13">
        <v>2800</v>
      </c>
      <c r="E568" s="13">
        <f t="shared" si="114"/>
        <v>2800</v>
      </c>
      <c r="F568" s="2"/>
      <c r="G568" s="2"/>
      <c r="H568" s="2"/>
      <c r="I568" s="13">
        <f>23000/11</f>
        <v>2090.909090909091</v>
      </c>
      <c r="J568" s="13">
        <f t="shared" si="115"/>
        <v>2090.909090909091</v>
      </c>
      <c r="K568" s="13">
        <f t="shared" si="116"/>
        <v>709.09090909090901</v>
      </c>
      <c r="L568" s="14">
        <f t="shared" si="117"/>
        <v>0.25324675324675322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2">
        <v>1</v>
      </c>
      <c r="B569" s="10" t="s">
        <v>17</v>
      </c>
      <c r="C569" s="11" t="s">
        <v>56</v>
      </c>
      <c r="D569" s="13">
        <v>1200</v>
      </c>
      <c r="E569" s="13">
        <f t="shared" si="114"/>
        <v>1200</v>
      </c>
      <c r="F569" s="2"/>
      <c r="G569" s="2"/>
      <c r="H569" s="2"/>
      <c r="I569" s="13">
        <f>13000/16</f>
        <v>812.5</v>
      </c>
      <c r="J569" s="13">
        <f t="shared" si="115"/>
        <v>812.5</v>
      </c>
      <c r="K569" s="13">
        <f t="shared" si="116"/>
        <v>387.5</v>
      </c>
      <c r="L569" s="14">
        <f t="shared" si="117"/>
        <v>0.32291666666666669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2">
        <v>0.5</v>
      </c>
      <c r="B570" s="10" t="s">
        <v>17</v>
      </c>
      <c r="C570" s="11" t="s">
        <v>55</v>
      </c>
      <c r="D570" s="13">
        <v>21000</v>
      </c>
      <c r="E570" s="13">
        <f t="shared" si="114"/>
        <v>10500</v>
      </c>
      <c r="F570" s="2"/>
      <c r="G570" s="2"/>
      <c r="H570" s="2"/>
      <c r="I570" s="13">
        <v>16000</v>
      </c>
      <c r="J570" s="13">
        <f t="shared" si="115"/>
        <v>8000</v>
      </c>
      <c r="K570" s="13">
        <f t="shared" si="116"/>
        <v>2500</v>
      </c>
      <c r="L570" s="14">
        <f t="shared" si="117"/>
        <v>0.23809523809523808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2">
        <v>1</v>
      </c>
      <c r="B571" s="10" t="s">
        <v>17</v>
      </c>
      <c r="C571" s="11" t="s">
        <v>89</v>
      </c>
      <c r="D571" s="13">
        <v>12500</v>
      </c>
      <c r="E571" s="13">
        <f t="shared" si="114"/>
        <v>12500</v>
      </c>
      <c r="F571" s="2"/>
      <c r="G571" s="2"/>
      <c r="H571" s="2"/>
      <c r="I571" s="13">
        <f>45000/4</f>
        <v>11250</v>
      </c>
      <c r="J571" s="13">
        <f t="shared" si="115"/>
        <v>11250</v>
      </c>
      <c r="K571" s="13">
        <f t="shared" si="116"/>
        <v>1250</v>
      </c>
      <c r="L571" s="14">
        <f t="shared" si="117"/>
        <v>0.1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2">
        <v>0.3</v>
      </c>
      <c r="B572" s="10" t="s">
        <v>17</v>
      </c>
      <c r="C572" s="11" t="s">
        <v>111</v>
      </c>
      <c r="D572" s="13">
        <v>11000</v>
      </c>
      <c r="E572" s="13">
        <f t="shared" si="114"/>
        <v>3300</v>
      </c>
      <c r="F572" s="2"/>
      <c r="G572" s="2"/>
      <c r="H572" s="2"/>
      <c r="I572" s="13">
        <v>7000</v>
      </c>
      <c r="J572" s="13">
        <f t="shared" si="115"/>
        <v>2100</v>
      </c>
      <c r="K572" s="13">
        <f t="shared" si="116"/>
        <v>1200</v>
      </c>
      <c r="L572" s="14">
        <f t="shared" si="117"/>
        <v>0.36363636363636365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2">
        <v>1</v>
      </c>
      <c r="B573" s="10" t="s">
        <v>17</v>
      </c>
      <c r="C573" s="11" t="s">
        <v>113</v>
      </c>
      <c r="D573" s="13">
        <v>4000</v>
      </c>
      <c r="E573" s="13">
        <f t="shared" si="114"/>
        <v>4000</v>
      </c>
      <c r="F573" s="2"/>
      <c r="G573" s="2"/>
      <c r="H573" s="2"/>
      <c r="I573" s="13">
        <v>2000</v>
      </c>
      <c r="J573" s="13">
        <f t="shared" si="115"/>
        <v>2000</v>
      </c>
      <c r="K573" s="13">
        <f t="shared" si="116"/>
        <v>2000</v>
      </c>
      <c r="L573" s="14">
        <f t="shared" si="117"/>
        <v>0.5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2">
        <v>1</v>
      </c>
      <c r="B574" s="10" t="s">
        <v>23</v>
      </c>
      <c r="C574" s="11" t="s">
        <v>26</v>
      </c>
      <c r="D574" s="13">
        <v>22000</v>
      </c>
      <c r="E574" s="13">
        <f t="shared" si="114"/>
        <v>22000</v>
      </c>
      <c r="F574" s="2"/>
      <c r="G574" s="2"/>
      <c r="H574" s="2"/>
      <c r="I574" s="13">
        <v>17000</v>
      </c>
      <c r="J574" s="13">
        <f t="shared" si="115"/>
        <v>17000</v>
      </c>
      <c r="K574" s="13">
        <f t="shared" si="116"/>
        <v>5000</v>
      </c>
      <c r="L574" s="14">
        <f t="shared" si="117"/>
        <v>0.22727272727272727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2">
        <v>12</v>
      </c>
      <c r="B575" s="10" t="s">
        <v>4</v>
      </c>
      <c r="C575" s="11" t="s">
        <v>65</v>
      </c>
      <c r="D575" s="13">
        <v>1000</v>
      </c>
      <c r="E575" s="13">
        <f t="shared" si="114"/>
        <v>12000</v>
      </c>
      <c r="F575" s="2"/>
      <c r="G575" s="2"/>
      <c r="H575" s="2"/>
      <c r="I575" s="13">
        <f>20000/50</f>
        <v>400</v>
      </c>
      <c r="J575" s="13">
        <f t="shared" si="115"/>
        <v>4800</v>
      </c>
      <c r="K575" s="13">
        <f t="shared" si="116"/>
        <v>7200</v>
      </c>
      <c r="L575" s="14">
        <f t="shared" si="117"/>
        <v>0.6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2">
        <v>3</v>
      </c>
      <c r="B576" s="10" t="s">
        <v>21</v>
      </c>
      <c r="C576" s="11" t="s">
        <v>1078</v>
      </c>
      <c r="D576" s="13">
        <v>1000</v>
      </c>
      <c r="E576" s="13">
        <f t="shared" si="114"/>
        <v>3000</v>
      </c>
      <c r="F576" s="2"/>
      <c r="G576" s="2"/>
      <c r="H576" s="2"/>
      <c r="I576" s="13">
        <v>333</v>
      </c>
      <c r="J576" s="13">
        <f t="shared" si="115"/>
        <v>999</v>
      </c>
      <c r="K576" s="13">
        <f t="shared" si="116"/>
        <v>2001</v>
      </c>
      <c r="L576" s="14">
        <f t="shared" si="117"/>
        <v>0.66700000000000004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2">
        <v>1</v>
      </c>
      <c r="B577" s="10" t="s">
        <v>21</v>
      </c>
      <c r="C577" s="11" t="s">
        <v>1041</v>
      </c>
      <c r="D577" s="13">
        <v>3000</v>
      </c>
      <c r="E577" s="13">
        <f t="shared" si="114"/>
        <v>3000</v>
      </c>
      <c r="F577" s="2"/>
      <c r="G577" s="2"/>
      <c r="H577" s="2"/>
      <c r="I577" s="13">
        <v>2000</v>
      </c>
      <c r="J577" s="13">
        <f t="shared" si="115"/>
        <v>2000</v>
      </c>
      <c r="K577" s="13">
        <f t="shared" si="116"/>
        <v>1000</v>
      </c>
      <c r="L577" s="14">
        <f t="shared" si="117"/>
        <v>0.33333333333333331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"/>
      <c r="B578" s="2"/>
      <c r="C578" s="4"/>
      <c r="D578" s="2"/>
      <c r="E578" s="2"/>
      <c r="F578" s="2"/>
      <c r="G578" s="4"/>
      <c r="H578" s="2"/>
      <c r="I578" s="2"/>
      <c r="J578" s="2"/>
      <c r="K578" s="2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"/>
      <c r="B579" s="2"/>
      <c r="C579" s="4"/>
      <c r="D579" s="2"/>
      <c r="E579" s="13">
        <f>SUM(E567:E577)</f>
        <v>80300</v>
      </c>
      <c r="F579" s="2"/>
      <c r="G579" s="2"/>
      <c r="H579" s="2"/>
      <c r="I579" s="2"/>
      <c r="J579" s="2"/>
      <c r="K579" s="13">
        <f>SUM(K567:K577)</f>
        <v>25953.473262032086</v>
      </c>
      <c r="L579" s="14">
        <f>K579/E579</f>
        <v>0.32320639180612809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0"/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0"/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0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6" t="s">
        <v>108</v>
      </c>
      <c r="B583" s="1"/>
      <c r="C583" s="1"/>
      <c r="D583" s="22" t="s">
        <v>1088</v>
      </c>
      <c r="E583" s="8">
        <v>46129</v>
      </c>
      <c r="F583" s="24" t="s">
        <v>37</v>
      </c>
      <c r="G583" s="2"/>
      <c r="H583" s="2"/>
      <c r="I583" s="2"/>
      <c r="J583" s="2"/>
      <c r="K583" s="2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2"/>
      <c r="C584" s="4"/>
      <c r="D584" s="2"/>
      <c r="E584" s="2"/>
      <c r="F584" s="2"/>
      <c r="G584" s="2"/>
      <c r="H584" s="2"/>
      <c r="I584" s="2"/>
      <c r="J584" s="2"/>
      <c r="K584" s="2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6" t="s">
        <v>3</v>
      </c>
      <c r="B585" s="10" t="s">
        <v>4</v>
      </c>
      <c r="C585" s="11" t="s">
        <v>5</v>
      </c>
      <c r="D585" s="10" t="s">
        <v>6</v>
      </c>
      <c r="E585" s="10" t="s">
        <v>7</v>
      </c>
      <c r="F585" s="2"/>
      <c r="G585" s="2"/>
      <c r="H585" s="2"/>
      <c r="I585" s="10" t="s">
        <v>6</v>
      </c>
      <c r="J585" s="10" t="s">
        <v>7</v>
      </c>
      <c r="K585" s="10" t="s">
        <v>10</v>
      </c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2">
        <v>2</v>
      </c>
      <c r="B586" s="10" t="s">
        <v>23</v>
      </c>
      <c r="C586" s="11" t="s">
        <v>26</v>
      </c>
      <c r="D586" s="13">
        <v>22000</v>
      </c>
      <c r="E586" s="13">
        <f t="shared" ref="E586:E589" si="118">A586*D586</f>
        <v>44000</v>
      </c>
      <c r="F586" s="2"/>
      <c r="G586" s="2"/>
      <c r="H586" s="2"/>
      <c r="I586" s="13">
        <v>17000</v>
      </c>
      <c r="J586" s="13">
        <f t="shared" ref="J586:J589" si="119">I586*A586</f>
        <v>34000</v>
      </c>
      <c r="K586" s="13">
        <f t="shared" ref="K586:K589" si="120">E586-J586</f>
        <v>10000</v>
      </c>
      <c r="L586" s="14">
        <f t="shared" ref="L586:L589" si="121">K586/E586</f>
        <v>0.22727272727272727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2">
        <v>1</v>
      </c>
      <c r="B587" s="10" t="s">
        <v>23</v>
      </c>
      <c r="C587" s="11" t="s">
        <v>39</v>
      </c>
      <c r="D587" s="13">
        <v>16000</v>
      </c>
      <c r="E587" s="13">
        <f t="shared" si="118"/>
        <v>16000</v>
      </c>
      <c r="F587" s="2"/>
      <c r="G587" s="2"/>
      <c r="H587" s="2"/>
      <c r="I587" s="13">
        <v>14000</v>
      </c>
      <c r="J587" s="13">
        <f t="shared" si="119"/>
        <v>14000</v>
      </c>
      <c r="K587" s="13">
        <f t="shared" si="120"/>
        <v>2000</v>
      </c>
      <c r="L587" s="14">
        <f t="shared" si="121"/>
        <v>0.125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2">
        <v>1</v>
      </c>
      <c r="B588" s="10" t="s">
        <v>21</v>
      </c>
      <c r="C588" s="11" t="s">
        <v>29</v>
      </c>
      <c r="D588" s="13">
        <v>3000</v>
      </c>
      <c r="E588" s="13">
        <f t="shared" si="118"/>
        <v>3000</v>
      </c>
      <c r="F588" s="2"/>
      <c r="G588" s="2"/>
      <c r="H588" s="2"/>
      <c r="I588" s="13">
        <v>1000</v>
      </c>
      <c r="J588" s="13">
        <f t="shared" si="119"/>
        <v>1000</v>
      </c>
      <c r="K588" s="13">
        <f t="shared" si="120"/>
        <v>2000</v>
      </c>
      <c r="L588" s="14">
        <f t="shared" si="121"/>
        <v>0.66666666666666663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2">
        <v>1</v>
      </c>
      <c r="B589" s="10" t="s">
        <v>86</v>
      </c>
      <c r="C589" s="11" t="s">
        <v>65</v>
      </c>
      <c r="D589" s="13">
        <v>40000</v>
      </c>
      <c r="E589" s="13">
        <f t="shared" si="118"/>
        <v>40000</v>
      </c>
      <c r="F589" s="2"/>
      <c r="G589" s="2"/>
      <c r="H589" s="2"/>
      <c r="I589" s="13">
        <v>20000</v>
      </c>
      <c r="J589" s="13">
        <f t="shared" si="119"/>
        <v>20000</v>
      </c>
      <c r="K589" s="13">
        <f t="shared" si="120"/>
        <v>20000</v>
      </c>
      <c r="L589" s="14">
        <f t="shared" si="121"/>
        <v>0.5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"/>
      <c r="B590" s="2"/>
      <c r="C590" s="4"/>
      <c r="D590" s="2"/>
      <c r="E590" s="2"/>
      <c r="F590" s="2"/>
      <c r="G590" s="4"/>
      <c r="H590" s="2"/>
      <c r="I590" s="2"/>
      <c r="J590" s="2"/>
      <c r="K590" s="2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"/>
      <c r="B591" s="2"/>
      <c r="C591" s="4"/>
      <c r="D591" s="2"/>
      <c r="E591" s="13">
        <f>SUM(E586:E589)</f>
        <v>103000</v>
      </c>
      <c r="F591" s="2"/>
      <c r="G591" s="2"/>
      <c r="H591" s="2"/>
      <c r="I591" s="2"/>
      <c r="J591" s="2"/>
      <c r="K591" s="13">
        <f>SUM(K586:K589)</f>
        <v>34000</v>
      </c>
      <c r="L591" s="14">
        <f>K591/E591</f>
        <v>0.3300970873786408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0"/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0"/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88" t="s">
        <v>68</v>
      </c>
      <c r="B594" s="89"/>
      <c r="C594" s="89"/>
      <c r="D594" s="2"/>
      <c r="E594" s="7" t="s">
        <v>179</v>
      </c>
      <c r="F594" s="8">
        <v>46129</v>
      </c>
      <c r="G594" s="2"/>
      <c r="H594" s="2"/>
      <c r="I594" s="91" t="s">
        <v>2</v>
      </c>
      <c r="J594" s="89"/>
      <c r="K594" s="89"/>
      <c r="L594" s="3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3"/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6" t="s">
        <v>3</v>
      </c>
      <c r="B596" s="10" t="s">
        <v>4</v>
      </c>
      <c r="C596" s="11" t="s">
        <v>5</v>
      </c>
      <c r="D596" s="10" t="s">
        <v>6</v>
      </c>
      <c r="E596" s="10" t="s">
        <v>7</v>
      </c>
      <c r="F596" s="10" t="s">
        <v>8</v>
      </c>
      <c r="G596" s="2"/>
      <c r="H596" s="2"/>
      <c r="I596" s="10" t="s">
        <v>9</v>
      </c>
      <c r="J596" s="10" t="s">
        <v>7</v>
      </c>
      <c r="K596" s="10" t="s">
        <v>10</v>
      </c>
      <c r="L596" s="3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2">
        <v>2</v>
      </c>
      <c r="B597" s="10" t="s">
        <v>15</v>
      </c>
      <c r="C597" s="11" t="s">
        <v>27</v>
      </c>
      <c r="D597" s="13">
        <v>25000</v>
      </c>
      <c r="E597" s="13">
        <f t="shared" ref="E597:E620" si="122">A597*D597</f>
        <v>50000</v>
      </c>
      <c r="F597" s="13">
        <f t="shared" ref="F597:F620" si="123">E597*1.105</f>
        <v>55250</v>
      </c>
      <c r="G597" s="2"/>
      <c r="H597" s="2"/>
      <c r="I597" s="13">
        <v>18000</v>
      </c>
      <c r="J597" s="13">
        <f t="shared" ref="J597:J620" si="124">I597*A597</f>
        <v>36000</v>
      </c>
      <c r="K597" s="13">
        <f t="shared" ref="K597:K620" si="125">F597-J597</f>
        <v>19250</v>
      </c>
      <c r="L597" s="14">
        <f t="shared" ref="L597:L620" si="126">IFERROR(K597/E597, 0)</f>
        <v>0.38500000000000001</v>
      </c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2">
        <v>1</v>
      </c>
      <c r="B598" s="10" t="s">
        <v>15</v>
      </c>
      <c r="C598" s="11" t="s">
        <v>40</v>
      </c>
      <c r="D598" s="13">
        <v>12000</v>
      </c>
      <c r="E598" s="13">
        <f t="shared" si="122"/>
        <v>12000</v>
      </c>
      <c r="F598" s="13">
        <f t="shared" si="123"/>
        <v>13260</v>
      </c>
      <c r="G598" s="2"/>
      <c r="H598" s="2"/>
      <c r="I598" s="13">
        <v>7000</v>
      </c>
      <c r="J598" s="13">
        <f t="shared" si="124"/>
        <v>7000</v>
      </c>
      <c r="K598" s="13">
        <f t="shared" si="125"/>
        <v>6260</v>
      </c>
      <c r="L598" s="14">
        <f t="shared" si="126"/>
        <v>0.52166666666666661</v>
      </c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2">
        <v>20</v>
      </c>
      <c r="B599" s="10" t="s">
        <v>4</v>
      </c>
      <c r="C599" s="11" t="s">
        <v>20</v>
      </c>
      <c r="D599" s="13">
        <v>500</v>
      </c>
      <c r="E599" s="13">
        <f t="shared" si="122"/>
        <v>10000</v>
      </c>
      <c r="F599" s="13">
        <f t="shared" si="123"/>
        <v>11050</v>
      </c>
      <c r="G599" s="2"/>
      <c r="H599" s="2"/>
      <c r="I599" s="13">
        <f>85000/242</f>
        <v>351.23966942148758</v>
      </c>
      <c r="J599" s="13">
        <f t="shared" si="124"/>
        <v>7024.7933884297518</v>
      </c>
      <c r="K599" s="13">
        <f t="shared" si="125"/>
        <v>4025.2066115702482</v>
      </c>
      <c r="L599" s="14">
        <f t="shared" si="126"/>
        <v>0.40252066115702484</v>
      </c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2">
        <v>2</v>
      </c>
      <c r="B600" s="10" t="s">
        <v>4</v>
      </c>
      <c r="C600" s="11" t="s">
        <v>41</v>
      </c>
      <c r="D600" s="13">
        <v>2600</v>
      </c>
      <c r="E600" s="13">
        <f t="shared" si="122"/>
        <v>5200</v>
      </c>
      <c r="F600" s="13">
        <f t="shared" si="123"/>
        <v>5746</v>
      </c>
      <c r="G600" s="2"/>
      <c r="H600" s="2"/>
      <c r="I600" s="13">
        <v>1900</v>
      </c>
      <c r="J600" s="13">
        <f t="shared" si="124"/>
        <v>3800</v>
      </c>
      <c r="K600" s="13">
        <f t="shared" si="125"/>
        <v>1946</v>
      </c>
      <c r="L600" s="14">
        <f t="shared" si="126"/>
        <v>0.37423076923076926</v>
      </c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2">
        <v>1</v>
      </c>
      <c r="B601" s="10" t="s">
        <v>21</v>
      </c>
      <c r="C601" s="11" t="s">
        <v>28</v>
      </c>
      <c r="D601" s="13">
        <v>3000</v>
      </c>
      <c r="E601" s="13">
        <f t="shared" si="122"/>
        <v>3000</v>
      </c>
      <c r="F601" s="13">
        <f t="shared" si="123"/>
        <v>3315</v>
      </c>
      <c r="G601" s="2"/>
      <c r="H601" s="2"/>
      <c r="I601" s="13">
        <v>2500</v>
      </c>
      <c r="J601" s="13">
        <f t="shared" si="124"/>
        <v>2500</v>
      </c>
      <c r="K601" s="13">
        <f t="shared" si="125"/>
        <v>815</v>
      </c>
      <c r="L601" s="14">
        <f t="shared" si="126"/>
        <v>0.27166666666666667</v>
      </c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2">
        <v>10</v>
      </c>
      <c r="B602" s="10" t="s">
        <v>21</v>
      </c>
      <c r="C602" s="34" t="s">
        <v>22</v>
      </c>
      <c r="D602" s="13">
        <v>1700</v>
      </c>
      <c r="E602" s="13">
        <f t="shared" si="122"/>
        <v>17000</v>
      </c>
      <c r="F602" s="13">
        <f t="shared" si="123"/>
        <v>18785</v>
      </c>
      <c r="G602" s="2"/>
      <c r="H602" s="2"/>
      <c r="I602" s="13">
        <v>1400</v>
      </c>
      <c r="J602" s="13">
        <f t="shared" si="124"/>
        <v>14000</v>
      </c>
      <c r="K602" s="13">
        <f t="shared" si="125"/>
        <v>4785</v>
      </c>
      <c r="L602" s="14">
        <f t="shared" si="126"/>
        <v>0.28147058823529414</v>
      </c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2">
        <v>2</v>
      </c>
      <c r="B603" s="10" t="s">
        <v>21</v>
      </c>
      <c r="C603" s="11" t="s">
        <v>51</v>
      </c>
      <c r="D603" s="13">
        <v>1500</v>
      </c>
      <c r="E603" s="13">
        <f t="shared" si="122"/>
        <v>3000</v>
      </c>
      <c r="F603" s="13">
        <f t="shared" si="123"/>
        <v>3315</v>
      </c>
      <c r="G603" s="2"/>
      <c r="H603" s="2"/>
      <c r="I603" s="13">
        <v>750</v>
      </c>
      <c r="J603" s="13">
        <f t="shared" si="124"/>
        <v>1500</v>
      </c>
      <c r="K603" s="13">
        <f t="shared" si="125"/>
        <v>1815</v>
      </c>
      <c r="L603" s="14">
        <f t="shared" si="126"/>
        <v>0.60499999999999998</v>
      </c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2">
        <v>10</v>
      </c>
      <c r="B604" s="10" t="s">
        <v>17</v>
      </c>
      <c r="C604" s="11" t="s">
        <v>39</v>
      </c>
      <c r="D604" s="13">
        <v>1600</v>
      </c>
      <c r="E604" s="13">
        <f t="shared" si="122"/>
        <v>16000</v>
      </c>
      <c r="F604" s="13">
        <f t="shared" si="123"/>
        <v>17680</v>
      </c>
      <c r="G604" s="2"/>
      <c r="H604" s="2"/>
      <c r="I604" s="13">
        <f>14000/15</f>
        <v>933.33333333333337</v>
      </c>
      <c r="J604" s="13">
        <f t="shared" si="124"/>
        <v>9333.3333333333339</v>
      </c>
      <c r="K604" s="13">
        <f t="shared" si="125"/>
        <v>8346.6666666666661</v>
      </c>
      <c r="L604" s="14">
        <f t="shared" si="126"/>
        <v>0.52166666666666661</v>
      </c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2">
        <v>1</v>
      </c>
      <c r="B605" s="10" t="s">
        <v>21</v>
      </c>
      <c r="C605" s="11" t="s">
        <v>42</v>
      </c>
      <c r="D605" s="13">
        <v>4500</v>
      </c>
      <c r="E605" s="13">
        <f t="shared" si="122"/>
        <v>4500</v>
      </c>
      <c r="F605" s="13">
        <f t="shared" si="123"/>
        <v>4972.5</v>
      </c>
      <c r="G605" s="2"/>
      <c r="H605" s="2"/>
      <c r="I605" s="13">
        <v>1400</v>
      </c>
      <c r="J605" s="13">
        <f t="shared" si="124"/>
        <v>1400</v>
      </c>
      <c r="K605" s="13">
        <f t="shared" si="125"/>
        <v>3572.5</v>
      </c>
      <c r="L605" s="14">
        <f t="shared" si="126"/>
        <v>0.79388888888888887</v>
      </c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2">
        <v>2</v>
      </c>
      <c r="B606" s="10" t="s">
        <v>4</v>
      </c>
      <c r="C606" s="11" t="s">
        <v>13</v>
      </c>
      <c r="D606" s="13">
        <v>900</v>
      </c>
      <c r="E606" s="13">
        <f t="shared" si="122"/>
        <v>1800</v>
      </c>
      <c r="F606" s="13">
        <f t="shared" si="123"/>
        <v>1989</v>
      </c>
      <c r="G606" s="2"/>
      <c r="H606" s="2"/>
      <c r="I606" s="13">
        <v>460</v>
      </c>
      <c r="J606" s="13">
        <f t="shared" si="124"/>
        <v>920</v>
      </c>
      <c r="K606" s="13">
        <f t="shared" si="125"/>
        <v>1069</v>
      </c>
      <c r="L606" s="14">
        <f t="shared" si="126"/>
        <v>0.59388888888888891</v>
      </c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2">
        <v>1</v>
      </c>
      <c r="B607" s="10" t="s">
        <v>17</v>
      </c>
      <c r="C607" s="11" t="s">
        <v>88</v>
      </c>
      <c r="D607" s="13">
        <v>2400</v>
      </c>
      <c r="E607" s="13">
        <f t="shared" si="122"/>
        <v>2400</v>
      </c>
      <c r="F607" s="13">
        <f t="shared" si="123"/>
        <v>2652</v>
      </c>
      <c r="G607" s="2"/>
      <c r="H607" s="2"/>
      <c r="I607" s="13">
        <f>1000</f>
        <v>1000</v>
      </c>
      <c r="J607" s="13">
        <f t="shared" si="124"/>
        <v>1000</v>
      </c>
      <c r="K607" s="13">
        <f t="shared" si="125"/>
        <v>1652</v>
      </c>
      <c r="L607" s="14">
        <f t="shared" si="126"/>
        <v>0.68833333333333335</v>
      </c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2">
        <v>1</v>
      </c>
      <c r="B608" s="10" t="s">
        <v>17</v>
      </c>
      <c r="C608" s="11" t="s">
        <v>30</v>
      </c>
      <c r="D608" s="13">
        <v>2600</v>
      </c>
      <c r="E608" s="13">
        <f t="shared" si="122"/>
        <v>2600</v>
      </c>
      <c r="F608" s="13">
        <f t="shared" si="123"/>
        <v>2873</v>
      </c>
      <c r="G608" s="2"/>
      <c r="H608" s="2"/>
      <c r="I608" s="13">
        <v>2000</v>
      </c>
      <c r="J608" s="13">
        <f t="shared" si="124"/>
        <v>2000</v>
      </c>
      <c r="K608" s="13">
        <f t="shared" si="125"/>
        <v>873</v>
      </c>
      <c r="L608" s="14">
        <f t="shared" si="126"/>
        <v>0.33576923076923076</v>
      </c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2">
        <v>1</v>
      </c>
      <c r="B609" s="10" t="s">
        <v>17</v>
      </c>
      <c r="C609" s="11" t="s">
        <v>19</v>
      </c>
      <c r="D609" s="13">
        <v>3600</v>
      </c>
      <c r="E609" s="13">
        <f t="shared" si="122"/>
        <v>3600</v>
      </c>
      <c r="F609" s="13">
        <f t="shared" si="123"/>
        <v>3978</v>
      </c>
      <c r="G609" s="2"/>
      <c r="H609" s="13"/>
      <c r="I609" s="13">
        <f>15000/7</f>
        <v>2142.8571428571427</v>
      </c>
      <c r="J609" s="13">
        <f t="shared" si="124"/>
        <v>2142.8571428571427</v>
      </c>
      <c r="K609" s="13">
        <f t="shared" si="125"/>
        <v>1835.1428571428573</v>
      </c>
      <c r="L609" s="14">
        <f t="shared" si="126"/>
        <v>0.50976190476190486</v>
      </c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2">
        <v>2</v>
      </c>
      <c r="B610" s="10" t="s">
        <v>17</v>
      </c>
      <c r="C610" s="11" t="s">
        <v>43</v>
      </c>
      <c r="D610" s="13">
        <v>5000</v>
      </c>
      <c r="E610" s="13">
        <f t="shared" si="122"/>
        <v>10000</v>
      </c>
      <c r="F610" s="13">
        <f t="shared" si="123"/>
        <v>11050</v>
      </c>
      <c r="G610" s="2"/>
      <c r="H610" s="2"/>
      <c r="I610" s="13">
        <v>3000</v>
      </c>
      <c r="J610" s="13">
        <f t="shared" si="124"/>
        <v>6000</v>
      </c>
      <c r="K610" s="13">
        <f t="shared" si="125"/>
        <v>5050</v>
      </c>
      <c r="L610" s="14">
        <f t="shared" si="126"/>
        <v>0.505</v>
      </c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2">
        <v>15</v>
      </c>
      <c r="B611" s="10" t="s">
        <v>21</v>
      </c>
      <c r="C611" s="11" t="s">
        <v>46</v>
      </c>
      <c r="D611" s="13">
        <v>600</v>
      </c>
      <c r="E611" s="13">
        <f t="shared" si="122"/>
        <v>9000</v>
      </c>
      <c r="F611" s="13">
        <f t="shared" si="123"/>
        <v>9945</v>
      </c>
      <c r="G611" s="2"/>
      <c r="H611" s="2"/>
      <c r="I611" s="13">
        <f>7000/24</f>
        <v>291.66666666666669</v>
      </c>
      <c r="J611" s="13">
        <f t="shared" si="124"/>
        <v>4375</v>
      </c>
      <c r="K611" s="13">
        <f t="shared" si="125"/>
        <v>5570</v>
      </c>
      <c r="L611" s="14">
        <f t="shared" si="126"/>
        <v>0.61888888888888893</v>
      </c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2">
        <v>1</v>
      </c>
      <c r="B612" s="10" t="s">
        <v>21</v>
      </c>
      <c r="C612" s="11" t="s">
        <v>52</v>
      </c>
      <c r="D612" s="13">
        <v>2000</v>
      </c>
      <c r="E612" s="13">
        <f t="shared" si="122"/>
        <v>2000</v>
      </c>
      <c r="F612" s="13">
        <f t="shared" si="123"/>
        <v>2210</v>
      </c>
      <c r="G612" s="2"/>
      <c r="H612" s="2"/>
      <c r="I612" s="13">
        <v>1000</v>
      </c>
      <c r="J612" s="13">
        <f t="shared" si="124"/>
        <v>1000</v>
      </c>
      <c r="K612" s="13">
        <f t="shared" si="125"/>
        <v>1210</v>
      </c>
      <c r="L612" s="14">
        <f t="shared" si="126"/>
        <v>0.60499999999999998</v>
      </c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2">
        <v>0.5</v>
      </c>
      <c r="B613" s="10" t="s">
        <v>17</v>
      </c>
      <c r="C613" s="11" t="s">
        <v>93</v>
      </c>
      <c r="D613" s="13">
        <v>3000</v>
      </c>
      <c r="E613" s="13">
        <f t="shared" si="122"/>
        <v>1500</v>
      </c>
      <c r="F613" s="13">
        <f t="shared" si="123"/>
        <v>1657.5</v>
      </c>
      <c r="G613" s="2"/>
      <c r="H613" s="2"/>
      <c r="I613" s="13">
        <f>10000/5</f>
        <v>2000</v>
      </c>
      <c r="J613" s="13">
        <f t="shared" si="124"/>
        <v>1000</v>
      </c>
      <c r="K613" s="13">
        <f t="shared" si="125"/>
        <v>657.5</v>
      </c>
      <c r="L613" s="14">
        <f t="shared" si="126"/>
        <v>0.43833333333333335</v>
      </c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2">
        <v>3</v>
      </c>
      <c r="B614" s="10" t="s">
        <v>4</v>
      </c>
      <c r="C614" s="11" t="s">
        <v>65</v>
      </c>
      <c r="D614" s="13">
        <v>1000</v>
      </c>
      <c r="E614" s="13">
        <f t="shared" si="122"/>
        <v>3000</v>
      </c>
      <c r="F614" s="13">
        <f t="shared" si="123"/>
        <v>3315</v>
      </c>
      <c r="G614" s="2"/>
      <c r="H614" s="2"/>
      <c r="I614" s="13">
        <f>20000/50</f>
        <v>400</v>
      </c>
      <c r="J614" s="13">
        <f t="shared" si="124"/>
        <v>1200</v>
      </c>
      <c r="K614" s="13">
        <f t="shared" si="125"/>
        <v>2115</v>
      </c>
      <c r="L614" s="14">
        <f t="shared" si="126"/>
        <v>0.70499999999999996</v>
      </c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2">
        <v>3</v>
      </c>
      <c r="B615" s="10" t="s">
        <v>17</v>
      </c>
      <c r="C615" s="11" t="s">
        <v>56</v>
      </c>
      <c r="D615" s="13">
        <v>1200</v>
      </c>
      <c r="E615" s="13">
        <f t="shared" si="122"/>
        <v>3600</v>
      </c>
      <c r="F615" s="13">
        <f t="shared" si="123"/>
        <v>3978</v>
      </c>
      <c r="G615" s="2"/>
      <c r="H615" s="2"/>
      <c r="I615" s="13">
        <f>13000/16</f>
        <v>812.5</v>
      </c>
      <c r="J615" s="13">
        <f t="shared" si="124"/>
        <v>2437.5</v>
      </c>
      <c r="K615" s="13">
        <f t="shared" si="125"/>
        <v>1540.5</v>
      </c>
      <c r="L615" s="14">
        <f t="shared" si="126"/>
        <v>0.42791666666666667</v>
      </c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2">
        <v>2</v>
      </c>
      <c r="B616" s="10" t="s">
        <v>17</v>
      </c>
      <c r="C616" s="11" t="s">
        <v>18</v>
      </c>
      <c r="D616" s="13">
        <v>1600</v>
      </c>
      <c r="E616" s="13">
        <f t="shared" si="122"/>
        <v>3200</v>
      </c>
      <c r="F616" s="13">
        <f t="shared" si="123"/>
        <v>3536</v>
      </c>
      <c r="G616" s="2"/>
      <c r="H616" s="2"/>
      <c r="I616" s="13">
        <v>1000</v>
      </c>
      <c r="J616" s="13">
        <f t="shared" si="124"/>
        <v>2000</v>
      </c>
      <c r="K616" s="13">
        <f t="shared" si="125"/>
        <v>1536</v>
      </c>
      <c r="L616" s="14">
        <f t="shared" si="126"/>
        <v>0.48</v>
      </c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2">
        <v>1</v>
      </c>
      <c r="B617" s="10" t="s">
        <v>23</v>
      </c>
      <c r="C617" s="11" t="s">
        <v>26</v>
      </c>
      <c r="D617" s="13">
        <v>22000</v>
      </c>
      <c r="E617" s="13">
        <f t="shared" si="122"/>
        <v>22000</v>
      </c>
      <c r="F617" s="13">
        <f t="shared" si="123"/>
        <v>24310</v>
      </c>
      <c r="G617" s="2"/>
      <c r="H617" s="2"/>
      <c r="I617" s="13">
        <v>17000</v>
      </c>
      <c r="J617" s="13">
        <f t="shared" si="124"/>
        <v>17000</v>
      </c>
      <c r="K617" s="13">
        <f t="shared" si="125"/>
        <v>7310</v>
      </c>
      <c r="L617" s="14">
        <f t="shared" si="126"/>
        <v>0.33227272727272728</v>
      </c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2">
        <v>5</v>
      </c>
      <c r="B618" s="10" t="s">
        <v>17</v>
      </c>
      <c r="C618" s="11" t="s">
        <v>62</v>
      </c>
      <c r="D618" s="13">
        <v>3000</v>
      </c>
      <c r="E618" s="13">
        <f t="shared" si="122"/>
        <v>15000</v>
      </c>
      <c r="F618" s="13">
        <f t="shared" si="123"/>
        <v>16575</v>
      </c>
      <c r="G618" s="2"/>
      <c r="H618" s="2"/>
      <c r="I618" s="13">
        <f>28000/17</f>
        <v>1647.0588235294117</v>
      </c>
      <c r="J618" s="13">
        <f t="shared" si="124"/>
        <v>8235.2941176470595</v>
      </c>
      <c r="K618" s="13">
        <f t="shared" si="125"/>
        <v>8339.7058823529405</v>
      </c>
      <c r="L618" s="14">
        <f t="shared" si="126"/>
        <v>0.55598039215686268</v>
      </c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2">
        <v>4</v>
      </c>
      <c r="B619" s="10" t="s">
        <v>17</v>
      </c>
      <c r="C619" s="11" t="s">
        <v>67</v>
      </c>
      <c r="D619" s="13">
        <v>1200</v>
      </c>
      <c r="E619" s="13">
        <f t="shared" si="122"/>
        <v>4800</v>
      </c>
      <c r="F619" s="13">
        <f t="shared" si="123"/>
        <v>5304</v>
      </c>
      <c r="G619" s="2"/>
      <c r="H619" s="2"/>
      <c r="I619" s="13">
        <f>8000/14</f>
        <v>571.42857142857144</v>
      </c>
      <c r="J619" s="13">
        <f t="shared" si="124"/>
        <v>2285.7142857142858</v>
      </c>
      <c r="K619" s="13">
        <f t="shared" si="125"/>
        <v>3018.2857142857142</v>
      </c>
      <c r="L619" s="14">
        <f t="shared" si="126"/>
        <v>0.62880952380952382</v>
      </c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2">
        <v>1</v>
      </c>
      <c r="B620" s="10" t="s">
        <v>17</v>
      </c>
      <c r="C620" s="11" t="s">
        <v>89</v>
      </c>
      <c r="D620" s="13">
        <v>12500</v>
      </c>
      <c r="E620" s="13">
        <f t="shared" si="122"/>
        <v>12500</v>
      </c>
      <c r="F620" s="13">
        <f t="shared" si="123"/>
        <v>13812.5</v>
      </c>
      <c r="G620" s="2"/>
      <c r="H620" s="2"/>
      <c r="I620" s="13">
        <f>45000/4</f>
        <v>11250</v>
      </c>
      <c r="J620" s="13">
        <f t="shared" si="124"/>
        <v>11250</v>
      </c>
      <c r="K620" s="13">
        <f t="shared" si="125"/>
        <v>2562.5</v>
      </c>
      <c r="L620" s="14">
        <f t="shared" si="126"/>
        <v>0.20499999999999999</v>
      </c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5"/>
      <c r="B621" s="2"/>
      <c r="C621" s="4"/>
      <c r="D621" s="2"/>
      <c r="E621" s="2"/>
      <c r="F621" s="2"/>
      <c r="G621" s="2"/>
      <c r="H621" s="2"/>
      <c r="I621" s="2"/>
      <c r="J621" s="2"/>
      <c r="K621" s="2"/>
      <c r="L621" s="3"/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2"/>
      <c r="C622" s="4"/>
      <c r="D622" s="2"/>
      <c r="E622" s="13">
        <f t="shared" ref="E622:F622" si="127">SUM(E597:E620)</f>
        <v>217700</v>
      </c>
      <c r="F622" s="13">
        <f t="shared" si="127"/>
        <v>240558.5</v>
      </c>
      <c r="G622" s="2"/>
      <c r="H622" s="2"/>
      <c r="I622" s="2"/>
      <c r="J622" s="2"/>
      <c r="K622" s="13">
        <f>SUM(K597:K620)</f>
        <v>95154.007732018406</v>
      </c>
      <c r="L622" s="14">
        <f>K622/F622</f>
        <v>0.39555454383037142</v>
      </c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0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0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88" t="s">
        <v>160</v>
      </c>
      <c r="B625" s="89"/>
      <c r="C625" s="89"/>
      <c r="D625" s="2"/>
      <c r="E625" s="7" t="s">
        <v>1110</v>
      </c>
      <c r="F625" s="8">
        <v>46129</v>
      </c>
      <c r="G625" s="2"/>
      <c r="H625" s="2"/>
      <c r="I625" s="9" t="s">
        <v>2</v>
      </c>
      <c r="J625" s="9"/>
      <c r="K625" s="9"/>
      <c r="L625" s="3"/>
      <c r="M625" s="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"/>
      <c r="B626" s="2"/>
      <c r="C626" s="5"/>
      <c r="D626" s="2"/>
      <c r="E626" s="2"/>
      <c r="F626" s="8"/>
      <c r="G626" s="2"/>
      <c r="H626" s="2"/>
      <c r="I626" s="2"/>
      <c r="J626" s="2"/>
      <c r="K626" s="2"/>
      <c r="L626" s="3"/>
      <c r="M626" s="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6" t="s">
        <v>3</v>
      </c>
      <c r="B627" s="10" t="s">
        <v>4</v>
      </c>
      <c r="C627" s="11" t="s">
        <v>5</v>
      </c>
      <c r="D627" s="10" t="s">
        <v>6</v>
      </c>
      <c r="E627" s="10" t="s">
        <v>7</v>
      </c>
      <c r="F627" s="10" t="s">
        <v>8</v>
      </c>
      <c r="G627" s="2"/>
      <c r="H627" s="2"/>
      <c r="I627" s="10" t="s">
        <v>9</v>
      </c>
      <c r="J627" s="10" t="s">
        <v>7</v>
      </c>
      <c r="K627" s="10" t="s">
        <v>10</v>
      </c>
      <c r="L627" s="3"/>
      <c r="M627" s="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2">
        <v>5</v>
      </c>
      <c r="B628" s="10" t="s">
        <v>23</v>
      </c>
      <c r="C628" s="11" t="s">
        <v>24</v>
      </c>
      <c r="D628" s="13">
        <v>36500</v>
      </c>
      <c r="E628" s="13">
        <f t="shared" ref="E628:E636" si="128">A628*D628</f>
        <v>182500</v>
      </c>
      <c r="F628" s="13">
        <f t="shared" ref="F628:F636" si="129">E628*1.105</f>
        <v>201662.5</v>
      </c>
      <c r="G628" s="7"/>
      <c r="H628" s="2"/>
      <c r="I628" s="13">
        <v>30000</v>
      </c>
      <c r="J628" s="13">
        <f t="shared" ref="J628:J636" si="130">I628*A628</f>
        <v>150000</v>
      </c>
      <c r="K628" s="13">
        <f t="shared" ref="K628:K636" si="131">F628-J628</f>
        <v>51662.5</v>
      </c>
      <c r="L628" s="14">
        <f t="shared" ref="L628:L636" si="132">IFERROR(K628/E628, 0)</f>
        <v>0.28308219178082189</v>
      </c>
      <c r="M628" s="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2">
        <v>2</v>
      </c>
      <c r="B629" s="10" t="s">
        <v>23</v>
      </c>
      <c r="C629" s="11" t="s">
        <v>190</v>
      </c>
      <c r="D629" s="13">
        <v>52000</v>
      </c>
      <c r="E629" s="13">
        <f t="shared" si="128"/>
        <v>104000</v>
      </c>
      <c r="F629" s="13">
        <f t="shared" si="129"/>
        <v>114920</v>
      </c>
      <c r="G629" s="7"/>
      <c r="H629" s="2"/>
      <c r="I629" s="13">
        <v>20000</v>
      </c>
      <c r="J629" s="13">
        <f t="shared" si="130"/>
        <v>40000</v>
      </c>
      <c r="K629" s="13">
        <f t="shared" si="131"/>
        <v>74920</v>
      </c>
      <c r="L629" s="14">
        <f t="shared" si="132"/>
        <v>0.7203846153846154</v>
      </c>
      <c r="M629" s="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2">
        <v>4</v>
      </c>
      <c r="B630" s="10" t="s">
        <v>23</v>
      </c>
      <c r="C630" s="11" t="s">
        <v>127</v>
      </c>
      <c r="D630" s="13">
        <v>27000</v>
      </c>
      <c r="E630" s="13">
        <f t="shared" si="128"/>
        <v>108000</v>
      </c>
      <c r="F630" s="13">
        <f t="shared" si="129"/>
        <v>119340</v>
      </c>
      <c r="G630" s="7"/>
      <c r="H630" s="2"/>
      <c r="I630" s="13">
        <v>17000</v>
      </c>
      <c r="J630" s="13">
        <f t="shared" si="130"/>
        <v>68000</v>
      </c>
      <c r="K630" s="13">
        <f t="shared" si="131"/>
        <v>51340</v>
      </c>
      <c r="L630" s="14">
        <f t="shared" si="132"/>
        <v>0.47537037037037039</v>
      </c>
      <c r="M630" s="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2">
        <v>4</v>
      </c>
      <c r="B631" s="10" t="s">
        <v>23</v>
      </c>
      <c r="C631" s="11" t="s">
        <v>67</v>
      </c>
      <c r="D631" s="13">
        <v>15000</v>
      </c>
      <c r="E631" s="13">
        <f t="shared" si="128"/>
        <v>60000</v>
      </c>
      <c r="F631" s="13">
        <f t="shared" si="129"/>
        <v>66300</v>
      </c>
      <c r="G631" s="7"/>
      <c r="H631" s="2"/>
      <c r="I631" s="13">
        <v>8000</v>
      </c>
      <c r="J631" s="13">
        <f t="shared" si="130"/>
        <v>32000</v>
      </c>
      <c r="K631" s="13">
        <f t="shared" si="131"/>
        <v>34300</v>
      </c>
      <c r="L631" s="14">
        <f t="shared" si="132"/>
        <v>0.57166666666666666</v>
      </c>
      <c r="M631" s="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2">
        <v>2</v>
      </c>
      <c r="B632" s="10" t="s">
        <v>21</v>
      </c>
      <c r="C632" s="11" t="s">
        <v>64</v>
      </c>
      <c r="D632" s="13">
        <v>2500</v>
      </c>
      <c r="E632" s="13">
        <f t="shared" si="128"/>
        <v>5000</v>
      </c>
      <c r="F632" s="13">
        <f t="shared" si="129"/>
        <v>5525</v>
      </c>
      <c r="G632" s="7"/>
      <c r="H632" s="2"/>
      <c r="I632" s="13">
        <v>1000</v>
      </c>
      <c r="J632" s="13">
        <f t="shared" si="130"/>
        <v>2000</v>
      </c>
      <c r="K632" s="13">
        <f t="shared" si="131"/>
        <v>3525</v>
      </c>
      <c r="L632" s="14">
        <f t="shared" si="132"/>
        <v>0.70499999999999996</v>
      </c>
      <c r="M632" s="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2">
        <v>2</v>
      </c>
      <c r="B633" s="10" t="s">
        <v>23</v>
      </c>
      <c r="C633" s="11" t="s">
        <v>24</v>
      </c>
      <c r="D633" s="13">
        <v>36500</v>
      </c>
      <c r="E633" s="13">
        <f t="shared" si="128"/>
        <v>73000</v>
      </c>
      <c r="F633" s="13">
        <f t="shared" si="129"/>
        <v>80665</v>
      </c>
      <c r="G633" s="7" t="s">
        <v>164</v>
      </c>
      <c r="H633" s="2"/>
      <c r="I633" s="13">
        <v>0</v>
      </c>
      <c r="J633" s="13">
        <f t="shared" si="130"/>
        <v>0</v>
      </c>
      <c r="K633" s="13">
        <f t="shared" si="131"/>
        <v>80665</v>
      </c>
      <c r="L633" s="14">
        <f t="shared" si="132"/>
        <v>1.105</v>
      </c>
      <c r="M633" s="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2">
        <v>2</v>
      </c>
      <c r="B634" s="10" t="s">
        <v>23</v>
      </c>
      <c r="C634" s="11" t="s">
        <v>190</v>
      </c>
      <c r="D634" s="13">
        <v>52000</v>
      </c>
      <c r="E634" s="13">
        <f t="shared" si="128"/>
        <v>104000</v>
      </c>
      <c r="F634" s="13">
        <f t="shared" si="129"/>
        <v>114920</v>
      </c>
      <c r="G634" s="7" t="s">
        <v>164</v>
      </c>
      <c r="H634" s="2"/>
      <c r="I634" s="13">
        <v>0</v>
      </c>
      <c r="J634" s="13">
        <f t="shared" si="130"/>
        <v>0</v>
      </c>
      <c r="K634" s="13">
        <f t="shared" si="131"/>
        <v>114920</v>
      </c>
      <c r="L634" s="18">
        <f t="shared" si="132"/>
        <v>1.105</v>
      </c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2">
        <v>1</v>
      </c>
      <c r="B635" s="10" t="s">
        <v>23</v>
      </c>
      <c r="C635" s="11" t="s">
        <v>127</v>
      </c>
      <c r="D635" s="13">
        <v>27000</v>
      </c>
      <c r="E635" s="13">
        <f t="shared" si="128"/>
        <v>27000</v>
      </c>
      <c r="F635" s="13">
        <f t="shared" si="129"/>
        <v>29835</v>
      </c>
      <c r="G635" s="7" t="s">
        <v>164</v>
      </c>
      <c r="H635" s="2"/>
      <c r="I635" s="13">
        <v>0</v>
      </c>
      <c r="J635" s="13">
        <f t="shared" si="130"/>
        <v>0</v>
      </c>
      <c r="K635" s="13">
        <f t="shared" si="131"/>
        <v>29835</v>
      </c>
      <c r="L635" s="18">
        <f t="shared" si="132"/>
        <v>1.105</v>
      </c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2">
        <v>1</v>
      </c>
      <c r="B636" s="10" t="s">
        <v>23</v>
      </c>
      <c r="C636" s="11" t="s">
        <v>67</v>
      </c>
      <c r="D636" s="13">
        <v>15000</v>
      </c>
      <c r="E636" s="13">
        <f t="shared" si="128"/>
        <v>15000</v>
      </c>
      <c r="F636" s="13">
        <f t="shared" si="129"/>
        <v>16575</v>
      </c>
      <c r="G636" s="7" t="s">
        <v>164</v>
      </c>
      <c r="H636" s="2"/>
      <c r="I636" s="13">
        <v>0</v>
      </c>
      <c r="J636" s="13">
        <f t="shared" si="130"/>
        <v>0</v>
      </c>
      <c r="K636" s="13">
        <f t="shared" si="131"/>
        <v>16575</v>
      </c>
      <c r="L636" s="14">
        <f t="shared" si="132"/>
        <v>1.105</v>
      </c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"/>
      <c r="B637" s="2"/>
      <c r="C637" s="4"/>
      <c r="D637" s="2"/>
      <c r="E637" s="2"/>
      <c r="F637" s="13"/>
      <c r="G637" s="2"/>
      <c r="H637" s="2"/>
      <c r="I637" s="7"/>
      <c r="J637" s="2"/>
      <c r="K637" s="2"/>
      <c r="L637" s="3"/>
      <c r="M637" s="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2"/>
      <c r="C638" s="4"/>
      <c r="D638" s="2"/>
      <c r="E638" s="13">
        <f t="shared" ref="E638:F638" si="133">SUM(E628:E636)</f>
        <v>678500</v>
      </c>
      <c r="F638" s="13">
        <f t="shared" si="133"/>
        <v>749742.5</v>
      </c>
      <c r="G638" s="2"/>
      <c r="H638" s="2"/>
      <c r="I638" s="2"/>
      <c r="J638" s="2"/>
      <c r="K638" s="13">
        <f>SUM(K628:K636)</f>
        <v>457742.5</v>
      </c>
      <c r="L638" s="14">
        <f>K638/F638</f>
        <v>0.6105329496460451</v>
      </c>
      <c r="M638" s="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0"/>
      <c r="M639" s="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0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0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0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0"/>
      <c r="M643" s="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5.5" customHeight="1" x14ac:dyDescent="0.25">
      <c r="A644" s="26" t="s">
        <v>101</v>
      </c>
      <c r="B644" s="27">
        <f>F638+F622+E591+E579+E561+E539+F529+E516+E502+E482+F457+E435+E420+[1]REMITO!F36+E381+E365+F342+F303+F261+F222+F193+F156+F112+F73+F39+E405</f>
        <v>7501612.1749999998</v>
      </c>
      <c r="C644" s="4"/>
      <c r="D644" s="4"/>
      <c r="E644" s="4"/>
      <c r="F644" s="4"/>
      <c r="G644" s="4"/>
      <c r="H644" s="4"/>
      <c r="I644" s="4"/>
      <c r="J644" s="4"/>
      <c r="K644" s="4"/>
      <c r="L644" s="28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28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7" customHeight="1" x14ac:dyDescent="0.25">
      <c r="A646" s="26" t="s">
        <v>102</v>
      </c>
      <c r="B646" s="27">
        <f>K638+K622+K591+K579+K561+K539+K529+K516+K502+K482+K457+K435+K420+K405+K381+K365+K342+K303+K261+K222+K193+K156+K112+K73+K39</f>
        <v>2829127.5071111801</v>
      </c>
      <c r="C646" s="4"/>
      <c r="D646" s="4"/>
      <c r="E646" s="4"/>
      <c r="F646" s="4"/>
      <c r="G646" s="4"/>
      <c r="H646" s="4"/>
      <c r="I646" s="4"/>
      <c r="J646" s="4"/>
      <c r="K646" s="4"/>
      <c r="L646" s="28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28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28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6.25" customHeight="1" x14ac:dyDescent="0.25">
      <c r="A649" s="26" t="s">
        <v>103</v>
      </c>
      <c r="B649" s="29">
        <f>B646/B644</f>
        <v>0.37713593306510546</v>
      </c>
      <c r="C649" s="4"/>
      <c r="D649" s="4"/>
      <c r="E649" s="4"/>
      <c r="F649" s="4"/>
      <c r="G649" s="4"/>
      <c r="H649" s="4"/>
      <c r="I649" s="4"/>
      <c r="J649" s="4"/>
      <c r="K649" s="4"/>
      <c r="L649" s="28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28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90" t="s">
        <v>104</v>
      </c>
      <c r="B651" s="89"/>
      <c r="C651" s="4"/>
      <c r="D651" s="4"/>
      <c r="E651" s="4"/>
      <c r="F651" s="4"/>
      <c r="G651" s="4"/>
      <c r="H651" s="4"/>
      <c r="I651" s="4"/>
      <c r="J651" s="4"/>
      <c r="K651" s="4"/>
      <c r="L651" s="28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0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0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0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0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0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0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0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0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0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0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0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0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0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0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0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0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0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0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0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0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0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0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0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0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0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0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0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0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0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0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0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0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0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0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0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0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0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0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0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0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0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0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0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0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0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0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0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0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0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0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0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0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0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0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0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0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0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0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0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0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0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0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0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0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0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0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0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0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0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0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0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0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0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0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0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0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0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0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0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0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0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0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0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0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0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0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0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0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0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0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0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0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0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0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0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0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0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0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0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0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0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0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0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0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0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0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0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0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0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0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0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0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0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0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0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0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0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0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0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0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0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0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0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0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0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0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0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0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0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0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0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0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0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0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0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0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0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0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0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0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0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0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0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0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0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0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0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0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0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0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0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0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0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0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0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0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0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0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0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0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0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0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0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0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0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0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0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0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0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0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0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0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0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0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0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0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0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0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0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0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0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0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0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0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0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0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0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0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0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0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0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0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0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0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0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0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0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0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0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0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0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0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0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0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0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0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0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0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0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0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0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0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0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0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0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0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0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0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0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0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0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0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0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0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0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0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0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0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0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0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0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0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0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0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0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0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0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0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0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0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0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0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0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0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0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0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0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0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0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0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0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0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0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0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0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0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0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0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0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0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0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0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0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0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0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0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0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0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0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0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0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0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0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0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0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0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0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0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0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0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0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0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0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0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0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0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0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0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0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0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0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0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0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0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0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0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0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0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0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0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0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0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0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0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0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0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0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0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0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0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0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0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0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0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0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0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0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0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0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0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0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0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0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0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0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0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0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0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0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0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0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0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0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0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0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0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0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0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0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0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0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0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0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0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0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0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0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0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0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0"/>
      <c r="M1001" s="1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0"/>
      <c r="M1002" s="1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0"/>
      <c r="M1003" s="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0"/>
      <c r="M1004" s="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0"/>
      <c r="M1005" s="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0"/>
      <c r="M1006" s="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0"/>
      <c r="M1007" s="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0"/>
      <c r="M1008" s="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0"/>
      <c r="M1009" s="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0"/>
      <c r="M1010" s="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0"/>
      <c r="M1011" s="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0"/>
      <c r="M1012" s="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0"/>
      <c r="M1013" s="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20"/>
      <c r="M1014" s="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20"/>
      <c r="M1015" s="1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20"/>
      <c r="M1016" s="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20"/>
      <c r="M1017" s="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20"/>
      <c r="M1018" s="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20"/>
      <c r="M1019" s="1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20"/>
      <c r="M1020" s="1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20"/>
      <c r="M1021" s="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20"/>
      <c r="M1022" s="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20"/>
      <c r="M1023" s="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20"/>
      <c r="M1024" s="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20"/>
      <c r="M1025" s="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20"/>
      <c r="M1026" s="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20"/>
      <c r="M1027" s="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20"/>
      <c r="M1028" s="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20"/>
      <c r="M1029" s="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20"/>
      <c r="M1030" s="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20"/>
      <c r="M1031" s="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20"/>
      <c r="M1032" s="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20"/>
      <c r="M1033" s="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20"/>
      <c r="M1034" s="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20"/>
      <c r="M1035" s="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20"/>
      <c r="M1036" s="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20"/>
      <c r="M1037" s="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20"/>
      <c r="M1038" s="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20"/>
      <c r="M1039" s="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20"/>
      <c r="M1040" s="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20"/>
      <c r="M1041" s="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20"/>
      <c r="M1042" s="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20"/>
      <c r="M1043" s="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20"/>
      <c r="M1044" s="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20"/>
      <c r="M1045" s="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20"/>
      <c r="M1046" s="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20"/>
      <c r="M1047" s="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20"/>
      <c r="M1048" s="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20"/>
      <c r="M1049" s="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20"/>
      <c r="M1050" s="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20"/>
      <c r="M1051" s="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20"/>
      <c r="M1052" s="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20"/>
      <c r="M1053" s="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20"/>
      <c r="M1054" s="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20"/>
      <c r="M1055" s="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20"/>
      <c r="M1056" s="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20"/>
      <c r="M1057" s="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20"/>
      <c r="M1058" s="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20"/>
      <c r="M1059" s="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20"/>
      <c r="M1060" s="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20"/>
      <c r="M1061" s="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20"/>
      <c r="M1062" s="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20"/>
      <c r="M1063" s="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20"/>
      <c r="M1064" s="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20"/>
      <c r="M1065" s="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20"/>
      <c r="M1066" s="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20"/>
      <c r="M1067" s="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20"/>
      <c r="M1068" s="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20"/>
      <c r="M1069" s="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20"/>
      <c r="M1070" s="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20"/>
      <c r="M1071" s="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20"/>
      <c r="M1072" s="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20"/>
      <c r="M1073" s="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20"/>
      <c r="M1074" s="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20"/>
      <c r="M1075" s="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20"/>
      <c r="M1076" s="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20"/>
      <c r="M1077" s="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20"/>
      <c r="M1078" s="1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20"/>
      <c r="M1079" s="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20"/>
      <c r="M1080" s="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20"/>
      <c r="M1081" s="1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20"/>
      <c r="M1082" s="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20"/>
      <c r="M1083" s="1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20"/>
      <c r="M1084" s="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20"/>
      <c r="M1085" s="1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20"/>
      <c r="M1086" s="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20"/>
      <c r="M1087" s="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20"/>
      <c r="M1088" s="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20"/>
      <c r="M1089" s="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20"/>
      <c r="M1090" s="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20"/>
      <c r="M1091" s="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20"/>
      <c r="M1092" s="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20"/>
      <c r="M1093" s="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20"/>
      <c r="M1094" s="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20"/>
      <c r="M1095" s="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20"/>
      <c r="M1096" s="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20"/>
      <c r="M1097" s="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20"/>
      <c r="M1098" s="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20"/>
      <c r="M1099" s="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20"/>
      <c r="M1100" s="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20"/>
      <c r="M1101" s="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20"/>
      <c r="M1102" s="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20"/>
      <c r="M1103" s="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20"/>
      <c r="M1104" s="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20"/>
      <c r="M1105" s="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20"/>
      <c r="M1106" s="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20"/>
      <c r="M1107" s="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20"/>
      <c r="M1108" s="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20"/>
      <c r="M1109" s="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20"/>
      <c r="M1110" s="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20"/>
      <c r="M1111" s="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20"/>
      <c r="M1112" s="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20"/>
      <c r="M1113" s="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20"/>
      <c r="M1114" s="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20"/>
      <c r="M1115" s="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20"/>
      <c r="M1116" s="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20"/>
      <c r="M1117" s="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20"/>
      <c r="M1118" s="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20"/>
      <c r="M1119" s="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20"/>
      <c r="M1120" s="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20"/>
      <c r="M1121" s="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20"/>
      <c r="M1122" s="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20"/>
      <c r="M1123" s="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20"/>
      <c r="M1124" s="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20"/>
      <c r="M1125" s="1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20"/>
      <c r="M1126" s="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20"/>
      <c r="M1127" s="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20"/>
      <c r="M1128" s="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20"/>
      <c r="M1129" s="1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20"/>
      <c r="M1130" s="1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20"/>
      <c r="M1131" s="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20"/>
      <c r="M1132" s="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20"/>
      <c r="M1133" s="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20"/>
      <c r="M1134" s="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20"/>
      <c r="M1135" s="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20"/>
      <c r="M1136" s="1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20"/>
      <c r="M1137" s="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20"/>
      <c r="M1138" s="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20"/>
      <c r="M1139" s="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20"/>
      <c r="M1140" s="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20"/>
      <c r="M1141" s="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20"/>
      <c r="M1142" s="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20"/>
      <c r="M1143" s="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20"/>
      <c r="M1144" s="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20"/>
      <c r="M1145" s="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20"/>
      <c r="M1146" s="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20"/>
      <c r="M1147" s="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20"/>
      <c r="M1148" s="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20"/>
      <c r="M1149" s="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20"/>
      <c r="M1150" s="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20"/>
      <c r="M1151" s="1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20"/>
      <c r="M1152" s="1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20"/>
      <c r="M1153" s="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20"/>
      <c r="M1154" s="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20"/>
      <c r="M1155" s="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20"/>
      <c r="M1156" s="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20"/>
      <c r="M1157" s="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20"/>
      <c r="M1158" s="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20"/>
      <c r="M1159" s="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20"/>
      <c r="M1160" s="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20"/>
      <c r="M1161" s="1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20"/>
      <c r="M1162" s="1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20"/>
      <c r="M1163" s="1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20"/>
      <c r="M1164" s="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20"/>
      <c r="M1165" s="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20"/>
      <c r="M1166" s="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20"/>
      <c r="M1167" s="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20"/>
      <c r="M1168" s="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20"/>
      <c r="M1169" s="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20"/>
      <c r="M1170" s="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20"/>
      <c r="M1171" s="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20"/>
      <c r="M1172" s="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20"/>
      <c r="M1173" s="1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20"/>
      <c r="M1174" s="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20"/>
      <c r="M1175" s="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20"/>
      <c r="M1176" s="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20"/>
      <c r="M1177" s="1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20"/>
      <c r="M1178" s="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20"/>
      <c r="M1179" s="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20"/>
      <c r="M1180" s="1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20"/>
      <c r="M1181" s="1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20"/>
      <c r="M1182" s="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20"/>
      <c r="M1183" s="1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20"/>
      <c r="M1184" s="1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20"/>
      <c r="M1185" s="1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20"/>
      <c r="M1186" s="1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20"/>
      <c r="M1187" s="1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20"/>
      <c r="M1188" s="1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20"/>
      <c r="M1189" s="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20"/>
      <c r="M1190" s="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20"/>
      <c r="M1191" s="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20"/>
      <c r="M1192" s="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20"/>
      <c r="M1193" s="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20"/>
      <c r="M1194" s="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20"/>
      <c r="M1195" s="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20"/>
      <c r="M1196" s="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20"/>
      <c r="M1197" s="1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20"/>
      <c r="M1198" s="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20"/>
      <c r="M1199" s="1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20"/>
      <c r="M1200" s="1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20"/>
      <c r="M1201" s="1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20"/>
      <c r="M1202" s="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20"/>
      <c r="M1203" s="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20"/>
      <c r="M1204" s="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20"/>
      <c r="M1205" s="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20"/>
      <c r="M1206" s="1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20"/>
      <c r="M1207" s="1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20"/>
      <c r="M1208" s="1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20"/>
      <c r="M1209" s="1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20"/>
      <c r="M1210" s="1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20"/>
      <c r="M1211" s="1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20"/>
      <c r="M1212" s="1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20"/>
      <c r="M1213" s="1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20"/>
      <c r="M1214" s="1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20"/>
      <c r="M1215" s="1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20"/>
      <c r="M1216" s="1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20"/>
      <c r="M1217" s="1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20"/>
      <c r="M1218" s="1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20"/>
      <c r="M1219" s="1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20"/>
      <c r="M1220" s="1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20"/>
      <c r="M1221" s="1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20"/>
      <c r="M1222" s="1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20"/>
      <c r="M1223" s="1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20"/>
      <c r="M1224" s="1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20"/>
      <c r="M1225" s="1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20"/>
      <c r="M1226" s="1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20"/>
      <c r="M1227" s="1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20"/>
      <c r="M1228" s="1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20"/>
      <c r="M1229" s="1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20"/>
      <c r="M1230" s="1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20"/>
      <c r="M1231" s="1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20"/>
      <c r="M1232" s="1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20"/>
      <c r="M1233" s="1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20"/>
      <c r="M1234" s="1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20"/>
      <c r="M1235" s="1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20"/>
      <c r="M1236" s="1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20"/>
      <c r="M1237" s="1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20"/>
      <c r="M1238" s="1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20"/>
      <c r="M1239" s="1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20"/>
      <c r="M1240" s="1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20"/>
      <c r="M1241" s="1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20"/>
      <c r="M1242" s="1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20"/>
      <c r="M1243" s="1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20"/>
      <c r="M1244" s="1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20"/>
      <c r="M1245" s="1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20"/>
      <c r="M1246" s="1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20"/>
      <c r="M1247" s="1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20"/>
      <c r="M1248" s="1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20"/>
      <c r="M1249" s="1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20"/>
      <c r="M1250" s="1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20"/>
      <c r="M1251" s="1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20"/>
      <c r="M1252" s="1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20"/>
      <c r="M1253" s="1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20"/>
      <c r="M1254" s="1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20"/>
      <c r="M1255" s="1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20"/>
      <c r="M1256" s="1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20"/>
      <c r="M1257" s="1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20"/>
      <c r="M1258" s="1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20"/>
      <c r="M1259" s="1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20"/>
      <c r="M1260" s="1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20"/>
      <c r="M1261" s="1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20"/>
      <c r="M1262" s="1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20"/>
      <c r="M1263" s="1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20"/>
      <c r="M1264" s="1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20"/>
      <c r="M1265" s="1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20"/>
      <c r="M1266" s="1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20"/>
      <c r="M1267" s="1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20"/>
      <c r="M1268" s="1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20"/>
      <c r="M1269" s="1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20"/>
      <c r="M1270" s="1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20"/>
      <c r="M1271" s="1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20"/>
      <c r="M1272" s="1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20"/>
      <c r="M1273" s="1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20"/>
      <c r="M1274" s="1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20"/>
      <c r="M1275" s="1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20"/>
      <c r="M1276" s="1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20"/>
      <c r="M1277" s="1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20"/>
      <c r="M1278" s="1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20"/>
      <c r="M1279" s="1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20"/>
      <c r="M1280" s="1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20"/>
      <c r="M1281" s="1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20"/>
      <c r="M1282" s="1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20"/>
      <c r="M1283" s="1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20"/>
      <c r="M1284" s="1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20"/>
      <c r="M1285" s="1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20"/>
      <c r="M1286" s="1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20"/>
      <c r="M1287" s="1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20"/>
      <c r="M1288" s="1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20"/>
      <c r="M1289" s="1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20"/>
      <c r="M1290" s="1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20"/>
      <c r="M1291" s="1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20"/>
      <c r="M1292" s="1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20"/>
      <c r="M1293" s="1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20"/>
      <c r="M1294" s="1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20"/>
      <c r="M1295" s="1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20"/>
      <c r="M1296" s="1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20"/>
      <c r="M1297" s="1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20"/>
      <c r="M1298" s="1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20"/>
      <c r="M1299" s="1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20"/>
      <c r="M1300" s="1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20"/>
      <c r="M1301" s="1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20"/>
      <c r="M1302" s="1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20"/>
      <c r="M1303" s="1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20"/>
      <c r="M1304" s="1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20"/>
      <c r="M1305" s="1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20"/>
      <c r="M1306" s="1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20"/>
      <c r="M1307" s="1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20"/>
      <c r="M1308" s="1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20"/>
      <c r="M1309" s="1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20"/>
      <c r="M1310" s="1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20"/>
      <c r="M1311" s="1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20"/>
      <c r="M1312" s="1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20"/>
      <c r="M1313" s="1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20"/>
      <c r="M1314" s="1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20"/>
      <c r="M1315" s="1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20"/>
      <c r="M1316" s="1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20"/>
      <c r="M1317" s="1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20"/>
      <c r="M1318" s="1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20"/>
      <c r="M1319" s="1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20"/>
      <c r="M1320" s="1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20"/>
      <c r="M1321" s="1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20"/>
      <c r="M1322" s="1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20"/>
      <c r="M1323" s="1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20"/>
      <c r="M1324" s="1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20"/>
      <c r="M1325" s="1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20"/>
      <c r="M1326" s="1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20"/>
      <c r="M1327" s="1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20"/>
      <c r="M1328" s="1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20"/>
      <c r="M1329" s="1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20"/>
      <c r="M1330" s="1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20"/>
      <c r="M1331" s="1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20"/>
      <c r="M1332" s="1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20"/>
      <c r="M1333" s="1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20"/>
      <c r="M1334" s="1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20"/>
      <c r="M1335" s="1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20"/>
      <c r="M1336" s="1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20"/>
      <c r="M1337" s="1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20"/>
      <c r="M1338" s="1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20"/>
      <c r="M1339" s="1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20"/>
      <c r="M1340" s="1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20"/>
      <c r="M1341" s="1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20"/>
      <c r="M1342" s="1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20"/>
      <c r="M1343" s="1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20"/>
      <c r="M1344" s="1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20"/>
      <c r="M1345" s="1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20"/>
      <c r="M1346" s="1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20"/>
      <c r="M1347" s="1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20"/>
      <c r="M1348" s="1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20"/>
      <c r="M1349" s="1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20"/>
      <c r="M1350" s="1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20"/>
      <c r="M1351" s="1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20"/>
      <c r="M1352" s="1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20"/>
      <c r="M1353" s="1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20"/>
      <c r="M1354" s="1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20"/>
      <c r="M1355" s="1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20"/>
      <c r="M1356" s="1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20"/>
      <c r="M1357" s="1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20"/>
      <c r="M1358" s="1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20"/>
      <c r="M1359" s="1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20"/>
      <c r="M1360" s="1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20"/>
      <c r="M1361" s="1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20"/>
      <c r="M1362" s="1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20"/>
      <c r="M1363" s="1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20"/>
      <c r="M1364" s="1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20"/>
      <c r="M1365" s="1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20"/>
      <c r="M1366" s="1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20"/>
      <c r="M1367" s="1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20"/>
      <c r="M1368" s="1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20"/>
      <c r="M1369" s="1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20"/>
      <c r="M1370" s="1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20"/>
      <c r="M1371" s="1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20"/>
      <c r="M1372" s="1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20"/>
      <c r="M1373" s="1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20"/>
      <c r="M1374" s="1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20"/>
      <c r="M1375" s="1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20"/>
      <c r="M1376" s="1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20"/>
      <c r="M1377" s="1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20"/>
      <c r="M1378" s="1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20"/>
      <c r="M1379" s="1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20"/>
      <c r="M1380" s="1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20"/>
      <c r="M1381" s="1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20"/>
      <c r="M1382" s="1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20"/>
      <c r="M1383" s="1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20"/>
      <c r="M1384" s="1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20"/>
      <c r="M1385" s="1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20"/>
      <c r="M1386" s="1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20"/>
      <c r="M1387" s="1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20"/>
      <c r="M1388" s="1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20"/>
      <c r="M1389" s="1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20"/>
      <c r="M1390" s="1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20"/>
      <c r="M1391" s="1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20"/>
      <c r="M1392" s="1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20"/>
      <c r="M1393" s="1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20"/>
      <c r="M1394" s="1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20"/>
      <c r="M1395" s="1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20"/>
      <c r="M1396" s="1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20"/>
      <c r="M1397" s="1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20"/>
      <c r="M1398" s="1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20"/>
      <c r="M1399" s="1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20"/>
      <c r="M1400" s="1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20"/>
      <c r="M1401" s="1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20"/>
      <c r="M1402" s="1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20"/>
      <c r="M1403" s="1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20"/>
      <c r="M1404" s="1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20"/>
      <c r="M1405" s="1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20"/>
      <c r="M1406" s="1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20"/>
      <c r="M1407" s="1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20"/>
      <c r="M1408" s="1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20"/>
      <c r="M1409" s="1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20"/>
      <c r="M1410" s="1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20"/>
      <c r="M1411" s="1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20"/>
      <c r="M1412" s="1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20"/>
      <c r="M1413" s="1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20"/>
      <c r="M1414" s="1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20"/>
      <c r="M1415" s="1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20"/>
      <c r="M1416" s="1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20"/>
      <c r="M1417" s="1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20"/>
      <c r="M1418" s="1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20"/>
      <c r="M1419" s="1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20"/>
      <c r="M1420" s="1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20"/>
      <c r="M1421" s="1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20"/>
      <c r="M1422" s="1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20"/>
      <c r="M1423" s="1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20"/>
      <c r="M1424" s="1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20"/>
      <c r="M1425" s="1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20"/>
      <c r="M1426" s="1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20"/>
      <c r="M1427" s="1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20"/>
      <c r="M1428" s="1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20"/>
      <c r="M1429" s="1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20"/>
      <c r="M1430" s="1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20"/>
      <c r="M1431" s="1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20"/>
      <c r="M1432" s="1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20"/>
      <c r="M1433" s="1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20"/>
      <c r="M1434" s="1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20"/>
      <c r="M1435" s="1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20"/>
      <c r="M1436" s="1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20"/>
      <c r="M1437" s="1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20"/>
      <c r="M1438" s="1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20"/>
      <c r="M1439" s="1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20"/>
      <c r="M1440" s="1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20"/>
      <c r="M1441" s="1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20"/>
      <c r="M1442" s="1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20"/>
      <c r="M1443" s="1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20"/>
      <c r="M1444" s="1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20"/>
      <c r="M1445" s="1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20"/>
      <c r="M1446" s="1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20"/>
      <c r="M1447" s="1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20"/>
      <c r="M1448" s="1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20"/>
      <c r="M1449" s="1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20"/>
      <c r="M1450" s="1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20"/>
      <c r="M1451" s="1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20"/>
      <c r="M1452" s="1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20"/>
      <c r="M1453" s="1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20"/>
      <c r="M1454" s="1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20"/>
      <c r="M1455" s="1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20"/>
      <c r="M1456" s="1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20"/>
      <c r="M1457" s="1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20"/>
      <c r="M1458" s="1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20"/>
      <c r="M1459" s="1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20"/>
      <c r="M1460" s="1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20"/>
      <c r="M1461" s="1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20"/>
      <c r="M1462" s="1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20"/>
      <c r="M1463" s="1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20"/>
      <c r="M1464" s="1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20"/>
      <c r="M1465" s="1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20"/>
      <c r="M1466" s="1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20"/>
      <c r="M1467" s="1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20"/>
      <c r="M1468" s="1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20"/>
      <c r="M1469" s="1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20"/>
      <c r="M1470" s="1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20"/>
      <c r="M1471" s="1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20"/>
      <c r="M1472" s="1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20"/>
      <c r="M1473" s="1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20"/>
      <c r="M1474" s="1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20"/>
      <c r="M1475" s="1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20"/>
      <c r="M1476" s="1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20"/>
      <c r="M1477" s="1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20"/>
      <c r="M1478" s="1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20"/>
      <c r="M1479" s="1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20"/>
      <c r="M1480" s="1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20"/>
      <c r="M1481" s="1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20"/>
      <c r="M1482" s="1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20"/>
      <c r="M1483" s="1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20"/>
      <c r="M1484" s="1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20"/>
      <c r="M1485" s="1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20"/>
      <c r="M1486" s="1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20"/>
      <c r="M1487" s="1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20"/>
      <c r="M1488" s="1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20"/>
      <c r="M1489" s="1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20"/>
      <c r="M1490" s="1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20"/>
      <c r="M1491" s="1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20"/>
      <c r="M1492" s="1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20"/>
      <c r="M1493" s="1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20"/>
      <c r="M1494" s="1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20"/>
      <c r="M1495" s="1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20"/>
      <c r="M1496" s="1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20"/>
      <c r="M1497" s="1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20"/>
      <c r="M1498" s="1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20"/>
      <c r="M1499" s="1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20"/>
      <c r="M1500" s="1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20"/>
      <c r="M1501" s="1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20"/>
      <c r="M1502" s="1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20"/>
      <c r="M1503" s="1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20"/>
      <c r="M1504" s="1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20"/>
      <c r="M1505" s="1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20"/>
      <c r="M1506" s="1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20"/>
      <c r="M1507" s="1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20"/>
      <c r="M1508" s="1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20"/>
      <c r="M1509" s="1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20"/>
      <c r="M1510" s="1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20"/>
      <c r="M1511" s="1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20"/>
      <c r="M1512" s="1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20"/>
      <c r="M1513" s="1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20"/>
      <c r="M1514" s="1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20"/>
      <c r="M1515" s="1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20"/>
      <c r="M1516" s="1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20"/>
      <c r="M1517" s="1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20"/>
      <c r="M1518" s="1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20"/>
      <c r="M1519" s="1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20"/>
      <c r="M1520" s="1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20"/>
      <c r="M1521" s="1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20"/>
      <c r="M1522" s="1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20"/>
      <c r="M1523" s="1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20"/>
      <c r="M1524" s="1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20"/>
      <c r="M1525" s="1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20"/>
      <c r="M1526" s="1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20"/>
      <c r="M1527" s="1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20"/>
      <c r="M1528" s="1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20"/>
      <c r="M1529" s="1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20"/>
      <c r="M1530" s="1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20"/>
      <c r="M1531" s="1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20"/>
      <c r="M1532" s="1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20"/>
      <c r="M1533" s="1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20"/>
      <c r="M1534" s="1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20"/>
      <c r="M1535" s="1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20"/>
      <c r="M1536" s="1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</sheetData>
  <mergeCells count="17">
    <mergeCell ref="A519:C519"/>
    <mergeCell ref="A594:C594"/>
    <mergeCell ref="I594:K594"/>
    <mergeCell ref="A625:C625"/>
    <mergeCell ref="A651:B651"/>
    <mergeCell ref="A225:C225"/>
    <mergeCell ref="A264:C264"/>
    <mergeCell ref="A306:C306"/>
    <mergeCell ref="I306:K306"/>
    <mergeCell ref="A439:C439"/>
    <mergeCell ref="I439:K439"/>
    <mergeCell ref="A196:C196"/>
    <mergeCell ref="A3:C3"/>
    <mergeCell ref="A44:C44"/>
    <mergeCell ref="A76:C76"/>
    <mergeCell ref="A115:C115"/>
    <mergeCell ref="A161:C161"/>
  </mergeCells>
  <conditionalFormatting sqref="L1:L1536">
    <cfRule type="cellIs" dxfId="51" priority="3" operator="greaterThanOrEqual">
      <formula>"30%"</formula>
    </cfRule>
    <cfRule type="cellIs" dxfId="50" priority="4" operator="between">
      <formula>"25%"</formula>
      <formula>"30%"</formula>
    </cfRule>
    <cfRule type="cellIs" dxfId="49" priority="5" operator="lessThan">
      <formula>"25%"</formula>
    </cfRule>
  </conditionalFormatting>
  <conditionalFormatting sqref="L439:L457">
    <cfRule type="cellIs" dxfId="48" priority="2" operator="greaterThanOrEqual">
      <formula>"30%"</formula>
    </cfRule>
  </conditionalFormatting>
  <conditionalFormatting sqref="L625:L638">
    <cfRule type="cellIs" dxfId="47" priority="1" operator="greaterThan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AC34-2B21-894A-8420-831492606210}">
  <sheetPr>
    <outlinePr summaryBelow="0" summaryRight="0"/>
  </sheetPr>
  <dimension ref="A1:Z324"/>
  <sheetViews>
    <sheetView topLeftCell="A291"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6" t="s">
        <v>119</v>
      </c>
      <c r="B2" s="1"/>
      <c r="C2" s="1"/>
      <c r="D2" s="22" t="s">
        <v>1111</v>
      </c>
      <c r="E2" s="8">
        <v>46132</v>
      </c>
      <c r="F2" s="24" t="s">
        <v>37</v>
      </c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2"/>
      <c r="C3" s="4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6" t="s">
        <v>3</v>
      </c>
      <c r="B4" s="10" t="s">
        <v>4</v>
      </c>
      <c r="C4" s="11" t="s">
        <v>5</v>
      </c>
      <c r="D4" s="10" t="s">
        <v>6</v>
      </c>
      <c r="E4" s="10" t="s">
        <v>7</v>
      </c>
      <c r="F4" s="2"/>
      <c r="G4" s="2"/>
      <c r="H4" s="2"/>
      <c r="I4" s="10" t="s">
        <v>6</v>
      </c>
      <c r="J4" s="10" t="s">
        <v>7</v>
      </c>
      <c r="K4" s="10" t="s">
        <v>10</v>
      </c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12">
        <v>2</v>
      </c>
      <c r="B5" s="10" t="s">
        <v>17</v>
      </c>
      <c r="C5" s="11" t="s">
        <v>87</v>
      </c>
      <c r="D5" s="13">
        <v>3000</v>
      </c>
      <c r="E5" s="13">
        <f t="shared" ref="E5:E20" si="0">A5*D5</f>
        <v>6000</v>
      </c>
      <c r="F5" s="2"/>
      <c r="G5" s="2"/>
      <c r="H5" s="2"/>
      <c r="I5" s="13">
        <f>30000/17</f>
        <v>1764.7058823529412</v>
      </c>
      <c r="J5" s="13">
        <f t="shared" ref="J5:J20" si="1">I5*A5</f>
        <v>3529.4117647058824</v>
      </c>
      <c r="K5" s="13">
        <f t="shared" ref="K5:K20" si="2">E5-J5</f>
        <v>2470.5882352941176</v>
      </c>
      <c r="L5" s="21">
        <f t="shared" ref="L5:L20" si="3">K5/E5</f>
        <v>0.41176470588235292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2</v>
      </c>
      <c r="B6" s="10" t="s">
        <v>17</v>
      </c>
      <c r="C6" s="11" t="s">
        <v>89</v>
      </c>
      <c r="D6" s="13">
        <v>13000</v>
      </c>
      <c r="E6" s="13">
        <f t="shared" si="0"/>
        <v>26000</v>
      </c>
      <c r="F6" s="2"/>
      <c r="G6" s="2"/>
      <c r="H6" s="2"/>
      <c r="I6" s="13">
        <f>48000/4</f>
        <v>12000</v>
      </c>
      <c r="J6" s="13">
        <f t="shared" si="1"/>
        <v>24000</v>
      </c>
      <c r="K6" s="13">
        <f t="shared" si="2"/>
        <v>2000</v>
      </c>
      <c r="L6" s="21">
        <f t="shared" si="3"/>
        <v>7.6923076923076927E-2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23</v>
      </c>
      <c r="C7" s="11" t="s">
        <v>22</v>
      </c>
      <c r="D7" s="13">
        <v>17000</v>
      </c>
      <c r="E7" s="13">
        <f t="shared" si="0"/>
        <v>17000</v>
      </c>
      <c r="F7" s="2"/>
      <c r="G7" s="2"/>
      <c r="H7" s="2"/>
      <c r="I7" s="13">
        <v>13000</v>
      </c>
      <c r="J7" s="13">
        <f t="shared" si="1"/>
        <v>13000</v>
      </c>
      <c r="K7" s="13">
        <f t="shared" si="2"/>
        <v>4000</v>
      </c>
      <c r="L7" s="32">
        <f t="shared" si="3"/>
        <v>0.23529411764705882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3</v>
      </c>
      <c r="B8" s="10" t="s">
        <v>23</v>
      </c>
      <c r="C8" s="11" t="s">
        <v>85</v>
      </c>
      <c r="D8" s="13">
        <v>55000</v>
      </c>
      <c r="E8" s="13">
        <f t="shared" si="0"/>
        <v>165000</v>
      </c>
      <c r="F8" s="2"/>
      <c r="G8" s="2"/>
      <c r="H8" s="2"/>
      <c r="I8" s="13">
        <v>50000</v>
      </c>
      <c r="J8" s="13">
        <f t="shared" si="1"/>
        <v>150000</v>
      </c>
      <c r="K8" s="13">
        <f t="shared" si="2"/>
        <v>15000</v>
      </c>
      <c r="L8" s="32">
        <f t="shared" si="3"/>
        <v>9.0909090909090912E-2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2</v>
      </c>
      <c r="B9" s="10" t="s">
        <v>17</v>
      </c>
      <c r="C9" s="11" t="s">
        <v>113</v>
      </c>
      <c r="D9" s="13">
        <v>4000</v>
      </c>
      <c r="E9" s="13">
        <f t="shared" si="0"/>
        <v>8000</v>
      </c>
      <c r="F9" s="2"/>
      <c r="G9" s="2"/>
      <c r="H9" s="2"/>
      <c r="I9" s="13">
        <v>2500</v>
      </c>
      <c r="J9" s="13">
        <f t="shared" si="1"/>
        <v>5000</v>
      </c>
      <c r="K9" s="13">
        <f t="shared" si="2"/>
        <v>3000</v>
      </c>
      <c r="L9" s="32">
        <f t="shared" si="3"/>
        <v>0.375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1</v>
      </c>
      <c r="B10" s="10" t="s">
        <v>21</v>
      </c>
      <c r="C10" s="11" t="s">
        <v>112</v>
      </c>
      <c r="D10" s="13">
        <v>3000</v>
      </c>
      <c r="E10" s="13">
        <f t="shared" si="0"/>
        <v>3000</v>
      </c>
      <c r="F10" s="2"/>
      <c r="G10" s="2"/>
      <c r="H10" s="2"/>
      <c r="I10" s="13">
        <v>2000</v>
      </c>
      <c r="J10" s="13">
        <f t="shared" si="1"/>
        <v>2000</v>
      </c>
      <c r="K10" s="13">
        <f t="shared" si="2"/>
        <v>1000</v>
      </c>
      <c r="L10" s="35">
        <f t="shared" si="3"/>
        <v>0.33333333333333331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1</v>
      </c>
      <c r="B11" s="10" t="s">
        <v>17</v>
      </c>
      <c r="C11" s="11" t="s">
        <v>31</v>
      </c>
      <c r="D11" s="13">
        <v>3000</v>
      </c>
      <c r="E11" s="13">
        <f t="shared" si="0"/>
        <v>3000</v>
      </c>
      <c r="F11" s="2"/>
      <c r="G11" s="2"/>
      <c r="H11" s="2"/>
      <c r="I11" s="13">
        <f>12000/7</f>
        <v>1714.2857142857142</v>
      </c>
      <c r="J11" s="13">
        <f t="shared" si="1"/>
        <v>1714.2857142857142</v>
      </c>
      <c r="K11" s="13">
        <f t="shared" si="2"/>
        <v>1285.7142857142858</v>
      </c>
      <c r="L11" s="32">
        <f t="shared" si="3"/>
        <v>0.4285714285714286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1</v>
      </c>
      <c r="B12" s="10" t="s">
        <v>17</v>
      </c>
      <c r="C12" s="11" t="s">
        <v>32</v>
      </c>
      <c r="D12" s="13">
        <v>2600</v>
      </c>
      <c r="E12" s="13">
        <f t="shared" si="0"/>
        <v>2600</v>
      </c>
      <c r="F12" s="2"/>
      <c r="G12" s="2"/>
      <c r="H12" s="2"/>
      <c r="I12" s="13">
        <f>8000/7</f>
        <v>1142.8571428571429</v>
      </c>
      <c r="J12" s="13">
        <f t="shared" si="1"/>
        <v>1142.8571428571429</v>
      </c>
      <c r="K12" s="13">
        <f t="shared" si="2"/>
        <v>1457.1428571428571</v>
      </c>
      <c r="L12" s="35">
        <f t="shared" si="3"/>
        <v>0.56043956043956045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15</v>
      </c>
      <c r="B13" s="10" t="s">
        <v>4</v>
      </c>
      <c r="C13" s="11" t="s">
        <v>65</v>
      </c>
      <c r="D13" s="13">
        <v>1600</v>
      </c>
      <c r="E13" s="13">
        <f t="shared" si="0"/>
        <v>24000</v>
      </c>
      <c r="F13" s="2"/>
      <c r="G13" s="2"/>
      <c r="H13" s="2"/>
      <c r="I13" s="13">
        <f>27000/50</f>
        <v>540</v>
      </c>
      <c r="J13" s="13">
        <f t="shared" si="1"/>
        <v>8100</v>
      </c>
      <c r="K13" s="13">
        <f t="shared" si="2"/>
        <v>15900</v>
      </c>
      <c r="L13" s="32">
        <f t="shared" si="3"/>
        <v>0.66249999999999998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4</v>
      </c>
      <c r="B14" s="10" t="s">
        <v>17</v>
      </c>
      <c r="C14" s="11" t="s">
        <v>27</v>
      </c>
      <c r="D14" s="13">
        <v>1800</v>
      </c>
      <c r="E14" s="13">
        <f t="shared" si="0"/>
        <v>7200</v>
      </c>
      <c r="F14" s="2"/>
      <c r="G14" s="2"/>
      <c r="H14" s="2"/>
      <c r="I14" s="13">
        <f>18000/17</f>
        <v>1058.8235294117646</v>
      </c>
      <c r="J14" s="13">
        <f t="shared" si="1"/>
        <v>4235.2941176470586</v>
      </c>
      <c r="K14" s="13">
        <f t="shared" si="2"/>
        <v>2964.7058823529414</v>
      </c>
      <c r="L14" s="32">
        <f t="shared" si="3"/>
        <v>0.41176470588235298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3</v>
      </c>
      <c r="B15" s="10" t="s">
        <v>21</v>
      </c>
      <c r="C15" s="11" t="s">
        <v>34</v>
      </c>
      <c r="D15" s="13">
        <v>5000</v>
      </c>
      <c r="E15" s="13">
        <f t="shared" si="0"/>
        <v>15000</v>
      </c>
      <c r="F15" s="2"/>
      <c r="G15" s="2"/>
      <c r="H15" s="2"/>
      <c r="I15" s="13">
        <v>2000</v>
      </c>
      <c r="J15" s="13">
        <f t="shared" si="1"/>
        <v>6000</v>
      </c>
      <c r="K15" s="13">
        <f t="shared" si="2"/>
        <v>9000</v>
      </c>
      <c r="L15" s="32">
        <f t="shared" si="3"/>
        <v>0.6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21</v>
      </c>
      <c r="C16" s="11" t="s">
        <v>1041</v>
      </c>
      <c r="D16" s="13">
        <v>3000</v>
      </c>
      <c r="E16" s="13">
        <f t="shared" si="0"/>
        <v>3000</v>
      </c>
      <c r="F16" s="2"/>
      <c r="G16" s="2"/>
      <c r="H16" s="2"/>
      <c r="I16" s="13">
        <v>2000</v>
      </c>
      <c r="J16" s="13">
        <f t="shared" si="1"/>
        <v>2000</v>
      </c>
      <c r="K16" s="13">
        <f t="shared" si="2"/>
        <v>1000</v>
      </c>
      <c r="L16" s="35">
        <f t="shared" si="3"/>
        <v>0.33333333333333331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1</v>
      </c>
      <c r="B17" s="10" t="s">
        <v>17</v>
      </c>
      <c r="C17" s="11" t="s">
        <v>93</v>
      </c>
      <c r="D17" s="13">
        <v>3000</v>
      </c>
      <c r="E17" s="13">
        <f t="shared" si="0"/>
        <v>3000</v>
      </c>
      <c r="F17" s="2"/>
      <c r="G17" s="2"/>
      <c r="H17" s="2"/>
      <c r="I17" s="13">
        <f>10000/7</f>
        <v>1428.5714285714287</v>
      </c>
      <c r="J17" s="13">
        <f t="shared" si="1"/>
        <v>1428.5714285714287</v>
      </c>
      <c r="K17" s="13">
        <f t="shared" si="2"/>
        <v>1571.4285714285713</v>
      </c>
      <c r="L17" s="35">
        <f t="shared" si="3"/>
        <v>0.52380952380952372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1</v>
      </c>
      <c r="B18" s="10" t="s">
        <v>17</v>
      </c>
      <c r="C18" s="11" t="s">
        <v>162</v>
      </c>
      <c r="D18" s="13">
        <v>4500</v>
      </c>
      <c r="E18" s="13">
        <f t="shared" si="0"/>
        <v>4500</v>
      </c>
      <c r="F18" s="2"/>
      <c r="G18" s="2"/>
      <c r="H18" s="2"/>
      <c r="I18" s="13">
        <v>3500</v>
      </c>
      <c r="J18" s="13">
        <f t="shared" si="1"/>
        <v>3500</v>
      </c>
      <c r="K18" s="13">
        <f t="shared" si="2"/>
        <v>1000</v>
      </c>
      <c r="L18" s="32">
        <f t="shared" si="3"/>
        <v>0.22222222222222221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1</v>
      </c>
      <c r="B19" s="10" t="s">
        <v>15</v>
      </c>
      <c r="C19" s="11" t="s">
        <v>40</v>
      </c>
      <c r="D19" s="13">
        <v>12000</v>
      </c>
      <c r="E19" s="13">
        <f t="shared" si="0"/>
        <v>12000</v>
      </c>
      <c r="F19" s="2"/>
      <c r="G19" s="2"/>
      <c r="H19" s="2"/>
      <c r="I19" s="13">
        <v>8000</v>
      </c>
      <c r="J19" s="13">
        <f t="shared" si="1"/>
        <v>8000</v>
      </c>
      <c r="K19" s="13">
        <f t="shared" si="2"/>
        <v>4000</v>
      </c>
      <c r="L19" s="32">
        <f t="shared" si="3"/>
        <v>0.33333333333333331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3</v>
      </c>
      <c r="B20" s="10" t="s">
        <v>17</v>
      </c>
      <c r="C20" s="11" t="s">
        <v>16</v>
      </c>
      <c r="D20" s="13">
        <v>1000</v>
      </c>
      <c r="E20" s="13">
        <f t="shared" si="0"/>
        <v>3000</v>
      </c>
      <c r="F20" s="2"/>
      <c r="G20" s="2"/>
      <c r="H20" s="2"/>
      <c r="I20" s="13">
        <f>8000/15</f>
        <v>533.33333333333337</v>
      </c>
      <c r="J20" s="13">
        <f t="shared" si="1"/>
        <v>1600</v>
      </c>
      <c r="K20" s="13">
        <f t="shared" si="2"/>
        <v>1400</v>
      </c>
      <c r="L20" s="32">
        <f t="shared" si="3"/>
        <v>0.46666666666666667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5"/>
      <c r="B21" s="2"/>
      <c r="C21" s="4"/>
      <c r="D21" s="2"/>
      <c r="E21" s="2"/>
      <c r="F21" s="2"/>
      <c r="G21" s="4"/>
      <c r="H21" s="2"/>
      <c r="I21" s="2"/>
      <c r="J21" s="2"/>
      <c r="K21" s="2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"/>
      <c r="B22" s="2"/>
      <c r="C22" s="4"/>
      <c r="D22" s="2"/>
      <c r="E22" s="13">
        <f>SUM(E5:E20)</f>
        <v>302300</v>
      </c>
      <c r="F22" s="2"/>
      <c r="G22" s="2"/>
      <c r="H22" s="2"/>
      <c r="I22" s="2"/>
      <c r="J22" s="2"/>
      <c r="K22" s="13">
        <f>SUM(K5:K20)</f>
        <v>67049.579831932788</v>
      </c>
      <c r="L22" s="14">
        <f>K22/E22</f>
        <v>0.22179814697959904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6" t="s">
        <v>121</v>
      </c>
      <c r="B25" s="1"/>
      <c r="C25" s="1"/>
      <c r="D25" s="22" t="s">
        <v>1112</v>
      </c>
      <c r="E25" s="8">
        <v>46132</v>
      </c>
      <c r="F25" s="24" t="s">
        <v>37</v>
      </c>
      <c r="G25" s="2"/>
      <c r="H25" s="2"/>
      <c r="I25" s="2"/>
      <c r="J25" s="2"/>
      <c r="K25" s="2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2"/>
      <c r="C26" s="4"/>
      <c r="D26" s="2"/>
      <c r="E26" s="2"/>
      <c r="F26" s="2"/>
      <c r="G26" s="2"/>
      <c r="H26" s="2"/>
      <c r="I26" s="2"/>
      <c r="J26" s="2"/>
      <c r="K26" s="2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6" t="s">
        <v>3</v>
      </c>
      <c r="B27" s="10" t="s">
        <v>4</v>
      </c>
      <c r="C27" s="11" t="s">
        <v>5</v>
      </c>
      <c r="D27" s="10" t="s">
        <v>6</v>
      </c>
      <c r="E27" s="10" t="s">
        <v>7</v>
      </c>
      <c r="F27" s="2"/>
      <c r="G27" s="2"/>
      <c r="H27" s="2"/>
      <c r="I27" s="10" t="s">
        <v>6</v>
      </c>
      <c r="J27" s="10" t="s">
        <v>7</v>
      </c>
      <c r="K27" s="10" t="s">
        <v>10</v>
      </c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1</v>
      </c>
      <c r="B28" s="10" t="s">
        <v>17</v>
      </c>
      <c r="C28" s="11" t="s">
        <v>99</v>
      </c>
      <c r="D28" s="13">
        <v>1000</v>
      </c>
      <c r="E28" s="13">
        <f t="shared" ref="E28:E38" si="4">A28*D28</f>
        <v>1000</v>
      </c>
      <c r="F28" s="2"/>
      <c r="G28" s="2"/>
      <c r="H28" s="2"/>
      <c r="I28" s="13">
        <f>5000/8</f>
        <v>625</v>
      </c>
      <c r="J28" s="13">
        <f t="shared" ref="J28:J38" si="5">I28*A28</f>
        <v>625</v>
      </c>
      <c r="K28" s="13">
        <f t="shared" ref="K28:K38" si="6">E28-J28</f>
        <v>375</v>
      </c>
      <c r="L28" s="21">
        <f t="shared" ref="L28:L38" si="7">K28/E28</f>
        <v>0.375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1</v>
      </c>
      <c r="B29" s="10" t="s">
        <v>23</v>
      </c>
      <c r="C29" s="11" t="s">
        <v>88</v>
      </c>
      <c r="D29" s="13">
        <v>23000</v>
      </c>
      <c r="E29" s="13">
        <f t="shared" si="4"/>
        <v>23000</v>
      </c>
      <c r="F29" s="2"/>
      <c r="G29" s="2"/>
      <c r="H29" s="2"/>
      <c r="I29" s="13">
        <f>13000</f>
        <v>13000</v>
      </c>
      <c r="J29" s="13">
        <f t="shared" si="5"/>
        <v>13000</v>
      </c>
      <c r="K29" s="13">
        <f t="shared" si="6"/>
        <v>10000</v>
      </c>
      <c r="L29" s="21">
        <f t="shared" si="7"/>
        <v>0.43478260869565216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1</v>
      </c>
      <c r="B30" s="10" t="s">
        <v>17</v>
      </c>
      <c r="C30" s="11" t="s">
        <v>162</v>
      </c>
      <c r="D30" s="13">
        <v>4500</v>
      </c>
      <c r="E30" s="13">
        <f t="shared" si="4"/>
        <v>4500</v>
      </c>
      <c r="F30" s="2"/>
      <c r="G30" s="2"/>
      <c r="H30" s="2"/>
      <c r="I30" s="13">
        <v>3500</v>
      </c>
      <c r="J30" s="13">
        <f t="shared" si="5"/>
        <v>3500</v>
      </c>
      <c r="K30" s="13">
        <f t="shared" si="6"/>
        <v>1000</v>
      </c>
      <c r="L30" s="21">
        <f t="shared" si="7"/>
        <v>0.22222222222222221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1</v>
      </c>
      <c r="B31" s="10" t="s">
        <v>21</v>
      </c>
      <c r="C31" s="11" t="s">
        <v>112</v>
      </c>
      <c r="D31" s="13">
        <v>3000</v>
      </c>
      <c r="E31" s="13">
        <f t="shared" si="4"/>
        <v>3000</v>
      </c>
      <c r="F31" s="2"/>
      <c r="G31" s="2"/>
      <c r="H31" s="2"/>
      <c r="I31" s="13">
        <v>2000</v>
      </c>
      <c r="J31" s="13">
        <f t="shared" si="5"/>
        <v>2000</v>
      </c>
      <c r="K31" s="13">
        <f t="shared" si="6"/>
        <v>1000</v>
      </c>
      <c r="L31" s="21">
        <f t="shared" si="7"/>
        <v>0.33333333333333331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1</v>
      </c>
      <c r="B32" s="10" t="s">
        <v>17</v>
      </c>
      <c r="C32" s="11" t="s">
        <v>32</v>
      </c>
      <c r="D32" s="13">
        <v>2600</v>
      </c>
      <c r="E32" s="13">
        <f t="shared" si="4"/>
        <v>2600</v>
      </c>
      <c r="F32" s="2"/>
      <c r="G32" s="2"/>
      <c r="H32" s="2"/>
      <c r="I32" s="13">
        <f>10000/7</f>
        <v>1428.5714285714287</v>
      </c>
      <c r="J32" s="13">
        <f t="shared" si="5"/>
        <v>1428.5714285714287</v>
      </c>
      <c r="K32" s="13">
        <f t="shared" si="6"/>
        <v>1171.4285714285713</v>
      </c>
      <c r="L32" s="21">
        <f t="shared" si="7"/>
        <v>0.4505494505494505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1</v>
      </c>
      <c r="B33" s="10" t="s">
        <v>17</v>
      </c>
      <c r="C33" s="11" t="s">
        <v>31</v>
      </c>
      <c r="D33" s="13">
        <v>3000</v>
      </c>
      <c r="E33" s="13">
        <f t="shared" si="4"/>
        <v>3000</v>
      </c>
      <c r="F33" s="2"/>
      <c r="G33" s="2"/>
      <c r="H33" s="2"/>
      <c r="I33" s="13">
        <f>12000/7</f>
        <v>1714.2857142857142</v>
      </c>
      <c r="J33" s="13">
        <f t="shared" si="5"/>
        <v>1714.2857142857142</v>
      </c>
      <c r="K33" s="13">
        <f t="shared" si="6"/>
        <v>1285.7142857142858</v>
      </c>
      <c r="L33" s="21">
        <f t="shared" si="7"/>
        <v>0.4285714285714286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1</v>
      </c>
      <c r="B34" s="10" t="s">
        <v>17</v>
      </c>
      <c r="C34" s="11" t="s">
        <v>27</v>
      </c>
      <c r="D34" s="13">
        <v>1800</v>
      </c>
      <c r="E34" s="13">
        <f t="shared" si="4"/>
        <v>1800</v>
      </c>
      <c r="F34" s="2"/>
      <c r="G34" s="2"/>
      <c r="H34" s="2"/>
      <c r="I34" s="13">
        <f>18000/17</f>
        <v>1058.8235294117646</v>
      </c>
      <c r="J34" s="13">
        <f t="shared" si="5"/>
        <v>1058.8235294117646</v>
      </c>
      <c r="K34" s="13">
        <f t="shared" si="6"/>
        <v>741.17647058823536</v>
      </c>
      <c r="L34" s="21">
        <f t="shared" si="7"/>
        <v>0.41176470588235298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5</v>
      </c>
      <c r="B35" s="10" t="s">
        <v>4</v>
      </c>
      <c r="C35" s="11" t="s">
        <v>65</v>
      </c>
      <c r="D35" s="13">
        <v>1600</v>
      </c>
      <c r="E35" s="13">
        <f t="shared" si="4"/>
        <v>8000</v>
      </c>
      <c r="F35" s="2"/>
      <c r="G35" s="2"/>
      <c r="H35" s="2"/>
      <c r="I35" s="13">
        <f>27000/50</f>
        <v>540</v>
      </c>
      <c r="J35" s="13">
        <f t="shared" si="5"/>
        <v>2700</v>
      </c>
      <c r="K35" s="13">
        <f t="shared" si="6"/>
        <v>5300</v>
      </c>
      <c r="L35" s="21">
        <f t="shared" si="7"/>
        <v>0.66249999999999998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2</v>
      </c>
      <c r="B36" s="10" t="s">
        <v>17</v>
      </c>
      <c r="C36" s="11" t="s">
        <v>73</v>
      </c>
      <c r="D36" s="13">
        <v>1600</v>
      </c>
      <c r="E36" s="13">
        <f t="shared" si="4"/>
        <v>3200</v>
      </c>
      <c r="F36" s="2"/>
      <c r="G36" s="2"/>
      <c r="H36" s="2"/>
      <c r="I36" s="13">
        <f>12000/15</f>
        <v>800</v>
      </c>
      <c r="J36" s="13">
        <f t="shared" si="5"/>
        <v>1600</v>
      </c>
      <c r="K36" s="13">
        <f t="shared" si="6"/>
        <v>1600</v>
      </c>
      <c r="L36" s="21">
        <f t="shared" si="7"/>
        <v>0.5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0.5</v>
      </c>
      <c r="B37" s="10" t="s">
        <v>17</v>
      </c>
      <c r="C37" s="11" t="s">
        <v>1085</v>
      </c>
      <c r="D37" s="13">
        <v>4000</v>
      </c>
      <c r="E37" s="13">
        <f t="shared" si="4"/>
        <v>2000</v>
      </c>
      <c r="F37" s="2"/>
      <c r="G37" s="2"/>
      <c r="H37" s="2"/>
      <c r="I37" s="13">
        <f>25000/8</f>
        <v>3125</v>
      </c>
      <c r="J37" s="13">
        <f t="shared" si="5"/>
        <v>1562.5</v>
      </c>
      <c r="K37" s="13">
        <f t="shared" si="6"/>
        <v>437.5</v>
      </c>
      <c r="L37" s="21">
        <f t="shared" si="7"/>
        <v>0.21875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1</v>
      </c>
      <c r="B38" s="10" t="s">
        <v>17</v>
      </c>
      <c r="C38" s="11" t="s">
        <v>61</v>
      </c>
      <c r="D38" s="13">
        <v>2800</v>
      </c>
      <c r="E38" s="13">
        <f t="shared" si="4"/>
        <v>2800</v>
      </c>
      <c r="F38" s="2"/>
      <c r="G38" s="2"/>
      <c r="H38" s="2"/>
      <c r="I38" s="13">
        <f>30000/14</f>
        <v>2142.8571428571427</v>
      </c>
      <c r="J38" s="13">
        <f t="shared" si="5"/>
        <v>2142.8571428571427</v>
      </c>
      <c r="K38" s="13">
        <f t="shared" si="6"/>
        <v>657.14285714285734</v>
      </c>
      <c r="L38" s="21">
        <f t="shared" si="7"/>
        <v>0.23469387755102047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5"/>
      <c r="B39" s="2"/>
      <c r="C39" s="4"/>
      <c r="D39" s="2"/>
      <c r="E39" s="2"/>
      <c r="F39" s="2"/>
      <c r="G39" s="4"/>
      <c r="H39" s="2"/>
      <c r="I39" s="2"/>
      <c r="J39" s="2"/>
      <c r="K39" s="2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"/>
      <c r="B40" s="2"/>
      <c r="C40" s="4"/>
      <c r="D40" s="2"/>
      <c r="E40" s="13">
        <f>SUM(E28:E38)</f>
        <v>54900</v>
      </c>
      <c r="F40" s="2"/>
      <c r="G40" s="2"/>
      <c r="H40" s="2"/>
      <c r="I40" s="2"/>
      <c r="J40" s="2"/>
      <c r="K40" s="13">
        <f>SUM(K28:K38)</f>
        <v>23567.962184873952</v>
      </c>
      <c r="L40" s="14">
        <f>K40/E40</f>
        <v>0.42928892868622864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0"/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6" t="s">
        <v>116</v>
      </c>
      <c r="B44" s="1"/>
      <c r="C44" s="1"/>
      <c r="D44" s="22" t="s">
        <v>1113</v>
      </c>
      <c r="E44" s="8">
        <v>46132</v>
      </c>
      <c r="F44" s="24" t="s">
        <v>37</v>
      </c>
      <c r="G44" s="2"/>
      <c r="H44" s="2"/>
      <c r="I44" s="2"/>
      <c r="J44" s="2"/>
      <c r="K44" s="2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2"/>
      <c r="C45" s="4"/>
      <c r="D45" s="2"/>
      <c r="E45" s="2"/>
      <c r="F45" s="2"/>
      <c r="G45" s="2"/>
      <c r="H45" s="2"/>
      <c r="I45" s="2"/>
      <c r="J45" s="2"/>
      <c r="K45" s="2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6" t="s">
        <v>3</v>
      </c>
      <c r="B46" s="10" t="s">
        <v>4</v>
      </c>
      <c r="C46" s="11" t="s">
        <v>5</v>
      </c>
      <c r="D46" s="10" t="s">
        <v>6</v>
      </c>
      <c r="E46" s="10" t="s">
        <v>7</v>
      </c>
      <c r="F46" s="2"/>
      <c r="G46" s="2"/>
      <c r="H46" s="2"/>
      <c r="I46" s="10" t="s">
        <v>6</v>
      </c>
      <c r="J46" s="10" t="s">
        <v>7</v>
      </c>
      <c r="K46" s="10" t="s">
        <v>10</v>
      </c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1</v>
      </c>
      <c r="B47" s="10" t="s">
        <v>23</v>
      </c>
      <c r="C47" s="11" t="s">
        <v>46</v>
      </c>
      <c r="D47" s="13">
        <v>10000</v>
      </c>
      <c r="E47" s="13">
        <f t="shared" ref="E47:E64" si="8">A47*D47</f>
        <v>10000</v>
      </c>
      <c r="F47" s="2"/>
      <c r="G47" s="2"/>
      <c r="H47" s="2"/>
      <c r="I47" s="13">
        <v>6000</v>
      </c>
      <c r="J47" s="13">
        <f t="shared" ref="J47:J64" si="9">I47*A47</f>
        <v>6000</v>
      </c>
      <c r="K47" s="13">
        <f t="shared" ref="K47:K64" si="10">E47-J47</f>
        <v>4000</v>
      </c>
      <c r="L47" s="14">
        <f t="shared" ref="L47:L64" si="11">K47/E47</f>
        <v>0.4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1.5</v>
      </c>
      <c r="B48" s="10" t="s">
        <v>17</v>
      </c>
      <c r="C48" s="11" t="s">
        <v>110</v>
      </c>
      <c r="D48" s="13">
        <v>4000</v>
      </c>
      <c r="E48" s="13">
        <f t="shared" si="8"/>
        <v>6000</v>
      </c>
      <c r="F48" s="2"/>
      <c r="G48" s="2"/>
      <c r="H48" s="2"/>
      <c r="I48" s="13">
        <v>2143</v>
      </c>
      <c r="J48" s="13">
        <f t="shared" si="9"/>
        <v>3214.5</v>
      </c>
      <c r="K48" s="13">
        <f t="shared" si="10"/>
        <v>2785.5</v>
      </c>
      <c r="L48" s="14">
        <f t="shared" si="11"/>
        <v>0.46425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1.5</v>
      </c>
      <c r="B49" s="10" t="s">
        <v>17</v>
      </c>
      <c r="C49" s="11" t="s">
        <v>118</v>
      </c>
      <c r="D49" s="13">
        <v>4000</v>
      </c>
      <c r="E49" s="13">
        <f t="shared" si="8"/>
        <v>6000</v>
      </c>
      <c r="F49" s="2"/>
      <c r="G49" s="2"/>
      <c r="H49" s="2"/>
      <c r="I49" s="13">
        <v>2571</v>
      </c>
      <c r="J49" s="13">
        <f t="shared" si="9"/>
        <v>3856.5</v>
      </c>
      <c r="K49" s="13">
        <f t="shared" si="10"/>
        <v>2143.5</v>
      </c>
      <c r="L49" s="14">
        <f t="shared" si="11"/>
        <v>0.35725000000000001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12</v>
      </c>
      <c r="B50" s="10" t="s">
        <v>4</v>
      </c>
      <c r="C50" s="11" t="s">
        <v>65</v>
      </c>
      <c r="D50" s="13">
        <v>1200</v>
      </c>
      <c r="E50" s="13">
        <f t="shared" si="8"/>
        <v>14400</v>
      </c>
      <c r="F50" s="2"/>
      <c r="G50" s="2"/>
      <c r="H50" s="2"/>
      <c r="I50" s="13">
        <f>27000/50</f>
        <v>540</v>
      </c>
      <c r="J50" s="13">
        <f t="shared" si="9"/>
        <v>6480</v>
      </c>
      <c r="K50" s="13">
        <f t="shared" si="10"/>
        <v>7920</v>
      </c>
      <c r="L50" s="14">
        <f t="shared" si="11"/>
        <v>0.55000000000000004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1</v>
      </c>
      <c r="B51" s="10" t="s">
        <v>21</v>
      </c>
      <c r="C51" s="11" t="s">
        <v>28</v>
      </c>
      <c r="D51" s="13">
        <v>3500</v>
      </c>
      <c r="E51" s="13">
        <f t="shared" si="8"/>
        <v>3500</v>
      </c>
      <c r="F51" s="2"/>
      <c r="G51" s="2"/>
      <c r="H51" s="2"/>
      <c r="I51" s="13">
        <v>2500</v>
      </c>
      <c r="J51" s="13">
        <f t="shared" si="9"/>
        <v>2500</v>
      </c>
      <c r="K51" s="13">
        <f t="shared" si="10"/>
        <v>1000</v>
      </c>
      <c r="L51" s="14">
        <f t="shared" si="11"/>
        <v>0.2857142857142857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2</v>
      </c>
      <c r="B52" s="10" t="s">
        <v>15</v>
      </c>
      <c r="C52" s="11" t="s">
        <v>27</v>
      </c>
      <c r="D52" s="13">
        <v>24000</v>
      </c>
      <c r="E52" s="13">
        <f t="shared" si="8"/>
        <v>48000</v>
      </c>
      <c r="F52" s="2"/>
      <c r="G52" s="2"/>
      <c r="H52" s="2"/>
      <c r="I52" s="13">
        <v>18000</v>
      </c>
      <c r="J52" s="13">
        <f t="shared" si="9"/>
        <v>36000</v>
      </c>
      <c r="K52" s="13">
        <f t="shared" si="10"/>
        <v>12000</v>
      </c>
      <c r="L52" s="14">
        <f t="shared" si="11"/>
        <v>0.25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0.5</v>
      </c>
      <c r="B53" s="10" t="s">
        <v>23</v>
      </c>
      <c r="C53" s="11" t="s">
        <v>85</v>
      </c>
      <c r="D53" s="13">
        <v>58000</v>
      </c>
      <c r="E53" s="13">
        <f t="shared" si="8"/>
        <v>29000</v>
      </c>
      <c r="F53" s="2"/>
      <c r="G53" s="2"/>
      <c r="H53" s="2"/>
      <c r="I53" s="13">
        <v>50000</v>
      </c>
      <c r="J53" s="13">
        <f t="shared" si="9"/>
        <v>25000</v>
      </c>
      <c r="K53" s="13">
        <f t="shared" si="10"/>
        <v>4000</v>
      </c>
      <c r="L53" s="14">
        <f t="shared" si="11"/>
        <v>0.13793103448275862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2</v>
      </c>
      <c r="B54" s="10" t="s">
        <v>23</v>
      </c>
      <c r="C54" s="11" t="s">
        <v>22</v>
      </c>
      <c r="D54" s="13">
        <v>17000</v>
      </c>
      <c r="E54" s="13">
        <f t="shared" si="8"/>
        <v>34000</v>
      </c>
      <c r="F54" s="2"/>
      <c r="G54" s="2"/>
      <c r="H54" s="2"/>
      <c r="I54" s="13">
        <v>13000</v>
      </c>
      <c r="J54" s="13">
        <f t="shared" si="9"/>
        <v>26000</v>
      </c>
      <c r="K54" s="13">
        <f t="shared" si="10"/>
        <v>8000</v>
      </c>
      <c r="L54" s="14">
        <f t="shared" si="11"/>
        <v>0.23529411764705882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</v>
      </c>
      <c r="B55" s="10" t="s">
        <v>17</v>
      </c>
      <c r="C55" s="11" t="s">
        <v>30</v>
      </c>
      <c r="D55" s="13">
        <v>2600</v>
      </c>
      <c r="E55" s="13">
        <f t="shared" si="8"/>
        <v>2600</v>
      </c>
      <c r="F55" s="2"/>
      <c r="G55" s="2"/>
      <c r="H55" s="2"/>
      <c r="I55" s="13">
        <v>2000</v>
      </c>
      <c r="J55" s="13">
        <f t="shared" si="9"/>
        <v>2000</v>
      </c>
      <c r="K55" s="13">
        <f t="shared" si="10"/>
        <v>600</v>
      </c>
      <c r="L55" s="14">
        <f t="shared" si="11"/>
        <v>0.23076923076923078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1</v>
      </c>
      <c r="B56" s="10" t="s">
        <v>17</v>
      </c>
      <c r="C56" s="11" t="s">
        <v>33</v>
      </c>
      <c r="D56" s="13">
        <v>3000</v>
      </c>
      <c r="E56" s="13">
        <f t="shared" si="8"/>
        <v>3000</v>
      </c>
      <c r="F56" s="2"/>
      <c r="G56" s="2"/>
      <c r="H56" s="2"/>
      <c r="I56" s="13">
        <f>14000/7</f>
        <v>2000</v>
      </c>
      <c r="J56" s="13">
        <f t="shared" si="9"/>
        <v>2000</v>
      </c>
      <c r="K56" s="13">
        <f t="shared" si="10"/>
        <v>1000</v>
      </c>
      <c r="L56" s="14">
        <f t="shared" si="11"/>
        <v>0.33333333333333331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1</v>
      </c>
      <c r="B57" s="10" t="s">
        <v>17</v>
      </c>
      <c r="C57" s="11" t="s">
        <v>32</v>
      </c>
      <c r="D57" s="13">
        <v>2600</v>
      </c>
      <c r="E57" s="13">
        <f t="shared" si="8"/>
        <v>2600</v>
      </c>
      <c r="F57" s="2"/>
      <c r="G57" s="2"/>
      <c r="H57" s="2"/>
      <c r="I57" s="13">
        <f>8000/7</f>
        <v>1142.8571428571429</v>
      </c>
      <c r="J57" s="13">
        <f t="shared" si="9"/>
        <v>1142.8571428571429</v>
      </c>
      <c r="K57" s="13">
        <f t="shared" si="10"/>
        <v>1457.1428571428571</v>
      </c>
      <c r="L57" s="14">
        <f t="shared" si="11"/>
        <v>0.56043956043956045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1</v>
      </c>
      <c r="B58" s="10" t="s">
        <v>17</v>
      </c>
      <c r="C58" s="11" t="s">
        <v>31</v>
      </c>
      <c r="D58" s="13">
        <v>3000</v>
      </c>
      <c r="E58" s="13">
        <f t="shared" si="8"/>
        <v>3000</v>
      </c>
      <c r="F58" s="2"/>
      <c r="G58" s="2"/>
      <c r="H58" s="2"/>
      <c r="I58" s="13">
        <f>12000/7</f>
        <v>1714.2857142857142</v>
      </c>
      <c r="J58" s="13">
        <f t="shared" si="9"/>
        <v>1714.2857142857142</v>
      </c>
      <c r="K58" s="13">
        <f t="shared" si="10"/>
        <v>1285.7142857142858</v>
      </c>
      <c r="L58" s="14">
        <f t="shared" si="11"/>
        <v>0.4285714285714286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4</v>
      </c>
      <c r="B59" s="10" t="s">
        <v>4</v>
      </c>
      <c r="C59" s="11" t="s">
        <v>41</v>
      </c>
      <c r="D59" s="13">
        <v>2500</v>
      </c>
      <c r="E59" s="13">
        <f t="shared" si="8"/>
        <v>10000</v>
      </c>
      <c r="F59" s="2"/>
      <c r="G59" s="2"/>
      <c r="H59" s="2"/>
      <c r="I59" s="13">
        <f>1500</f>
        <v>1500</v>
      </c>
      <c r="J59" s="13">
        <f t="shared" si="9"/>
        <v>6000</v>
      </c>
      <c r="K59" s="13">
        <f t="shared" si="10"/>
        <v>4000</v>
      </c>
      <c r="L59" s="14">
        <f t="shared" si="11"/>
        <v>0.4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1</v>
      </c>
      <c r="B60" s="10" t="s">
        <v>23</v>
      </c>
      <c r="C60" s="11" t="s">
        <v>93</v>
      </c>
      <c r="D60" s="13">
        <v>20000</v>
      </c>
      <c r="E60" s="13">
        <f t="shared" si="8"/>
        <v>20000</v>
      </c>
      <c r="F60" s="2"/>
      <c r="G60" s="2"/>
      <c r="H60" s="2"/>
      <c r="I60" s="13">
        <v>10000</v>
      </c>
      <c r="J60" s="13">
        <f t="shared" si="9"/>
        <v>10000</v>
      </c>
      <c r="K60" s="13">
        <f t="shared" si="10"/>
        <v>10000</v>
      </c>
      <c r="L60" s="14">
        <f t="shared" si="11"/>
        <v>0.5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10</v>
      </c>
      <c r="B61" s="10" t="s">
        <v>17</v>
      </c>
      <c r="C61" s="11" t="s">
        <v>88</v>
      </c>
      <c r="D61" s="13">
        <v>1800</v>
      </c>
      <c r="E61" s="13">
        <f t="shared" si="8"/>
        <v>18000</v>
      </c>
      <c r="F61" s="2"/>
      <c r="G61" s="2"/>
      <c r="H61" s="2"/>
      <c r="I61" s="13">
        <f>13000/14</f>
        <v>928.57142857142856</v>
      </c>
      <c r="J61" s="13">
        <f t="shared" si="9"/>
        <v>9285.7142857142862</v>
      </c>
      <c r="K61" s="13">
        <f t="shared" si="10"/>
        <v>8714.2857142857138</v>
      </c>
      <c r="L61" s="14">
        <f t="shared" si="11"/>
        <v>0.48412698412698407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4</v>
      </c>
      <c r="B62" s="10" t="s">
        <v>17</v>
      </c>
      <c r="C62" s="11" t="s">
        <v>123</v>
      </c>
      <c r="D62" s="13">
        <v>3000</v>
      </c>
      <c r="E62" s="13">
        <f t="shared" si="8"/>
        <v>12000</v>
      </c>
      <c r="F62" s="2"/>
      <c r="G62" s="2"/>
      <c r="H62" s="2"/>
      <c r="I62" s="13">
        <v>2133</v>
      </c>
      <c r="J62" s="13">
        <f t="shared" si="9"/>
        <v>8532</v>
      </c>
      <c r="K62" s="13">
        <f t="shared" si="10"/>
        <v>3468</v>
      </c>
      <c r="L62" s="14">
        <f t="shared" si="11"/>
        <v>0.28899999999999998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1</v>
      </c>
      <c r="B63" s="10" t="s">
        <v>21</v>
      </c>
      <c r="C63" s="11" t="s">
        <v>112</v>
      </c>
      <c r="D63" s="13">
        <v>3000</v>
      </c>
      <c r="E63" s="13">
        <f t="shared" si="8"/>
        <v>3000</v>
      </c>
      <c r="F63" s="2"/>
      <c r="G63" s="2"/>
      <c r="H63" s="2"/>
      <c r="I63" s="13">
        <v>2000</v>
      </c>
      <c r="J63" s="13">
        <f t="shared" si="9"/>
        <v>2000</v>
      </c>
      <c r="K63" s="13">
        <f t="shared" si="10"/>
        <v>1000</v>
      </c>
      <c r="L63" s="14">
        <f t="shared" si="11"/>
        <v>0.33333333333333331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1</v>
      </c>
      <c r="B64" s="10" t="s">
        <v>17</v>
      </c>
      <c r="C64" s="11" t="s">
        <v>39</v>
      </c>
      <c r="D64" s="13">
        <v>1800</v>
      </c>
      <c r="E64" s="13">
        <f t="shared" si="8"/>
        <v>1800</v>
      </c>
      <c r="F64" s="2"/>
      <c r="G64" s="2"/>
      <c r="H64" s="2"/>
      <c r="I64" s="13">
        <f>17000/15</f>
        <v>1133.3333333333333</v>
      </c>
      <c r="J64" s="13">
        <f t="shared" si="9"/>
        <v>1133.3333333333333</v>
      </c>
      <c r="K64" s="13">
        <f t="shared" si="10"/>
        <v>666.66666666666674</v>
      </c>
      <c r="L64" s="14">
        <f t="shared" si="11"/>
        <v>0.37037037037037041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"/>
      <c r="B65" s="2"/>
      <c r="C65" s="4"/>
      <c r="D65" s="2"/>
      <c r="E65" s="2"/>
      <c r="F65" s="2"/>
      <c r="G65" s="4"/>
      <c r="H65" s="2"/>
      <c r="I65" s="2"/>
      <c r="J65" s="2"/>
      <c r="K65" s="2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"/>
      <c r="B66" s="2"/>
      <c r="C66" s="4"/>
      <c r="D66" s="2"/>
      <c r="E66" s="13">
        <f>SUM(E47:E64)</f>
        <v>226900</v>
      </c>
      <c r="F66" s="2"/>
      <c r="G66" s="2"/>
      <c r="H66" s="2"/>
      <c r="I66" s="2"/>
      <c r="J66" s="2"/>
      <c r="K66" s="13">
        <f>SUM(K47:K64)</f>
        <v>74040.809523809527</v>
      </c>
      <c r="L66" s="14">
        <f>K66/E66</f>
        <v>0.32631471804235135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0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6" t="s">
        <v>149</v>
      </c>
      <c r="B69" s="1"/>
      <c r="C69" s="1"/>
      <c r="D69" s="22" t="s">
        <v>1097</v>
      </c>
      <c r="E69" s="8">
        <v>46132</v>
      </c>
      <c r="F69" s="24" t="s">
        <v>37</v>
      </c>
      <c r="G69" s="2"/>
      <c r="H69" s="2"/>
      <c r="I69" s="2"/>
      <c r="J69" s="2"/>
      <c r="K69" s="2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2"/>
      <c r="C70" s="4"/>
      <c r="D70" s="2"/>
      <c r="E70" s="2"/>
      <c r="F70" s="2"/>
      <c r="G70" s="2"/>
      <c r="H70" s="2"/>
      <c r="I70" s="2"/>
      <c r="J70" s="2"/>
      <c r="K70" s="2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6" t="s">
        <v>3</v>
      </c>
      <c r="B71" s="10" t="s">
        <v>4</v>
      </c>
      <c r="C71" s="11" t="s">
        <v>5</v>
      </c>
      <c r="D71" s="10" t="s">
        <v>6</v>
      </c>
      <c r="E71" s="10" t="s">
        <v>7</v>
      </c>
      <c r="F71" s="2"/>
      <c r="G71" s="2"/>
      <c r="H71" s="2"/>
      <c r="I71" s="10" t="s">
        <v>6</v>
      </c>
      <c r="J71" s="10" t="s">
        <v>7</v>
      </c>
      <c r="K71" s="10" t="s">
        <v>10</v>
      </c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3</v>
      </c>
      <c r="B72" s="10" t="s">
        <v>15</v>
      </c>
      <c r="C72" s="11" t="s">
        <v>27</v>
      </c>
      <c r="D72" s="13">
        <v>24000</v>
      </c>
      <c r="E72" s="13">
        <f t="shared" ref="E72:E88" si="12">A72*D72</f>
        <v>72000</v>
      </c>
      <c r="F72" s="2"/>
      <c r="G72" s="2"/>
      <c r="H72" s="2"/>
      <c r="I72" s="13">
        <v>18000</v>
      </c>
      <c r="J72" s="13">
        <f t="shared" ref="J72:J88" si="13">I72*A72</f>
        <v>54000</v>
      </c>
      <c r="K72" s="13">
        <f t="shared" ref="K72:K88" si="14">E72-J72</f>
        <v>18000</v>
      </c>
      <c r="L72" s="14">
        <f t="shared" ref="L72:L88" si="15">K72/E72</f>
        <v>0.25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1</v>
      </c>
      <c r="B73" s="10" t="s">
        <v>23</v>
      </c>
      <c r="C73" s="11" t="s">
        <v>31</v>
      </c>
      <c r="D73" s="13">
        <v>20000</v>
      </c>
      <c r="E73" s="13">
        <f t="shared" si="12"/>
        <v>20000</v>
      </c>
      <c r="F73" s="2"/>
      <c r="G73" s="2"/>
      <c r="H73" s="2"/>
      <c r="I73" s="13">
        <v>12000</v>
      </c>
      <c r="J73" s="13">
        <f t="shared" si="13"/>
        <v>12000</v>
      </c>
      <c r="K73" s="13">
        <f t="shared" si="14"/>
        <v>8000</v>
      </c>
      <c r="L73" s="14">
        <f t="shared" si="15"/>
        <v>0.4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12</v>
      </c>
      <c r="B74" s="10" t="s">
        <v>4</v>
      </c>
      <c r="C74" s="11" t="s">
        <v>65</v>
      </c>
      <c r="D74" s="13">
        <v>1000</v>
      </c>
      <c r="E74" s="13">
        <f t="shared" si="12"/>
        <v>12000</v>
      </c>
      <c r="F74" s="2"/>
      <c r="G74" s="2"/>
      <c r="H74" s="2"/>
      <c r="I74" s="13">
        <f>27000/50</f>
        <v>540</v>
      </c>
      <c r="J74" s="13">
        <f t="shared" si="13"/>
        <v>6480</v>
      </c>
      <c r="K74" s="13">
        <f t="shared" si="14"/>
        <v>5520</v>
      </c>
      <c r="L74" s="14">
        <f t="shared" si="15"/>
        <v>0.46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1.7</v>
      </c>
      <c r="B75" s="10" t="s">
        <v>17</v>
      </c>
      <c r="C75" s="11" t="s">
        <v>110</v>
      </c>
      <c r="D75" s="13">
        <v>4000</v>
      </c>
      <c r="E75" s="13">
        <f t="shared" si="12"/>
        <v>6800</v>
      </c>
      <c r="F75" s="2"/>
      <c r="G75" s="2"/>
      <c r="H75" s="2"/>
      <c r="I75" s="13">
        <v>2143</v>
      </c>
      <c r="J75" s="13">
        <f t="shared" si="13"/>
        <v>3643.1</v>
      </c>
      <c r="K75" s="13">
        <f t="shared" si="14"/>
        <v>3156.9</v>
      </c>
      <c r="L75" s="14">
        <f t="shared" si="15"/>
        <v>0.46425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</v>
      </c>
      <c r="B76" s="10" t="s">
        <v>23</v>
      </c>
      <c r="C76" s="11" t="s">
        <v>118</v>
      </c>
      <c r="D76" s="13">
        <v>12000</v>
      </c>
      <c r="E76" s="13">
        <f t="shared" si="12"/>
        <v>12000</v>
      </c>
      <c r="F76" s="2"/>
      <c r="G76" s="2"/>
      <c r="H76" s="2"/>
      <c r="I76" s="13">
        <v>9000</v>
      </c>
      <c r="J76" s="13">
        <f t="shared" si="13"/>
        <v>9000</v>
      </c>
      <c r="K76" s="13">
        <f t="shared" si="14"/>
        <v>3000</v>
      </c>
      <c r="L76" s="14">
        <f t="shared" si="15"/>
        <v>0.25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1</v>
      </c>
      <c r="B77" s="10" t="s">
        <v>23</v>
      </c>
      <c r="C77" s="11" t="s">
        <v>46</v>
      </c>
      <c r="D77" s="13">
        <v>10000</v>
      </c>
      <c r="E77" s="13">
        <f t="shared" si="12"/>
        <v>10000</v>
      </c>
      <c r="F77" s="2"/>
      <c r="G77" s="2"/>
      <c r="H77" s="2"/>
      <c r="I77" s="13">
        <v>6000</v>
      </c>
      <c r="J77" s="13">
        <f t="shared" si="13"/>
        <v>6000</v>
      </c>
      <c r="K77" s="13">
        <f t="shared" si="14"/>
        <v>4000</v>
      </c>
      <c r="L77" s="14">
        <f t="shared" si="15"/>
        <v>0.4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0.5</v>
      </c>
      <c r="B78" s="10" t="s">
        <v>23</v>
      </c>
      <c r="C78" s="11" t="s">
        <v>85</v>
      </c>
      <c r="D78" s="13">
        <v>58000</v>
      </c>
      <c r="E78" s="13">
        <f t="shared" si="12"/>
        <v>29000</v>
      </c>
      <c r="F78" s="2"/>
      <c r="G78" s="2"/>
      <c r="H78" s="2"/>
      <c r="I78" s="13">
        <v>50000</v>
      </c>
      <c r="J78" s="13">
        <f t="shared" si="13"/>
        <v>25000</v>
      </c>
      <c r="K78" s="13">
        <f t="shared" si="14"/>
        <v>4000</v>
      </c>
      <c r="L78" s="14">
        <f t="shared" si="15"/>
        <v>0.13793103448275862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1</v>
      </c>
      <c r="B79" s="10" t="s">
        <v>21</v>
      </c>
      <c r="C79" s="11" t="s">
        <v>51</v>
      </c>
      <c r="D79" s="13">
        <v>1500</v>
      </c>
      <c r="E79" s="13">
        <f t="shared" si="12"/>
        <v>1500</v>
      </c>
      <c r="F79" s="2"/>
      <c r="G79" s="2"/>
      <c r="H79" s="2"/>
      <c r="I79" s="13">
        <f>4000/6</f>
        <v>666.66666666666663</v>
      </c>
      <c r="J79" s="13">
        <f t="shared" si="13"/>
        <v>666.66666666666663</v>
      </c>
      <c r="K79" s="13">
        <f t="shared" si="14"/>
        <v>833.33333333333337</v>
      </c>
      <c r="L79" s="14">
        <f t="shared" si="15"/>
        <v>0.55555555555555558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1</v>
      </c>
      <c r="B80" s="10" t="s">
        <v>23</v>
      </c>
      <c r="C80" s="11" t="s">
        <v>93</v>
      </c>
      <c r="D80" s="13">
        <v>20000</v>
      </c>
      <c r="E80" s="13">
        <f t="shared" si="12"/>
        <v>20000</v>
      </c>
      <c r="F80" s="2"/>
      <c r="G80" s="2"/>
      <c r="H80" s="2"/>
      <c r="I80" s="13">
        <v>10000</v>
      </c>
      <c r="J80" s="13">
        <f t="shared" si="13"/>
        <v>10000</v>
      </c>
      <c r="K80" s="13">
        <f t="shared" si="14"/>
        <v>10000</v>
      </c>
      <c r="L80" s="14">
        <f t="shared" si="15"/>
        <v>0.5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1</v>
      </c>
      <c r="B81" s="10" t="s">
        <v>15</v>
      </c>
      <c r="C81" s="11" t="s">
        <v>56</v>
      </c>
      <c r="D81" s="13">
        <v>15000</v>
      </c>
      <c r="E81" s="13">
        <f t="shared" si="12"/>
        <v>15000</v>
      </c>
      <c r="F81" s="2"/>
      <c r="G81" s="2"/>
      <c r="H81" s="2"/>
      <c r="I81" s="13">
        <v>9000</v>
      </c>
      <c r="J81" s="13">
        <f t="shared" si="13"/>
        <v>9000</v>
      </c>
      <c r="K81" s="13">
        <f t="shared" si="14"/>
        <v>6000</v>
      </c>
      <c r="L81" s="14">
        <f t="shared" si="15"/>
        <v>0.4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2</v>
      </c>
      <c r="B82" s="10" t="s">
        <v>23</v>
      </c>
      <c r="C82" s="11" t="s">
        <v>22</v>
      </c>
      <c r="D82" s="13">
        <v>17000</v>
      </c>
      <c r="E82" s="13">
        <f t="shared" si="12"/>
        <v>34000</v>
      </c>
      <c r="F82" s="2"/>
      <c r="G82" s="2"/>
      <c r="H82" s="2"/>
      <c r="I82" s="13">
        <v>13000</v>
      </c>
      <c r="J82" s="13">
        <f t="shared" si="13"/>
        <v>26000</v>
      </c>
      <c r="K82" s="13">
        <f t="shared" si="14"/>
        <v>8000</v>
      </c>
      <c r="L82" s="14">
        <f t="shared" si="15"/>
        <v>0.23529411764705882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1</v>
      </c>
      <c r="B83" s="10" t="s">
        <v>17</v>
      </c>
      <c r="C83" s="11" t="s">
        <v>32</v>
      </c>
      <c r="D83" s="13">
        <v>2600</v>
      </c>
      <c r="E83" s="13">
        <f t="shared" si="12"/>
        <v>2600</v>
      </c>
      <c r="F83" s="2"/>
      <c r="G83" s="2"/>
      <c r="H83" s="2"/>
      <c r="I83" s="13">
        <f>8000/7</f>
        <v>1142.8571428571429</v>
      </c>
      <c r="J83" s="13">
        <f t="shared" si="13"/>
        <v>1142.8571428571429</v>
      </c>
      <c r="K83" s="13">
        <f t="shared" si="14"/>
        <v>1457.1428571428571</v>
      </c>
      <c r="L83" s="14">
        <f t="shared" si="15"/>
        <v>0.56043956043956045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1</v>
      </c>
      <c r="B84" s="10" t="s">
        <v>17</v>
      </c>
      <c r="C84" s="11" t="s">
        <v>33</v>
      </c>
      <c r="D84" s="13">
        <v>3000</v>
      </c>
      <c r="E84" s="13">
        <f t="shared" si="12"/>
        <v>3000</v>
      </c>
      <c r="F84" s="2"/>
      <c r="G84" s="2"/>
      <c r="H84" s="2"/>
      <c r="I84" s="13">
        <f>14000/7</f>
        <v>2000</v>
      </c>
      <c r="J84" s="13">
        <f t="shared" si="13"/>
        <v>2000</v>
      </c>
      <c r="K84" s="13">
        <f t="shared" si="14"/>
        <v>1000</v>
      </c>
      <c r="L84" s="14">
        <f t="shared" si="15"/>
        <v>0.33333333333333331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</v>
      </c>
      <c r="B85" s="10" t="s">
        <v>17</v>
      </c>
      <c r="C85" s="11" t="s">
        <v>39</v>
      </c>
      <c r="D85" s="13">
        <v>1800</v>
      </c>
      <c r="E85" s="13">
        <f t="shared" si="12"/>
        <v>1800</v>
      </c>
      <c r="F85" s="2"/>
      <c r="G85" s="2"/>
      <c r="H85" s="2"/>
      <c r="I85" s="13">
        <f>17000/15</f>
        <v>1133.3333333333333</v>
      </c>
      <c r="J85" s="13">
        <f t="shared" si="13"/>
        <v>1133.3333333333333</v>
      </c>
      <c r="K85" s="13">
        <f t="shared" si="14"/>
        <v>666.66666666666674</v>
      </c>
      <c r="L85" s="14">
        <f t="shared" si="15"/>
        <v>0.37037037037037041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5</v>
      </c>
      <c r="B86" s="10" t="s">
        <v>4</v>
      </c>
      <c r="C86" s="11" t="s">
        <v>13</v>
      </c>
      <c r="D86" s="13">
        <v>900</v>
      </c>
      <c r="E86" s="13">
        <f t="shared" si="12"/>
        <v>4500</v>
      </c>
      <c r="F86" s="2"/>
      <c r="G86" s="2"/>
      <c r="H86" s="2"/>
      <c r="I86" s="13">
        <f>28000/50</f>
        <v>560</v>
      </c>
      <c r="J86" s="13">
        <f t="shared" si="13"/>
        <v>2800</v>
      </c>
      <c r="K86" s="13">
        <f t="shared" si="14"/>
        <v>1700</v>
      </c>
      <c r="L86" s="14">
        <f t="shared" si="15"/>
        <v>0.37777777777777777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1</v>
      </c>
      <c r="B87" s="10" t="s">
        <v>21</v>
      </c>
      <c r="C87" s="11" t="s">
        <v>29</v>
      </c>
      <c r="D87" s="13">
        <v>3000</v>
      </c>
      <c r="E87" s="13">
        <f t="shared" si="12"/>
        <v>3000</v>
      </c>
      <c r="F87" s="2"/>
      <c r="G87" s="2"/>
      <c r="H87" s="2"/>
      <c r="I87" s="13">
        <f>6000/5</f>
        <v>1200</v>
      </c>
      <c r="J87" s="13">
        <f t="shared" si="13"/>
        <v>1200</v>
      </c>
      <c r="K87" s="13">
        <f t="shared" si="14"/>
        <v>1800</v>
      </c>
      <c r="L87" s="14">
        <f t="shared" si="15"/>
        <v>0.6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1</v>
      </c>
      <c r="B88" s="10" t="s">
        <v>23</v>
      </c>
      <c r="C88" s="11" t="s">
        <v>88</v>
      </c>
      <c r="D88" s="13">
        <v>23000</v>
      </c>
      <c r="E88" s="13">
        <f t="shared" si="12"/>
        <v>23000</v>
      </c>
      <c r="F88" s="2"/>
      <c r="G88" s="2"/>
      <c r="H88" s="2"/>
      <c r="I88" s="13">
        <v>13000</v>
      </c>
      <c r="J88" s="13">
        <f t="shared" si="13"/>
        <v>13000</v>
      </c>
      <c r="K88" s="13">
        <f t="shared" si="14"/>
        <v>10000</v>
      </c>
      <c r="L88" s="14">
        <f t="shared" si="15"/>
        <v>0.43478260869565216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"/>
      <c r="B89" s="2"/>
      <c r="C89" s="4"/>
      <c r="D89" s="2"/>
      <c r="E89" s="2"/>
      <c r="F89" s="2"/>
      <c r="G89" s="4"/>
      <c r="H89" s="2"/>
      <c r="I89" s="2"/>
      <c r="J89" s="2"/>
      <c r="K89" s="2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"/>
      <c r="B90" s="2"/>
      <c r="C90" s="4"/>
      <c r="D90" s="2"/>
      <c r="E90" s="13">
        <f>SUM(E72:E88)</f>
        <v>270200</v>
      </c>
      <c r="F90" s="2"/>
      <c r="G90" s="2"/>
      <c r="H90" s="2"/>
      <c r="I90" s="2"/>
      <c r="J90" s="2"/>
      <c r="K90" s="13">
        <f>SUM(K72:K88)</f>
        <v>87134.042857142864</v>
      </c>
      <c r="L90" s="14">
        <f>K90/E90</f>
        <v>0.32247980332029186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0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0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6" t="s">
        <v>131</v>
      </c>
      <c r="B93" s="1"/>
      <c r="C93" s="1"/>
      <c r="D93" s="12" t="s">
        <v>1093</v>
      </c>
      <c r="E93" s="8">
        <v>46132</v>
      </c>
      <c r="F93" s="15" t="s">
        <v>37</v>
      </c>
      <c r="G93" s="2"/>
      <c r="H93" s="2"/>
      <c r="I93" s="2"/>
      <c r="J93" s="2"/>
      <c r="K93" s="2"/>
      <c r="L93" s="3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"/>
      <c r="B94" s="2"/>
      <c r="C94" s="1"/>
      <c r="D94" s="2"/>
      <c r="E94" s="2"/>
      <c r="F94" s="2"/>
      <c r="G94" s="2"/>
      <c r="H94" s="2"/>
      <c r="I94" s="2"/>
      <c r="J94" s="2"/>
      <c r="K94" s="2"/>
      <c r="L94" s="3"/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6" t="s">
        <v>3</v>
      </c>
      <c r="B95" s="10" t="s">
        <v>4</v>
      </c>
      <c r="C95" s="6" t="s">
        <v>5</v>
      </c>
      <c r="D95" s="10" t="s">
        <v>6</v>
      </c>
      <c r="E95" s="10" t="s">
        <v>7</v>
      </c>
      <c r="F95" s="2"/>
      <c r="G95" s="2"/>
      <c r="H95" s="2"/>
      <c r="I95" s="10" t="s">
        <v>6</v>
      </c>
      <c r="J95" s="10" t="s">
        <v>7</v>
      </c>
      <c r="K95" s="10" t="s">
        <v>10</v>
      </c>
      <c r="L95" s="3"/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1</v>
      </c>
      <c r="B96" s="10" t="s">
        <v>21</v>
      </c>
      <c r="C96" s="6" t="s">
        <v>1114</v>
      </c>
      <c r="D96" s="13">
        <v>3000</v>
      </c>
      <c r="E96" s="13">
        <f t="shared" ref="E96:E111" si="16">A96*D96</f>
        <v>3000</v>
      </c>
      <c r="F96" s="2"/>
      <c r="G96" s="2"/>
      <c r="H96" s="7"/>
      <c r="I96" s="13">
        <v>1300</v>
      </c>
      <c r="J96" s="13">
        <f t="shared" ref="J96:J111" si="17">I96*A96</f>
        <v>1300</v>
      </c>
      <c r="K96" s="13">
        <f t="shared" ref="K96:K111" si="18">E96-J96</f>
        <v>1700</v>
      </c>
      <c r="L96" s="14">
        <f t="shared" ref="L96:L111" si="19">K96/E96</f>
        <v>0.56666666666666665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1</v>
      </c>
      <c r="B97" s="10" t="s">
        <v>4</v>
      </c>
      <c r="C97" s="6" t="s">
        <v>64</v>
      </c>
      <c r="D97" s="13">
        <v>2000</v>
      </c>
      <c r="E97" s="13">
        <f t="shared" si="16"/>
        <v>2000</v>
      </c>
      <c r="F97" s="2"/>
      <c r="G97" s="2"/>
      <c r="H97" s="7"/>
      <c r="I97" s="13">
        <v>1000</v>
      </c>
      <c r="J97" s="13">
        <f t="shared" si="17"/>
        <v>1000</v>
      </c>
      <c r="K97" s="13">
        <f t="shared" si="18"/>
        <v>1000</v>
      </c>
      <c r="L97" s="14">
        <f t="shared" si="19"/>
        <v>0.5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17</v>
      </c>
      <c r="C98" s="6" t="s">
        <v>1115</v>
      </c>
      <c r="D98" s="13">
        <v>2800</v>
      </c>
      <c r="E98" s="13">
        <f t="shared" si="16"/>
        <v>5600</v>
      </c>
      <c r="F98" s="2"/>
      <c r="G98" s="2"/>
      <c r="H98" s="2"/>
      <c r="I98" s="13">
        <f>30000/14</f>
        <v>2142.8571428571427</v>
      </c>
      <c r="J98" s="13">
        <f t="shared" si="17"/>
        <v>4285.7142857142853</v>
      </c>
      <c r="K98" s="13">
        <f t="shared" si="18"/>
        <v>1314.2857142857147</v>
      </c>
      <c r="L98" s="14">
        <f t="shared" si="19"/>
        <v>0.23469387755102047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3</v>
      </c>
      <c r="B99" s="10" t="s">
        <v>17</v>
      </c>
      <c r="C99" s="6" t="s">
        <v>31</v>
      </c>
      <c r="D99" s="13">
        <v>3000</v>
      </c>
      <c r="E99" s="13">
        <f t="shared" si="16"/>
        <v>9000</v>
      </c>
      <c r="F99" s="2"/>
      <c r="G99" s="2"/>
      <c r="H99" s="7"/>
      <c r="I99" s="13">
        <f>12000/7</f>
        <v>1714.2857142857142</v>
      </c>
      <c r="J99" s="13">
        <f t="shared" si="17"/>
        <v>5142.8571428571431</v>
      </c>
      <c r="K99" s="13">
        <f t="shared" si="18"/>
        <v>3857.1428571428569</v>
      </c>
      <c r="L99" s="14">
        <f t="shared" si="19"/>
        <v>0.42857142857142855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1</v>
      </c>
      <c r="B100" s="10" t="s">
        <v>17</v>
      </c>
      <c r="C100" s="6" t="s">
        <v>33</v>
      </c>
      <c r="D100" s="13">
        <v>3000</v>
      </c>
      <c r="E100" s="13">
        <f t="shared" si="16"/>
        <v>3000</v>
      </c>
      <c r="F100" s="2"/>
      <c r="G100" s="2"/>
      <c r="H100" s="7"/>
      <c r="I100" s="13">
        <f>14000/7</f>
        <v>2000</v>
      </c>
      <c r="J100" s="13">
        <f t="shared" si="17"/>
        <v>2000</v>
      </c>
      <c r="K100" s="13">
        <f t="shared" si="18"/>
        <v>1000</v>
      </c>
      <c r="L100" s="14">
        <f t="shared" si="19"/>
        <v>0.33333333333333331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17</v>
      </c>
      <c r="C101" s="6" t="s">
        <v>32</v>
      </c>
      <c r="D101" s="13">
        <v>2600</v>
      </c>
      <c r="E101" s="13">
        <f t="shared" si="16"/>
        <v>2600</v>
      </c>
      <c r="F101" s="2"/>
      <c r="G101" s="2"/>
      <c r="H101" s="2"/>
      <c r="I101" s="13">
        <f>8000/7</f>
        <v>1142.8571428571429</v>
      </c>
      <c r="J101" s="13">
        <f t="shared" si="17"/>
        <v>1142.8571428571429</v>
      </c>
      <c r="K101" s="13">
        <f t="shared" si="18"/>
        <v>1457.1428571428571</v>
      </c>
      <c r="L101" s="14">
        <f t="shared" si="19"/>
        <v>0.56043956043956045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0.5</v>
      </c>
      <c r="B102" s="10" t="s">
        <v>17</v>
      </c>
      <c r="C102" s="6" t="s">
        <v>139</v>
      </c>
      <c r="D102" s="13">
        <v>20000</v>
      </c>
      <c r="E102" s="13">
        <f t="shared" si="16"/>
        <v>10000</v>
      </c>
      <c r="F102" s="2"/>
      <c r="G102" s="2"/>
      <c r="H102" s="7"/>
      <c r="I102" s="13">
        <v>16000</v>
      </c>
      <c r="J102" s="13">
        <f t="shared" si="17"/>
        <v>8000</v>
      </c>
      <c r="K102" s="13">
        <f t="shared" si="18"/>
        <v>2000</v>
      </c>
      <c r="L102" s="14">
        <f t="shared" si="19"/>
        <v>0.2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2</v>
      </c>
      <c r="B103" s="10" t="s">
        <v>17</v>
      </c>
      <c r="C103" s="6" t="s">
        <v>113</v>
      </c>
      <c r="D103" s="13">
        <v>4000</v>
      </c>
      <c r="E103" s="13">
        <f t="shared" si="16"/>
        <v>8000</v>
      </c>
      <c r="F103" s="2"/>
      <c r="G103" s="2"/>
      <c r="H103" s="7"/>
      <c r="I103" s="13">
        <v>2500</v>
      </c>
      <c r="J103" s="13">
        <f t="shared" si="17"/>
        <v>5000</v>
      </c>
      <c r="K103" s="13">
        <f t="shared" si="18"/>
        <v>3000</v>
      </c>
      <c r="L103" s="14">
        <f t="shared" si="19"/>
        <v>0.375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2</v>
      </c>
      <c r="B104" s="10" t="s">
        <v>17</v>
      </c>
      <c r="C104" s="6" t="s">
        <v>18</v>
      </c>
      <c r="D104" s="13">
        <v>1600</v>
      </c>
      <c r="E104" s="13">
        <f t="shared" si="16"/>
        <v>3200</v>
      </c>
      <c r="F104" s="2"/>
      <c r="G104" s="2"/>
      <c r="H104" s="7"/>
      <c r="I104" s="13">
        <f>12000/14</f>
        <v>857.14285714285711</v>
      </c>
      <c r="J104" s="13">
        <f t="shared" si="17"/>
        <v>1714.2857142857142</v>
      </c>
      <c r="K104" s="13">
        <f t="shared" si="18"/>
        <v>1485.7142857142858</v>
      </c>
      <c r="L104" s="14">
        <f t="shared" si="19"/>
        <v>0.4642857142857143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21</v>
      </c>
      <c r="C105" s="6" t="s">
        <v>133</v>
      </c>
      <c r="D105" s="13">
        <v>2000</v>
      </c>
      <c r="E105" s="13">
        <f t="shared" si="16"/>
        <v>4000</v>
      </c>
      <c r="F105" s="2"/>
      <c r="G105" s="2"/>
      <c r="H105" s="7"/>
      <c r="I105" s="13">
        <v>1500</v>
      </c>
      <c r="J105" s="13">
        <f t="shared" si="17"/>
        <v>3000</v>
      </c>
      <c r="K105" s="13">
        <f t="shared" si="18"/>
        <v>1000</v>
      </c>
      <c r="L105" s="14">
        <f t="shared" si="19"/>
        <v>0.25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3</v>
      </c>
      <c r="B106" s="10" t="s">
        <v>21</v>
      </c>
      <c r="C106" s="6" t="s">
        <v>1116</v>
      </c>
      <c r="D106" s="13">
        <v>3500</v>
      </c>
      <c r="E106" s="13">
        <f t="shared" si="16"/>
        <v>10500</v>
      </c>
      <c r="F106" s="2"/>
      <c r="G106" s="2"/>
      <c r="H106" s="7"/>
      <c r="I106" s="13">
        <v>2500</v>
      </c>
      <c r="J106" s="13">
        <f t="shared" si="17"/>
        <v>7500</v>
      </c>
      <c r="K106" s="13">
        <f t="shared" si="18"/>
        <v>3000</v>
      </c>
      <c r="L106" s="14">
        <f t="shared" si="19"/>
        <v>0.2857142857142857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0.5</v>
      </c>
      <c r="B107" s="10" t="s">
        <v>15</v>
      </c>
      <c r="C107" s="6" t="s">
        <v>129</v>
      </c>
      <c r="D107" s="13">
        <v>16000</v>
      </c>
      <c r="E107" s="13">
        <f t="shared" si="16"/>
        <v>8000</v>
      </c>
      <c r="F107" s="2"/>
      <c r="G107" s="2"/>
      <c r="H107" s="7"/>
      <c r="I107" s="13">
        <v>11000</v>
      </c>
      <c r="J107" s="13">
        <f t="shared" si="17"/>
        <v>5500</v>
      </c>
      <c r="K107" s="13">
        <f t="shared" si="18"/>
        <v>2500</v>
      </c>
      <c r="L107" s="14">
        <f t="shared" si="19"/>
        <v>0.3125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</v>
      </c>
      <c r="B108" s="10" t="s">
        <v>17</v>
      </c>
      <c r="C108" s="6" t="s">
        <v>154</v>
      </c>
      <c r="D108" s="13">
        <v>1800</v>
      </c>
      <c r="E108" s="13">
        <f t="shared" si="16"/>
        <v>3600</v>
      </c>
      <c r="F108" s="2"/>
      <c r="G108" s="2"/>
      <c r="H108" s="7"/>
      <c r="I108" s="13">
        <f>18000/17</f>
        <v>1058.8235294117646</v>
      </c>
      <c r="J108" s="13">
        <f t="shared" si="17"/>
        <v>2117.6470588235293</v>
      </c>
      <c r="K108" s="13">
        <f t="shared" si="18"/>
        <v>1482.3529411764707</v>
      </c>
      <c r="L108" s="14">
        <f t="shared" si="19"/>
        <v>0.41176470588235298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</v>
      </c>
      <c r="B109" s="10" t="s">
        <v>100</v>
      </c>
      <c r="C109" s="6" t="s">
        <v>134</v>
      </c>
      <c r="D109" s="13">
        <v>6000</v>
      </c>
      <c r="E109" s="13">
        <f t="shared" si="16"/>
        <v>6000</v>
      </c>
      <c r="F109" s="2"/>
      <c r="G109" s="2"/>
      <c r="H109" s="7"/>
      <c r="I109" s="13">
        <v>4500</v>
      </c>
      <c r="J109" s="13">
        <f t="shared" si="17"/>
        <v>4500</v>
      </c>
      <c r="K109" s="13">
        <f t="shared" si="18"/>
        <v>1500</v>
      </c>
      <c r="L109" s="14">
        <f t="shared" si="19"/>
        <v>0.25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1</v>
      </c>
      <c r="B110" s="10" t="s">
        <v>100</v>
      </c>
      <c r="C110" s="6" t="s">
        <v>155</v>
      </c>
      <c r="D110" s="13">
        <v>6000</v>
      </c>
      <c r="E110" s="13">
        <f t="shared" si="16"/>
        <v>6000</v>
      </c>
      <c r="F110" s="2"/>
      <c r="G110" s="2"/>
      <c r="H110" s="7"/>
      <c r="I110" s="13">
        <v>4500</v>
      </c>
      <c r="J110" s="13">
        <f t="shared" si="17"/>
        <v>4500</v>
      </c>
      <c r="K110" s="13">
        <f t="shared" si="18"/>
        <v>1500</v>
      </c>
      <c r="L110" s="14">
        <f t="shared" si="19"/>
        <v>0.25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0.5</v>
      </c>
      <c r="B111" s="10" t="s">
        <v>17</v>
      </c>
      <c r="C111" s="6" t="s">
        <v>137</v>
      </c>
      <c r="D111" s="13">
        <v>12000</v>
      </c>
      <c r="E111" s="13">
        <f t="shared" si="16"/>
        <v>6000</v>
      </c>
      <c r="F111" s="2"/>
      <c r="G111" s="2"/>
      <c r="H111" s="7"/>
      <c r="I111" s="13">
        <v>8000</v>
      </c>
      <c r="J111" s="13">
        <f t="shared" si="17"/>
        <v>4000</v>
      </c>
      <c r="K111" s="13">
        <f t="shared" si="18"/>
        <v>2000</v>
      </c>
      <c r="L111" s="14">
        <f t="shared" si="19"/>
        <v>0.33333333333333331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"/>
      <c r="B112" s="2"/>
      <c r="C112" s="1"/>
      <c r="D112" s="2"/>
      <c r="E112" s="2"/>
      <c r="F112" s="2"/>
      <c r="G112" s="1"/>
      <c r="H112" s="2"/>
      <c r="I112" s="2"/>
      <c r="J112" s="2"/>
      <c r="K112" s="2"/>
      <c r="L112" s="3"/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"/>
      <c r="B113" s="2"/>
      <c r="C113" s="1"/>
      <c r="D113" s="2"/>
      <c r="E113" s="13">
        <f>SUM(E96:E112)</f>
        <v>90500</v>
      </c>
      <c r="F113" s="2"/>
      <c r="G113" s="2"/>
      <c r="H113" s="2"/>
      <c r="I113" s="2"/>
      <c r="J113" s="2"/>
      <c r="K113" s="13">
        <f>SUM(K96:K111)</f>
        <v>29796.638655462186</v>
      </c>
      <c r="L113" s="14">
        <f>K113/E113</f>
        <v>0.3292446260272065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0"/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6" t="s">
        <v>157</v>
      </c>
      <c r="B116" s="6"/>
      <c r="C116" s="6"/>
      <c r="D116" s="22" t="s">
        <v>95</v>
      </c>
      <c r="E116" s="8">
        <v>46132</v>
      </c>
      <c r="F116" s="24"/>
      <c r="G116" s="2"/>
      <c r="H116" s="2"/>
      <c r="I116" s="2"/>
      <c r="J116" s="13"/>
      <c r="K116" s="13"/>
      <c r="L116" s="14"/>
      <c r="M116" s="4"/>
      <c r="N116" s="2"/>
      <c r="O116" s="4"/>
      <c r="P116" s="2"/>
      <c r="Q116" s="2"/>
      <c r="R116" s="4"/>
      <c r="S116" s="2"/>
      <c r="T116" s="2"/>
      <c r="U116" s="1"/>
      <c r="V116" s="2"/>
      <c r="W116" s="2"/>
      <c r="X116" s="2"/>
      <c r="Y116" s="2"/>
      <c r="Z116" s="2"/>
    </row>
    <row r="117" spans="1:26" ht="15.75" customHeight="1" x14ac:dyDescent="0.2">
      <c r="B117" s="2"/>
      <c r="C117" s="4"/>
      <c r="D117" s="2"/>
      <c r="E117" s="2"/>
      <c r="F117" s="2"/>
      <c r="G117" s="2"/>
      <c r="H117" s="2"/>
      <c r="I117" s="2"/>
      <c r="J117" s="13"/>
      <c r="K117" s="13"/>
      <c r="L117" s="14"/>
      <c r="M117" s="4"/>
      <c r="N117" s="2"/>
      <c r="O117" s="4"/>
      <c r="P117" s="2"/>
      <c r="Q117" s="2"/>
      <c r="R117" s="4"/>
      <c r="S117" s="2"/>
      <c r="T117" s="2"/>
      <c r="U117" s="1"/>
      <c r="V117" s="2"/>
      <c r="W117" s="2"/>
      <c r="X117" s="2"/>
      <c r="Y117" s="2"/>
      <c r="Z117" s="2"/>
    </row>
    <row r="118" spans="1:26" ht="15.75" customHeight="1" x14ac:dyDescent="0.2">
      <c r="A118" s="6" t="s">
        <v>3</v>
      </c>
      <c r="B118" s="10" t="s">
        <v>4</v>
      </c>
      <c r="C118" s="11" t="s">
        <v>5</v>
      </c>
      <c r="D118" s="10" t="s">
        <v>6</v>
      </c>
      <c r="E118" s="10" t="s">
        <v>7</v>
      </c>
      <c r="F118" s="10"/>
      <c r="G118" s="2"/>
      <c r="H118" s="2"/>
      <c r="I118" s="10" t="s">
        <v>6</v>
      </c>
      <c r="J118" s="10" t="s">
        <v>7</v>
      </c>
      <c r="K118" s="10" t="s">
        <v>10</v>
      </c>
      <c r="L118" s="14"/>
      <c r="M118" s="4"/>
      <c r="N118" s="2"/>
      <c r="O118" s="4"/>
      <c r="P118" s="2"/>
      <c r="Q118" s="2"/>
      <c r="R118" s="4"/>
      <c r="S118" s="2"/>
      <c r="T118" s="2"/>
      <c r="U118" s="1"/>
      <c r="V118" s="2"/>
      <c r="W118" s="2"/>
      <c r="X118" s="2"/>
      <c r="Y118" s="2"/>
      <c r="Z118" s="2"/>
    </row>
    <row r="119" spans="1:26" ht="15.75" customHeight="1" x14ac:dyDescent="0.2">
      <c r="A119" s="12">
        <v>1</v>
      </c>
      <c r="B119" s="10" t="s">
        <v>15</v>
      </c>
      <c r="C119" s="11" t="s">
        <v>135</v>
      </c>
      <c r="D119" s="13">
        <v>16000</v>
      </c>
      <c r="E119" s="13">
        <f t="shared" ref="E119:E130" si="20">A119*D119</f>
        <v>16000</v>
      </c>
      <c r="F119" s="13"/>
      <c r="G119" s="2"/>
      <c r="H119" s="7"/>
      <c r="I119" s="13">
        <v>11000</v>
      </c>
      <c r="J119" s="13">
        <f t="shared" ref="J119:J130" si="21">I119*A119</f>
        <v>11000</v>
      </c>
      <c r="K119" s="13">
        <f t="shared" ref="K119:K130" si="22">E119-J119</f>
        <v>5000</v>
      </c>
      <c r="L119" s="14">
        <f t="shared" ref="L119:L130" si="23">K119/E119</f>
        <v>0.3125</v>
      </c>
      <c r="M119" s="4"/>
      <c r="N119" s="2"/>
      <c r="O119" s="4"/>
      <c r="P119" s="2"/>
      <c r="Q119" s="2"/>
      <c r="R119" s="4"/>
      <c r="S119" s="2"/>
      <c r="T119" s="2"/>
      <c r="U119" s="1"/>
      <c r="V119" s="2"/>
      <c r="W119" s="2"/>
      <c r="X119" s="2"/>
      <c r="Y119" s="2"/>
      <c r="Z119" s="2"/>
    </row>
    <row r="120" spans="1:26" ht="15.75" customHeight="1" x14ac:dyDescent="0.2">
      <c r="A120" s="12">
        <v>1</v>
      </c>
      <c r="B120" s="10" t="s">
        <v>15</v>
      </c>
      <c r="C120" s="11" t="s">
        <v>56</v>
      </c>
      <c r="D120" s="13">
        <v>14000</v>
      </c>
      <c r="E120" s="13">
        <f t="shared" si="20"/>
        <v>14000</v>
      </c>
      <c r="F120" s="13"/>
      <c r="G120" s="2"/>
      <c r="H120" s="7"/>
      <c r="I120" s="13">
        <v>9000</v>
      </c>
      <c r="J120" s="13">
        <f t="shared" si="21"/>
        <v>9000</v>
      </c>
      <c r="K120" s="13">
        <f t="shared" si="22"/>
        <v>5000</v>
      </c>
      <c r="L120" s="14">
        <f t="shared" si="23"/>
        <v>0.35714285714285715</v>
      </c>
      <c r="M120" s="4"/>
      <c r="N120" s="2"/>
      <c r="O120" s="4"/>
      <c r="P120" s="2"/>
      <c r="Q120" s="2"/>
      <c r="R120" s="4"/>
      <c r="S120" s="2"/>
      <c r="T120" s="2"/>
      <c r="U120" s="1"/>
      <c r="V120" s="2"/>
      <c r="W120" s="2"/>
      <c r="X120" s="2"/>
      <c r="Y120" s="2"/>
      <c r="Z120" s="2"/>
    </row>
    <row r="121" spans="1:26" ht="15.75" customHeight="1" x14ac:dyDescent="0.2">
      <c r="A121" s="12">
        <v>1</v>
      </c>
      <c r="B121" s="10" t="s">
        <v>15</v>
      </c>
      <c r="C121" s="11" t="s">
        <v>16</v>
      </c>
      <c r="D121" s="13">
        <v>12000</v>
      </c>
      <c r="E121" s="13">
        <f t="shared" si="20"/>
        <v>12000</v>
      </c>
      <c r="F121" s="13"/>
      <c r="G121" s="2"/>
      <c r="H121" s="7"/>
      <c r="I121" s="13">
        <v>8000</v>
      </c>
      <c r="J121" s="13">
        <f t="shared" si="21"/>
        <v>8000</v>
      </c>
      <c r="K121" s="13">
        <f t="shared" si="22"/>
        <v>4000</v>
      </c>
      <c r="L121" s="14">
        <f t="shared" si="23"/>
        <v>0.33333333333333331</v>
      </c>
      <c r="M121" s="4"/>
      <c r="N121" s="2"/>
      <c r="O121" s="4"/>
      <c r="P121" s="2"/>
      <c r="Q121" s="2"/>
      <c r="R121" s="4"/>
      <c r="S121" s="2"/>
      <c r="T121" s="2"/>
      <c r="U121" s="1"/>
      <c r="V121" s="2"/>
      <c r="W121" s="2"/>
      <c r="X121" s="2"/>
      <c r="Y121" s="2"/>
      <c r="Z121" s="2"/>
    </row>
    <row r="122" spans="1:26" ht="15.75" customHeight="1" x14ac:dyDescent="0.2">
      <c r="A122" s="12">
        <v>1</v>
      </c>
      <c r="B122" s="10" t="s">
        <v>23</v>
      </c>
      <c r="C122" s="11" t="s">
        <v>99</v>
      </c>
      <c r="D122" s="13">
        <v>10000</v>
      </c>
      <c r="E122" s="13">
        <f t="shared" si="20"/>
        <v>10000</v>
      </c>
      <c r="F122" s="13"/>
      <c r="G122" s="2"/>
      <c r="H122" s="7"/>
      <c r="I122" s="13">
        <v>5000</v>
      </c>
      <c r="J122" s="13">
        <f t="shared" si="21"/>
        <v>5000</v>
      </c>
      <c r="K122" s="13">
        <f t="shared" si="22"/>
        <v>5000</v>
      </c>
      <c r="L122" s="14">
        <f t="shared" si="23"/>
        <v>0.5</v>
      </c>
      <c r="M122" s="4"/>
      <c r="N122" s="2"/>
      <c r="O122" s="4"/>
      <c r="P122" s="2"/>
      <c r="Q122" s="2"/>
      <c r="R122" s="4"/>
      <c r="S122" s="2"/>
      <c r="T122" s="2"/>
      <c r="U122" s="1"/>
      <c r="V122" s="2"/>
      <c r="W122" s="2"/>
      <c r="X122" s="2"/>
      <c r="Y122" s="2"/>
      <c r="Z122" s="2"/>
    </row>
    <row r="123" spans="1:26" ht="15.75" customHeight="1" x14ac:dyDescent="0.2">
      <c r="A123" s="12">
        <v>0.5</v>
      </c>
      <c r="B123" s="10" t="s">
        <v>23</v>
      </c>
      <c r="C123" s="11" t="s">
        <v>61</v>
      </c>
      <c r="D123" s="13">
        <v>34000</v>
      </c>
      <c r="E123" s="13">
        <f t="shared" si="20"/>
        <v>17000</v>
      </c>
      <c r="F123" s="13"/>
      <c r="G123" s="2"/>
      <c r="H123" s="7"/>
      <c r="I123" s="13">
        <v>30000</v>
      </c>
      <c r="J123" s="13">
        <f t="shared" si="21"/>
        <v>15000</v>
      </c>
      <c r="K123" s="13">
        <f t="shared" si="22"/>
        <v>2000</v>
      </c>
      <c r="L123" s="14">
        <f t="shared" si="23"/>
        <v>0.11764705882352941</v>
      </c>
      <c r="M123" s="4"/>
      <c r="N123" s="2"/>
      <c r="O123" s="4"/>
      <c r="P123" s="2"/>
      <c r="Q123" s="2"/>
      <c r="R123" s="4"/>
      <c r="S123" s="2"/>
      <c r="T123" s="2"/>
      <c r="U123" s="1"/>
      <c r="V123" s="2"/>
      <c r="W123" s="2"/>
      <c r="X123" s="2"/>
      <c r="Y123" s="2"/>
      <c r="Z123" s="2"/>
    </row>
    <row r="124" spans="1:26" ht="15.75" customHeight="1" x14ac:dyDescent="0.2">
      <c r="A124" s="12">
        <v>1</v>
      </c>
      <c r="B124" s="10" t="s">
        <v>23</v>
      </c>
      <c r="C124" s="11" t="s">
        <v>39</v>
      </c>
      <c r="D124" s="13">
        <v>22000</v>
      </c>
      <c r="E124" s="13">
        <f t="shared" si="20"/>
        <v>22000</v>
      </c>
      <c r="F124" s="13"/>
      <c r="G124" s="2"/>
      <c r="H124" s="7"/>
      <c r="I124" s="13">
        <v>17000</v>
      </c>
      <c r="J124" s="13">
        <f t="shared" si="21"/>
        <v>17000</v>
      </c>
      <c r="K124" s="13">
        <f t="shared" si="22"/>
        <v>5000</v>
      </c>
      <c r="L124" s="14">
        <f t="shared" si="23"/>
        <v>0.22727272727272727</v>
      </c>
      <c r="M124" s="4"/>
      <c r="N124" s="2"/>
      <c r="O124" s="4"/>
      <c r="P124" s="2"/>
      <c r="Q124" s="2"/>
      <c r="R124" s="4"/>
      <c r="S124" s="2"/>
      <c r="T124" s="2"/>
      <c r="U124" s="1"/>
      <c r="V124" s="2"/>
      <c r="W124" s="2"/>
      <c r="X124" s="2"/>
      <c r="Y124" s="2"/>
      <c r="Z124" s="2"/>
    </row>
    <row r="125" spans="1:26" ht="15.75" customHeight="1" x14ac:dyDescent="0.2">
      <c r="A125" s="12">
        <v>1</v>
      </c>
      <c r="B125" s="10" t="s">
        <v>23</v>
      </c>
      <c r="C125" s="11" t="s">
        <v>14</v>
      </c>
      <c r="D125" s="13">
        <v>24000</v>
      </c>
      <c r="E125" s="13">
        <f t="shared" si="20"/>
        <v>24000</v>
      </c>
      <c r="F125" s="13"/>
      <c r="G125" s="2"/>
      <c r="H125" s="7"/>
      <c r="I125" s="13">
        <v>20000</v>
      </c>
      <c r="J125" s="13">
        <f t="shared" si="21"/>
        <v>20000</v>
      </c>
      <c r="K125" s="13">
        <f t="shared" si="22"/>
        <v>4000</v>
      </c>
      <c r="L125" s="14">
        <f t="shared" si="23"/>
        <v>0.16666666666666666</v>
      </c>
      <c r="M125" s="4"/>
      <c r="N125" s="2"/>
      <c r="O125" s="4"/>
      <c r="P125" s="2"/>
      <c r="Q125" s="2"/>
      <c r="R125" s="4"/>
      <c r="S125" s="2"/>
      <c r="T125" s="2"/>
      <c r="U125" s="1"/>
      <c r="V125" s="2"/>
      <c r="W125" s="2"/>
      <c r="X125" s="2"/>
      <c r="Y125" s="2"/>
      <c r="Z125" s="2"/>
    </row>
    <row r="126" spans="1:26" ht="15.75" customHeight="1" x14ac:dyDescent="0.2">
      <c r="A126" s="12">
        <v>4</v>
      </c>
      <c r="B126" s="10" t="s">
        <v>21</v>
      </c>
      <c r="C126" s="11" t="s">
        <v>46</v>
      </c>
      <c r="D126" s="13">
        <v>500</v>
      </c>
      <c r="E126" s="13">
        <f t="shared" si="20"/>
        <v>2000</v>
      </c>
      <c r="F126" s="13"/>
      <c r="G126" s="2"/>
      <c r="H126" s="7"/>
      <c r="I126" s="13">
        <f>1500/6</f>
        <v>250</v>
      </c>
      <c r="J126" s="13">
        <f t="shared" si="21"/>
        <v>1000</v>
      </c>
      <c r="K126" s="13">
        <f t="shared" si="22"/>
        <v>1000</v>
      </c>
      <c r="L126" s="14">
        <f t="shared" si="23"/>
        <v>0.5</v>
      </c>
      <c r="M126" s="4"/>
      <c r="N126" s="2"/>
      <c r="O126" s="4"/>
      <c r="P126" s="2"/>
      <c r="Q126" s="2"/>
      <c r="R126" s="4"/>
      <c r="S126" s="2"/>
      <c r="T126" s="2"/>
      <c r="U126" s="1"/>
      <c r="V126" s="2"/>
      <c r="W126" s="2"/>
      <c r="X126" s="2"/>
      <c r="Y126" s="2"/>
      <c r="Z126" s="2"/>
    </row>
    <row r="127" spans="1:26" ht="15.75" customHeight="1" x14ac:dyDescent="0.2">
      <c r="A127" s="12">
        <v>5</v>
      </c>
      <c r="B127" s="10" t="s">
        <v>17</v>
      </c>
      <c r="C127" s="11" t="s">
        <v>24</v>
      </c>
      <c r="D127" s="13">
        <v>3500</v>
      </c>
      <c r="E127" s="13">
        <f t="shared" si="20"/>
        <v>17500</v>
      </c>
      <c r="F127" s="13"/>
      <c r="G127" s="2"/>
      <c r="H127" s="7"/>
      <c r="I127" s="13">
        <f>35000/17</f>
        <v>2058.8235294117649</v>
      </c>
      <c r="J127" s="13">
        <f t="shared" si="21"/>
        <v>10294.117647058825</v>
      </c>
      <c r="K127" s="13">
        <f t="shared" si="22"/>
        <v>7205.8823529411748</v>
      </c>
      <c r="L127" s="14">
        <f t="shared" si="23"/>
        <v>0.41176470588235287</v>
      </c>
      <c r="M127" s="4"/>
      <c r="N127" s="2"/>
      <c r="O127" s="4"/>
      <c r="P127" s="2"/>
      <c r="Q127" s="2"/>
      <c r="R127" s="4"/>
      <c r="S127" s="2"/>
      <c r="T127" s="2"/>
      <c r="U127" s="1"/>
      <c r="V127" s="2"/>
      <c r="W127" s="2"/>
      <c r="X127" s="2"/>
      <c r="Y127" s="2"/>
      <c r="Z127" s="2"/>
    </row>
    <row r="128" spans="1:26" ht="15.75" customHeight="1" x14ac:dyDescent="0.2">
      <c r="A128" s="12">
        <v>2</v>
      </c>
      <c r="B128" s="10" t="s">
        <v>17</v>
      </c>
      <c r="C128" s="11" t="s">
        <v>110</v>
      </c>
      <c r="D128" s="13">
        <v>4000</v>
      </c>
      <c r="E128" s="13">
        <f t="shared" si="20"/>
        <v>8000</v>
      </c>
      <c r="F128" s="13"/>
      <c r="G128" s="2"/>
      <c r="H128" s="7"/>
      <c r="I128" s="13">
        <f>15000/6</f>
        <v>2500</v>
      </c>
      <c r="J128" s="13">
        <f t="shared" si="21"/>
        <v>5000</v>
      </c>
      <c r="K128" s="13">
        <f t="shared" si="22"/>
        <v>3000</v>
      </c>
      <c r="L128" s="14">
        <f t="shared" si="23"/>
        <v>0.375</v>
      </c>
      <c r="M128" s="4"/>
      <c r="N128" s="2"/>
      <c r="O128" s="4"/>
      <c r="P128" s="2"/>
      <c r="Q128" s="2"/>
      <c r="R128" s="4"/>
      <c r="S128" s="2"/>
      <c r="T128" s="2"/>
      <c r="U128" s="1"/>
      <c r="V128" s="2"/>
      <c r="W128" s="2"/>
      <c r="X128" s="2"/>
      <c r="Y128" s="2"/>
      <c r="Z128" s="2"/>
    </row>
    <row r="129" spans="1:26" ht="15.75" customHeight="1" x14ac:dyDescent="0.2">
      <c r="A129" s="12">
        <v>0.5</v>
      </c>
      <c r="B129" s="10" t="s">
        <v>23</v>
      </c>
      <c r="C129" s="11" t="s">
        <v>31</v>
      </c>
      <c r="D129" s="13">
        <v>18000</v>
      </c>
      <c r="E129" s="13">
        <f t="shared" si="20"/>
        <v>9000</v>
      </c>
      <c r="F129" s="13" t="s">
        <v>37</v>
      </c>
      <c r="G129" s="2"/>
      <c r="H129" s="7"/>
      <c r="I129" s="13">
        <v>12000</v>
      </c>
      <c r="J129" s="13">
        <f t="shared" si="21"/>
        <v>6000</v>
      </c>
      <c r="K129" s="13">
        <f t="shared" si="22"/>
        <v>3000</v>
      </c>
      <c r="L129" s="14">
        <f t="shared" si="23"/>
        <v>0.33333333333333331</v>
      </c>
      <c r="M129" s="4"/>
      <c r="N129" s="2"/>
      <c r="O129" s="4"/>
      <c r="P129" s="2"/>
      <c r="Q129" s="2"/>
      <c r="R129" s="4"/>
      <c r="S129" s="2"/>
      <c r="T129" s="2"/>
      <c r="U129" s="1"/>
      <c r="V129" s="2"/>
      <c r="W129" s="2"/>
      <c r="X129" s="2"/>
      <c r="Y129" s="2"/>
      <c r="Z129" s="2"/>
    </row>
    <row r="130" spans="1:26" ht="15.75" customHeight="1" x14ac:dyDescent="0.2">
      <c r="A130" s="12">
        <v>1</v>
      </c>
      <c r="B130" s="10" t="s">
        <v>23</v>
      </c>
      <c r="C130" s="11" t="s">
        <v>82</v>
      </c>
      <c r="D130" s="13">
        <v>20000</v>
      </c>
      <c r="E130" s="13">
        <f t="shared" si="20"/>
        <v>20000</v>
      </c>
      <c r="F130" s="13"/>
      <c r="G130" s="2"/>
      <c r="H130" s="7"/>
      <c r="I130" s="13">
        <f>72000/6</f>
        <v>12000</v>
      </c>
      <c r="J130" s="13">
        <f t="shared" si="21"/>
        <v>12000</v>
      </c>
      <c r="K130" s="13">
        <f t="shared" si="22"/>
        <v>8000</v>
      </c>
      <c r="L130" s="14">
        <f t="shared" si="23"/>
        <v>0.4</v>
      </c>
      <c r="M130" s="4"/>
      <c r="N130" s="2"/>
      <c r="O130" s="4"/>
      <c r="P130" s="2"/>
      <c r="Q130" s="2"/>
      <c r="R130" s="4"/>
      <c r="S130" s="2"/>
      <c r="T130" s="2"/>
      <c r="U130" s="1"/>
      <c r="V130" s="2"/>
      <c r="W130" s="2"/>
      <c r="X130" s="2"/>
      <c r="Y130" s="2"/>
      <c r="Z130" s="2"/>
    </row>
    <row r="131" spans="1:26" ht="15.75" customHeight="1" x14ac:dyDescent="0.2">
      <c r="A131" s="12"/>
      <c r="B131" s="10"/>
      <c r="C131" s="11"/>
      <c r="D131" s="13"/>
      <c r="E131" s="13"/>
      <c r="F131" s="13"/>
      <c r="H131" s="2"/>
      <c r="I131" s="2"/>
      <c r="J131" s="13"/>
      <c r="K131" s="13"/>
      <c r="L131" s="14"/>
      <c r="N131" s="2"/>
      <c r="O131" s="4"/>
      <c r="P131" s="2"/>
      <c r="Q131" s="2"/>
      <c r="R131" s="4"/>
      <c r="S131" s="2"/>
      <c r="T131" s="2"/>
      <c r="U131" s="1"/>
      <c r="V131" s="2"/>
      <c r="W131" s="2"/>
      <c r="X131" s="2"/>
      <c r="Y131" s="2"/>
      <c r="Z131" s="2"/>
    </row>
    <row r="132" spans="1:26" ht="15.75" customHeight="1" x14ac:dyDescent="0.2">
      <c r="A132" s="12"/>
      <c r="B132" s="10"/>
      <c r="C132" s="11"/>
      <c r="D132" s="13"/>
      <c r="E132" s="13">
        <f>SUM(E119:E131)</f>
        <v>171500</v>
      </c>
      <c r="F132" s="13"/>
      <c r="G132" s="2"/>
      <c r="H132" s="2"/>
      <c r="I132" s="2"/>
      <c r="J132" s="13"/>
      <c r="K132" s="13">
        <f>SUM(K119:K130)</f>
        <v>52205.882352941175</v>
      </c>
      <c r="L132" s="14">
        <f>K132/E132</f>
        <v>0.30440747727662493</v>
      </c>
      <c r="M132" s="4"/>
      <c r="N132" s="2"/>
      <c r="O132" s="4"/>
      <c r="P132" s="2"/>
      <c r="Q132" s="2"/>
      <c r="R132" s="4"/>
      <c r="S132" s="2"/>
      <c r="T132" s="2"/>
      <c r="U132" s="1"/>
      <c r="V132" s="2"/>
      <c r="W132" s="2"/>
      <c r="X132" s="2"/>
      <c r="Y132" s="2"/>
      <c r="Z132" s="2"/>
    </row>
    <row r="133" spans="1:26" ht="15.75" customHeight="1" x14ac:dyDescent="0.2">
      <c r="A133" s="12"/>
      <c r="B133" s="10"/>
      <c r="C133" s="11"/>
      <c r="D133" s="13"/>
      <c r="E133" s="13"/>
      <c r="F133" s="13"/>
      <c r="G133" s="2"/>
      <c r="H133" s="2"/>
      <c r="I133" s="2"/>
      <c r="J133" s="13"/>
      <c r="K133" s="13"/>
      <c r="L133" s="14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0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0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88" t="s">
        <v>160</v>
      </c>
      <c r="B136" s="89"/>
      <c r="C136" s="89"/>
      <c r="D136" s="2"/>
      <c r="E136" s="7" t="s">
        <v>1117</v>
      </c>
      <c r="F136" s="8">
        <v>46132</v>
      </c>
      <c r="G136" s="2"/>
      <c r="H136" s="2"/>
      <c r="I136" s="9" t="s">
        <v>2</v>
      </c>
      <c r="J136" s="9"/>
      <c r="K136" s="9"/>
      <c r="L136" s="3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"/>
      <c r="B137" s="2"/>
      <c r="C137" s="5"/>
      <c r="D137" s="2"/>
      <c r="E137" s="2"/>
      <c r="F137" s="8"/>
      <c r="G137" s="2"/>
      <c r="H137" s="2"/>
      <c r="I137" s="2"/>
      <c r="J137" s="2"/>
      <c r="K137" s="2"/>
      <c r="L137" s="3"/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6" t="s">
        <v>3</v>
      </c>
      <c r="B138" s="10" t="s">
        <v>4</v>
      </c>
      <c r="C138" s="11" t="s">
        <v>5</v>
      </c>
      <c r="D138" s="10" t="s">
        <v>6</v>
      </c>
      <c r="E138" s="10" t="s">
        <v>7</v>
      </c>
      <c r="F138" s="10" t="s">
        <v>8</v>
      </c>
      <c r="G138" s="2"/>
      <c r="H138" s="2"/>
      <c r="I138" s="10" t="s">
        <v>9</v>
      </c>
      <c r="J138" s="10" t="s">
        <v>7</v>
      </c>
      <c r="K138" s="10" t="s">
        <v>10</v>
      </c>
      <c r="L138" s="3"/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4</v>
      </c>
      <c r="B139" s="10" t="s">
        <v>23</v>
      </c>
      <c r="C139" s="11" t="s">
        <v>190</v>
      </c>
      <c r="D139" s="13">
        <v>45000</v>
      </c>
      <c r="E139" s="13">
        <f t="shared" ref="E139:E162" si="24">A139*D139</f>
        <v>180000</v>
      </c>
      <c r="F139" s="13">
        <f t="shared" ref="F139:F152" si="25">E139*1.105</f>
        <v>198900</v>
      </c>
      <c r="G139" s="7"/>
      <c r="H139" s="2"/>
      <c r="I139" s="13">
        <v>20000</v>
      </c>
      <c r="J139" s="13">
        <f t="shared" ref="J139:J162" si="26">I139*A139</f>
        <v>80000</v>
      </c>
      <c r="K139" s="13">
        <f t="shared" ref="K139:K162" si="27">F139-J139</f>
        <v>118900</v>
      </c>
      <c r="L139" s="14">
        <f t="shared" ref="L139:L162" si="28">IFERROR(K139/E139, 0)</f>
        <v>0.66055555555555556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3</v>
      </c>
      <c r="B140" s="10" t="s">
        <v>23</v>
      </c>
      <c r="C140" s="11" t="s">
        <v>24</v>
      </c>
      <c r="D140" s="13">
        <v>36500</v>
      </c>
      <c r="E140" s="13">
        <f t="shared" si="24"/>
        <v>109500</v>
      </c>
      <c r="F140" s="13">
        <f t="shared" si="25"/>
        <v>120997.5</v>
      </c>
      <c r="G140" s="7" t="s">
        <v>1118</v>
      </c>
      <c r="H140" s="2"/>
      <c r="I140" s="13">
        <f>8750*3</f>
        <v>26250</v>
      </c>
      <c r="J140" s="13">
        <f t="shared" si="26"/>
        <v>78750</v>
      </c>
      <c r="K140" s="13">
        <f t="shared" si="27"/>
        <v>42247.5</v>
      </c>
      <c r="L140" s="14">
        <f t="shared" si="28"/>
        <v>0.38582191780821917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3</v>
      </c>
      <c r="B141" s="10" t="s">
        <v>23</v>
      </c>
      <c r="C141" s="11" t="s">
        <v>87</v>
      </c>
      <c r="D141" s="13">
        <v>38000</v>
      </c>
      <c r="E141" s="13">
        <f t="shared" si="24"/>
        <v>114000</v>
      </c>
      <c r="F141" s="13">
        <f t="shared" si="25"/>
        <v>125970</v>
      </c>
      <c r="G141" s="7"/>
      <c r="H141" s="2"/>
      <c r="I141" s="13">
        <v>30000</v>
      </c>
      <c r="J141" s="13">
        <f t="shared" si="26"/>
        <v>90000</v>
      </c>
      <c r="K141" s="13">
        <f t="shared" si="27"/>
        <v>35970</v>
      </c>
      <c r="L141" s="14">
        <f t="shared" si="28"/>
        <v>0.31552631578947371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3</v>
      </c>
      <c r="B142" s="10" t="s">
        <v>23</v>
      </c>
      <c r="C142" s="11" t="s">
        <v>127</v>
      </c>
      <c r="D142" s="13">
        <v>25000</v>
      </c>
      <c r="E142" s="13">
        <f t="shared" si="24"/>
        <v>75000</v>
      </c>
      <c r="F142" s="13">
        <f t="shared" si="25"/>
        <v>82875</v>
      </c>
      <c r="G142" s="7" t="s">
        <v>1118</v>
      </c>
      <c r="H142" s="2"/>
      <c r="I142" s="13">
        <v>16000</v>
      </c>
      <c r="J142" s="13">
        <f t="shared" si="26"/>
        <v>48000</v>
      </c>
      <c r="K142" s="13">
        <f t="shared" si="27"/>
        <v>34875</v>
      </c>
      <c r="L142" s="14">
        <f t="shared" si="28"/>
        <v>0.46500000000000002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3</v>
      </c>
      <c r="B143" s="10" t="s">
        <v>23</v>
      </c>
      <c r="C143" s="11" t="s">
        <v>67</v>
      </c>
      <c r="D143" s="13">
        <v>15000</v>
      </c>
      <c r="E143" s="13">
        <f t="shared" si="24"/>
        <v>45000</v>
      </c>
      <c r="F143" s="13">
        <f t="shared" si="25"/>
        <v>49725</v>
      </c>
      <c r="G143" s="7" t="s">
        <v>1118</v>
      </c>
      <c r="H143" s="2"/>
      <c r="I143" s="13">
        <v>9000</v>
      </c>
      <c r="J143" s="13">
        <f t="shared" si="26"/>
        <v>27000</v>
      </c>
      <c r="K143" s="13">
        <f t="shared" si="27"/>
        <v>22725</v>
      </c>
      <c r="L143" s="14">
        <f t="shared" si="28"/>
        <v>0.505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3</v>
      </c>
      <c r="B144" s="10" t="s">
        <v>23</v>
      </c>
      <c r="C144" s="11" t="s">
        <v>49</v>
      </c>
      <c r="D144" s="13">
        <v>28000</v>
      </c>
      <c r="E144" s="13">
        <f t="shared" si="24"/>
        <v>84000</v>
      </c>
      <c r="F144" s="13">
        <f t="shared" si="25"/>
        <v>92820</v>
      </c>
      <c r="G144" s="2"/>
      <c r="H144" s="2"/>
      <c r="I144" s="13">
        <v>23134</v>
      </c>
      <c r="J144" s="13">
        <f t="shared" si="26"/>
        <v>69402</v>
      </c>
      <c r="K144" s="13">
        <f t="shared" si="27"/>
        <v>23418</v>
      </c>
      <c r="L144" s="18">
        <f t="shared" si="28"/>
        <v>0.2787857142857143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2</v>
      </c>
      <c r="B145" s="10" t="s">
        <v>23</v>
      </c>
      <c r="C145" s="11" t="s">
        <v>81</v>
      </c>
      <c r="D145" s="13">
        <v>18000</v>
      </c>
      <c r="E145" s="13">
        <f t="shared" si="24"/>
        <v>36000</v>
      </c>
      <c r="F145" s="13">
        <f t="shared" si="25"/>
        <v>39780</v>
      </c>
      <c r="G145" s="2"/>
      <c r="H145" s="2"/>
      <c r="I145" s="13">
        <v>12000</v>
      </c>
      <c r="J145" s="13">
        <f t="shared" si="26"/>
        <v>24000</v>
      </c>
      <c r="K145" s="13">
        <f t="shared" si="27"/>
        <v>15780</v>
      </c>
      <c r="L145" s="18">
        <f t="shared" si="28"/>
        <v>0.43833333333333335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2</v>
      </c>
      <c r="B146" s="10" t="s">
        <v>23</v>
      </c>
      <c r="C146" s="11" t="s">
        <v>93</v>
      </c>
      <c r="D146" s="13">
        <v>20000</v>
      </c>
      <c r="E146" s="13">
        <f t="shared" si="24"/>
        <v>40000</v>
      </c>
      <c r="F146" s="13">
        <f t="shared" si="25"/>
        <v>44200</v>
      </c>
      <c r="G146" s="2"/>
      <c r="H146" s="2"/>
      <c r="I146" s="13">
        <v>10000</v>
      </c>
      <c r="J146" s="13">
        <f t="shared" si="26"/>
        <v>20000</v>
      </c>
      <c r="K146" s="13">
        <f t="shared" si="27"/>
        <v>24200</v>
      </c>
      <c r="L146" s="18">
        <f t="shared" si="28"/>
        <v>0.60499999999999998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1</v>
      </c>
      <c r="B147" s="10" t="s">
        <v>23</v>
      </c>
      <c r="C147" s="11" t="s">
        <v>31</v>
      </c>
      <c r="D147" s="13">
        <v>22000</v>
      </c>
      <c r="E147" s="13">
        <f t="shared" si="24"/>
        <v>22000</v>
      </c>
      <c r="F147" s="13">
        <f t="shared" si="25"/>
        <v>24310</v>
      </c>
      <c r="G147" s="2"/>
      <c r="H147" s="2"/>
      <c r="I147" s="13">
        <v>12000</v>
      </c>
      <c r="J147" s="13">
        <f t="shared" si="26"/>
        <v>12000</v>
      </c>
      <c r="K147" s="13">
        <f t="shared" si="27"/>
        <v>12310</v>
      </c>
      <c r="L147" s="36">
        <f t="shared" si="28"/>
        <v>0.55954545454545457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1</v>
      </c>
      <c r="B148" s="10" t="s">
        <v>23</v>
      </c>
      <c r="C148" s="11" t="s">
        <v>32</v>
      </c>
      <c r="D148" s="13">
        <v>20000</v>
      </c>
      <c r="E148" s="13">
        <f t="shared" si="24"/>
        <v>20000</v>
      </c>
      <c r="F148" s="13">
        <f t="shared" si="25"/>
        <v>22100</v>
      </c>
      <c r="G148" s="7"/>
      <c r="H148" s="2"/>
      <c r="I148" s="7">
        <v>8000</v>
      </c>
      <c r="J148" s="13">
        <f t="shared" si="26"/>
        <v>8000</v>
      </c>
      <c r="K148" s="13">
        <f t="shared" si="27"/>
        <v>14100</v>
      </c>
      <c r="L148" s="14">
        <f t="shared" si="28"/>
        <v>0.70499999999999996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10</v>
      </c>
      <c r="B149" s="10" t="s">
        <v>4</v>
      </c>
      <c r="C149" s="11" t="s">
        <v>159</v>
      </c>
      <c r="D149" s="13">
        <v>1600</v>
      </c>
      <c r="E149" s="13">
        <f t="shared" si="24"/>
        <v>16000</v>
      </c>
      <c r="F149" s="13">
        <f t="shared" si="25"/>
        <v>17680</v>
      </c>
      <c r="G149" s="7"/>
      <c r="H149" s="2"/>
      <c r="I149" s="2">
        <f>27000/50</f>
        <v>540</v>
      </c>
      <c r="J149" s="13">
        <f t="shared" si="26"/>
        <v>5400</v>
      </c>
      <c r="K149" s="13">
        <f t="shared" si="27"/>
        <v>12280</v>
      </c>
      <c r="L149" s="14">
        <f t="shared" si="28"/>
        <v>0.76749999999999996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23</v>
      </c>
      <c r="C150" s="11" t="s">
        <v>34</v>
      </c>
      <c r="D150" s="13">
        <v>35000</v>
      </c>
      <c r="E150" s="13">
        <f t="shared" si="24"/>
        <v>35000</v>
      </c>
      <c r="F150" s="13">
        <f t="shared" si="25"/>
        <v>38675</v>
      </c>
      <c r="G150" s="7"/>
      <c r="H150" s="2"/>
      <c r="I150" s="7">
        <v>20000</v>
      </c>
      <c r="J150" s="13">
        <f t="shared" si="26"/>
        <v>20000</v>
      </c>
      <c r="K150" s="13">
        <f t="shared" si="27"/>
        <v>18675</v>
      </c>
      <c r="L150" s="14">
        <f t="shared" si="28"/>
        <v>0.53357142857142859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2</v>
      </c>
      <c r="B151" s="10" t="s">
        <v>23</v>
      </c>
      <c r="C151" s="11" t="s">
        <v>82</v>
      </c>
      <c r="D151" s="13">
        <v>30000</v>
      </c>
      <c r="E151" s="13">
        <f t="shared" si="24"/>
        <v>60000</v>
      </c>
      <c r="F151" s="13">
        <f t="shared" si="25"/>
        <v>66300</v>
      </c>
      <c r="G151" s="7"/>
      <c r="H151" s="2"/>
      <c r="I151" s="7">
        <v>12000</v>
      </c>
      <c r="J151" s="13">
        <f t="shared" si="26"/>
        <v>24000</v>
      </c>
      <c r="K151" s="13">
        <f t="shared" si="27"/>
        <v>42300</v>
      </c>
      <c r="L151" s="14">
        <f t="shared" si="28"/>
        <v>0.70499999999999996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1</v>
      </c>
      <c r="B152" s="10" t="s">
        <v>15</v>
      </c>
      <c r="C152" s="11" t="s">
        <v>40</v>
      </c>
      <c r="D152" s="13">
        <v>16000</v>
      </c>
      <c r="E152" s="13">
        <f t="shared" si="24"/>
        <v>16000</v>
      </c>
      <c r="F152" s="13">
        <f t="shared" si="25"/>
        <v>17680</v>
      </c>
      <c r="G152" s="7"/>
      <c r="H152" s="2"/>
      <c r="I152" s="7">
        <v>11000</v>
      </c>
      <c r="J152" s="13">
        <f t="shared" si="26"/>
        <v>11000</v>
      </c>
      <c r="K152" s="13">
        <f t="shared" si="27"/>
        <v>6680</v>
      </c>
      <c r="L152" s="14">
        <f t="shared" si="28"/>
        <v>0.41749999999999998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</v>
      </c>
      <c r="B153" s="10" t="s">
        <v>23</v>
      </c>
      <c r="C153" s="11" t="s">
        <v>85</v>
      </c>
      <c r="D153" s="13">
        <v>54000</v>
      </c>
      <c r="E153" s="13">
        <f t="shared" si="24"/>
        <v>54000</v>
      </c>
      <c r="F153" s="13">
        <f>E153*1.21</f>
        <v>65340</v>
      </c>
      <c r="G153" s="7"/>
      <c r="H153" s="2"/>
      <c r="I153" s="7">
        <v>50000</v>
      </c>
      <c r="J153" s="13">
        <f t="shared" si="26"/>
        <v>50000</v>
      </c>
      <c r="K153" s="13">
        <f t="shared" si="27"/>
        <v>15340</v>
      </c>
      <c r="L153" s="14">
        <f t="shared" si="28"/>
        <v>0.28407407407407409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1</v>
      </c>
      <c r="B154" s="10" t="s">
        <v>23</v>
      </c>
      <c r="C154" s="11" t="s">
        <v>190</v>
      </c>
      <c r="D154" s="13">
        <v>45000</v>
      </c>
      <c r="E154" s="13">
        <f t="shared" si="24"/>
        <v>45000</v>
      </c>
      <c r="F154" s="13">
        <f t="shared" ref="F154:F161" si="29">E154*1.105</f>
        <v>49725</v>
      </c>
      <c r="G154" s="7" t="s">
        <v>15</v>
      </c>
      <c r="H154" s="2"/>
      <c r="I154" s="2"/>
      <c r="J154" s="13">
        <f t="shared" si="26"/>
        <v>0</v>
      </c>
      <c r="K154" s="13">
        <f t="shared" si="27"/>
        <v>49725</v>
      </c>
      <c r="L154" s="14">
        <f t="shared" si="28"/>
        <v>1.105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</v>
      </c>
      <c r="B155" s="10" t="s">
        <v>23</v>
      </c>
      <c r="C155" s="11" t="s">
        <v>24</v>
      </c>
      <c r="D155" s="13">
        <v>36500</v>
      </c>
      <c r="E155" s="13">
        <f t="shared" si="24"/>
        <v>36500</v>
      </c>
      <c r="F155" s="13">
        <f t="shared" si="29"/>
        <v>40332.5</v>
      </c>
      <c r="G155" s="7" t="s">
        <v>15</v>
      </c>
      <c r="H155" s="7" t="s">
        <v>1118</v>
      </c>
      <c r="I155" s="2"/>
      <c r="J155" s="13">
        <f t="shared" si="26"/>
        <v>0</v>
      </c>
      <c r="K155" s="13">
        <f t="shared" si="27"/>
        <v>40332.5</v>
      </c>
      <c r="L155" s="14">
        <f t="shared" si="28"/>
        <v>1.105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</v>
      </c>
      <c r="B156" s="10" t="s">
        <v>23</v>
      </c>
      <c r="C156" s="11" t="s">
        <v>87</v>
      </c>
      <c r="D156" s="13">
        <v>38000</v>
      </c>
      <c r="E156" s="13">
        <f t="shared" si="24"/>
        <v>38000</v>
      </c>
      <c r="F156" s="13">
        <f t="shared" si="29"/>
        <v>41990</v>
      </c>
      <c r="G156" s="7" t="s">
        <v>15</v>
      </c>
      <c r="H156" s="7"/>
      <c r="I156" s="2"/>
      <c r="J156" s="13">
        <f t="shared" si="26"/>
        <v>0</v>
      </c>
      <c r="K156" s="13">
        <f t="shared" si="27"/>
        <v>41990</v>
      </c>
      <c r="L156" s="14">
        <f t="shared" si="28"/>
        <v>1.105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1</v>
      </c>
      <c r="B157" s="10" t="s">
        <v>23</v>
      </c>
      <c r="C157" s="11" t="s">
        <v>127</v>
      </c>
      <c r="D157" s="13">
        <v>25000</v>
      </c>
      <c r="E157" s="13">
        <f t="shared" si="24"/>
        <v>25000</v>
      </c>
      <c r="F157" s="13">
        <f t="shared" si="29"/>
        <v>27625</v>
      </c>
      <c r="G157" s="7" t="s">
        <v>15</v>
      </c>
      <c r="H157" s="7" t="s">
        <v>1118</v>
      </c>
      <c r="I157" s="2"/>
      <c r="J157" s="13">
        <f t="shared" si="26"/>
        <v>0</v>
      </c>
      <c r="K157" s="13">
        <f t="shared" si="27"/>
        <v>27625</v>
      </c>
      <c r="L157" s="14">
        <f t="shared" si="28"/>
        <v>1.105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1</v>
      </c>
      <c r="B158" s="10" t="s">
        <v>23</v>
      </c>
      <c r="C158" s="11" t="s">
        <v>67</v>
      </c>
      <c r="D158" s="13">
        <v>15000</v>
      </c>
      <c r="E158" s="13">
        <f t="shared" si="24"/>
        <v>15000</v>
      </c>
      <c r="F158" s="13">
        <f t="shared" si="29"/>
        <v>16575</v>
      </c>
      <c r="G158" s="7" t="s">
        <v>15</v>
      </c>
      <c r="H158" s="7" t="s">
        <v>1118</v>
      </c>
      <c r="I158" s="2"/>
      <c r="J158" s="13">
        <f t="shared" si="26"/>
        <v>0</v>
      </c>
      <c r="K158" s="13">
        <f t="shared" si="27"/>
        <v>16575</v>
      </c>
      <c r="L158" s="14">
        <f t="shared" si="28"/>
        <v>1.105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1</v>
      </c>
      <c r="B159" s="10" t="s">
        <v>23</v>
      </c>
      <c r="C159" s="11" t="s">
        <v>49</v>
      </c>
      <c r="D159" s="13">
        <v>28000</v>
      </c>
      <c r="E159" s="13">
        <f t="shared" si="24"/>
        <v>28000</v>
      </c>
      <c r="F159" s="13">
        <f t="shared" si="29"/>
        <v>30940</v>
      </c>
      <c r="G159" s="7" t="s">
        <v>15</v>
      </c>
      <c r="H159" s="2"/>
      <c r="I159" s="2"/>
      <c r="J159" s="13">
        <f t="shared" si="26"/>
        <v>0</v>
      </c>
      <c r="K159" s="13">
        <f t="shared" si="27"/>
        <v>30940</v>
      </c>
      <c r="L159" s="14">
        <f t="shared" si="28"/>
        <v>1.105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1</v>
      </c>
      <c r="B160" s="10" t="s">
        <v>23</v>
      </c>
      <c r="C160" s="11" t="s">
        <v>81</v>
      </c>
      <c r="D160" s="13">
        <v>18000</v>
      </c>
      <c r="E160" s="13">
        <f t="shared" si="24"/>
        <v>18000</v>
      </c>
      <c r="F160" s="13">
        <f t="shared" si="29"/>
        <v>19890</v>
      </c>
      <c r="G160" s="7" t="s">
        <v>15</v>
      </c>
      <c r="H160" s="2"/>
      <c r="I160" s="2"/>
      <c r="J160" s="13">
        <f t="shared" si="26"/>
        <v>0</v>
      </c>
      <c r="K160" s="13">
        <f t="shared" si="27"/>
        <v>19890</v>
      </c>
      <c r="L160" s="14">
        <f t="shared" si="28"/>
        <v>1.105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1</v>
      </c>
      <c r="B161" s="10" t="s">
        <v>23</v>
      </c>
      <c r="C161" s="11" t="s">
        <v>93</v>
      </c>
      <c r="D161" s="13">
        <v>20000</v>
      </c>
      <c r="E161" s="13">
        <f t="shared" si="24"/>
        <v>20000</v>
      </c>
      <c r="F161" s="13">
        <f t="shared" si="29"/>
        <v>22100</v>
      </c>
      <c r="G161" s="7" t="s">
        <v>164</v>
      </c>
      <c r="H161" s="2"/>
      <c r="I161" s="2"/>
      <c r="J161" s="13">
        <f t="shared" si="26"/>
        <v>0</v>
      </c>
      <c r="K161" s="13">
        <f t="shared" si="27"/>
        <v>22100</v>
      </c>
      <c r="L161" s="14">
        <f t="shared" si="28"/>
        <v>1.105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0.5</v>
      </c>
      <c r="B162" s="10" t="s">
        <v>23</v>
      </c>
      <c r="C162" s="11" t="s">
        <v>85</v>
      </c>
      <c r="D162" s="13">
        <v>54000</v>
      </c>
      <c r="E162" s="13">
        <f t="shared" si="24"/>
        <v>27000</v>
      </c>
      <c r="F162" s="13">
        <f>E162*1.21</f>
        <v>32670</v>
      </c>
      <c r="G162" s="7" t="s">
        <v>164</v>
      </c>
      <c r="H162" s="2"/>
      <c r="I162" s="2"/>
      <c r="J162" s="13">
        <f t="shared" si="26"/>
        <v>0</v>
      </c>
      <c r="K162" s="13">
        <f t="shared" si="27"/>
        <v>32670</v>
      </c>
      <c r="L162" s="14">
        <f t="shared" si="28"/>
        <v>1.21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"/>
      <c r="B163" s="2"/>
      <c r="C163" s="4"/>
      <c r="D163" s="2"/>
      <c r="E163" s="2"/>
      <c r="F163" s="13"/>
      <c r="G163" s="2"/>
      <c r="H163" s="2"/>
      <c r="I163" s="2"/>
      <c r="J163" s="2"/>
      <c r="K163" s="2"/>
      <c r="L163" s="3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"/>
      <c r="B164" s="2"/>
      <c r="C164" s="4"/>
      <c r="D164" s="2"/>
      <c r="E164" s="13">
        <f t="shared" ref="E164:F164" si="30">SUM(E139:E162)</f>
        <v>1159000</v>
      </c>
      <c r="F164" s="13">
        <f t="shared" si="30"/>
        <v>1289200</v>
      </c>
      <c r="G164" s="2"/>
      <c r="H164" s="2"/>
      <c r="I164" s="2"/>
      <c r="J164" s="2"/>
      <c r="K164" s="13">
        <f>SUM(K139:K162)</f>
        <v>721648</v>
      </c>
      <c r="L164" s="14">
        <f>K164/F164</f>
        <v>0.55976419484951911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0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0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0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6" t="s">
        <v>165</v>
      </c>
      <c r="B168" s="25" t="s">
        <v>166</v>
      </c>
      <c r="C168" s="6"/>
      <c r="D168" s="7"/>
      <c r="E168" s="7" t="s">
        <v>1</v>
      </c>
      <c r="F168" s="8">
        <v>46132</v>
      </c>
      <c r="G168" s="7"/>
      <c r="H168" s="2"/>
      <c r="I168" s="9" t="s">
        <v>2</v>
      </c>
      <c r="J168" s="9"/>
      <c r="K168" s="9"/>
      <c r="L168" s="31"/>
      <c r="M168" s="4"/>
      <c r="N168" s="2"/>
      <c r="O168" s="4"/>
      <c r="P168" s="2"/>
      <c r="Q168" s="2"/>
      <c r="R168" s="4"/>
      <c r="S168" s="2"/>
      <c r="T168" s="2"/>
      <c r="U168" s="1"/>
      <c r="V168" s="2"/>
      <c r="W168" s="2"/>
      <c r="X168" s="2"/>
      <c r="Y168" s="2"/>
      <c r="Z168" s="2"/>
    </row>
    <row r="169" spans="1:26" x14ac:dyDescent="0.2">
      <c r="A169" s="1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31"/>
      <c r="M169" s="1"/>
      <c r="N169" s="2"/>
      <c r="O169" s="4"/>
      <c r="P169" s="2"/>
      <c r="Q169" s="2"/>
      <c r="R169" s="4"/>
      <c r="S169" s="2"/>
      <c r="T169" s="2"/>
      <c r="U169" s="1"/>
      <c r="V169" s="2"/>
      <c r="W169" s="2"/>
      <c r="X169" s="2"/>
      <c r="Y169" s="2"/>
      <c r="Z169" s="2"/>
    </row>
    <row r="170" spans="1:26" x14ac:dyDescent="0.2">
      <c r="A170" s="6" t="s">
        <v>3</v>
      </c>
      <c r="B170" s="10" t="s">
        <v>4</v>
      </c>
      <c r="C170" s="11" t="s">
        <v>5</v>
      </c>
      <c r="D170" s="10" t="s">
        <v>6</v>
      </c>
      <c r="E170" s="10" t="s">
        <v>7</v>
      </c>
      <c r="F170" s="10" t="s">
        <v>8</v>
      </c>
      <c r="G170" s="7"/>
      <c r="H170" s="7"/>
      <c r="I170" s="10" t="s">
        <v>9</v>
      </c>
      <c r="J170" s="10" t="s">
        <v>7</v>
      </c>
      <c r="K170" s="10" t="s">
        <v>10</v>
      </c>
      <c r="L170" s="38"/>
      <c r="M170" s="1"/>
      <c r="N170" s="2"/>
      <c r="O170" s="4"/>
      <c r="P170" s="2"/>
      <c r="Q170" s="2"/>
      <c r="R170" s="4"/>
      <c r="S170" s="2"/>
      <c r="T170" s="2"/>
      <c r="U170" s="1"/>
      <c r="V170" s="2"/>
      <c r="W170" s="2"/>
      <c r="X170" s="2"/>
      <c r="Y170" s="2"/>
      <c r="Z170" s="2"/>
    </row>
    <row r="171" spans="1:26" x14ac:dyDescent="0.2">
      <c r="A171" s="12">
        <v>1</v>
      </c>
      <c r="B171" s="10" t="s">
        <v>15</v>
      </c>
      <c r="C171" s="11" t="s">
        <v>167</v>
      </c>
      <c r="D171" s="13">
        <v>16000</v>
      </c>
      <c r="E171" s="13">
        <f t="shared" ref="E171:E186" si="31">A171*D171</f>
        <v>16000</v>
      </c>
      <c r="F171" s="13">
        <f t="shared" ref="F171:F181" si="32">E171*1.105</f>
        <v>17680</v>
      </c>
      <c r="G171" s="2"/>
      <c r="H171" s="2"/>
      <c r="I171" s="13">
        <v>8000</v>
      </c>
      <c r="J171" s="13">
        <f t="shared" ref="J171:J186" si="33">I171*A171</f>
        <v>8000</v>
      </c>
      <c r="K171" s="13">
        <f t="shared" ref="K171:K186" si="34">F171-J171</f>
        <v>9680</v>
      </c>
      <c r="L171" s="14">
        <f t="shared" ref="L171:L186" si="35">IFERROR(K171/E171, 0)</f>
        <v>0.60499999999999998</v>
      </c>
      <c r="M171" s="1"/>
      <c r="N171" s="2"/>
      <c r="O171" s="4"/>
      <c r="P171" s="2"/>
      <c r="Q171" s="2"/>
      <c r="R171" s="4"/>
      <c r="S171" s="2"/>
      <c r="T171" s="2"/>
      <c r="U171" s="1"/>
      <c r="V171" s="2"/>
      <c r="W171" s="2"/>
      <c r="X171" s="2"/>
      <c r="Y171" s="2"/>
      <c r="Z171" s="2"/>
    </row>
    <row r="172" spans="1:26" x14ac:dyDescent="0.2">
      <c r="A172" s="12">
        <v>1</v>
      </c>
      <c r="B172" s="10" t="s">
        <v>4</v>
      </c>
      <c r="C172" s="11" t="s">
        <v>36</v>
      </c>
      <c r="D172" s="13">
        <v>1800</v>
      </c>
      <c r="E172" s="13">
        <f t="shared" si="31"/>
        <v>1800</v>
      </c>
      <c r="F172" s="13">
        <f t="shared" si="32"/>
        <v>1989</v>
      </c>
      <c r="G172" s="2"/>
      <c r="H172" s="2"/>
      <c r="I172" s="13">
        <v>800</v>
      </c>
      <c r="J172" s="13">
        <f t="shared" si="33"/>
        <v>800</v>
      </c>
      <c r="K172" s="13">
        <f t="shared" si="34"/>
        <v>1189</v>
      </c>
      <c r="L172" s="14">
        <f t="shared" si="35"/>
        <v>0.66055555555555556</v>
      </c>
      <c r="M172" s="1"/>
      <c r="N172" s="2"/>
      <c r="O172" s="4"/>
      <c r="P172" s="2"/>
      <c r="Q172" s="2"/>
      <c r="R172" s="4"/>
      <c r="S172" s="2"/>
      <c r="T172" s="2"/>
      <c r="U172" s="1"/>
      <c r="V172" s="2"/>
      <c r="W172" s="2"/>
      <c r="X172" s="2"/>
      <c r="Y172" s="2"/>
      <c r="Z172" s="2"/>
    </row>
    <row r="173" spans="1:26" x14ac:dyDescent="0.2">
      <c r="A173" s="12">
        <v>10</v>
      </c>
      <c r="B173" s="10" t="s">
        <v>17</v>
      </c>
      <c r="C173" s="11" t="s">
        <v>73</v>
      </c>
      <c r="D173" s="13">
        <v>1300</v>
      </c>
      <c r="E173" s="13">
        <f t="shared" si="31"/>
        <v>13000</v>
      </c>
      <c r="F173" s="13">
        <f t="shared" si="32"/>
        <v>14365</v>
      </c>
      <c r="G173" s="2"/>
      <c r="H173" s="2"/>
      <c r="I173" s="13">
        <f>12000/15</f>
        <v>800</v>
      </c>
      <c r="J173" s="13">
        <f t="shared" si="33"/>
        <v>8000</v>
      </c>
      <c r="K173" s="13">
        <f t="shared" si="34"/>
        <v>6365</v>
      </c>
      <c r="L173" s="14">
        <f t="shared" si="35"/>
        <v>0.48961538461538462</v>
      </c>
      <c r="M173" s="1"/>
      <c r="N173" s="2"/>
      <c r="O173" s="4"/>
      <c r="P173" s="2"/>
      <c r="Q173" s="2"/>
      <c r="R173" s="4"/>
      <c r="S173" s="2"/>
      <c r="T173" s="2"/>
      <c r="U173" s="1"/>
      <c r="V173" s="2"/>
      <c r="W173" s="2"/>
      <c r="X173" s="2"/>
      <c r="Y173" s="2"/>
      <c r="Z173" s="2"/>
    </row>
    <row r="174" spans="1:26" x14ac:dyDescent="0.2">
      <c r="A174" s="12">
        <v>8</v>
      </c>
      <c r="B174" s="10" t="s">
        <v>17</v>
      </c>
      <c r="C174" s="11" t="s">
        <v>79</v>
      </c>
      <c r="D174" s="13">
        <v>3000</v>
      </c>
      <c r="E174" s="13">
        <f t="shared" si="31"/>
        <v>24000</v>
      </c>
      <c r="F174" s="13">
        <f t="shared" si="32"/>
        <v>26520</v>
      </c>
      <c r="G174" s="2"/>
      <c r="H174" s="2"/>
      <c r="I174" s="2">
        <f>15000/8</f>
        <v>1875</v>
      </c>
      <c r="J174" s="13">
        <f t="shared" si="33"/>
        <v>15000</v>
      </c>
      <c r="K174" s="13">
        <f t="shared" si="34"/>
        <v>11520</v>
      </c>
      <c r="L174" s="14">
        <f t="shared" si="35"/>
        <v>0.48</v>
      </c>
      <c r="M174" s="1"/>
      <c r="N174" s="2"/>
      <c r="O174" s="4"/>
      <c r="P174" s="2"/>
      <c r="Q174" s="2"/>
      <c r="R174" s="4"/>
      <c r="S174" s="2"/>
      <c r="T174" s="2"/>
      <c r="U174" s="1"/>
      <c r="V174" s="2"/>
      <c r="W174" s="2"/>
      <c r="X174" s="2"/>
      <c r="Y174" s="2"/>
      <c r="Z174" s="2"/>
    </row>
    <row r="175" spans="1:26" x14ac:dyDescent="0.2">
      <c r="A175" s="12">
        <v>8</v>
      </c>
      <c r="B175" s="10" t="s">
        <v>17</v>
      </c>
      <c r="C175" s="11" t="s">
        <v>98</v>
      </c>
      <c r="D175" s="13">
        <v>1500</v>
      </c>
      <c r="E175" s="13">
        <f t="shared" si="31"/>
        <v>12000</v>
      </c>
      <c r="F175" s="13">
        <f t="shared" si="32"/>
        <v>13260</v>
      </c>
      <c r="G175" s="2"/>
      <c r="H175" s="2"/>
      <c r="I175" s="13">
        <f>12000/14</f>
        <v>857.14285714285711</v>
      </c>
      <c r="J175" s="13">
        <f t="shared" si="33"/>
        <v>6857.1428571428569</v>
      </c>
      <c r="K175" s="13">
        <f t="shared" si="34"/>
        <v>6402.8571428571431</v>
      </c>
      <c r="L175" s="14">
        <f t="shared" si="35"/>
        <v>0.53357142857142859</v>
      </c>
      <c r="M175" s="1"/>
      <c r="N175" s="2"/>
      <c r="O175" s="4"/>
      <c r="P175" s="2"/>
      <c r="Q175" s="2"/>
      <c r="R175" s="4"/>
      <c r="S175" s="2"/>
      <c r="T175" s="2"/>
      <c r="U175" s="1"/>
      <c r="V175" s="2"/>
      <c r="W175" s="2"/>
      <c r="X175" s="2"/>
      <c r="Y175" s="2"/>
      <c r="Z175" s="2"/>
    </row>
    <row r="176" spans="1:26" x14ac:dyDescent="0.2">
      <c r="A176" s="12">
        <v>8</v>
      </c>
      <c r="B176" s="10" t="s">
        <v>17</v>
      </c>
      <c r="C176" s="11" t="s">
        <v>99</v>
      </c>
      <c r="D176" s="13">
        <v>1200</v>
      </c>
      <c r="E176" s="13">
        <f t="shared" si="31"/>
        <v>9600</v>
      </c>
      <c r="F176" s="13">
        <f t="shared" si="32"/>
        <v>10608</v>
      </c>
      <c r="G176" s="2"/>
      <c r="H176" s="7"/>
      <c r="I176" s="13">
        <f>5000/8</f>
        <v>625</v>
      </c>
      <c r="J176" s="13">
        <f t="shared" si="33"/>
        <v>5000</v>
      </c>
      <c r="K176" s="13">
        <f t="shared" si="34"/>
        <v>5608</v>
      </c>
      <c r="L176" s="14">
        <f t="shared" si="35"/>
        <v>0.58416666666666661</v>
      </c>
      <c r="M176" s="1"/>
      <c r="N176" s="2"/>
      <c r="O176" s="4"/>
      <c r="P176" s="2"/>
      <c r="Q176" s="2"/>
      <c r="R176" s="4"/>
      <c r="S176" s="2"/>
      <c r="T176" s="2"/>
      <c r="U176" s="1"/>
      <c r="V176" s="2"/>
      <c r="W176" s="2"/>
      <c r="X176" s="2"/>
      <c r="Y176" s="2"/>
      <c r="Z176" s="2"/>
    </row>
    <row r="177" spans="1:26" x14ac:dyDescent="0.2">
      <c r="A177" s="12">
        <v>4</v>
      </c>
      <c r="B177" s="10" t="s">
        <v>15</v>
      </c>
      <c r="C177" s="11" t="s">
        <v>84</v>
      </c>
      <c r="D177" s="13">
        <v>16000</v>
      </c>
      <c r="E177" s="13">
        <f t="shared" si="31"/>
        <v>64000</v>
      </c>
      <c r="F177" s="13">
        <f t="shared" si="32"/>
        <v>70720</v>
      </c>
      <c r="G177" s="2"/>
      <c r="H177" s="2"/>
      <c r="I177" s="13">
        <v>11000</v>
      </c>
      <c r="J177" s="13">
        <f t="shared" si="33"/>
        <v>44000</v>
      </c>
      <c r="K177" s="13">
        <f t="shared" si="34"/>
        <v>26720</v>
      </c>
      <c r="L177" s="14">
        <f t="shared" si="35"/>
        <v>0.41749999999999998</v>
      </c>
      <c r="M177" s="1"/>
      <c r="N177" s="2"/>
      <c r="O177" s="4"/>
      <c r="P177" s="2"/>
      <c r="Q177" s="2"/>
      <c r="R177" s="4"/>
      <c r="S177" s="2"/>
      <c r="T177" s="2"/>
      <c r="U177" s="1"/>
      <c r="V177" s="2"/>
      <c r="W177" s="2"/>
      <c r="X177" s="2"/>
      <c r="Y177" s="2"/>
      <c r="Z177" s="2"/>
    </row>
    <row r="178" spans="1:26" x14ac:dyDescent="0.2">
      <c r="A178" s="12">
        <v>2</v>
      </c>
      <c r="B178" s="10" t="s">
        <v>15</v>
      </c>
      <c r="C178" s="11" t="s">
        <v>48</v>
      </c>
      <c r="D178" s="13">
        <v>13000</v>
      </c>
      <c r="E178" s="13">
        <f t="shared" si="31"/>
        <v>26000</v>
      </c>
      <c r="F178" s="13">
        <f t="shared" si="32"/>
        <v>28730</v>
      </c>
      <c r="G178" s="2"/>
      <c r="H178" s="2"/>
      <c r="I178" s="13">
        <v>8000</v>
      </c>
      <c r="J178" s="13">
        <f t="shared" si="33"/>
        <v>16000</v>
      </c>
      <c r="K178" s="13">
        <f t="shared" si="34"/>
        <v>12730</v>
      </c>
      <c r="L178" s="14">
        <f t="shared" si="35"/>
        <v>0.48961538461538462</v>
      </c>
      <c r="M178" s="1"/>
      <c r="N178" s="2"/>
      <c r="O178" s="4"/>
      <c r="P178" s="2"/>
      <c r="Q178" s="2"/>
      <c r="R178" s="4"/>
      <c r="S178" s="2"/>
      <c r="T178" s="2"/>
      <c r="U178" s="1"/>
      <c r="V178" s="2"/>
      <c r="W178" s="2"/>
      <c r="X178" s="2"/>
      <c r="Y178" s="2"/>
      <c r="Z178" s="2"/>
    </row>
    <row r="179" spans="1:26" x14ac:dyDescent="0.2">
      <c r="A179" s="12">
        <v>2</v>
      </c>
      <c r="B179" s="10" t="s">
        <v>15</v>
      </c>
      <c r="C179" s="11" t="s">
        <v>56</v>
      </c>
      <c r="D179" s="13">
        <v>13000</v>
      </c>
      <c r="E179" s="13">
        <f t="shared" si="31"/>
        <v>26000</v>
      </c>
      <c r="F179" s="13">
        <f t="shared" si="32"/>
        <v>28730</v>
      </c>
      <c r="G179" s="2"/>
      <c r="H179" s="2"/>
      <c r="I179" s="7">
        <v>9000</v>
      </c>
      <c r="J179" s="13">
        <f t="shared" si="33"/>
        <v>18000</v>
      </c>
      <c r="K179" s="13">
        <f t="shared" si="34"/>
        <v>10730</v>
      </c>
      <c r="L179" s="14">
        <f t="shared" si="35"/>
        <v>0.41269230769230769</v>
      </c>
      <c r="M179" s="1"/>
      <c r="N179" s="2"/>
      <c r="O179" s="4"/>
      <c r="P179" s="2"/>
      <c r="Q179" s="2"/>
      <c r="R179" s="4"/>
      <c r="S179" s="2"/>
      <c r="T179" s="2"/>
      <c r="U179" s="1"/>
      <c r="V179" s="2"/>
      <c r="W179" s="2"/>
      <c r="X179" s="2"/>
      <c r="Y179" s="2"/>
      <c r="Z179" s="2"/>
    </row>
    <row r="180" spans="1:26" x14ac:dyDescent="0.2">
      <c r="A180" s="12">
        <v>5</v>
      </c>
      <c r="B180" s="10" t="s">
        <v>17</v>
      </c>
      <c r="C180" s="11" t="s">
        <v>31</v>
      </c>
      <c r="D180" s="13">
        <v>3000</v>
      </c>
      <c r="E180" s="13">
        <f t="shared" si="31"/>
        <v>15000</v>
      </c>
      <c r="F180" s="13">
        <f t="shared" si="32"/>
        <v>16575</v>
      </c>
      <c r="G180" s="2"/>
      <c r="H180" s="2"/>
      <c r="I180" s="13">
        <f>12000/7</f>
        <v>1714.2857142857142</v>
      </c>
      <c r="J180" s="13">
        <f t="shared" si="33"/>
        <v>8571.4285714285706</v>
      </c>
      <c r="K180" s="13">
        <f t="shared" si="34"/>
        <v>8003.5714285714294</v>
      </c>
      <c r="L180" s="14">
        <f t="shared" si="35"/>
        <v>0.53357142857142859</v>
      </c>
      <c r="M180" s="1"/>
      <c r="N180" s="2"/>
      <c r="O180" s="4"/>
      <c r="P180" s="2"/>
      <c r="Q180" s="2"/>
      <c r="R180" s="4"/>
      <c r="S180" s="2"/>
      <c r="T180" s="2"/>
      <c r="U180" s="1"/>
      <c r="V180" s="2"/>
      <c r="W180" s="2"/>
      <c r="X180" s="2"/>
      <c r="Y180" s="2"/>
      <c r="Z180" s="2"/>
    </row>
    <row r="181" spans="1:26" x14ac:dyDescent="0.2">
      <c r="A181" s="12">
        <v>5</v>
      </c>
      <c r="B181" s="10" t="s">
        <v>17</v>
      </c>
      <c r="C181" s="11" t="s">
        <v>32</v>
      </c>
      <c r="D181" s="13">
        <v>2500</v>
      </c>
      <c r="E181" s="13">
        <f t="shared" si="31"/>
        <v>12500</v>
      </c>
      <c r="F181" s="13">
        <f t="shared" si="32"/>
        <v>13812.5</v>
      </c>
      <c r="G181" s="2"/>
      <c r="H181" s="7"/>
      <c r="I181" s="13">
        <f>8000/7</f>
        <v>1142.8571428571429</v>
      </c>
      <c r="J181" s="13">
        <f t="shared" si="33"/>
        <v>5714.2857142857147</v>
      </c>
      <c r="K181" s="13">
        <f t="shared" si="34"/>
        <v>8098.2142857142853</v>
      </c>
      <c r="L181" s="14">
        <f t="shared" si="35"/>
        <v>0.6478571428571428</v>
      </c>
      <c r="M181" s="1"/>
      <c r="N181" s="2"/>
      <c r="O181" s="4"/>
      <c r="P181" s="2"/>
      <c r="Q181" s="2"/>
      <c r="R181" s="4"/>
      <c r="S181" s="2"/>
      <c r="T181" s="2"/>
      <c r="U181" s="1"/>
      <c r="V181" s="2"/>
      <c r="W181" s="2"/>
      <c r="X181" s="2"/>
      <c r="Y181" s="2"/>
      <c r="Z181" s="2"/>
    </row>
    <row r="182" spans="1:26" x14ac:dyDescent="0.2">
      <c r="A182" s="12">
        <v>1</v>
      </c>
      <c r="B182" s="10" t="s">
        <v>23</v>
      </c>
      <c r="C182" s="11" t="s">
        <v>85</v>
      </c>
      <c r="D182" s="13">
        <v>54000</v>
      </c>
      <c r="E182" s="13">
        <f t="shared" si="31"/>
        <v>54000</v>
      </c>
      <c r="F182" s="13">
        <f>E182*1.21</f>
        <v>65340</v>
      </c>
      <c r="G182" s="2"/>
      <c r="H182" s="2"/>
      <c r="I182" s="13">
        <v>50000</v>
      </c>
      <c r="J182" s="13">
        <f t="shared" si="33"/>
        <v>50000</v>
      </c>
      <c r="K182" s="13">
        <f t="shared" si="34"/>
        <v>15340</v>
      </c>
      <c r="L182" s="14">
        <f t="shared" si="35"/>
        <v>0.28407407407407409</v>
      </c>
      <c r="M182" s="1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x14ac:dyDescent="0.2">
      <c r="A183" s="12">
        <v>1</v>
      </c>
      <c r="B183" s="10" t="s">
        <v>23</v>
      </c>
      <c r="C183" s="11" t="s">
        <v>87</v>
      </c>
      <c r="D183" s="13">
        <v>38000</v>
      </c>
      <c r="E183" s="13">
        <f t="shared" si="31"/>
        <v>38000</v>
      </c>
      <c r="F183" s="13">
        <f t="shared" ref="F183:F186" si="36">E183*1.105</f>
        <v>41990</v>
      </c>
      <c r="G183" s="2"/>
      <c r="H183" s="2"/>
      <c r="I183" s="13">
        <v>30000</v>
      </c>
      <c r="J183" s="13">
        <f t="shared" si="33"/>
        <v>30000</v>
      </c>
      <c r="K183" s="13">
        <f t="shared" si="34"/>
        <v>11990</v>
      </c>
      <c r="L183" s="14">
        <f t="shared" si="35"/>
        <v>0.31552631578947371</v>
      </c>
      <c r="M183" s="1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x14ac:dyDescent="0.2">
      <c r="A184" s="12">
        <v>1</v>
      </c>
      <c r="B184" s="10" t="s">
        <v>23</v>
      </c>
      <c r="C184" s="11" t="s">
        <v>24</v>
      </c>
      <c r="D184" s="13">
        <v>50000</v>
      </c>
      <c r="E184" s="13">
        <f t="shared" si="31"/>
        <v>50000</v>
      </c>
      <c r="F184" s="13">
        <f t="shared" si="36"/>
        <v>55250</v>
      </c>
      <c r="G184" s="2"/>
      <c r="H184" s="2"/>
      <c r="I184" s="13">
        <v>35000</v>
      </c>
      <c r="J184" s="13">
        <f t="shared" si="33"/>
        <v>35000</v>
      </c>
      <c r="K184" s="13">
        <f t="shared" si="34"/>
        <v>20250</v>
      </c>
      <c r="L184" s="14">
        <f t="shared" si="35"/>
        <v>0.40500000000000003</v>
      </c>
      <c r="M184" s="1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x14ac:dyDescent="0.2">
      <c r="A185" s="12">
        <v>5</v>
      </c>
      <c r="B185" s="10" t="s">
        <v>17</v>
      </c>
      <c r="C185" s="11" t="s">
        <v>1085</v>
      </c>
      <c r="D185" s="13">
        <v>4000</v>
      </c>
      <c r="E185" s="13">
        <f t="shared" si="31"/>
        <v>20000</v>
      </c>
      <c r="F185" s="13">
        <f t="shared" si="36"/>
        <v>22100</v>
      </c>
      <c r="G185" s="2"/>
      <c r="H185" s="7"/>
      <c r="I185" s="13">
        <f>25000/8</f>
        <v>3125</v>
      </c>
      <c r="J185" s="13">
        <f t="shared" si="33"/>
        <v>15625</v>
      </c>
      <c r="K185" s="13">
        <f t="shared" si="34"/>
        <v>6475</v>
      </c>
      <c r="L185" s="14">
        <f t="shared" si="35"/>
        <v>0.32374999999999998</v>
      </c>
      <c r="M185" s="1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x14ac:dyDescent="0.2">
      <c r="A186" s="12">
        <v>3</v>
      </c>
      <c r="B186" s="10" t="s">
        <v>21</v>
      </c>
      <c r="C186" s="11" t="s">
        <v>1119</v>
      </c>
      <c r="D186" s="13">
        <v>650</v>
      </c>
      <c r="E186" s="13">
        <f t="shared" si="31"/>
        <v>1950</v>
      </c>
      <c r="F186" s="13">
        <f t="shared" si="36"/>
        <v>2154.75</v>
      </c>
      <c r="G186" s="2"/>
      <c r="H186" s="2"/>
      <c r="I186" s="13">
        <v>500</v>
      </c>
      <c r="J186" s="13">
        <f t="shared" si="33"/>
        <v>1500</v>
      </c>
      <c r="K186" s="13">
        <f t="shared" si="34"/>
        <v>654.75</v>
      </c>
      <c r="L186" s="14">
        <f t="shared" si="35"/>
        <v>0.33576923076923076</v>
      </c>
      <c r="M186" s="1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x14ac:dyDescent="0.2">
      <c r="A187" s="15"/>
      <c r="B187" s="7"/>
      <c r="C187" s="24"/>
      <c r="D187" s="7"/>
      <c r="E187" s="7"/>
      <c r="F187" s="7"/>
      <c r="G187" s="7"/>
      <c r="H187" s="7"/>
      <c r="I187" s="2"/>
      <c r="J187" s="7"/>
      <c r="K187" s="7"/>
      <c r="L187" s="14"/>
      <c r="M187" s="1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x14ac:dyDescent="0.2">
      <c r="A188" s="15"/>
      <c r="B188" s="7"/>
      <c r="C188" s="24"/>
      <c r="D188" s="7"/>
      <c r="E188" s="13">
        <f t="shared" ref="E188:F188" si="37">SUM(E171:E186)</f>
        <v>383850</v>
      </c>
      <c r="F188" s="13">
        <f t="shared" si="37"/>
        <v>429824.25</v>
      </c>
      <c r="G188" s="7"/>
      <c r="H188" s="7"/>
      <c r="I188" s="2"/>
      <c r="J188" s="7"/>
      <c r="K188" s="13">
        <f>SUM(K171:K186)</f>
        <v>161756.39285714287</v>
      </c>
      <c r="L188" s="14">
        <f>IFERROR(K188/E188, 0)</f>
        <v>0.4214052178120174</v>
      </c>
      <c r="M188" s="1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x14ac:dyDescent="0.2">
      <c r="A189" s="12"/>
      <c r="B189" s="10"/>
      <c r="C189" s="11"/>
      <c r="D189" s="13"/>
      <c r="E189" s="13"/>
      <c r="F189" s="13"/>
      <c r="G189" s="2"/>
      <c r="H189" s="2"/>
      <c r="I189" s="2"/>
      <c r="J189" s="13"/>
      <c r="K189" s="13"/>
      <c r="L189" s="14"/>
      <c r="M189" s="4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8"/>
      <c r="M190" s="4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ht="15.75" customHeight="1" x14ac:dyDescent="0.2">
      <c r="A191" s="6"/>
      <c r="B191" s="25"/>
      <c r="C191" s="6"/>
      <c r="D191" s="7"/>
      <c r="E191" s="7"/>
      <c r="F191" s="8"/>
      <c r="G191" s="7"/>
      <c r="H191" s="2"/>
      <c r="I191" s="2"/>
      <c r="J191" s="9"/>
      <c r="K191" s="9"/>
      <c r="L191" s="3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6" t="s">
        <v>165</v>
      </c>
      <c r="B192" s="25" t="s">
        <v>168</v>
      </c>
      <c r="C192" s="6"/>
      <c r="D192" s="7"/>
      <c r="E192" s="7" t="s">
        <v>76</v>
      </c>
      <c r="F192" s="8">
        <v>46132</v>
      </c>
      <c r="G192" s="7"/>
      <c r="H192" s="2"/>
      <c r="I192" s="9" t="s">
        <v>2</v>
      </c>
      <c r="J192" s="9"/>
      <c r="K192" s="9"/>
      <c r="L192" s="3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31"/>
      <c r="M193" s="1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x14ac:dyDescent="0.2">
      <c r="A194" s="6" t="s">
        <v>3</v>
      </c>
      <c r="B194" s="10" t="s">
        <v>4</v>
      </c>
      <c r="C194" s="11" t="s">
        <v>5</v>
      </c>
      <c r="D194" s="10" t="s">
        <v>6</v>
      </c>
      <c r="E194" s="10" t="s">
        <v>7</v>
      </c>
      <c r="F194" s="10" t="s">
        <v>8</v>
      </c>
      <c r="G194" s="7"/>
      <c r="H194" s="7"/>
      <c r="I194" s="10" t="s">
        <v>9</v>
      </c>
      <c r="J194" s="10" t="s">
        <v>7</v>
      </c>
      <c r="K194" s="10" t="s">
        <v>10</v>
      </c>
      <c r="L194" s="38"/>
      <c r="M194" s="1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x14ac:dyDescent="0.2">
      <c r="A195" s="12">
        <v>1.5</v>
      </c>
      <c r="B195" s="10" t="s">
        <v>15</v>
      </c>
      <c r="C195" s="11" t="s">
        <v>56</v>
      </c>
      <c r="D195" s="13">
        <v>13000</v>
      </c>
      <c r="E195" s="13">
        <f t="shared" ref="E195:E213" si="38">A195*D195</f>
        <v>19500</v>
      </c>
      <c r="F195" s="13">
        <f t="shared" ref="F195:F213" si="39">E195*1.105</f>
        <v>21547.5</v>
      </c>
      <c r="G195" s="2"/>
      <c r="H195" s="2"/>
      <c r="I195" s="13">
        <v>9000</v>
      </c>
      <c r="J195" s="13">
        <f t="shared" ref="J195:J213" si="40">I195*A195</f>
        <v>13500</v>
      </c>
      <c r="K195" s="13">
        <f t="shared" ref="K195:K213" si="41">F195-J195</f>
        <v>8047.5</v>
      </c>
      <c r="L195" s="14">
        <f t="shared" ref="L195:L213" si="42">IFERROR(K195/E195, 0)</f>
        <v>0.41269230769230769</v>
      </c>
      <c r="M195" s="1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x14ac:dyDescent="0.2">
      <c r="A196" s="12">
        <v>0.5</v>
      </c>
      <c r="B196" s="10" t="s">
        <v>23</v>
      </c>
      <c r="C196" s="11" t="s">
        <v>81</v>
      </c>
      <c r="D196" s="13">
        <v>17000</v>
      </c>
      <c r="E196" s="13">
        <f t="shared" si="38"/>
        <v>8500</v>
      </c>
      <c r="F196" s="13">
        <f t="shared" si="39"/>
        <v>9392.5</v>
      </c>
      <c r="G196" s="2"/>
      <c r="H196" s="2"/>
      <c r="I196" s="13">
        <v>12000</v>
      </c>
      <c r="J196" s="13">
        <f t="shared" si="40"/>
        <v>6000</v>
      </c>
      <c r="K196" s="13">
        <f t="shared" si="41"/>
        <v>3392.5</v>
      </c>
      <c r="L196" s="14">
        <f t="shared" si="42"/>
        <v>0.39911764705882352</v>
      </c>
      <c r="M196" s="1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x14ac:dyDescent="0.2">
      <c r="A197" s="12">
        <v>2</v>
      </c>
      <c r="B197" s="10" t="s">
        <v>15</v>
      </c>
      <c r="C197" s="11" t="s">
        <v>135</v>
      </c>
      <c r="D197" s="13">
        <v>16000</v>
      </c>
      <c r="E197" s="13">
        <f t="shared" si="38"/>
        <v>32000</v>
      </c>
      <c r="F197" s="13">
        <f t="shared" si="39"/>
        <v>35360</v>
      </c>
      <c r="G197" s="2"/>
      <c r="H197" s="2"/>
      <c r="I197" s="13">
        <v>11000</v>
      </c>
      <c r="J197" s="13">
        <f t="shared" si="40"/>
        <v>22000</v>
      </c>
      <c r="K197" s="13">
        <f t="shared" si="41"/>
        <v>13360</v>
      </c>
      <c r="L197" s="14">
        <f t="shared" si="42"/>
        <v>0.41749999999999998</v>
      </c>
      <c r="M197" s="1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x14ac:dyDescent="0.2">
      <c r="A198" s="12">
        <v>4</v>
      </c>
      <c r="B198" s="10" t="s">
        <v>17</v>
      </c>
      <c r="C198" s="11" t="s">
        <v>61</v>
      </c>
      <c r="D198" s="13">
        <v>2600</v>
      </c>
      <c r="E198" s="13">
        <f t="shared" si="38"/>
        <v>10400</v>
      </c>
      <c r="F198" s="13">
        <f t="shared" si="39"/>
        <v>11492</v>
      </c>
      <c r="G198" s="2"/>
      <c r="H198" s="2"/>
      <c r="I198" s="13">
        <f>30000/14</f>
        <v>2142.8571428571427</v>
      </c>
      <c r="J198" s="13">
        <f t="shared" si="40"/>
        <v>8571.4285714285706</v>
      </c>
      <c r="K198" s="13">
        <f t="shared" si="41"/>
        <v>2920.5714285714294</v>
      </c>
      <c r="L198" s="14">
        <f t="shared" si="42"/>
        <v>0.2808241758241759</v>
      </c>
      <c r="M198" s="1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x14ac:dyDescent="0.2">
      <c r="A199" s="12">
        <v>4</v>
      </c>
      <c r="B199" s="10" t="s">
        <v>17</v>
      </c>
      <c r="C199" s="11" t="s">
        <v>99</v>
      </c>
      <c r="D199" s="13">
        <v>1200</v>
      </c>
      <c r="E199" s="13">
        <f t="shared" si="38"/>
        <v>4800</v>
      </c>
      <c r="F199" s="13">
        <f t="shared" si="39"/>
        <v>5304</v>
      </c>
      <c r="G199" s="2"/>
      <c r="H199" s="2"/>
      <c r="I199" s="13">
        <f>5000/8</f>
        <v>625</v>
      </c>
      <c r="J199" s="13">
        <f t="shared" si="40"/>
        <v>2500</v>
      </c>
      <c r="K199" s="13">
        <f t="shared" si="41"/>
        <v>2804</v>
      </c>
      <c r="L199" s="14">
        <f t="shared" si="42"/>
        <v>0.58416666666666661</v>
      </c>
      <c r="M199" s="1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x14ac:dyDescent="0.2">
      <c r="A200" s="12">
        <v>4</v>
      </c>
      <c r="B200" s="10" t="s">
        <v>17</v>
      </c>
      <c r="C200" s="11" t="s">
        <v>31</v>
      </c>
      <c r="D200" s="13">
        <v>3000</v>
      </c>
      <c r="E200" s="13">
        <f t="shared" si="38"/>
        <v>12000</v>
      </c>
      <c r="F200" s="13">
        <f t="shared" si="39"/>
        <v>13260</v>
      </c>
      <c r="G200" s="2"/>
      <c r="H200" s="7"/>
      <c r="I200" s="13">
        <f>12000/7</f>
        <v>1714.2857142857142</v>
      </c>
      <c r="J200" s="13">
        <f t="shared" si="40"/>
        <v>6857.1428571428569</v>
      </c>
      <c r="K200" s="13">
        <f t="shared" si="41"/>
        <v>6402.8571428571431</v>
      </c>
      <c r="L200" s="14">
        <f t="shared" si="42"/>
        <v>0.53357142857142859</v>
      </c>
      <c r="M200" s="1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x14ac:dyDescent="0.2">
      <c r="A201" s="12">
        <v>4</v>
      </c>
      <c r="B201" s="10" t="s">
        <v>17</v>
      </c>
      <c r="C201" s="11" t="s">
        <v>32</v>
      </c>
      <c r="D201" s="13">
        <v>2500</v>
      </c>
      <c r="E201" s="13">
        <f t="shared" si="38"/>
        <v>10000</v>
      </c>
      <c r="F201" s="13">
        <f t="shared" si="39"/>
        <v>11050</v>
      </c>
      <c r="G201" s="2"/>
      <c r="H201" s="2"/>
      <c r="I201" s="13">
        <f>8000/7</f>
        <v>1142.8571428571429</v>
      </c>
      <c r="J201" s="13">
        <f t="shared" si="40"/>
        <v>4571.4285714285716</v>
      </c>
      <c r="K201" s="13">
        <f t="shared" si="41"/>
        <v>6478.5714285714284</v>
      </c>
      <c r="L201" s="14">
        <f t="shared" si="42"/>
        <v>0.6478571428571428</v>
      </c>
      <c r="M201" s="1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x14ac:dyDescent="0.2">
      <c r="A202" s="12">
        <v>5</v>
      </c>
      <c r="B202" s="10" t="s">
        <v>17</v>
      </c>
      <c r="C202" s="11" t="s">
        <v>110</v>
      </c>
      <c r="D202" s="13">
        <v>3000</v>
      </c>
      <c r="E202" s="13">
        <f t="shared" si="38"/>
        <v>15000</v>
      </c>
      <c r="F202" s="13">
        <f t="shared" si="39"/>
        <v>16575</v>
      </c>
      <c r="G202" s="2"/>
      <c r="H202" s="2"/>
      <c r="I202" s="13">
        <v>2143</v>
      </c>
      <c r="J202" s="13">
        <f t="shared" si="40"/>
        <v>10715</v>
      </c>
      <c r="K202" s="13">
        <f t="shared" si="41"/>
        <v>5860</v>
      </c>
      <c r="L202" s="14">
        <f t="shared" si="42"/>
        <v>0.39066666666666666</v>
      </c>
      <c r="M202" s="1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x14ac:dyDescent="0.2">
      <c r="A203" s="12">
        <v>1</v>
      </c>
      <c r="B203" s="10" t="s">
        <v>23</v>
      </c>
      <c r="C203" s="11" t="s">
        <v>130</v>
      </c>
      <c r="D203" s="13">
        <v>10000</v>
      </c>
      <c r="E203" s="13">
        <f t="shared" si="38"/>
        <v>10000</v>
      </c>
      <c r="F203" s="13">
        <f t="shared" si="39"/>
        <v>11050</v>
      </c>
      <c r="G203" s="2"/>
      <c r="H203" s="2"/>
      <c r="I203" s="13">
        <v>7000</v>
      </c>
      <c r="J203" s="13">
        <f t="shared" si="40"/>
        <v>7000</v>
      </c>
      <c r="K203" s="13">
        <f t="shared" si="41"/>
        <v>4050</v>
      </c>
      <c r="L203" s="14">
        <f t="shared" si="42"/>
        <v>0.40500000000000003</v>
      </c>
      <c r="M203" s="1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x14ac:dyDescent="0.2">
      <c r="A204" s="12">
        <v>2</v>
      </c>
      <c r="B204" s="10" t="s">
        <v>15</v>
      </c>
      <c r="C204" s="11" t="s">
        <v>40</v>
      </c>
      <c r="D204" s="13">
        <v>11000</v>
      </c>
      <c r="E204" s="13">
        <f t="shared" si="38"/>
        <v>22000</v>
      </c>
      <c r="F204" s="13">
        <f t="shared" si="39"/>
        <v>24310</v>
      </c>
      <c r="G204" s="2"/>
      <c r="H204" s="7"/>
      <c r="I204" s="13">
        <v>8000</v>
      </c>
      <c r="J204" s="13">
        <f t="shared" si="40"/>
        <v>16000</v>
      </c>
      <c r="K204" s="13">
        <f t="shared" si="41"/>
        <v>8310</v>
      </c>
      <c r="L204" s="14">
        <f t="shared" si="42"/>
        <v>0.37772727272727274</v>
      </c>
      <c r="M204" s="1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x14ac:dyDescent="0.2">
      <c r="A205" s="12">
        <v>3</v>
      </c>
      <c r="B205" s="10" t="s">
        <v>17</v>
      </c>
      <c r="C205" s="11" t="s">
        <v>82</v>
      </c>
      <c r="D205" s="13">
        <v>1500</v>
      </c>
      <c r="E205" s="13">
        <f t="shared" si="38"/>
        <v>4500</v>
      </c>
      <c r="F205" s="13">
        <f t="shared" si="39"/>
        <v>4972.5</v>
      </c>
      <c r="G205" s="2"/>
      <c r="H205" s="2"/>
      <c r="I205" s="13">
        <f>12000/14</f>
        <v>857.14285714285711</v>
      </c>
      <c r="J205" s="13">
        <f t="shared" si="40"/>
        <v>2571.4285714285716</v>
      </c>
      <c r="K205" s="13">
        <f t="shared" si="41"/>
        <v>2401.0714285714284</v>
      </c>
      <c r="L205" s="14">
        <f t="shared" si="42"/>
        <v>0.53357142857142859</v>
      </c>
      <c r="M205" s="1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x14ac:dyDescent="0.2">
      <c r="A206" s="12">
        <v>0.5</v>
      </c>
      <c r="B206" s="10" t="s">
        <v>23</v>
      </c>
      <c r="C206" s="11" t="s">
        <v>24</v>
      </c>
      <c r="D206" s="13">
        <v>50000</v>
      </c>
      <c r="E206" s="13">
        <f t="shared" si="38"/>
        <v>25000</v>
      </c>
      <c r="F206" s="13">
        <f t="shared" si="39"/>
        <v>27625</v>
      </c>
      <c r="G206" s="2"/>
      <c r="H206" s="2"/>
      <c r="I206" s="13">
        <v>35000</v>
      </c>
      <c r="J206" s="13">
        <f t="shared" si="40"/>
        <v>17500</v>
      </c>
      <c r="K206" s="13">
        <f t="shared" si="41"/>
        <v>10125</v>
      </c>
      <c r="L206" s="14">
        <f t="shared" si="42"/>
        <v>0.40500000000000003</v>
      </c>
      <c r="M206" s="1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x14ac:dyDescent="0.2">
      <c r="A207" s="12">
        <v>0.5</v>
      </c>
      <c r="B207" s="10" t="s">
        <v>23</v>
      </c>
      <c r="C207" s="11" t="s">
        <v>87</v>
      </c>
      <c r="D207" s="13">
        <v>38000</v>
      </c>
      <c r="E207" s="13">
        <f t="shared" si="38"/>
        <v>19000</v>
      </c>
      <c r="F207" s="13">
        <f t="shared" si="39"/>
        <v>20995</v>
      </c>
      <c r="G207" s="2"/>
      <c r="H207" s="2"/>
      <c r="I207" s="13">
        <v>30000</v>
      </c>
      <c r="J207" s="13">
        <f t="shared" si="40"/>
        <v>15000</v>
      </c>
      <c r="K207" s="13">
        <f t="shared" si="41"/>
        <v>5995</v>
      </c>
      <c r="L207" s="18">
        <f t="shared" si="42"/>
        <v>0.31552631578947371</v>
      </c>
      <c r="M207" s="1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x14ac:dyDescent="0.2">
      <c r="A208" s="12">
        <v>5</v>
      </c>
      <c r="B208" s="10" t="s">
        <v>17</v>
      </c>
      <c r="C208" s="11" t="s">
        <v>26</v>
      </c>
      <c r="D208" s="13">
        <v>1800</v>
      </c>
      <c r="E208" s="13">
        <f t="shared" si="38"/>
        <v>9000</v>
      </c>
      <c r="F208" s="13">
        <f t="shared" si="39"/>
        <v>9945</v>
      </c>
      <c r="G208" s="2"/>
      <c r="H208" s="2"/>
      <c r="I208" s="13">
        <f>16000/15</f>
        <v>1066.6666666666667</v>
      </c>
      <c r="J208" s="13">
        <f t="shared" si="40"/>
        <v>5333.3333333333339</v>
      </c>
      <c r="K208" s="13">
        <f t="shared" si="41"/>
        <v>4611.6666666666661</v>
      </c>
      <c r="L208" s="18">
        <f t="shared" si="42"/>
        <v>0.51240740740740731</v>
      </c>
      <c r="M208" s="1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x14ac:dyDescent="0.2">
      <c r="A209" s="12">
        <v>2</v>
      </c>
      <c r="B209" s="10" t="s">
        <v>17</v>
      </c>
      <c r="C209" s="11" t="s">
        <v>162</v>
      </c>
      <c r="D209" s="13">
        <v>4000</v>
      </c>
      <c r="E209" s="13">
        <f t="shared" si="38"/>
        <v>8000</v>
      </c>
      <c r="F209" s="13">
        <f t="shared" si="39"/>
        <v>8840</v>
      </c>
      <c r="G209" s="2"/>
      <c r="H209" s="2"/>
      <c r="I209" s="13">
        <v>3500</v>
      </c>
      <c r="J209" s="13">
        <f t="shared" si="40"/>
        <v>7000</v>
      </c>
      <c r="K209" s="13">
        <f t="shared" si="41"/>
        <v>1840</v>
      </c>
      <c r="L209" s="18">
        <f t="shared" si="42"/>
        <v>0.23</v>
      </c>
      <c r="M209" s="1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x14ac:dyDescent="0.2">
      <c r="A210" s="12">
        <v>2</v>
      </c>
      <c r="B210" s="10" t="s">
        <v>17</v>
      </c>
      <c r="C210" s="11" t="s">
        <v>90</v>
      </c>
      <c r="D210" s="13">
        <v>7500</v>
      </c>
      <c r="E210" s="13">
        <f t="shared" si="38"/>
        <v>15000</v>
      </c>
      <c r="F210" s="13">
        <f t="shared" si="39"/>
        <v>16575</v>
      </c>
      <c r="G210" s="2"/>
      <c r="H210" s="2"/>
      <c r="I210" s="13">
        <v>6100</v>
      </c>
      <c r="J210" s="13">
        <f t="shared" si="40"/>
        <v>12200</v>
      </c>
      <c r="K210" s="13">
        <f t="shared" si="41"/>
        <v>4375</v>
      </c>
      <c r="L210" s="18">
        <f t="shared" si="42"/>
        <v>0.29166666666666669</v>
      </c>
      <c r="M210" s="1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x14ac:dyDescent="0.2">
      <c r="A211" s="12">
        <v>1</v>
      </c>
      <c r="B211" s="10" t="s">
        <v>17</v>
      </c>
      <c r="C211" s="11" t="s">
        <v>89</v>
      </c>
      <c r="D211" s="13">
        <v>13000</v>
      </c>
      <c r="E211" s="13">
        <f t="shared" si="38"/>
        <v>13000</v>
      </c>
      <c r="F211" s="13">
        <f t="shared" si="39"/>
        <v>14365</v>
      </c>
      <c r="G211" s="2"/>
      <c r="H211" s="2"/>
      <c r="I211" s="13">
        <f>48000/4</f>
        <v>12000</v>
      </c>
      <c r="J211" s="13">
        <f t="shared" si="40"/>
        <v>12000</v>
      </c>
      <c r="K211" s="13">
        <f t="shared" si="41"/>
        <v>2365</v>
      </c>
      <c r="L211" s="36">
        <f t="shared" si="42"/>
        <v>0.18192307692307691</v>
      </c>
      <c r="M211" s="1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x14ac:dyDescent="0.2">
      <c r="A212" s="12">
        <v>4</v>
      </c>
      <c r="B212" s="10" t="s">
        <v>4</v>
      </c>
      <c r="C212" s="11" t="s">
        <v>14</v>
      </c>
      <c r="D212" s="13">
        <v>3200</v>
      </c>
      <c r="E212" s="13">
        <f t="shared" si="38"/>
        <v>12800</v>
      </c>
      <c r="F212" s="13">
        <f t="shared" si="39"/>
        <v>14144</v>
      </c>
      <c r="G212" s="2"/>
      <c r="H212" s="2"/>
      <c r="I212" s="7">
        <v>0</v>
      </c>
      <c r="J212" s="13">
        <f t="shared" si="40"/>
        <v>0</v>
      </c>
      <c r="K212" s="13">
        <f t="shared" si="41"/>
        <v>14144</v>
      </c>
      <c r="L212" s="18">
        <f t="shared" si="42"/>
        <v>1.105</v>
      </c>
      <c r="M212" s="1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x14ac:dyDescent="0.2">
      <c r="A213" s="12">
        <v>1</v>
      </c>
      <c r="B213" s="10" t="s">
        <v>4</v>
      </c>
      <c r="C213" s="11" t="s">
        <v>72</v>
      </c>
      <c r="D213" s="13">
        <v>3500</v>
      </c>
      <c r="E213" s="13">
        <f t="shared" si="38"/>
        <v>3500</v>
      </c>
      <c r="F213" s="13">
        <f t="shared" si="39"/>
        <v>3867.5</v>
      </c>
      <c r="G213" s="2"/>
      <c r="H213" s="2"/>
      <c r="I213" s="13">
        <v>2500</v>
      </c>
      <c r="J213" s="13">
        <f t="shared" si="40"/>
        <v>2500</v>
      </c>
      <c r="K213" s="13">
        <f t="shared" si="41"/>
        <v>1367.5</v>
      </c>
      <c r="L213" s="14">
        <f t="shared" si="42"/>
        <v>0.39071428571428574</v>
      </c>
      <c r="M213" s="1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x14ac:dyDescent="0.2">
      <c r="A214" s="15"/>
      <c r="B214" s="7"/>
      <c r="C214" s="24"/>
      <c r="D214" s="7"/>
      <c r="E214" s="7"/>
      <c r="F214" s="7"/>
      <c r="G214" s="7"/>
      <c r="H214" s="7"/>
      <c r="I214" s="2"/>
      <c r="J214" s="7"/>
      <c r="K214" s="7"/>
      <c r="L214" s="14"/>
      <c r="M214" s="1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x14ac:dyDescent="0.2">
      <c r="A215" s="15"/>
      <c r="B215" s="7"/>
      <c r="C215" s="24"/>
      <c r="D215" s="7"/>
      <c r="E215" s="13">
        <f t="shared" ref="E215:F215" si="43">SUM(E195:E213)</f>
        <v>254000</v>
      </c>
      <c r="F215" s="13">
        <f t="shared" si="43"/>
        <v>280670</v>
      </c>
      <c r="G215" s="7"/>
      <c r="H215" s="7"/>
      <c r="I215" s="2"/>
      <c r="J215" s="7"/>
      <c r="K215" s="13">
        <f>SUM(K195:K213)</f>
        <v>108850.23809523809</v>
      </c>
      <c r="L215" s="14">
        <f>IFERROR(K215/E215, 0)</f>
        <v>0.42854424446944128</v>
      </c>
      <c r="M215" s="1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2"/>
      <c r="J216" s="4"/>
      <c r="K216" s="4"/>
      <c r="L216" s="28"/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x14ac:dyDescent="0.2">
      <c r="A217" s="6"/>
      <c r="B217" s="6"/>
      <c r="C217" s="6"/>
      <c r="D217" s="22"/>
      <c r="E217" s="8"/>
      <c r="F217" s="24"/>
      <c r="G217" s="2"/>
      <c r="H217" s="2"/>
      <c r="I217" s="2"/>
      <c r="J217" s="13"/>
      <c r="K217" s="13"/>
      <c r="L217" s="31"/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0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0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6" t="s">
        <v>169</v>
      </c>
      <c r="B220" s="6"/>
      <c r="C220" s="6"/>
      <c r="D220" s="22" t="s">
        <v>1</v>
      </c>
      <c r="E220" s="8">
        <v>46132</v>
      </c>
      <c r="F220" s="24"/>
      <c r="G220" s="2"/>
      <c r="H220" s="2"/>
      <c r="I220" s="2"/>
      <c r="J220" s="13"/>
      <c r="K220" s="13"/>
      <c r="L220" s="14"/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B221" s="2"/>
      <c r="C221" s="4"/>
      <c r="D221" s="2"/>
      <c r="E221" s="2"/>
      <c r="F221" s="2"/>
      <c r="G221" s="2"/>
      <c r="H221" s="2"/>
      <c r="I221" s="2"/>
      <c r="J221" s="13"/>
      <c r="K221" s="13"/>
      <c r="L221" s="14"/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6" t="s">
        <v>3</v>
      </c>
      <c r="B222" s="10" t="s">
        <v>4</v>
      </c>
      <c r="C222" s="11" t="s">
        <v>5</v>
      </c>
      <c r="D222" s="10" t="s">
        <v>6</v>
      </c>
      <c r="E222" s="10" t="s">
        <v>7</v>
      </c>
      <c r="F222" s="10"/>
      <c r="G222" s="2"/>
      <c r="H222" s="2"/>
      <c r="I222" s="10" t="s">
        <v>6</v>
      </c>
      <c r="J222" s="10" t="s">
        <v>7</v>
      </c>
      <c r="K222" s="10" t="s">
        <v>10</v>
      </c>
      <c r="L222" s="14"/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2">
        <v>3</v>
      </c>
      <c r="B223" s="10" t="s">
        <v>23</v>
      </c>
      <c r="C223" s="11" t="s">
        <v>87</v>
      </c>
      <c r="D223" s="13">
        <v>38000</v>
      </c>
      <c r="E223" s="13">
        <f t="shared" ref="E223:E236" si="44">A223*D223</f>
        <v>114000</v>
      </c>
      <c r="F223" s="13"/>
      <c r="G223" s="2"/>
      <c r="H223" s="7"/>
      <c r="I223" s="13">
        <v>30000</v>
      </c>
      <c r="J223" s="13">
        <f t="shared" ref="J223:J236" si="45">I223*A223</f>
        <v>90000</v>
      </c>
      <c r="K223" s="13">
        <f t="shared" ref="K223:K236" si="46">E223-J223</f>
        <v>24000</v>
      </c>
      <c r="L223" s="14">
        <f t="shared" ref="L223:L236" si="47">K223/E223</f>
        <v>0.21052631578947367</v>
      </c>
      <c r="M223" s="4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ht="15.75" customHeight="1" x14ac:dyDescent="0.2">
      <c r="A224" s="12">
        <v>2</v>
      </c>
      <c r="B224" s="10" t="s">
        <v>23</v>
      </c>
      <c r="C224" s="11" t="s">
        <v>24</v>
      </c>
      <c r="D224" s="13">
        <v>50000</v>
      </c>
      <c r="E224" s="13">
        <f t="shared" si="44"/>
        <v>100000</v>
      </c>
      <c r="F224" s="13"/>
      <c r="G224" s="2"/>
      <c r="H224" s="7"/>
      <c r="I224" s="13">
        <v>30000</v>
      </c>
      <c r="J224" s="13">
        <f t="shared" si="45"/>
        <v>60000</v>
      </c>
      <c r="K224" s="13">
        <f t="shared" si="46"/>
        <v>40000</v>
      </c>
      <c r="L224" s="14">
        <f t="shared" si="47"/>
        <v>0.4</v>
      </c>
      <c r="M224" s="4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ht="15.75" customHeight="1" x14ac:dyDescent="0.2">
      <c r="A225" s="12">
        <v>1.5</v>
      </c>
      <c r="B225" s="10" t="s">
        <v>23</v>
      </c>
      <c r="C225" s="11" t="s">
        <v>82</v>
      </c>
      <c r="D225" s="13">
        <v>28000</v>
      </c>
      <c r="E225" s="13">
        <f t="shared" si="44"/>
        <v>42000</v>
      </c>
      <c r="F225" s="13"/>
      <c r="G225" s="2"/>
      <c r="H225" s="7"/>
      <c r="I225" s="13">
        <v>12000</v>
      </c>
      <c r="J225" s="13">
        <f t="shared" si="45"/>
        <v>18000</v>
      </c>
      <c r="K225" s="13">
        <f t="shared" si="46"/>
        <v>24000</v>
      </c>
      <c r="L225" s="14">
        <f t="shared" si="47"/>
        <v>0.5714285714285714</v>
      </c>
      <c r="M225" s="4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ht="15.75" customHeight="1" x14ac:dyDescent="0.2">
      <c r="A226" s="12">
        <v>1</v>
      </c>
      <c r="B226" s="10" t="s">
        <v>15</v>
      </c>
      <c r="C226" s="11" t="s">
        <v>40</v>
      </c>
      <c r="D226" s="13">
        <v>13000</v>
      </c>
      <c r="E226" s="13">
        <f t="shared" si="44"/>
        <v>13000</v>
      </c>
      <c r="F226" s="13"/>
      <c r="G226" s="2"/>
      <c r="H226" s="7"/>
      <c r="I226" s="13">
        <v>8000</v>
      </c>
      <c r="J226" s="13">
        <f t="shared" si="45"/>
        <v>8000</v>
      </c>
      <c r="K226" s="13">
        <f t="shared" si="46"/>
        <v>5000</v>
      </c>
      <c r="L226" s="14">
        <f t="shared" si="47"/>
        <v>0.38461538461538464</v>
      </c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A227" s="12">
        <v>3</v>
      </c>
      <c r="B227" s="10" t="s">
        <v>15</v>
      </c>
      <c r="C227" s="11" t="s">
        <v>16</v>
      </c>
      <c r="D227" s="13">
        <v>13000</v>
      </c>
      <c r="E227" s="13">
        <f t="shared" si="44"/>
        <v>39000</v>
      </c>
      <c r="F227" s="13"/>
      <c r="G227" s="2"/>
      <c r="H227" s="7"/>
      <c r="I227" s="13">
        <v>8000</v>
      </c>
      <c r="J227" s="13">
        <f t="shared" si="45"/>
        <v>24000</v>
      </c>
      <c r="K227" s="13">
        <f t="shared" si="46"/>
        <v>15000</v>
      </c>
      <c r="L227" s="14">
        <f t="shared" si="47"/>
        <v>0.38461538461538464</v>
      </c>
      <c r="M227" s="4"/>
      <c r="N227" s="2"/>
      <c r="O227" s="4"/>
      <c r="P227" s="2"/>
      <c r="Q227" s="2"/>
      <c r="R227" s="4"/>
      <c r="S227" s="2"/>
      <c r="T227" s="2"/>
      <c r="U227" s="1"/>
      <c r="V227" s="2"/>
      <c r="W227" s="2"/>
      <c r="X227" s="2"/>
      <c r="Y227" s="2"/>
      <c r="Z227" s="2"/>
    </row>
    <row r="228" spans="1:26" ht="15.75" customHeight="1" x14ac:dyDescent="0.2">
      <c r="A228" s="12">
        <v>1.6</v>
      </c>
      <c r="B228" s="10" t="s">
        <v>17</v>
      </c>
      <c r="C228" s="11" t="s">
        <v>31</v>
      </c>
      <c r="D228" s="13">
        <v>3000</v>
      </c>
      <c r="E228" s="13">
        <f t="shared" si="44"/>
        <v>4800</v>
      </c>
      <c r="F228" s="13"/>
      <c r="G228" s="2"/>
      <c r="H228" s="7"/>
      <c r="I228" s="13">
        <f>12000/7</f>
        <v>1714.2857142857142</v>
      </c>
      <c r="J228" s="13">
        <f t="shared" si="45"/>
        <v>2742.8571428571431</v>
      </c>
      <c r="K228" s="13">
        <f t="shared" si="46"/>
        <v>2057.1428571428569</v>
      </c>
      <c r="L228" s="14">
        <f t="shared" si="47"/>
        <v>0.42857142857142849</v>
      </c>
      <c r="M228" s="4"/>
      <c r="N228" s="2"/>
      <c r="O228" s="4"/>
      <c r="P228" s="2"/>
      <c r="Q228" s="2"/>
      <c r="R228" s="4"/>
      <c r="S228" s="2"/>
      <c r="T228" s="2"/>
      <c r="U228" s="1"/>
      <c r="V228" s="2"/>
      <c r="W228" s="2"/>
      <c r="X228" s="2"/>
      <c r="Y228" s="2"/>
      <c r="Z228" s="2"/>
    </row>
    <row r="229" spans="1:26" ht="15.75" customHeight="1" x14ac:dyDescent="0.2">
      <c r="A229" s="12">
        <v>4</v>
      </c>
      <c r="B229" s="10" t="s">
        <v>4</v>
      </c>
      <c r="C229" s="11" t="s">
        <v>13</v>
      </c>
      <c r="D229" s="13">
        <v>900</v>
      </c>
      <c r="E229" s="13">
        <f t="shared" si="44"/>
        <v>3600</v>
      </c>
      <c r="F229" s="13"/>
      <c r="G229" s="2"/>
      <c r="H229" s="7"/>
      <c r="I229" s="13">
        <f>28000/50</f>
        <v>560</v>
      </c>
      <c r="J229" s="13">
        <f t="shared" si="45"/>
        <v>2240</v>
      </c>
      <c r="K229" s="13">
        <f t="shared" si="46"/>
        <v>1360</v>
      </c>
      <c r="L229" s="14">
        <f t="shared" si="47"/>
        <v>0.37777777777777777</v>
      </c>
      <c r="M229" s="4"/>
      <c r="N229" s="2"/>
      <c r="O229" s="4"/>
      <c r="P229" s="2"/>
      <c r="Q229" s="2"/>
      <c r="R229" s="4"/>
      <c r="S229" s="2"/>
      <c r="T229" s="2"/>
      <c r="U229" s="1"/>
      <c r="V229" s="2"/>
      <c r="W229" s="2"/>
      <c r="X229" s="2"/>
      <c r="Y229" s="2"/>
      <c r="Z229" s="2"/>
    </row>
    <row r="230" spans="1:26" ht="15.75" customHeight="1" x14ac:dyDescent="0.2">
      <c r="A230" s="12">
        <v>10</v>
      </c>
      <c r="B230" s="10" t="s">
        <v>17</v>
      </c>
      <c r="C230" s="11" t="s">
        <v>81</v>
      </c>
      <c r="D230" s="13">
        <v>1200</v>
      </c>
      <c r="E230" s="13">
        <f t="shared" si="44"/>
        <v>12000</v>
      </c>
      <c r="F230" s="13"/>
      <c r="G230" s="2"/>
      <c r="H230" s="7"/>
      <c r="I230" s="13">
        <f>12000/15</f>
        <v>800</v>
      </c>
      <c r="J230" s="13">
        <f t="shared" si="45"/>
        <v>8000</v>
      </c>
      <c r="K230" s="13">
        <f t="shared" si="46"/>
        <v>4000</v>
      </c>
      <c r="L230" s="14">
        <f t="shared" si="47"/>
        <v>0.33333333333333331</v>
      </c>
      <c r="M230" s="4"/>
      <c r="N230" s="2"/>
      <c r="O230" s="4"/>
      <c r="P230" s="2"/>
      <c r="Q230" s="2"/>
      <c r="R230" s="4"/>
      <c r="S230" s="2"/>
      <c r="T230" s="2"/>
      <c r="U230" s="1"/>
      <c r="V230" s="2"/>
      <c r="W230" s="2"/>
      <c r="X230" s="2"/>
      <c r="Y230" s="2"/>
      <c r="Z230" s="2"/>
    </row>
    <row r="231" spans="1:26" ht="16.5" customHeight="1" x14ac:dyDescent="0.2">
      <c r="A231" s="12">
        <v>2</v>
      </c>
      <c r="B231" s="10" t="s">
        <v>15</v>
      </c>
      <c r="C231" s="11" t="s">
        <v>56</v>
      </c>
      <c r="D231" s="13">
        <v>16000</v>
      </c>
      <c r="E231" s="13">
        <f t="shared" si="44"/>
        <v>32000</v>
      </c>
      <c r="F231" s="13"/>
      <c r="G231" s="2"/>
      <c r="H231" s="7"/>
      <c r="I231" s="13">
        <v>9000</v>
      </c>
      <c r="J231" s="13">
        <f t="shared" si="45"/>
        <v>18000</v>
      </c>
      <c r="K231" s="13">
        <f t="shared" si="46"/>
        <v>14000</v>
      </c>
      <c r="L231" s="14">
        <f t="shared" si="47"/>
        <v>0.4375</v>
      </c>
      <c r="M231" s="4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6.5" customHeight="1" x14ac:dyDescent="0.2">
      <c r="A232" s="12">
        <v>1</v>
      </c>
      <c r="B232" s="10" t="s">
        <v>23</v>
      </c>
      <c r="C232" s="11" t="s">
        <v>85</v>
      </c>
      <c r="D232" s="13">
        <v>60000</v>
      </c>
      <c r="E232" s="13">
        <f t="shared" si="44"/>
        <v>60000</v>
      </c>
      <c r="F232" s="13"/>
      <c r="G232" s="2"/>
      <c r="H232" s="7"/>
      <c r="I232" s="13">
        <v>50000</v>
      </c>
      <c r="J232" s="13">
        <f t="shared" si="45"/>
        <v>50000</v>
      </c>
      <c r="K232" s="13">
        <f t="shared" si="46"/>
        <v>10000</v>
      </c>
      <c r="L232" s="14">
        <f t="shared" si="47"/>
        <v>0.16666666666666666</v>
      </c>
      <c r="M232" s="4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2">
        <v>16</v>
      </c>
      <c r="B233" s="10" t="s">
        <v>4</v>
      </c>
      <c r="C233" s="11" t="s">
        <v>14</v>
      </c>
      <c r="D233" s="13">
        <v>3000</v>
      </c>
      <c r="E233" s="13">
        <f t="shared" si="44"/>
        <v>48000</v>
      </c>
      <c r="F233" s="13"/>
      <c r="G233" s="2"/>
      <c r="H233" s="7"/>
      <c r="I233" s="13">
        <v>0</v>
      </c>
      <c r="J233" s="13">
        <f t="shared" si="45"/>
        <v>0</v>
      </c>
      <c r="K233" s="13">
        <f t="shared" si="46"/>
        <v>48000</v>
      </c>
      <c r="L233" s="14">
        <f t="shared" si="47"/>
        <v>1</v>
      </c>
      <c r="M233" s="4"/>
      <c r="N233" s="2"/>
      <c r="O233" s="4"/>
      <c r="P233" s="2"/>
      <c r="Q233" s="2"/>
      <c r="R233" s="4"/>
      <c r="S233" s="2"/>
      <c r="T233" s="2"/>
      <c r="U233" s="1"/>
      <c r="V233" s="2"/>
      <c r="W233" s="2"/>
      <c r="X233" s="2"/>
      <c r="Y233" s="2"/>
      <c r="Z233" s="2"/>
    </row>
    <row r="234" spans="1:26" ht="15.75" customHeight="1" x14ac:dyDescent="0.2">
      <c r="A234" s="12">
        <v>2</v>
      </c>
      <c r="B234" s="10" t="s">
        <v>4</v>
      </c>
      <c r="C234" s="11" t="s">
        <v>64</v>
      </c>
      <c r="D234" s="13">
        <v>2000</v>
      </c>
      <c r="E234" s="13">
        <f t="shared" si="44"/>
        <v>4000</v>
      </c>
      <c r="F234" s="13"/>
      <c r="G234" s="2"/>
      <c r="H234" s="7"/>
      <c r="I234" s="13">
        <f>1000</f>
        <v>1000</v>
      </c>
      <c r="J234" s="13">
        <f t="shared" si="45"/>
        <v>2000</v>
      </c>
      <c r="K234" s="13">
        <f t="shared" si="46"/>
        <v>2000</v>
      </c>
      <c r="L234" s="14">
        <f t="shared" si="47"/>
        <v>0.5</v>
      </c>
      <c r="M234" s="4"/>
      <c r="N234" s="2"/>
      <c r="O234" s="4"/>
      <c r="P234" s="2"/>
      <c r="Q234" s="2"/>
      <c r="R234" s="4"/>
      <c r="S234" s="2"/>
      <c r="T234" s="2"/>
      <c r="U234" s="1"/>
      <c r="V234" s="2"/>
      <c r="W234" s="2"/>
      <c r="X234" s="2"/>
      <c r="Y234" s="2"/>
      <c r="Z234" s="2"/>
    </row>
    <row r="235" spans="1:26" ht="15.75" customHeight="1" x14ac:dyDescent="0.2">
      <c r="A235" s="12">
        <v>1</v>
      </c>
      <c r="B235" s="10" t="s">
        <v>23</v>
      </c>
      <c r="C235" s="11" t="s">
        <v>67</v>
      </c>
      <c r="D235" s="13">
        <v>15000</v>
      </c>
      <c r="E235" s="13">
        <f t="shared" si="44"/>
        <v>15000</v>
      </c>
      <c r="F235" s="13"/>
      <c r="G235" s="2"/>
      <c r="H235" s="7"/>
      <c r="I235" s="13">
        <v>9000</v>
      </c>
      <c r="J235" s="13">
        <f t="shared" si="45"/>
        <v>9000</v>
      </c>
      <c r="K235" s="13">
        <f t="shared" si="46"/>
        <v>6000</v>
      </c>
      <c r="L235" s="14">
        <f t="shared" si="47"/>
        <v>0.4</v>
      </c>
      <c r="M235" s="4"/>
      <c r="N235" s="2"/>
      <c r="O235" s="4"/>
      <c r="P235" s="2"/>
      <c r="Q235" s="2"/>
      <c r="R235" s="4"/>
      <c r="S235" s="2"/>
      <c r="T235" s="2"/>
      <c r="U235" s="1"/>
      <c r="V235" s="2"/>
      <c r="W235" s="2"/>
      <c r="X235" s="2"/>
      <c r="Y235" s="2"/>
      <c r="Z235" s="2"/>
    </row>
    <row r="236" spans="1:26" ht="15.75" customHeight="1" x14ac:dyDescent="0.2">
      <c r="A236" s="12">
        <v>2</v>
      </c>
      <c r="B236" s="10" t="s">
        <v>17</v>
      </c>
      <c r="C236" s="11" t="s">
        <v>99</v>
      </c>
      <c r="D236" s="13">
        <v>1000</v>
      </c>
      <c r="E236" s="13">
        <f t="shared" si="44"/>
        <v>2000</v>
      </c>
      <c r="F236" s="13"/>
      <c r="G236" s="2"/>
      <c r="H236" s="7"/>
      <c r="I236" s="13">
        <f>5000/8</f>
        <v>625</v>
      </c>
      <c r="J236" s="13">
        <f t="shared" si="45"/>
        <v>1250</v>
      </c>
      <c r="K236" s="13">
        <f t="shared" si="46"/>
        <v>750</v>
      </c>
      <c r="L236" s="14">
        <f t="shared" si="47"/>
        <v>0.375</v>
      </c>
      <c r="M236" s="4"/>
      <c r="N236" s="2"/>
      <c r="O236" s="4"/>
      <c r="P236" s="2"/>
      <c r="Q236" s="2"/>
      <c r="R236" s="4"/>
      <c r="S236" s="2"/>
      <c r="T236" s="2"/>
      <c r="U236" s="1"/>
      <c r="V236" s="2"/>
      <c r="W236" s="2"/>
      <c r="X236" s="2"/>
      <c r="Y236" s="2"/>
      <c r="Z236" s="2"/>
    </row>
    <row r="237" spans="1:26" ht="15.75" customHeight="1" x14ac:dyDescent="0.2">
      <c r="A237" s="12"/>
      <c r="B237" s="10"/>
      <c r="C237" s="11"/>
      <c r="D237" s="13"/>
      <c r="E237" s="13"/>
      <c r="F237" s="13"/>
      <c r="H237" s="2"/>
      <c r="I237" s="2"/>
      <c r="J237" s="13"/>
      <c r="K237" s="13"/>
      <c r="L237" s="14"/>
      <c r="N237" s="2"/>
      <c r="O237" s="4"/>
      <c r="P237" s="2"/>
      <c r="Q237" s="2"/>
      <c r="R237" s="4"/>
      <c r="S237" s="2"/>
      <c r="T237" s="2"/>
      <c r="U237" s="1"/>
      <c r="V237" s="2"/>
      <c r="W237" s="2"/>
      <c r="X237" s="2"/>
      <c r="Y237" s="2"/>
      <c r="Z237" s="2"/>
    </row>
    <row r="238" spans="1:26" ht="15.75" customHeight="1" x14ac:dyDescent="0.2">
      <c r="A238" s="12"/>
      <c r="B238" s="10"/>
      <c r="C238" s="11"/>
      <c r="D238" s="13"/>
      <c r="E238" s="13">
        <f>SUM(E223:E236)</f>
        <v>489400</v>
      </c>
      <c r="F238" s="13"/>
      <c r="G238" s="2"/>
      <c r="H238" s="2"/>
      <c r="I238" s="2"/>
      <c r="J238" s="13"/>
      <c r="K238" s="13">
        <f>SUM(K223:K236)</f>
        <v>196167.14285714284</v>
      </c>
      <c r="L238" s="14">
        <f>K238/E238</f>
        <v>0.40083192247066374</v>
      </c>
      <c r="M238" s="4"/>
      <c r="N238" s="2"/>
      <c r="O238" s="4"/>
      <c r="P238" s="2"/>
      <c r="Q238" s="2"/>
      <c r="R238" s="4"/>
      <c r="S238" s="2"/>
      <c r="T238" s="2"/>
      <c r="U238" s="1"/>
      <c r="V238" s="2"/>
      <c r="W238" s="2"/>
      <c r="X238" s="2"/>
      <c r="Y238" s="2"/>
      <c r="Z238" s="2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0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0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0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88" t="s">
        <v>68</v>
      </c>
      <c r="B242" s="89"/>
      <c r="C242" s="89"/>
      <c r="D242" s="2"/>
      <c r="E242" s="7" t="s">
        <v>194</v>
      </c>
      <c r="F242" s="8">
        <v>46132</v>
      </c>
      <c r="G242" s="7"/>
      <c r="H242" s="2"/>
      <c r="I242" s="9" t="s">
        <v>2</v>
      </c>
      <c r="J242" s="9"/>
      <c r="K242" s="9"/>
      <c r="L242" s="3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3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6" t="s">
        <v>3</v>
      </c>
      <c r="B244" s="10" t="s">
        <v>4</v>
      </c>
      <c r="C244" s="11" t="s">
        <v>5</v>
      </c>
      <c r="D244" s="10" t="s">
        <v>6</v>
      </c>
      <c r="E244" s="10" t="s">
        <v>7</v>
      </c>
      <c r="F244" s="10" t="s">
        <v>8</v>
      </c>
      <c r="G244" s="2"/>
      <c r="H244" s="2"/>
      <c r="I244" s="10" t="s">
        <v>9</v>
      </c>
      <c r="J244" s="10" t="s">
        <v>7</v>
      </c>
      <c r="K244" s="10" t="s">
        <v>10</v>
      </c>
      <c r="L244" s="3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2</v>
      </c>
      <c r="B245" s="10" t="s">
        <v>15</v>
      </c>
      <c r="C245" s="11" t="s">
        <v>27</v>
      </c>
      <c r="D245" s="13">
        <v>25000</v>
      </c>
      <c r="E245" s="13">
        <f t="shared" ref="E245:E251" si="48">A245*D245</f>
        <v>50000</v>
      </c>
      <c r="F245" s="13">
        <f t="shared" ref="F245:F251" si="49">E245*1.105</f>
        <v>55250</v>
      </c>
      <c r="G245" s="2"/>
      <c r="H245" s="2"/>
      <c r="I245" s="13">
        <v>18000</v>
      </c>
      <c r="J245" s="13">
        <f t="shared" ref="J245:J251" si="50">I245*A245</f>
        <v>36000</v>
      </c>
      <c r="K245" s="13">
        <f t="shared" ref="K245:K251" si="51">F245-J245</f>
        <v>19250</v>
      </c>
      <c r="L245" s="14">
        <f t="shared" ref="L245:L251" si="52">IFERROR(K245/E245, 0)</f>
        <v>0.38500000000000001</v>
      </c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5</v>
      </c>
      <c r="B246" s="10" t="s">
        <v>21</v>
      </c>
      <c r="C246" s="11" t="s">
        <v>34</v>
      </c>
      <c r="D246" s="13">
        <v>5000</v>
      </c>
      <c r="E246" s="13">
        <f t="shared" si="48"/>
        <v>25000</v>
      </c>
      <c r="F246" s="13">
        <f t="shared" si="49"/>
        <v>27625</v>
      </c>
      <c r="G246" s="2"/>
      <c r="H246" s="2"/>
      <c r="I246" s="13">
        <v>2000</v>
      </c>
      <c r="J246" s="13">
        <f t="shared" si="50"/>
        <v>10000</v>
      </c>
      <c r="K246" s="13">
        <f t="shared" si="51"/>
        <v>17625</v>
      </c>
      <c r="L246" s="14">
        <f t="shared" si="52"/>
        <v>0.70499999999999996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2</v>
      </c>
      <c r="B247" s="10" t="s">
        <v>4</v>
      </c>
      <c r="C247" s="11" t="s">
        <v>14</v>
      </c>
      <c r="D247" s="13">
        <v>3200</v>
      </c>
      <c r="E247" s="13">
        <f t="shared" si="48"/>
        <v>6400</v>
      </c>
      <c r="F247" s="13">
        <f t="shared" si="49"/>
        <v>7072</v>
      </c>
      <c r="G247" s="2"/>
      <c r="H247" s="2"/>
      <c r="I247" s="13"/>
      <c r="J247" s="13">
        <f t="shared" si="50"/>
        <v>0</v>
      </c>
      <c r="K247" s="13">
        <f t="shared" si="51"/>
        <v>7072</v>
      </c>
      <c r="L247" s="14">
        <f t="shared" si="52"/>
        <v>1.105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1</v>
      </c>
      <c r="B248" s="10" t="s">
        <v>21</v>
      </c>
      <c r="C248" s="11" t="s">
        <v>133</v>
      </c>
      <c r="D248" s="13">
        <v>3000</v>
      </c>
      <c r="E248" s="13">
        <f t="shared" si="48"/>
        <v>3000</v>
      </c>
      <c r="F248" s="13">
        <f t="shared" si="49"/>
        <v>3315</v>
      </c>
      <c r="G248" s="2"/>
      <c r="H248" s="2"/>
      <c r="I248" s="13">
        <v>2000</v>
      </c>
      <c r="J248" s="13">
        <f t="shared" si="50"/>
        <v>2000</v>
      </c>
      <c r="K248" s="13">
        <f t="shared" si="51"/>
        <v>1315</v>
      </c>
      <c r="L248" s="14">
        <f t="shared" si="52"/>
        <v>0.43833333333333335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3</v>
      </c>
      <c r="B249" s="10" t="s">
        <v>17</v>
      </c>
      <c r="C249" s="11" t="s">
        <v>31</v>
      </c>
      <c r="D249" s="13">
        <v>3200</v>
      </c>
      <c r="E249" s="13">
        <f t="shared" si="48"/>
        <v>9600</v>
      </c>
      <c r="F249" s="13">
        <f t="shared" si="49"/>
        <v>10608</v>
      </c>
      <c r="G249" s="2"/>
      <c r="H249" s="2"/>
      <c r="I249" s="13">
        <f>12000/7</f>
        <v>1714.2857142857142</v>
      </c>
      <c r="J249" s="13">
        <f t="shared" si="50"/>
        <v>5142.8571428571431</v>
      </c>
      <c r="K249" s="13">
        <f t="shared" si="51"/>
        <v>5465.1428571428569</v>
      </c>
      <c r="L249" s="14">
        <f t="shared" si="52"/>
        <v>0.56928571428571428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2</v>
      </c>
      <c r="B250" s="10" t="s">
        <v>17</v>
      </c>
      <c r="C250" s="11" t="s">
        <v>32</v>
      </c>
      <c r="D250" s="13">
        <v>2400</v>
      </c>
      <c r="E250" s="13">
        <f t="shared" si="48"/>
        <v>4800</v>
      </c>
      <c r="F250" s="13">
        <f t="shared" si="49"/>
        <v>5304</v>
      </c>
      <c r="G250" s="2"/>
      <c r="H250" s="2"/>
      <c r="I250" s="13">
        <f>8000/7</f>
        <v>1142.8571428571429</v>
      </c>
      <c r="J250" s="13">
        <f t="shared" si="50"/>
        <v>2285.7142857142858</v>
      </c>
      <c r="K250" s="13">
        <f t="shared" si="51"/>
        <v>3018.2857142857142</v>
      </c>
      <c r="L250" s="14">
        <f t="shared" si="52"/>
        <v>0.62880952380952382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2</v>
      </c>
      <c r="B251" s="10" t="s">
        <v>17</v>
      </c>
      <c r="C251" s="11" t="s">
        <v>33</v>
      </c>
      <c r="D251" s="13">
        <v>2800</v>
      </c>
      <c r="E251" s="13">
        <f t="shared" si="48"/>
        <v>5600</v>
      </c>
      <c r="F251" s="13">
        <f t="shared" si="49"/>
        <v>6188</v>
      </c>
      <c r="G251" s="2"/>
      <c r="H251" s="2"/>
      <c r="I251" s="13">
        <f>14000/7</f>
        <v>2000</v>
      </c>
      <c r="J251" s="13">
        <f t="shared" si="50"/>
        <v>4000</v>
      </c>
      <c r="K251" s="13">
        <f t="shared" si="51"/>
        <v>2188</v>
      </c>
      <c r="L251" s="14">
        <f t="shared" si="52"/>
        <v>0.39071428571428574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"/>
      <c r="B252" s="2"/>
      <c r="C252" s="4"/>
      <c r="D252" s="2"/>
      <c r="E252" s="2"/>
      <c r="F252" s="13"/>
      <c r="G252" s="2"/>
      <c r="H252" s="2"/>
      <c r="I252" s="2"/>
      <c r="J252" s="2"/>
      <c r="K252" s="2"/>
      <c r="L252" s="3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"/>
      <c r="B253" s="2"/>
      <c r="C253" s="4"/>
      <c r="D253" s="2"/>
      <c r="E253" s="13">
        <f t="shared" ref="E253:F253" si="53">SUM(E245:E251)</f>
        <v>104400</v>
      </c>
      <c r="F253" s="13">
        <f t="shared" si="53"/>
        <v>115362</v>
      </c>
      <c r="G253" s="2"/>
      <c r="H253" s="2"/>
      <c r="I253" s="2"/>
      <c r="J253" s="2"/>
      <c r="K253" s="13">
        <f>SUM(K245:K251)</f>
        <v>55933.428571428572</v>
      </c>
      <c r="L253" s="14">
        <f>K253/F253</f>
        <v>0.48485141182909947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5" t="s">
        <v>37</v>
      </c>
      <c r="I254" s="15" t="s">
        <v>37</v>
      </c>
      <c r="J254" s="1"/>
      <c r="K254" s="1"/>
      <c r="L254" s="20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0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0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88" t="s">
        <v>66</v>
      </c>
      <c r="B257" s="89"/>
      <c r="C257" s="89"/>
      <c r="D257" s="2"/>
      <c r="E257" s="7" t="s">
        <v>179</v>
      </c>
      <c r="F257" s="8">
        <v>46132</v>
      </c>
      <c r="G257" s="7"/>
      <c r="H257" s="2"/>
      <c r="I257" s="91" t="s">
        <v>2</v>
      </c>
      <c r="J257" s="89"/>
      <c r="K257" s="89"/>
      <c r="L257" s="3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3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6" t="s">
        <v>3</v>
      </c>
      <c r="B259" s="10" t="s">
        <v>4</v>
      </c>
      <c r="C259" s="11" t="s">
        <v>5</v>
      </c>
      <c r="D259" s="10" t="s">
        <v>6</v>
      </c>
      <c r="E259" s="10" t="s">
        <v>7</v>
      </c>
      <c r="F259" s="10" t="s">
        <v>8</v>
      </c>
      <c r="G259" s="2"/>
      <c r="H259" s="2"/>
      <c r="I259" s="10" t="s">
        <v>9</v>
      </c>
      <c r="J259" s="10" t="s">
        <v>7</v>
      </c>
      <c r="K259" s="10" t="s">
        <v>10</v>
      </c>
      <c r="L259" s="3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2</v>
      </c>
      <c r="B260" s="10" t="s">
        <v>15</v>
      </c>
      <c r="C260" s="11" t="s">
        <v>27</v>
      </c>
      <c r="D260" s="13">
        <v>25000</v>
      </c>
      <c r="E260" s="13">
        <f t="shared" ref="E260:E264" si="54">A260*D260</f>
        <v>50000</v>
      </c>
      <c r="F260" s="13">
        <f t="shared" ref="F260:F264" si="55">E260*1.105</f>
        <v>55250</v>
      </c>
      <c r="G260" s="2"/>
      <c r="H260" s="2"/>
      <c r="I260" s="13">
        <v>18000</v>
      </c>
      <c r="J260" s="13">
        <f t="shared" ref="J260:J264" si="56">I260*A260</f>
        <v>36000</v>
      </c>
      <c r="K260" s="13">
        <f t="shared" ref="K260:K264" si="57">F260-J260</f>
        <v>19250</v>
      </c>
      <c r="L260" s="18">
        <f t="shared" ref="L260:L264" si="58">IFERROR(K260/E260, 0)</f>
        <v>0.38500000000000001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5</v>
      </c>
      <c r="B261" s="10" t="s">
        <v>17</v>
      </c>
      <c r="C261" s="11" t="s">
        <v>34</v>
      </c>
      <c r="D261" s="13">
        <v>5000</v>
      </c>
      <c r="E261" s="13">
        <f t="shared" si="54"/>
        <v>25000</v>
      </c>
      <c r="F261" s="13">
        <f t="shared" si="55"/>
        <v>27625</v>
      </c>
      <c r="G261" s="2"/>
      <c r="H261" s="2"/>
      <c r="I261" s="13">
        <v>2000</v>
      </c>
      <c r="J261" s="13">
        <f t="shared" si="56"/>
        <v>10000</v>
      </c>
      <c r="K261" s="13">
        <f t="shared" si="57"/>
        <v>17625</v>
      </c>
      <c r="L261" s="18">
        <f t="shared" si="58"/>
        <v>0.70499999999999996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1</v>
      </c>
      <c r="B262" s="10" t="s">
        <v>21</v>
      </c>
      <c r="C262" s="11" t="s">
        <v>133</v>
      </c>
      <c r="D262" s="13">
        <v>3000</v>
      </c>
      <c r="E262" s="13">
        <f t="shared" si="54"/>
        <v>3000</v>
      </c>
      <c r="F262" s="13">
        <f t="shared" si="55"/>
        <v>3315</v>
      </c>
      <c r="G262" s="2"/>
      <c r="H262" s="2"/>
      <c r="I262" s="13">
        <v>1500</v>
      </c>
      <c r="J262" s="13">
        <f t="shared" si="56"/>
        <v>1500</v>
      </c>
      <c r="K262" s="13">
        <f t="shared" si="57"/>
        <v>1815</v>
      </c>
      <c r="L262" s="18">
        <f t="shared" si="58"/>
        <v>0.60499999999999998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1</v>
      </c>
      <c r="B263" s="10" t="s">
        <v>4</v>
      </c>
      <c r="C263" s="11" t="s">
        <v>14</v>
      </c>
      <c r="D263" s="13">
        <v>3200</v>
      </c>
      <c r="E263" s="13">
        <f t="shared" si="54"/>
        <v>3200</v>
      </c>
      <c r="F263" s="13">
        <f t="shared" si="55"/>
        <v>3536</v>
      </c>
      <c r="G263" s="2"/>
      <c r="H263" s="2"/>
      <c r="I263" s="13"/>
      <c r="J263" s="13">
        <f t="shared" si="56"/>
        <v>0</v>
      </c>
      <c r="K263" s="13">
        <f t="shared" si="57"/>
        <v>3536</v>
      </c>
      <c r="L263" s="18">
        <f t="shared" si="58"/>
        <v>1.105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2</v>
      </c>
      <c r="B264" s="10" t="s">
        <v>17</v>
      </c>
      <c r="C264" s="11" t="s">
        <v>99</v>
      </c>
      <c r="D264" s="13">
        <v>1000</v>
      </c>
      <c r="E264" s="13">
        <f t="shared" si="54"/>
        <v>2000</v>
      </c>
      <c r="F264" s="13">
        <f t="shared" si="55"/>
        <v>2210</v>
      </c>
      <c r="G264" s="2"/>
      <c r="H264" s="2"/>
      <c r="I264" s="13">
        <f>5000/8</f>
        <v>625</v>
      </c>
      <c r="J264" s="13">
        <f t="shared" si="56"/>
        <v>1250</v>
      </c>
      <c r="K264" s="13">
        <f t="shared" si="57"/>
        <v>960</v>
      </c>
      <c r="L264" s="18">
        <f t="shared" si="58"/>
        <v>0.48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"/>
      <c r="B265" s="2"/>
      <c r="C265" s="4"/>
      <c r="D265" s="2"/>
      <c r="E265" s="2"/>
      <c r="F265" s="2"/>
      <c r="G265" s="2"/>
      <c r="H265" s="2"/>
      <c r="I265" s="2"/>
      <c r="J265" s="2"/>
      <c r="K265" s="2"/>
      <c r="L265" s="3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"/>
      <c r="B266" s="2"/>
      <c r="C266" s="4"/>
      <c r="D266" s="2"/>
      <c r="E266" s="13">
        <f t="shared" ref="E266:F266" si="59">SUM(E260:E264)</f>
        <v>83200</v>
      </c>
      <c r="F266" s="13">
        <f t="shared" si="59"/>
        <v>91936</v>
      </c>
      <c r="G266" s="2"/>
      <c r="H266" s="2"/>
      <c r="I266" s="2"/>
      <c r="J266" s="2"/>
      <c r="K266" s="13">
        <f>SUM(K260:K264)</f>
        <v>43186</v>
      </c>
      <c r="L266" s="18">
        <f>K266/F266</f>
        <v>0.46973981900452488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6"/>
      <c r="B267" s="25"/>
      <c r="C267" s="1"/>
      <c r="D267" s="12"/>
      <c r="E267" s="8"/>
      <c r="F267" s="15"/>
      <c r="G267" s="2"/>
      <c r="H267" s="2"/>
      <c r="I267" s="2"/>
      <c r="J267" s="2"/>
      <c r="K267" s="2"/>
      <c r="L267" s="3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6"/>
      <c r="B268" s="25"/>
      <c r="C268" s="1"/>
      <c r="D268" s="12"/>
      <c r="E268" s="8"/>
      <c r="F268" s="15"/>
      <c r="G268" s="2"/>
      <c r="H268" s="2"/>
      <c r="I268" s="2"/>
      <c r="J268" s="2"/>
      <c r="K268" s="2"/>
      <c r="L268" s="3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6"/>
      <c r="B269" s="25"/>
      <c r="C269" s="1"/>
      <c r="D269" s="12"/>
      <c r="E269" s="8"/>
      <c r="F269" s="15"/>
      <c r="G269" s="2"/>
      <c r="H269" s="2"/>
      <c r="I269" s="2"/>
      <c r="J269" s="2"/>
      <c r="K269" s="2"/>
      <c r="L269" s="3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88" t="s">
        <v>128</v>
      </c>
      <c r="B270" s="89"/>
      <c r="C270" s="89"/>
      <c r="D270" s="2"/>
      <c r="E270" s="7" t="s">
        <v>179</v>
      </c>
      <c r="F270" s="8">
        <v>46132</v>
      </c>
      <c r="G270" s="2"/>
      <c r="H270" s="2"/>
      <c r="I270" s="91" t="s">
        <v>2</v>
      </c>
      <c r="J270" s="89"/>
      <c r="K270" s="89"/>
      <c r="L270" s="3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3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6" t="s">
        <v>3</v>
      </c>
      <c r="B272" s="10" t="s">
        <v>4</v>
      </c>
      <c r="C272" s="11" t="s">
        <v>5</v>
      </c>
      <c r="D272" s="10" t="s">
        <v>6</v>
      </c>
      <c r="E272" s="10" t="s">
        <v>7</v>
      </c>
      <c r="F272" s="10" t="s">
        <v>8</v>
      </c>
      <c r="G272" s="2"/>
      <c r="H272" s="2"/>
      <c r="I272" s="10" t="s">
        <v>9</v>
      </c>
      <c r="J272" s="10" t="s">
        <v>7</v>
      </c>
      <c r="K272" s="10" t="s">
        <v>10</v>
      </c>
      <c r="L272" s="3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2</v>
      </c>
      <c r="B273" s="10" t="s">
        <v>23</v>
      </c>
      <c r="C273" s="11" t="s">
        <v>67</v>
      </c>
      <c r="D273" s="13">
        <v>15000</v>
      </c>
      <c r="E273" s="13">
        <f t="shared" ref="E273:E282" si="60">A273*D273</f>
        <v>30000</v>
      </c>
      <c r="F273" s="13">
        <f t="shared" ref="F273:F276" si="61">E273*1.105</f>
        <v>33150</v>
      </c>
      <c r="G273" s="2"/>
      <c r="H273" s="2"/>
      <c r="I273" s="13">
        <v>9000</v>
      </c>
      <c r="J273" s="13">
        <f t="shared" ref="J273:J282" si="62">I273*A273</f>
        <v>18000</v>
      </c>
      <c r="K273" s="13">
        <f t="shared" ref="K273:K282" si="63">F273-J273</f>
        <v>15150</v>
      </c>
      <c r="L273" s="14">
        <f t="shared" ref="L273:L282" si="64">IFERROR(K273/E273, 0)</f>
        <v>0.505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2</v>
      </c>
      <c r="B274" s="10" t="s">
        <v>23</v>
      </c>
      <c r="C274" s="11" t="s">
        <v>26</v>
      </c>
      <c r="D274" s="13">
        <v>18000</v>
      </c>
      <c r="E274" s="13">
        <f t="shared" si="60"/>
        <v>36000</v>
      </c>
      <c r="F274" s="13">
        <f t="shared" si="61"/>
        <v>39780</v>
      </c>
      <c r="G274" s="2"/>
      <c r="H274" s="2"/>
      <c r="I274" s="13">
        <v>16000</v>
      </c>
      <c r="J274" s="13">
        <f t="shared" si="62"/>
        <v>32000</v>
      </c>
      <c r="K274" s="13">
        <f t="shared" si="63"/>
        <v>7780</v>
      </c>
      <c r="L274" s="14">
        <f t="shared" si="64"/>
        <v>0.21611111111111111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4</v>
      </c>
      <c r="B275" s="10" t="s">
        <v>15</v>
      </c>
      <c r="C275" s="11" t="s">
        <v>135</v>
      </c>
      <c r="D275" s="13">
        <v>16000</v>
      </c>
      <c r="E275" s="13">
        <f t="shared" si="60"/>
        <v>64000</v>
      </c>
      <c r="F275" s="13">
        <f t="shared" si="61"/>
        <v>70720</v>
      </c>
      <c r="G275" s="2"/>
      <c r="H275" s="2"/>
      <c r="I275" s="13">
        <v>11000</v>
      </c>
      <c r="J275" s="13">
        <f t="shared" si="62"/>
        <v>44000</v>
      </c>
      <c r="K275" s="13">
        <f t="shared" si="63"/>
        <v>26720</v>
      </c>
      <c r="L275" s="14">
        <f t="shared" si="64"/>
        <v>0.41749999999999998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1</v>
      </c>
      <c r="B276" s="10" t="s">
        <v>23</v>
      </c>
      <c r="C276" s="11" t="s">
        <v>110</v>
      </c>
      <c r="D276" s="13">
        <v>15000</v>
      </c>
      <c r="E276" s="13">
        <f t="shared" si="60"/>
        <v>15000</v>
      </c>
      <c r="F276" s="13">
        <f t="shared" si="61"/>
        <v>16575</v>
      </c>
      <c r="G276" s="2"/>
      <c r="H276" s="2"/>
      <c r="I276" s="13">
        <v>15000</v>
      </c>
      <c r="J276" s="13">
        <f t="shared" si="62"/>
        <v>15000</v>
      </c>
      <c r="K276" s="13">
        <f t="shared" si="63"/>
        <v>1575</v>
      </c>
      <c r="L276" s="14">
        <f t="shared" si="64"/>
        <v>0.105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1</v>
      </c>
      <c r="B277" s="10" t="s">
        <v>23</v>
      </c>
      <c r="C277" s="11" t="s">
        <v>85</v>
      </c>
      <c r="D277" s="13">
        <v>52000</v>
      </c>
      <c r="E277" s="13">
        <f t="shared" si="60"/>
        <v>52000</v>
      </c>
      <c r="F277" s="13">
        <f>E277*1.21</f>
        <v>62920</v>
      </c>
      <c r="G277" s="7" t="s">
        <v>37</v>
      </c>
      <c r="H277" s="2"/>
      <c r="I277" s="13">
        <v>50000</v>
      </c>
      <c r="J277" s="13">
        <f t="shared" si="62"/>
        <v>50000</v>
      </c>
      <c r="K277" s="13">
        <f t="shared" si="63"/>
        <v>12920</v>
      </c>
      <c r="L277" s="14">
        <f t="shared" si="64"/>
        <v>0.24846153846153846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>
        <v>4</v>
      </c>
      <c r="B278" s="10" t="s">
        <v>21</v>
      </c>
      <c r="C278" s="11" t="s">
        <v>42</v>
      </c>
      <c r="D278" s="13">
        <v>3000</v>
      </c>
      <c r="E278" s="13">
        <f t="shared" si="60"/>
        <v>12000</v>
      </c>
      <c r="F278" s="13">
        <f t="shared" ref="F278:F282" si="65">E278*1.105</f>
        <v>13260</v>
      </c>
      <c r="G278" s="2"/>
      <c r="H278" s="2"/>
      <c r="I278" s="13">
        <v>1300</v>
      </c>
      <c r="J278" s="13">
        <f t="shared" si="62"/>
        <v>5200</v>
      </c>
      <c r="K278" s="13">
        <f t="shared" si="63"/>
        <v>8060</v>
      </c>
      <c r="L278" s="14">
        <f t="shared" si="64"/>
        <v>0.67166666666666663</v>
      </c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2">
        <v>0.5</v>
      </c>
      <c r="B279" s="10" t="s">
        <v>23</v>
      </c>
      <c r="C279" s="11" t="s">
        <v>99</v>
      </c>
      <c r="D279" s="13">
        <v>10000</v>
      </c>
      <c r="E279" s="13">
        <f t="shared" si="60"/>
        <v>5000</v>
      </c>
      <c r="F279" s="13">
        <f t="shared" si="65"/>
        <v>5525</v>
      </c>
      <c r="G279" s="2"/>
      <c r="H279" s="2"/>
      <c r="I279" s="13">
        <v>5000</v>
      </c>
      <c r="J279" s="13">
        <f t="shared" si="62"/>
        <v>2500</v>
      </c>
      <c r="K279" s="13">
        <f t="shared" si="63"/>
        <v>3025</v>
      </c>
      <c r="L279" s="14">
        <f t="shared" si="64"/>
        <v>0.60499999999999998</v>
      </c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2">
        <v>0.5</v>
      </c>
      <c r="B280" s="10" t="s">
        <v>23</v>
      </c>
      <c r="C280" s="11" t="s">
        <v>61</v>
      </c>
      <c r="D280" s="13">
        <v>34000</v>
      </c>
      <c r="E280" s="13">
        <f t="shared" si="60"/>
        <v>17000</v>
      </c>
      <c r="F280" s="13">
        <f t="shared" si="65"/>
        <v>18785</v>
      </c>
      <c r="G280" s="2"/>
      <c r="H280" s="2"/>
      <c r="I280" s="13">
        <f>30000</f>
        <v>30000</v>
      </c>
      <c r="J280" s="13">
        <f t="shared" si="62"/>
        <v>15000</v>
      </c>
      <c r="K280" s="13">
        <f t="shared" si="63"/>
        <v>3785</v>
      </c>
      <c r="L280" s="14">
        <f t="shared" si="64"/>
        <v>0.22264705882352942</v>
      </c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5</v>
      </c>
      <c r="B281" s="10" t="s">
        <v>21</v>
      </c>
      <c r="C281" s="11" t="s">
        <v>51</v>
      </c>
      <c r="D281" s="13">
        <v>1000</v>
      </c>
      <c r="E281" s="13">
        <f t="shared" si="60"/>
        <v>5000</v>
      </c>
      <c r="F281" s="13">
        <f t="shared" si="65"/>
        <v>5525</v>
      </c>
      <c r="G281" s="2"/>
      <c r="H281" s="2"/>
      <c r="I281" s="13">
        <f>4000/6</f>
        <v>666.66666666666663</v>
      </c>
      <c r="J281" s="13">
        <f t="shared" si="62"/>
        <v>3333.333333333333</v>
      </c>
      <c r="K281" s="13">
        <f t="shared" si="63"/>
        <v>2191.666666666667</v>
      </c>
      <c r="L281" s="14">
        <f t="shared" si="64"/>
        <v>0.43833333333333341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1</v>
      </c>
      <c r="B282" s="10" t="s">
        <v>86</v>
      </c>
      <c r="C282" s="11" t="s">
        <v>13</v>
      </c>
      <c r="D282" s="13">
        <v>35000</v>
      </c>
      <c r="E282" s="13">
        <f t="shared" si="60"/>
        <v>35000</v>
      </c>
      <c r="F282" s="13">
        <f t="shared" si="65"/>
        <v>38675</v>
      </c>
      <c r="G282" s="2"/>
      <c r="H282" s="2"/>
      <c r="I282" s="13">
        <v>28000</v>
      </c>
      <c r="J282" s="13">
        <f t="shared" si="62"/>
        <v>28000</v>
      </c>
      <c r="K282" s="13">
        <f t="shared" si="63"/>
        <v>10675</v>
      </c>
      <c r="L282" s="14">
        <f t="shared" si="64"/>
        <v>0.30499999999999999</v>
      </c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5"/>
      <c r="B283" s="2"/>
      <c r="C283" s="4"/>
      <c r="D283" s="2"/>
      <c r="E283" s="2"/>
      <c r="F283" s="2"/>
      <c r="G283" s="2"/>
      <c r="H283" s="2"/>
      <c r="I283" s="2"/>
      <c r="J283" s="2"/>
      <c r="K283" s="2"/>
      <c r="L283" s="3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"/>
      <c r="B284" s="2"/>
      <c r="C284" s="4"/>
      <c r="D284" s="2"/>
      <c r="E284" s="13">
        <f t="shared" ref="E284:F284" si="66">SUM(E273:E282)</f>
        <v>271000</v>
      </c>
      <c r="F284" s="13">
        <f t="shared" si="66"/>
        <v>304915</v>
      </c>
      <c r="G284" s="2"/>
      <c r="H284" s="2"/>
      <c r="I284" s="2"/>
      <c r="J284" s="2"/>
      <c r="K284" s="13">
        <f>SUM(K273:K282)</f>
        <v>91881.666666666672</v>
      </c>
      <c r="L284" s="14">
        <f>K284/F284</f>
        <v>0.30133534482287416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0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6"/>
      <c r="B286" s="1"/>
      <c r="C286" s="1"/>
      <c r="D286" s="22"/>
      <c r="E286" s="8"/>
      <c r="F286" s="24"/>
      <c r="G286" s="2"/>
      <c r="H286" s="2"/>
      <c r="I286" s="2"/>
      <c r="J286" s="2"/>
      <c r="K286" s="2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0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0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6" t="s">
        <v>177</v>
      </c>
      <c r="B289" s="1"/>
      <c r="C289" s="1"/>
      <c r="D289" s="22" t="s">
        <v>185</v>
      </c>
      <c r="E289" s="8">
        <v>46132</v>
      </c>
      <c r="F289" s="24" t="s">
        <v>37</v>
      </c>
      <c r="G289" s="2"/>
      <c r="H289" s="2"/>
      <c r="I289" s="2"/>
      <c r="J289" s="2"/>
      <c r="K289" s="2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2"/>
      <c r="C290" s="4"/>
      <c r="D290" s="2"/>
      <c r="E290" s="2"/>
      <c r="F290" s="2"/>
      <c r="G290" s="2"/>
      <c r="H290" s="2"/>
      <c r="I290" s="2"/>
      <c r="J290" s="2"/>
      <c r="K290" s="2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6" t="s">
        <v>3</v>
      </c>
      <c r="B291" s="10" t="s">
        <v>4</v>
      </c>
      <c r="C291" s="11" t="s">
        <v>5</v>
      </c>
      <c r="D291" s="10" t="s">
        <v>6</v>
      </c>
      <c r="E291" s="10" t="s">
        <v>7</v>
      </c>
      <c r="F291" s="2"/>
      <c r="G291" s="2"/>
      <c r="H291" s="2"/>
      <c r="I291" s="10" t="s">
        <v>6</v>
      </c>
      <c r="J291" s="10" t="s">
        <v>7</v>
      </c>
      <c r="K291" s="10" t="s">
        <v>10</v>
      </c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1</v>
      </c>
      <c r="B292" s="10" t="s">
        <v>15</v>
      </c>
      <c r="C292" s="11" t="s">
        <v>135</v>
      </c>
      <c r="D292" s="13">
        <v>17000</v>
      </c>
      <c r="E292" s="13">
        <f t="shared" ref="E292:E305" si="67">A292*D292</f>
        <v>17000</v>
      </c>
      <c r="F292" s="2"/>
      <c r="G292" s="2"/>
      <c r="H292" s="2"/>
      <c r="I292" s="13">
        <v>11000</v>
      </c>
      <c r="J292" s="13">
        <f t="shared" ref="J292:J305" si="68">I292*A292</f>
        <v>11000</v>
      </c>
      <c r="K292" s="13">
        <f t="shared" ref="K292:K305" si="69">E292-J292</f>
        <v>6000</v>
      </c>
      <c r="L292" s="14">
        <f t="shared" ref="L292:L305" si="70">K292/E292</f>
        <v>0.35294117647058826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1</v>
      </c>
      <c r="B293" s="10" t="s">
        <v>15</v>
      </c>
      <c r="C293" s="11" t="s">
        <v>56</v>
      </c>
      <c r="D293" s="13">
        <v>14000</v>
      </c>
      <c r="E293" s="13">
        <f t="shared" si="67"/>
        <v>14000</v>
      </c>
      <c r="F293" s="2"/>
      <c r="G293" s="2"/>
      <c r="H293" s="2"/>
      <c r="I293" s="13">
        <v>9000</v>
      </c>
      <c r="J293" s="13">
        <f t="shared" si="68"/>
        <v>9000</v>
      </c>
      <c r="K293" s="13">
        <f t="shared" si="69"/>
        <v>5000</v>
      </c>
      <c r="L293" s="14">
        <f t="shared" si="70"/>
        <v>0.35714285714285715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1</v>
      </c>
      <c r="B294" s="10" t="s">
        <v>15</v>
      </c>
      <c r="C294" s="11" t="s">
        <v>16</v>
      </c>
      <c r="D294" s="13">
        <v>13000</v>
      </c>
      <c r="E294" s="13">
        <f t="shared" si="67"/>
        <v>13000</v>
      </c>
      <c r="F294" s="2"/>
      <c r="G294" s="2"/>
      <c r="H294" s="2"/>
      <c r="I294" s="13">
        <v>8000</v>
      </c>
      <c r="J294" s="13">
        <f t="shared" si="68"/>
        <v>8000</v>
      </c>
      <c r="K294" s="13">
        <f t="shared" si="69"/>
        <v>5000</v>
      </c>
      <c r="L294" s="14">
        <f t="shared" si="70"/>
        <v>0.38461538461538464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1</v>
      </c>
      <c r="B295" s="10" t="s">
        <v>15</v>
      </c>
      <c r="C295" s="11" t="s">
        <v>129</v>
      </c>
      <c r="D295" s="13">
        <v>16000</v>
      </c>
      <c r="E295" s="13">
        <f t="shared" si="67"/>
        <v>16000</v>
      </c>
      <c r="F295" s="2"/>
      <c r="G295" s="2"/>
      <c r="H295" s="2"/>
      <c r="I295" s="13">
        <v>11000</v>
      </c>
      <c r="J295" s="13">
        <f t="shared" si="68"/>
        <v>11000</v>
      </c>
      <c r="K295" s="13">
        <f t="shared" si="69"/>
        <v>5000</v>
      </c>
      <c r="L295" s="14">
        <f t="shared" si="70"/>
        <v>0.3125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1</v>
      </c>
      <c r="B296" s="10" t="s">
        <v>15</v>
      </c>
      <c r="C296" s="11" t="s">
        <v>40</v>
      </c>
      <c r="D296" s="13">
        <v>12000</v>
      </c>
      <c r="E296" s="13">
        <f t="shared" si="67"/>
        <v>12000</v>
      </c>
      <c r="F296" s="2"/>
      <c r="G296" s="2"/>
      <c r="H296" s="2"/>
      <c r="I296" s="13">
        <v>8000</v>
      </c>
      <c r="J296" s="13">
        <f t="shared" si="68"/>
        <v>8000</v>
      </c>
      <c r="K296" s="13">
        <f t="shared" si="69"/>
        <v>4000</v>
      </c>
      <c r="L296" s="14">
        <f t="shared" si="70"/>
        <v>0.33333333333333331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3</v>
      </c>
      <c r="B297" s="10" t="s">
        <v>17</v>
      </c>
      <c r="C297" s="11" t="s">
        <v>99</v>
      </c>
      <c r="D297" s="13">
        <v>1200</v>
      </c>
      <c r="E297" s="13">
        <f t="shared" si="67"/>
        <v>3600</v>
      </c>
      <c r="F297" s="2"/>
      <c r="G297" s="2"/>
      <c r="H297" s="2"/>
      <c r="I297" s="13">
        <f>5000/8</f>
        <v>625</v>
      </c>
      <c r="J297" s="13">
        <f t="shared" si="68"/>
        <v>1875</v>
      </c>
      <c r="K297" s="13">
        <f t="shared" si="69"/>
        <v>1725</v>
      </c>
      <c r="L297" s="14">
        <f t="shared" si="70"/>
        <v>0.47916666666666669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0.5</v>
      </c>
      <c r="B298" s="10" t="s">
        <v>17</v>
      </c>
      <c r="C298" s="11" t="s">
        <v>1092</v>
      </c>
      <c r="D298" s="13">
        <v>4000</v>
      </c>
      <c r="E298" s="13">
        <f t="shared" si="67"/>
        <v>2000</v>
      </c>
      <c r="F298" s="2"/>
      <c r="G298" s="2"/>
      <c r="H298" s="2"/>
      <c r="I298" s="13">
        <v>5000</v>
      </c>
      <c r="J298" s="13">
        <f t="shared" si="68"/>
        <v>2500</v>
      </c>
      <c r="K298" s="13">
        <f t="shared" si="69"/>
        <v>-500</v>
      </c>
      <c r="L298" s="14">
        <f t="shared" si="70"/>
        <v>-0.25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3</v>
      </c>
      <c r="B299" s="10" t="s">
        <v>17</v>
      </c>
      <c r="C299" s="11" t="s">
        <v>31</v>
      </c>
      <c r="D299" s="13">
        <v>3000</v>
      </c>
      <c r="E299" s="13">
        <f t="shared" si="67"/>
        <v>9000</v>
      </c>
      <c r="F299" s="2"/>
      <c r="G299" s="2"/>
      <c r="H299" s="2"/>
      <c r="I299" s="13">
        <f>12000/7</f>
        <v>1714.2857142857142</v>
      </c>
      <c r="J299" s="13">
        <f t="shared" si="68"/>
        <v>5142.8571428571431</v>
      </c>
      <c r="K299" s="13">
        <f t="shared" si="69"/>
        <v>3857.1428571428569</v>
      </c>
      <c r="L299" s="14">
        <f t="shared" si="70"/>
        <v>0.42857142857142855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1.3</v>
      </c>
      <c r="B300" s="10" t="s">
        <v>17</v>
      </c>
      <c r="C300" s="11" t="s">
        <v>38</v>
      </c>
      <c r="D300" s="13">
        <v>1800</v>
      </c>
      <c r="E300" s="13">
        <f t="shared" si="67"/>
        <v>2340</v>
      </c>
      <c r="F300" s="2"/>
      <c r="G300" s="2"/>
      <c r="H300" s="2"/>
      <c r="I300" s="13">
        <v>800</v>
      </c>
      <c r="J300" s="13">
        <f t="shared" si="68"/>
        <v>1040</v>
      </c>
      <c r="K300" s="13">
        <f t="shared" si="69"/>
        <v>1300</v>
      </c>
      <c r="L300" s="14">
        <f t="shared" si="70"/>
        <v>0.55555555555555558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2</v>
      </c>
      <c r="B301" s="10" t="s">
        <v>21</v>
      </c>
      <c r="C301" s="11" t="s">
        <v>46</v>
      </c>
      <c r="D301" s="13">
        <v>500</v>
      </c>
      <c r="E301" s="13">
        <f t="shared" si="67"/>
        <v>1000</v>
      </c>
      <c r="F301" s="2"/>
      <c r="G301" s="2"/>
      <c r="H301" s="2"/>
      <c r="I301" s="13">
        <f>1500/6</f>
        <v>250</v>
      </c>
      <c r="J301" s="13">
        <f t="shared" si="68"/>
        <v>500</v>
      </c>
      <c r="K301" s="13">
        <f t="shared" si="69"/>
        <v>500</v>
      </c>
      <c r="L301" s="14">
        <f t="shared" si="70"/>
        <v>0.5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4</v>
      </c>
      <c r="B302" s="10" t="s">
        <v>17</v>
      </c>
      <c r="C302" s="11" t="s">
        <v>81</v>
      </c>
      <c r="D302" s="13">
        <v>1400</v>
      </c>
      <c r="E302" s="13">
        <f t="shared" si="67"/>
        <v>5600</v>
      </c>
      <c r="F302" s="2"/>
      <c r="G302" s="2"/>
      <c r="H302" s="2"/>
      <c r="I302" s="13">
        <f>12000/15</f>
        <v>800</v>
      </c>
      <c r="J302" s="13">
        <f t="shared" si="68"/>
        <v>3200</v>
      </c>
      <c r="K302" s="13">
        <f t="shared" si="69"/>
        <v>2400</v>
      </c>
      <c r="L302" s="14">
        <f t="shared" si="70"/>
        <v>0.42857142857142855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3</v>
      </c>
      <c r="B303" s="10" t="s">
        <v>17</v>
      </c>
      <c r="C303" s="11" t="s">
        <v>82</v>
      </c>
      <c r="D303" s="13">
        <v>2200</v>
      </c>
      <c r="E303" s="13">
        <f t="shared" si="67"/>
        <v>6600</v>
      </c>
      <c r="F303" s="2"/>
      <c r="G303" s="2"/>
      <c r="H303" s="2"/>
      <c r="I303" s="13">
        <f>12000/14</f>
        <v>857.14285714285711</v>
      </c>
      <c r="J303" s="13">
        <f t="shared" si="68"/>
        <v>2571.4285714285716</v>
      </c>
      <c r="K303" s="13">
        <f t="shared" si="69"/>
        <v>4028.5714285714284</v>
      </c>
      <c r="L303" s="14">
        <f t="shared" si="70"/>
        <v>0.61038961038961037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1.3</v>
      </c>
      <c r="B304" s="10" t="s">
        <v>17</v>
      </c>
      <c r="C304" s="11" t="s">
        <v>62</v>
      </c>
      <c r="D304" s="13">
        <v>3000</v>
      </c>
      <c r="E304" s="13">
        <f t="shared" si="67"/>
        <v>3900</v>
      </c>
      <c r="F304" s="2"/>
      <c r="G304" s="2"/>
      <c r="H304" s="2"/>
      <c r="I304" s="13">
        <f>30000/17</f>
        <v>1764.7058823529412</v>
      </c>
      <c r="J304" s="13">
        <f t="shared" si="68"/>
        <v>2294.1176470588239</v>
      </c>
      <c r="K304" s="13">
        <f t="shared" si="69"/>
        <v>1605.8823529411761</v>
      </c>
      <c r="L304" s="14">
        <f t="shared" si="70"/>
        <v>0.41176470588235287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1</v>
      </c>
      <c r="B305" s="10" t="s">
        <v>17</v>
      </c>
      <c r="C305" s="11" t="s">
        <v>24</v>
      </c>
      <c r="D305" s="13">
        <v>3500</v>
      </c>
      <c r="E305" s="13">
        <f t="shared" si="67"/>
        <v>3500</v>
      </c>
      <c r="F305" s="2"/>
      <c r="G305" s="2"/>
      <c r="H305" s="2"/>
      <c r="I305" s="13">
        <f>35000/17</f>
        <v>2058.8235294117649</v>
      </c>
      <c r="J305" s="13">
        <f t="shared" si="68"/>
        <v>2058.8235294117649</v>
      </c>
      <c r="K305" s="13">
        <f t="shared" si="69"/>
        <v>1441.1764705882351</v>
      </c>
      <c r="L305" s="14">
        <f t="shared" si="70"/>
        <v>0.41176470588235292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"/>
      <c r="B306" s="2"/>
      <c r="C306" s="4"/>
      <c r="D306" s="2"/>
      <c r="E306" s="2"/>
      <c r="F306" s="2"/>
      <c r="G306" s="4"/>
      <c r="H306" s="2"/>
      <c r="I306" s="2"/>
      <c r="J306" s="2"/>
      <c r="K306" s="2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2"/>
      <c r="C307" s="4"/>
      <c r="D307" s="2"/>
      <c r="E307" s="13">
        <f>SUM(E292:E305)</f>
        <v>109540</v>
      </c>
      <c r="F307" s="2"/>
      <c r="G307" s="2"/>
      <c r="H307" s="2"/>
      <c r="I307" s="2"/>
      <c r="J307" s="2"/>
      <c r="K307" s="13">
        <f>SUM(K292:K305)</f>
        <v>41357.773109243695</v>
      </c>
      <c r="L307" s="14">
        <f>K307/E307</f>
        <v>0.37755863711195631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0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0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5.5" customHeight="1" x14ac:dyDescent="0.25">
      <c r="A310" s="26" t="s">
        <v>101</v>
      </c>
      <c r="B310" s="27">
        <f>E307+F284+F266+F253+E238+F215+F188+F164+E132+E113+E90+E66+E40+E22</f>
        <v>4227147.25</v>
      </c>
      <c r="C310" s="4"/>
      <c r="D310" s="4"/>
      <c r="E310" s="4"/>
      <c r="F310" s="4"/>
      <c r="G310" s="4"/>
      <c r="H310" s="4"/>
      <c r="I310" s="4"/>
      <c r="J310" s="4"/>
      <c r="K310" s="4"/>
      <c r="L310" s="2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8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7" customHeight="1" x14ac:dyDescent="0.25">
      <c r="A312" s="26" t="s">
        <v>102</v>
      </c>
      <c r="B312" s="27">
        <f>K307+K284+K266+K253+K238+K215+K188+K164+K132+K113+K90+K66+K40+K22</f>
        <v>1754575.557563025</v>
      </c>
      <c r="C312" s="4"/>
      <c r="D312" s="4"/>
      <c r="E312" s="4"/>
      <c r="F312" s="4"/>
      <c r="G312" s="4"/>
      <c r="H312" s="4"/>
      <c r="I312" s="4"/>
      <c r="J312" s="4"/>
      <c r="K312" s="4"/>
      <c r="L312" s="28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8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8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6.25" customHeight="1" x14ac:dyDescent="0.25">
      <c r="A315" s="26" t="s">
        <v>103</v>
      </c>
      <c r="B315" s="29">
        <f>B312/B310</f>
        <v>0.41507320511794926</v>
      </c>
      <c r="C315" s="4"/>
      <c r="D315" s="4"/>
      <c r="E315" s="4"/>
      <c r="F315" s="4"/>
      <c r="G315" s="4"/>
      <c r="H315" s="4"/>
      <c r="I315" s="4"/>
      <c r="J315" s="4"/>
      <c r="K315" s="4"/>
      <c r="L315" s="28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8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90" t="s">
        <v>104</v>
      </c>
      <c r="B317" s="89"/>
      <c r="C317" s="4"/>
      <c r="D317" s="4"/>
      <c r="E317" s="4"/>
      <c r="F317" s="4"/>
      <c r="G317" s="4"/>
      <c r="H317" s="4"/>
      <c r="I317" s="4"/>
      <c r="J317" s="4"/>
      <c r="K317" s="4"/>
      <c r="L317" s="28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0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0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0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0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0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0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0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</sheetData>
  <mergeCells count="7">
    <mergeCell ref="A317:B317"/>
    <mergeCell ref="A136:C136"/>
    <mergeCell ref="A242:C242"/>
    <mergeCell ref="A257:C257"/>
    <mergeCell ref="I257:K257"/>
    <mergeCell ref="A270:C270"/>
    <mergeCell ref="I270:K270"/>
  </mergeCells>
  <conditionalFormatting sqref="L1:L324">
    <cfRule type="cellIs" dxfId="46" priority="3" operator="greaterThanOrEqual">
      <formula>"30%"</formula>
    </cfRule>
    <cfRule type="cellIs" dxfId="45" priority="4" operator="between">
      <formula>"25%"</formula>
      <formula>"30%"</formula>
    </cfRule>
    <cfRule type="cellIs" dxfId="44" priority="5" operator="lessThan">
      <formula>"25%"</formula>
    </cfRule>
  </conditionalFormatting>
  <conditionalFormatting sqref="L257:L266">
    <cfRule type="cellIs" dxfId="43" priority="2" operator="greaterThanOrEqual">
      <formula>"30%"</formula>
    </cfRule>
  </conditionalFormatting>
  <conditionalFormatting sqref="L270:L284">
    <cfRule type="cellIs" dxfId="42" priority="1" operator="greaterThan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F9EC-31F5-5B4F-8118-E91465D53AD1}">
  <sheetPr>
    <outlinePr summaryBelow="0" summaryRight="0"/>
  </sheetPr>
  <dimension ref="A1:Z1306"/>
  <sheetViews>
    <sheetView topLeftCell="A299"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5" t="s">
        <v>37</v>
      </c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1093</v>
      </c>
      <c r="F3" s="8">
        <v>46133</v>
      </c>
      <c r="G3" s="2"/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0.5</v>
      </c>
      <c r="B6" s="10" t="s">
        <v>21</v>
      </c>
      <c r="C6" s="11" t="s">
        <v>42</v>
      </c>
      <c r="D6" s="13">
        <v>4500</v>
      </c>
      <c r="E6" s="13">
        <f t="shared" ref="E6:E39" si="0">A6*D6</f>
        <v>2250</v>
      </c>
      <c r="F6" s="13">
        <f t="shared" ref="F6:F38" si="1">E6*1.105</f>
        <v>2486.25</v>
      </c>
      <c r="G6" s="2"/>
      <c r="H6" s="2"/>
      <c r="I6" s="13">
        <v>1300</v>
      </c>
      <c r="J6" s="13">
        <f t="shared" ref="J6:J39" si="2">I6*A6</f>
        <v>650</v>
      </c>
      <c r="K6" s="13">
        <f t="shared" ref="K6:K39" si="3">F6-J6</f>
        <v>1836.25</v>
      </c>
      <c r="L6" s="14">
        <f t="shared" ref="L6:L39" si="4">IFERROR(K6/E6, 0)</f>
        <v>0.81611111111111112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2</v>
      </c>
      <c r="B7" s="10" t="s">
        <v>4</v>
      </c>
      <c r="C7" s="11" t="s">
        <v>13</v>
      </c>
      <c r="D7" s="13">
        <v>900</v>
      </c>
      <c r="E7" s="13">
        <f t="shared" si="0"/>
        <v>1800</v>
      </c>
      <c r="F7" s="13">
        <f t="shared" si="1"/>
        <v>1989</v>
      </c>
      <c r="G7" s="2"/>
      <c r="H7" s="2"/>
      <c r="I7" s="13">
        <f>28000/50</f>
        <v>560</v>
      </c>
      <c r="J7" s="13">
        <f t="shared" si="2"/>
        <v>1120</v>
      </c>
      <c r="K7" s="13">
        <f t="shared" si="3"/>
        <v>869</v>
      </c>
      <c r="L7" s="14">
        <f t="shared" si="4"/>
        <v>0.48277777777777775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3</v>
      </c>
      <c r="B8" s="10" t="s">
        <v>21</v>
      </c>
      <c r="C8" s="11" t="s">
        <v>130</v>
      </c>
      <c r="D8" s="13">
        <v>1400</v>
      </c>
      <c r="E8" s="13">
        <f t="shared" si="0"/>
        <v>4200</v>
      </c>
      <c r="F8" s="13">
        <f t="shared" si="1"/>
        <v>4641</v>
      </c>
      <c r="G8" s="2"/>
      <c r="H8" s="2"/>
      <c r="I8" s="13">
        <v>1000</v>
      </c>
      <c r="J8" s="13">
        <f t="shared" si="2"/>
        <v>3000</v>
      </c>
      <c r="K8" s="13">
        <f t="shared" si="3"/>
        <v>1641</v>
      </c>
      <c r="L8" s="14">
        <f t="shared" si="4"/>
        <v>0.39071428571428574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4</v>
      </c>
      <c r="B9" s="10" t="s">
        <v>17</v>
      </c>
      <c r="C9" s="11" t="s">
        <v>62</v>
      </c>
      <c r="D9" s="13">
        <v>3000</v>
      </c>
      <c r="E9" s="13">
        <f t="shared" si="0"/>
        <v>12000</v>
      </c>
      <c r="F9" s="13">
        <f t="shared" si="1"/>
        <v>13260</v>
      </c>
      <c r="G9" s="2"/>
      <c r="H9" s="2"/>
      <c r="I9" s="13">
        <f>31000/17</f>
        <v>1823.5294117647059</v>
      </c>
      <c r="J9" s="13">
        <f t="shared" si="2"/>
        <v>7294.1176470588234</v>
      </c>
      <c r="K9" s="13">
        <f t="shared" si="3"/>
        <v>5965.8823529411766</v>
      </c>
      <c r="L9" s="14">
        <f t="shared" si="4"/>
        <v>0.49715686274509807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1</v>
      </c>
      <c r="B10" s="10" t="s">
        <v>15</v>
      </c>
      <c r="C10" s="11" t="s">
        <v>129</v>
      </c>
      <c r="D10" s="13">
        <v>16000</v>
      </c>
      <c r="E10" s="13">
        <f t="shared" si="0"/>
        <v>16000</v>
      </c>
      <c r="F10" s="13">
        <f t="shared" si="1"/>
        <v>17680</v>
      </c>
      <c r="G10" s="2"/>
      <c r="H10" s="2"/>
      <c r="I10" s="13">
        <v>11000</v>
      </c>
      <c r="J10" s="13">
        <f t="shared" si="2"/>
        <v>11000</v>
      </c>
      <c r="K10" s="13">
        <f t="shared" si="3"/>
        <v>6680</v>
      </c>
      <c r="L10" s="14">
        <f t="shared" si="4"/>
        <v>0.41749999999999998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1</v>
      </c>
      <c r="B11" s="10" t="s">
        <v>17</v>
      </c>
      <c r="C11" s="11" t="s">
        <v>129</v>
      </c>
      <c r="D11" s="13">
        <v>1600</v>
      </c>
      <c r="E11" s="13">
        <f t="shared" si="0"/>
        <v>1600</v>
      </c>
      <c r="F11" s="13">
        <f t="shared" si="1"/>
        <v>1768</v>
      </c>
      <c r="G11" s="2"/>
      <c r="H11" s="2"/>
      <c r="I11" s="13">
        <v>1000</v>
      </c>
      <c r="J11" s="13">
        <f t="shared" si="2"/>
        <v>1000</v>
      </c>
      <c r="K11" s="13">
        <f t="shared" si="3"/>
        <v>768</v>
      </c>
      <c r="L11" s="14">
        <f t="shared" si="4"/>
        <v>0.48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3</v>
      </c>
      <c r="B12" s="10" t="s">
        <v>4</v>
      </c>
      <c r="C12" s="11" t="s">
        <v>14</v>
      </c>
      <c r="D12" s="13">
        <v>3200</v>
      </c>
      <c r="E12" s="13">
        <f t="shared" si="0"/>
        <v>9600</v>
      </c>
      <c r="F12" s="13">
        <f t="shared" si="1"/>
        <v>10608</v>
      </c>
      <c r="G12" s="2"/>
      <c r="H12" s="2"/>
      <c r="I12" s="13">
        <v>2250</v>
      </c>
      <c r="J12" s="13">
        <f t="shared" si="2"/>
        <v>6750</v>
      </c>
      <c r="K12" s="13">
        <f t="shared" si="3"/>
        <v>3858</v>
      </c>
      <c r="L12" s="14">
        <f t="shared" si="4"/>
        <v>0.40187499999999998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15.5</v>
      </c>
      <c r="B13" s="10" t="s">
        <v>17</v>
      </c>
      <c r="C13" s="11" t="s">
        <v>48</v>
      </c>
      <c r="D13" s="13">
        <v>900</v>
      </c>
      <c r="E13" s="13">
        <f t="shared" si="0"/>
        <v>13950</v>
      </c>
      <c r="F13" s="13">
        <f t="shared" si="1"/>
        <v>15414.75</v>
      </c>
      <c r="G13" s="2"/>
      <c r="H13" s="2"/>
      <c r="I13" s="13">
        <f>8000/15</f>
        <v>533.33333333333337</v>
      </c>
      <c r="J13" s="13">
        <f t="shared" si="2"/>
        <v>8266.6666666666679</v>
      </c>
      <c r="K13" s="13">
        <f t="shared" si="3"/>
        <v>7148.0833333333321</v>
      </c>
      <c r="L13" s="14">
        <f t="shared" si="4"/>
        <v>0.51240740740740731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2</v>
      </c>
      <c r="B14" s="10" t="s">
        <v>17</v>
      </c>
      <c r="C14" s="11" t="s">
        <v>18</v>
      </c>
      <c r="D14" s="13">
        <v>1600</v>
      </c>
      <c r="E14" s="13">
        <f t="shared" si="0"/>
        <v>3200</v>
      </c>
      <c r="F14" s="13">
        <f t="shared" si="1"/>
        <v>3536</v>
      </c>
      <c r="G14" s="2"/>
      <c r="H14" s="2"/>
      <c r="I14" s="13">
        <f>12000/14</f>
        <v>857.14285714285711</v>
      </c>
      <c r="J14" s="13">
        <f t="shared" si="2"/>
        <v>1714.2857142857142</v>
      </c>
      <c r="K14" s="13">
        <f t="shared" si="3"/>
        <v>1821.7142857142858</v>
      </c>
      <c r="L14" s="14">
        <f t="shared" si="4"/>
        <v>0.56928571428571428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3</v>
      </c>
      <c r="B15" s="10" t="s">
        <v>17</v>
      </c>
      <c r="C15" s="11" t="s">
        <v>56</v>
      </c>
      <c r="D15" s="13">
        <v>1200</v>
      </c>
      <c r="E15" s="13">
        <f t="shared" si="0"/>
        <v>3600</v>
      </c>
      <c r="F15" s="13">
        <f t="shared" si="1"/>
        <v>3978</v>
      </c>
      <c r="G15" s="2"/>
      <c r="H15" s="2"/>
      <c r="I15" s="13">
        <f>9000/15</f>
        <v>600</v>
      </c>
      <c r="J15" s="13">
        <f t="shared" si="2"/>
        <v>1800</v>
      </c>
      <c r="K15" s="13">
        <f t="shared" si="3"/>
        <v>2178</v>
      </c>
      <c r="L15" s="14">
        <f t="shared" si="4"/>
        <v>0.60499999999999998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3</v>
      </c>
      <c r="B16" s="10" t="s">
        <v>17</v>
      </c>
      <c r="C16" s="11" t="s">
        <v>144</v>
      </c>
      <c r="D16" s="13">
        <v>4500</v>
      </c>
      <c r="E16" s="13">
        <f t="shared" si="0"/>
        <v>13500</v>
      </c>
      <c r="F16" s="13">
        <f t="shared" si="1"/>
        <v>14917.5</v>
      </c>
      <c r="G16" s="2"/>
      <c r="H16" s="2"/>
      <c r="I16" s="13">
        <f>25000/7</f>
        <v>3571.4285714285716</v>
      </c>
      <c r="J16" s="13">
        <f t="shared" si="2"/>
        <v>10714.285714285714</v>
      </c>
      <c r="K16" s="13">
        <f t="shared" si="3"/>
        <v>4203.2142857142862</v>
      </c>
      <c r="L16" s="14">
        <f t="shared" si="4"/>
        <v>0.31134920634920638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3</v>
      </c>
      <c r="B17" s="10" t="s">
        <v>17</v>
      </c>
      <c r="C17" s="11" t="s">
        <v>162</v>
      </c>
      <c r="D17" s="13">
        <v>4000</v>
      </c>
      <c r="E17" s="13">
        <f t="shared" si="0"/>
        <v>12000</v>
      </c>
      <c r="F17" s="13">
        <f t="shared" si="1"/>
        <v>13260</v>
      </c>
      <c r="G17" s="2"/>
      <c r="H17" s="2"/>
      <c r="I17" s="13">
        <f>18000/6</f>
        <v>3000</v>
      </c>
      <c r="J17" s="13">
        <f t="shared" si="2"/>
        <v>9000</v>
      </c>
      <c r="K17" s="13">
        <f t="shared" si="3"/>
        <v>4260</v>
      </c>
      <c r="L17" s="14">
        <f t="shared" si="4"/>
        <v>0.35499999999999998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1</v>
      </c>
      <c r="B18" s="10" t="s">
        <v>21</v>
      </c>
      <c r="C18" s="11" t="s">
        <v>22</v>
      </c>
      <c r="D18" s="13">
        <v>1700</v>
      </c>
      <c r="E18" s="13">
        <f t="shared" si="0"/>
        <v>1700</v>
      </c>
      <c r="F18" s="13">
        <f t="shared" si="1"/>
        <v>1878.5</v>
      </c>
      <c r="G18" s="2"/>
      <c r="H18" s="2"/>
      <c r="I18" s="13">
        <f>1300</f>
        <v>1300</v>
      </c>
      <c r="J18" s="13">
        <f t="shared" si="2"/>
        <v>1300</v>
      </c>
      <c r="K18" s="13">
        <f t="shared" si="3"/>
        <v>578.5</v>
      </c>
      <c r="L18" s="18">
        <f t="shared" si="4"/>
        <v>0.3402941176470588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4</v>
      </c>
      <c r="B19" s="10" t="s">
        <v>17</v>
      </c>
      <c r="C19" s="11" t="s">
        <v>24</v>
      </c>
      <c r="D19" s="13">
        <v>3600</v>
      </c>
      <c r="E19" s="13">
        <f t="shared" si="0"/>
        <v>14400</v>
      </c>
      <c r="F19" s="13">
        <f t="shared" si="1"/>
        <v>15912</v>
      </c>
      <c r="G19" s="2"/>
      <c r="H19" s="2"/>
      <c r="I19" s="13">
        <f>50000/17</f>
        <v>2941.1764705882351</v>
      </c>
      <c r="J19" s="13">
        <f t="shared" si="2"/>
        <v>11764.705882352941</v>
      </c>
      <c r="K19" s="13">
        <f t="shared" si="3"/>
        <v>4147.2941176470595</v>
      </c>
      <c r="L19" s="18">
        <f t="shared" si="4"/>
        <v>0.28800653594771247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4</v>
      </c>
      <c r="B20" s="10" t="s">
        <v>17</v>
      </c>
      <c r="C20" s="11" t="s">
        <v>25</v>
      </c>
      <c r="D20" s="13">
        <v>4500</v>
      </c>
      <c r="E20" s="13">
        <f t="shared" si="0"/>
        <v>18000</v>
      </c>
      <c r="F20" s="13">
        <f t="shared" si="1"/>
        <v>19890</v>
      </c>
      <c r="G20" s="2"/>
      <c r="H20" s="2"/>
      <c r="I20" s="13">
        <f>62000/17</f>
        <v>3647.0588235294117</v>
      </c>
      <c r="J20" s="13">
        <f t="shared" si="2"/>
        <v>14588.235294117647</v>
      </c>
      <c r="K20" s="13">
        <f t="shared" si="3"/>
        <v>5301.7647058823532</v>
      </c>
      <c r="L20" s="18">
        <f t="shared" si="4"/>
        <v>0.29454248366013075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1</v>
      </c>
      <c r="B21" s="10" t="s">
        <v>23</v>
      </c>
      <c r="C21" s="11" t="s">
        <v>26</v>
      </c>
      <c r="D21" s="13">
        <v>22000</v>
      </c>
      <c r="E21" s="13">
        <f t="shared" si="0"/>
        <v>22000</v>
      </c>
      <c r="F21" s="13">
        <f t="shared" si="1"/>
        <v>24310</v>
      </c>
      <c r="G21" s="2"/>
      <c r="H21" s="2"/>
      <c r="I21" s="13">
        <v>16000</v>
      </c>
      <c r="J21" s="13">
        <f t="shared" si="2"/>
        <v>16000</v>
      </c>
      <c r="K21" s="13">
        <f t="shared" si="3"/>
        <v>8310</v>
      </c>
      <c r="L21" s="18">
        <f t="shared" si="4"/>
        <v>0.37772727272727274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3</v>
      </c>
      <c r="B22" s="10" t="s">
        <v>15</v>
      </c>
      <c r="C22" s="11" t="s">
        <v>27</v>
      </c>
      <c r="D22" s="13">
        <v>25000</v>
      </c>
      <c r="E22" s="13">
        <f t="shared" si="0"/>
        <v>75000</v>
      </c>
      <c r="F22" s="13">
        <f t="shared" si="1"/>
        <v>82875</v>
      </c>
      <c r="G22" s="2"/>
      <c r="H22" s="2"/>
      <c r="I22" s="13">
        <v>18300</v>
      </c>
      <c r="J22" s="13">
        <f t="shared" si="2"/>
        <v>54900</v>
      </c>
      <c r="K22" s="13">
        <f t="shared" si="3"/>
        <v>27975</v>
      </c>
      <c r="L22" s="33">
        <f t="shared" si="4"/>
        <v>0.373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2</v>
      </c>
      <c r="B23" s="10" t="s">
        <v>21</v>
      </c>
      <c r="C23" s="11" t="s">
        <v>133</v>
      </c>
      <c r="D23" s="13">
        <v>3000</v>
      </c>
      <c r="E23" s="13">
        <f t="shared" si="0"/>
        <v>6000</v>
      </c>
      <c r="F23" s="13">
        <f t="shared" si="1"/>
        <v>6630</v>
      </c>
      <c r="G23" s="2"/>
      <c r="H23" s="2"/>
      <c r="I23" s="13">
        <v>1000</v>
      </c>
      <c r="J23" s="13">
        <f t="shared" si="2"/>
        <v>2000</v>
      </c>
      <c r="K23" s="13">
        <f t="shared" si="3"/>
        <v>4630</v>
      </c>
      <c r="L23" s="33">
        <f t="shared" si="4"/>
        <v>0.77166666666666661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0.5</v>
      </c>
      <c r="B24" s="10" t="s">
        <v>21</v>
      </c>
      <c r="C24" s="11" t="s">
        <v>29</v>
      </c>
      <c r="D24" s="13">
        <v>3500</v>
      </c>
      <c r="E24" s="13">
        <f t="shared" si="0"/>
        <v>1750</v>
      </c>
      <c r="F24" s="13">
        <f t="shared" si="1"/>
        <v>1933.75</v>
      </c>
      <c r="G24" s="2"/>
      <c r="H24" s="2"/>
      <c r="I24" s="13">
        <v>1200</v>
      </c>
      <c r="J24" s="13">
        <f t="shared" si="2"/>
        <v>600</v>
      </c>
      <c r="K24" s="13">
        <f t="shared" si="3"/>
        <v>1333.75</v>
      </c>
      <c r="L24" s="18">
        <f t="shared" si="4"/>
        <v>0.76214285714285712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3</v>
      </c>
      <c r="B25" s="10" t="s">
        <v>17</v>
      </c>
      <c r="C25" s="11" t="s">
        <v>31</v>
      </c>
      <c r="D25" s="13">
        <v>3200</v>
      </c>
      <c r="E25" s="13">
        <f t="shared" si="0"/>
        <v>9600</v>
      </c>
      <c r="F25" s="13">
        <f t="shared" si="1"/>
        <v>10608</v>
      </c>
      <c r="G25" s="2"/>
      <c r="H25" s="2"/>
      <c r="I25" s="13">
        <f>12000/7</f>
        <v>1714.2857142857142</v>
      </c>
      <c r="J25" s="13">
        <f t="shared" si="2"/>
        <v>5142.8571428571431</v>
      </c>
      <c r="K25" s="13">
        <f t="shared" si="3"/>
        <v>5465.1428571428569</v>
      </c>
      <c r="L25" s="18">
        <f t="shared" si="4"/>
        <v>0.56928571428571428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0.5</v>
      </c>
      <c r="B26" s="10" t="s">
        <v>17</v>
      </c>
      <c r="C26" s="11" t="s">
        <v>32</v>
      </c>
      <c r="D26" s="13">
        <v>2400</v>
      </c>
      <c r="E26" s="13">
        <f t="shared" si="0"/>
        <v>1200</v>
      </c>
      <c r="F26" s="13">
        <f t="shared" si="1"/>
        <v>1326</v>
      </c>
      <c r="G26" s="2"/>
      <c r="H26" s="2"/>
      <c r="I26" s="13">
        <f>10000/7</f>
        <v>1428.5714285714287</v>
      </c>
      <c r="J26" s="13">
        <f t="shared" si="2"/>
        <v>714.28571428571433</v>
      </c>
      <c r="K26" s="13">
        <f t="shared" si="3"/>
        <v>611.71428571428567</v>
      </c>
      <c r="L26" s="14">
        <f t="shared" si="4"/>
        <v>0.50976190476190475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0.5</v>
      </c>
      <c r="B27" s="10" t="s">
        <v>17</v>
      </c>
      <c r="C27" s="11" t="s">
        <v>33</v>
      </c>
      <c r="D27" s="13">
        <v>2800</v>
      </c>
      <c r="E27" s="13">
        <f t="shared" si="0"/>
        <v>1400</v>
      </c>
      <c r="F27" s="13">
        <f t="shared" si="1"/>
        <v>1547</v>
      </c>
      <c r="G27" s="2"/>
      <c r="H27" s="2"/>
      <c r="I27" s="13">
        <f>14000/7</f>
        <v>2000</v>
      </c>
      <c r="J27" s="13">
        <f t="shared" si="2"/>
        <v>1000</v>
      </c>
      <c r="K27" s="13">
        <f t="shared" si="3"/>
        <v>547</v>
      </c>
      <c r="L27" s="14">
        <f t="shared" si="4"/>
        <v>0.39071428571428574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6</v>
      </c>
      <c r="B28" s="10" t="s">
        <v>17</v>
      </c>
      <c r="C28" s="11" t="s">
        <v>123</v>
      </c>
      <c r="D28" s="13">
        <v>2000</v>
      </c>
      <c r="E28" s="13">
        <f t="shared" si="0"/>
        <v>12000</v>
      </c>
      <c r="F28" s="13">
        <f t="shared" si="1"/>
        <v>13260</v>
      </c>
      <c r="G28" s="2"/>
      <c r="H28" s="2"/>
      <c r="I28" s="13">
        <f>12000/14</f>
        <v>857.14285714285711</v>
      </c>
      <c r="J28" s="13">
        <f t="shared" si="2"/>
        <v>5142.8571428571431</v>
      </c>
      <c r="K28" s="13">
        <f t="shared" si="3"/>
        <v>8117.1428571428569</v>
      </c>
      <c r="L28" s="14">
        <f t="shared" si="4"/>
        <v>0.67642857142857138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1</v>
      </c>
      <c r="B29" s="10" t="s">
        <v>17</v>
      </c>
      <c r="C29" s="11" t="s">
        <v>35</v>
      </c>
      <c r="D29" s="13">
        <v>2500</v>
      </c>
      <c r="E29" s="13">
        <f t="shared" si="0"/>
        <v>2500</v>
      </c>
      <c r="F29" s="13">
        <f t="shared" si="1"/>
        <v>2762.5</v>
      </c>
      <c r="G29" s="2"/>
      <c r="H29" s="2"/>
      <c r="I29" s="13">
        <f>14000/9</f>
        <v>1555.5555555555557</v>
      </c>
      <c r="J29" s="13">
        <f t="shared" si="2"/>
        <v>1555.5555555555557</v>
      </c>
      <c r="K29" s="13">
        <f t="shared" si="3"/>
        <v>1206.9444444444443</v>
      </c>
      <c r="L29" s="14">
        <f t="shared" si="4"/>
        <v>0.48277777777777775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1.6</v>
      </c>
      <c r="B30" s="10" t="s">
        <v>17</v>
      </c>
      <c r="C30" s="11" t="s">
        <v>36</v>
      </c>
      <c r="D30" s="13">
        <v>1800</v>
      </c>
      <c r="E30" s="13">
        <f t="shared" si="0"/>
        <v>2880</v>
      </c>
      <c r="F30" s="13">
        <f t="shared" si="1"/>
        <v>3182.4</v>
      </c>
      <c r="G30" s="2"/>
      <c r="H30" s="2"/>
      <c r="I30" s="13">
        <v>800</v>
      </c>
      <c r="J30" s="13">
        <f t="shared" si="2"/>
        <v>1280</v>
      </c>
      <c r="K30" s="13">
        <f t="shared" si="3"/>
        <v>1902.4</v>
      </c>
      <c r="L30" s="14">
        <f t="shared" si="4"/>
        <v>0.66055555555555556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12</v>
      </c>
      <c r="B31" s="10" t="s">
        <v>17</v>
      </c>
      <c r="C31" s="11" t="s">
        <v>39</v>
      </c>
      <c r="D31" s="13">
        <v>1600</v>
      </c>
      <c r="E31" s="13">
        <f t="shared" si="0"/>
        <v>19200</v>
      </c>
      <c r="F31" s="13">
        <f t="shared" si="1"/>
        <v>21216</v>
      </c>
      <c r="G31" s="2"/>
      <c r="H31" s="2"/>
      <c r="I31" s="13">
        <f>17000/15</f>
        <v>1133.3333333333333</v>
      </c>
      <c r="J31" s="13">
        <f t="shared" si="2"/>
        <v>13600</v>
      </c>
      <c r="K31" s="13">
        <f t="shared" si="3"/>
        <v>7616</v>
      </c>
      <c r="L31" s="14">
        <f t="shared" si="4"/>
        <v>0.39666666666666667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0.3</v>
      </c>
      <c r="B32" s="10" t="s">
        <v>17</v>
      </c>
      <c r="C32" s="11" t="s">
        <v>93</v>
      </c>
      <c r="D32" s="13">
        <v>3000</v>
      </c>
      <c r="E32" s="13">
        <f t="shared" si="0"/>
        <v>900</v>
      </c>
      <c r="F32" s="13">
        <f t="shared" si="1"/>
        <v>994.5</v>
      </c>
      <c r="G32" s="2"/>
      <c r="H32" s="2"/>
      <c r="I32" s="13">
        <f>10000/7</f>
        <v>1428.5714285714287</v>
      </c>
      <c r="J32" s="13">
        <f t="shared" si="2"/>
        <v>428.57142857142861</v>
      </c>
      <c r="K32" s="13">
        <f t="shared" si="3"/>
        <v>565.92857142857133</v>
      </c>
      <c r="L32" s="14">
        <f t="shared" si="4"/>
        <v>0.62880952380952371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1</v>
      </c>
      <c r="B33" s="10" t="s">
        <v>15</v>
      </c>
      <c r="C33" s="11" t="s">
        <v>40</v>
      </c>
      <c r="D33" s="13">
        <v>12000</v>
      </c>
      <c r="E33" s="13">
        <f t="shared" si="0"/>
        <v>12000</v>
      </c>
      <c r="F33" s="13">
        <f t="shared" si="1"/>
        <v>13260</v>
      </c>
      <c r="G33" s="2"/>
      <c r="H33" s="2"/>
      <c r="I33" s="13">
        <v>8000</v>
      </c>
      <c r="J33" s="13">
        <f t="shared" si="2"/>
        <v>8000</v>
      </c>
      <c r="K33" s="13">
        <f t="shared" si="3"/>
        <v>5260</v>
      </c>
      <c r="L33" s="18">
        <f t="shared" si="4"/>
        <v>0.43833333333333335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3.5</v>
      </c>
      <c r="B34" s="10" t="s">
        <v>17</v>
      </c>
      <c r="C34" s="11" t="s">
        <v>82</v>
      </c>
      <c r="D34" s="13">
        <v>2200</v>
      </c>
      <c r="E34" s="13">
        <f t="shared" si="0"/>
        <v>7700</v>
      </c>
      <c r="F34" s="13">
        <f t="shared" si="1"/>
        <v>8508.5</v>
      </c>
      <c r="G34" s="2"/>
      <c r="H34" s="2"/>
      <c r="I34" s="13">
        <f>16500/14</f>
        <v>1178.5714285714287</v>
      </c>
      <c r="J34" s="13">
        <f t="shared" si="2"/>
        <v>4125</v>
      </c>
      <c r="K34" s="13">
        <f t="shared" si="3"/>
        <v>4383.5</v>
      </c>
      <c r="L34" s="18">
        <f t="shared" si="4"/>
        <v>0.56928571428571428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6</v>
      </c>
      <c r="B35" s="10" t="s">
        <v>4</v>
      </c>
      <c r="C35" s="11" t="s">
        <v>65</v>
      </c>
      <c r="D35" s="13">
        <v>1000</v>
      </c>
      <c r="E35" s="13">
        <f t="shared" si="0"/>
        <v>6000</v>
      </c>
      <c r="F35" s="13">
        <f t="shared" si="1"/>
        <v>6630</v>
      </c>
      <c r="G35" s="2"/>
      <c r="H35" s="2"/>
      <c r="I35" s="13">
        <f>27000/50</f>
        <v>540</v>
      </c>
      <c r="J35" s="13">
        <f t="shared" si="2"/>
        <v>3240</v>
      </c>
      <c r="K35" s="13">
        <f t="shared" si="3"/>
        <v>3390</v>
      </c>
      <c r="L35" s="18">
        <f t="shared" si="4"/>
        <v>0.56499999999999995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</v>
      </c>
      <c r="B36" s="10" t="s">
        <v>21</v>
      </c>
      <c r="C36" s="11" t="s">
        <v>52</v>
      </c>
      <c r="D36" s="13">
        <v>2000</v>
      </c>
      <c r="E36" s="13">
        <f t="shared" si="0"/>
        <v>2000</v>
      </c>
      <c r="F36" s="13">
        <f t="shared" si="1"/>
        <v>2210</v>
      </c>
      <c r="G36" s="2"/>
      <c r="H36" s="2"/>
      <c r="I36" s="13">
        <v>2000</v>
      </c>
      <c r="J36" s="13">
        <f t="shared" si="2"/>
        <v>2000</v>
      </c>
      <c r="K36" s="13">
        <f t="shared" si="3"/>
        <v>210</v>
      </c>
      <c r="L36" s="18">
        <f t="shared" si="4"/>
        <v>0.105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2.2000000000000002</v>
      </c>
      <c r="B37" s="10" t="s">
        <v>17</v>
      </c>
      <c r="C37" s="11" t="s">
        <v>43</v>
      </c>
      <c r="D37" s="13">
        <v>5000</v>
      </c>
      <c r="E37" s="13">
        <f t="shared" si="0"/>
        <v>11000</v>
      </c>
      <c r="F37" s="13">
        <f t="shared" si="1"/>
        <v>12155</v>
      </c>
      <c r="G37" s="2"/>
      <c r="H37" s="2"/>
      <c r="I37" s="13">
        <f>15000/4</f>
        <v>3750</v>
      </c>
      <c r="J37" s="13">
        <f t="shared" si="2"/>
        <v>8250</v>
      </c>
      <c r="K37" s="13">
        <f t="shared" si="3"/>
        <v>3905</v>
      </c>
      <c r="L37" s="33">
        <f t="shared" si="4"/>
        <v>0.35499999999999998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19</v>
      </c>
      <c r="B38" s="10" t="s">
        <v>21</v>
      </c>
      <c r="C38" s="11" t="s">
        <v>46</v>
      </c>
      <c r="D38" s="13">
        <v>600</v>
      </c>
      <c r="E38" s="13">
        <f t="shared" si="0"/>
        <v>11400</v>
      </c>
      <c r="F38" s="13">
        <f t="shared" si="1"/>
        <v>12597</v>
      </c>
      <c r="G38" s="2"/>
      <c r="H38" s="2"/>
      <c r="I38" s="13">
        <f>7000/24</f>
        <v>291.66666666666669</v>
      </c>
      <c r="J38" s="13">
        <f t="shared" si="2"/>
        <v>5541.666666666667</v>
      </c>
      <c r="K38" s="13">
        <f t="shared" si="3"/>
        <v>7055.333333333333</v>
      </c>
      <c r="L38" s="33">
        <f t="shared" si="4"/>
        <v>0.61888888888888882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3</v>
      </c>
      <c r="B39" s="10" t="s">
        <v>11</v>
      </c>
      <c r="C39" s="11" t="s">
        <v>12</v>
      </c>
      <c r="D39" s="13">
        <f>54000/12</f>
        <v>4500</v>
      </c>
      <c r="E39" s="13">
        <f t="shared" si="0"/>
        <v>13500</v>
      </c>
      <c r="F39" s="13">
        <f>E39*1.21</f>
        <v>16335</v>
      </c>
      <c r="G39" s="2"/>
      <c r="H39" s="2"/>
      <c r="I39" s="13">
        <v>4500</v>
      </c>
      <c r="J39" s="13">
        <f t="shared" si="2"/>
        <v>13500</v>
      </c>
      <c r="K39" s="13">
        <f t="shared" si="3"/>
        <v>2835</v>
      </c>
      <c r="L39" s="18">
        <f t="shared" si="4"/>
        <v>0.21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5"/>
      <c r="B40" s="7"/>
      <c r="C40" s="4"/>
      <c r="D40" s="2"/>
      <c r="E40" s="2"/>
      <c r="F40" s="2"/>
      <c r="G40" s="2"/>
      <c r="H40" s="2"/>
      <c r="I40" s="2"/>
      <c r="J40" s="2"/>
      <c r="K40" s="2"/>
      <c r="L40" s="3"/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"/>
      <c r="B41" s="2"/>
      <c r="C41" s="4"/>
      <c r="D41" s="2"/>
      <c r="E41" s="13">
        <f t="shared" ref="E41:F41" si="5">SUM(E6:E39)</f>
        <v>345830</v>
      </c>
      <c r="F41" s="13">
        <f t="shared" si="5"/>
        <v>383559.65</v>
      </c>
      <c r="G41" s="2"/>
      <c r="H41" s="2"/>
      <c r="I41" s="2"/>
      <c r="J41" s="2"/>
      <c r="K41" s="13">
        <f>SUM(K6:K39)</f>
        <v>146576.55943043882</v>
      </c>
      <c r="L41" s="14">
        <f>K41/F41</f>
        <v>0.38214801643092233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88"/>
      <c r="B43" s="89"/>
      <c r="C43" s="89"/>
      <c r="D43" s="4"/>
      <c r="E43" s="4"/>
      <c r="F43" s="4"/>
      <c r="G43" s="4"/>
      <c r="H43" s="4"/>
      <c r="I43" s="4"/>
      <c r="J43" s="4"/>
      <c r="K43" s="4"/>
      <c r="L43" s="1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88" t="s">
        <v>44</v>
      </c>
      <c r="B44" s="89"/>
      <c r="C44" s="89"/>
      <c r="D44" s="2"/>
      <c r="E44" s="7" t="s">
        <v>194</v>
      </c>
      <c r="F44" s="8">
        <v>46133</v>
      </c>
      <c r="G44" s="2"/>
      <c r="H44" s="2"/>
      <c r="I44" s="91" t="s">
        <v>2</v>
      </c>
      <c r="J44" s="89"/>
      <c r="K44" s="89"/>
      <c r="L44" s="3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"/>
      <c r="B45" s="2"/>
      <c r="C45" s="5"/>
      <c r="D45" s="2"/>
      <c r="E45" s="2"/>
      <c r="F45" s="2"/>
      <c r="G45" s="2"/>
      <c r="H45" s="2"/>
      <c r="I45" s="2"/>
      <c r="J45" s="2"/>
      <c r="K45" s="2"/>
      <c r="L45" s="3"/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6" t="s">
        <v>3</v>
      </c>
      <c r="B46" s="10" t="s">
        <v>4</v>
      </c>
      <c r="C46" s="11" t="s">
        <v>5</v>
      </c>
      <c r="D46" s="10" t="s">
        <v>6</v>
      </c>
      <c r="E46" s="10" t="s">
        <v>7</v>
      </c>
      <c r="F46" s="10" t="s">
        <v>8</v>
      </c>
      <c r="G46" s="2"/>
      <c r="H46" s="2"/>
      <c r="I46" s="10" t="s">
        <v>9</v>
      </c>
      <c r="J46" s="10" t="s">
        <v>7</v>
      </c>
      <c r="K46" s="10" t="s">
        <v>10</v>
      </c>
      <c r="L46" s="3"/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4</v>
      </c>
      <c r="B47" s="10" t="s">
        <v>15</v>
      </c>
      <c r="C47" s="11" t="s">
        <v>154</v>
      </c>
      <c r="D47" s="13">
        <v>25000</v>
      </c>
      <c r="E47" s="13">
        <f t="shared" ref="E47:E77" si="6">A47*D47</f>
        <v>100000</v>
      </c>
      <c r="F47" s="13">
        <f t="shared" ref="F47:F77" si="7">E47*1.105</f>
        <v>110500</v>
      </c>
      <c r="G47" s="2"/>
      <c r="H47" s="2"/>
      <c r="I47" s="13">
        <v>18300</v>
      </c>
      <c r="J47" s="13">
        <f t="shared" ref="J47:J77" si="8">I47*A47</f>
        <v>73200</v>
      </c>
      <c r="K47" s="13">
        <f t="shared" ref="K47:K77" si="9">F47-J47</f>
        <v>37300</v>
      </c>
      <c r="L47" s="14">
        <f t="shared" ref="L47:L77" si="10">IFERROR(K47/E47, 0)</f>
        <v>0.373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1</v>
      </c>
      <c r="B48" s="10" t="s">
        <v>15</v>
      </c>
      <c r="C48" s="11" t="s">
        <v>129</v>
      </c>
      <c r="D48" s="13">
        <v>16000</v>
      </c>
      <c r="E48" s="13">
        <f t="shared" si="6"/>
        <v>16000</v>
      </c>
      <c r="F48" s="13">
        <f t="shared" si="7"/>
        <v>17680</v>
      </c>
      <c r="G48" s="2"/>
      <c r="H48" s="2"/>
      <c r="I48" s="13">
        <v>11000</v>
      </c>
      <c r="J48" s="13">
        <f t="shared" si="8"/>
        <v>11000</v>
      </c>
      <c r="K48" s="13">
        <f t="shared" si="9"/>
        <v>6680</v>
      </c>
      <c r="L48" s="14">
        <f t="shared" si="10"/>
        <v>0.41749999999999998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3</v>
      </c>
      <c r="B49" s="10" t="s">
        <v>17</v>
      </c>
      <c r="C49" s="11" t="s">
        <v>48</v>
      </c>
      <c r="D49" s="13">
        <v>900</v>
      </c>
      <c r="E49" s="13">
        <f t="shared" si="6"/>
        <v>2700</v>
      </c>
      <c r="F49" s="13">
        <f t="shared" si="7"/>
        <v>2983.5</v>
      </c>
      <c r="G49" s="2"/>
      <c r="H49" s="2"/>
      <c r="I49" s="13">
        <f>8000/15</f>
        <v>533.33333333333337</v>
      </c>
      <c r="J49" s="13">
        <f t="shared" si="8"/>
        <v>1600</v>
      </c>
      <c r="K49" s="13">
        <f t="shared" si="9"/>
        <v>1383.5</v>
      </c>
      <c r="L49" s="14">
        <f t="shared" si="10"/>
        <v>0.51240740740740742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1</v>
      </c>
      <c r="B50" s="10" t="s">
        <v>15</v>
      </c>
      <c r="C50" s="11" t="s">
        <v>40</v>
      </c>
      <c r="D50" s="13">
        <v>12000</v>
      </c>
      <c r="E50" s="13">
        <f t="shared" si="6"/>
        <v>12000</v>
      </c>
      <c r="F50" s="13">
        <f t="shared" si="7"/>
        <v>13260</v>
      </c>
      <c r="G50" s="2"/>
      <c r="H50" s="2"/>
      <c r="I50" s="13">
        <v>8000</v>
      </c>
      <c r="J50" s="13">
        <f t="shared" si="8"/>
        <v>8000</v>
      </c>
      <c r="K50" s="13">
        <f t="shared" si="9"/>
        <v>5260</v>
      </c>
      <c r="L50" s="14">
        <f t="shared" si="10"/>
        <v>0.43833333333333335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2</v>
      </c>
      <c r="B51" s="10" t="s">
        <v>17</v>
      </c>
      <c r="C51" s="11" t="s">
        <v>40</v>
      </c>
      <c r="D51" s="13">
        <v>1400</v>
      </c>
      <c r="E51" s="13">
        <f t="shared" si="6"/>
        <v>2800</v>
      </c>
      <c r="F51" s="13">
        <f t="shared" si="7"/>
        <v>3094</v>
      </c>
      <c r="G51" s="2"/>
      <c r="H51" s="2"/>
      <c r="I51" s="13">
        <v>1000</v>
      </c>
      <c r="J51" s="13">
        <f t="shared" si="8"/>
        <v>2000</v>
      </c>
      <c r="K51" s="13">
        <f t="shared" si="9"/>
        <v>1094</v>
      </c>
      <c r="L51" s="14">
        <f t="shared" si="10"/>
        <v>0.39071428571428574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3</v>
      </c>
      <c r="B52" s="10" t="s">
        <v>17</v>
      </c>
      <c r="C52" s="11" t="s">
        <v>18</v>
      </c>
      <c r="D52" s="13">
        <v>1600</v>
      </c>
      <c r="E52" s="13">
        <f t="shared" si="6"/>
        <v>4800</v>
      </c>
      <c r="F52" s="13">
        <f t="shared" si="7"/>
        <v>5304</v>
      </c>
      <c r="G52" s="2"/>
      <c r="H52" s="2"/>
      <c r="I52" s="13">
        <f>12000/14</f>
        <v>857.14285714285711</v>
      </c>
      <c r="J52" s="13">
        <f t="shared" si="8"/>
        <v>2571.4285714285716</v>
      </c>
      <c r="K52" s="13">
        <f t="shared" si="9"/>
        <v>2732.5714285714284</v>
      </c>
      <c r="L52" s="14">
        <f t="shared" si="10"/>
        <v>0.56928571428571428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2.8</v>
      </c>
      <c r="B53" s="10" t="s">
        <v>17</v>
      </c>
      <c r="C53" s="11" t="s">
        <v>56</v>
      </c>
      <c r="D53" s="13">
        <v>1200</v>
      </c>
      <c r="E53" s="13">
        <f t="shared" si="6"/>
        <v>3360</v>
      </c>
      <c r="F53" s="13">
        <f t="shared" si="7"/>
        <v>3712.7999999999997</v>
      </c>
      <c r="G53" s="2"/>
      <c r="H53" s="2"/>
      <c r="I53" s="13">
        <f>9000/15</f>
        <v>600</v>
      </c>
      <c r="J53" s="13">
        <f t="shared" si="8"/>
        <v>1680</v>
      </c>
      <c r="K53" s="13">
        <f t="shared" si="9"/>
        <v>2032.7999999999997</v>
      </c>
      <c r="L53" s="14">
        <f t="shared" si="10"/>
        <v>0.60499999999999987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2</v>
      </c>
      <c r="B54" s="10" t="s">
        <v>17</v>
      </c>
      <c r="C54" s="11" t="s">
        <v>35</v>
      </c>
      <c r="D54" s="13">
        <v>2500</v>
      </c>
      <c r="E54" s="13">
        <f t="shared" si="6"/>
        <v>5000</v>
      </c>
      <c r="F54" s="13">
        <f t="shared" si="7"/>
        <v>5525</v>
      </c>
      <c r="G54" s="2"/>
      <c r="H54" s="2"/>
      <c r="I54" s="13">
        <f>14000/9</f>
        <v>1555.5555555555557</v>
      </c>
      <c r="J54" s="13">
        <f t="shared" si="8"/>
        <v>3111.1111111111113</v>
      </c>
      <c r="K54" s="13">
        <f t="shared" si="9"/>
        <v>2413.8888888888887</v>
      </c>
      <c r="L54" s="14">
        <f t="shared" si="10"/>
        <v>0.48277777777777775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15</v>
      </c>
      <c r="B55" s="10" t="s">
        <v>17</v>
      </c>
      <c r="C55" s="11" t="s">
        <v>39</v>
      </c>
      <c r="D55" s="13">
        <v>1600</v>
      </c>
      <c r="E55" s="13">
        <f t="shared" si="6"/>
        <v>24000</v>
      </c>
      <c r="F55" s="13">
        <f t="shared" si="7"/>
        <v>26520</v>
      </c>
      <c r="G55" s="2"/>
      <c r="H55" s="2"/>
      <c r="I55" s="13">
        <f>17000/15</f>
        <v>1133.3333333333333</v>
      </c>
      <c r="J55" s="13">
        <f t="shared" si="8"/>
        <v>17000</v>
      </c>
      <c r="K55" s="13">
        <f t="shared" si="9"/>
        <v>9520</v>
      </c>
      <c r="L55" s="14">
        <f t="shared" si="10"/>
        <v>0.39666666666666667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0.5</v>
      </c>
      <c r="B56" s="10" t="s">
        <v>17</v>
      </c>
      <c r="C56" s="11" t="s">
        <v>33</v>
      </c>
      <c r="D56" s="13">
        <v>2800</v>
      </c>
      <c r="E56" s="13">
        <f t="shared" si="6"/>
        <v>1400</v>
      </c>
      <c r="F56" s="13">
        <f t="shared" si="7"/>
        <v>1547</v>
      </c>
      <c r="G56" s="2"/>
      <c r="H56" s="2"/>
      <c r="I56" s="13">
        <v>2000</v>
      </c>
      <c r="J56" s="13">
        <f t="shared" si="8"/>
        <v>1000</v>
      </c>
      <c r="K56" s="13">
        <f t="shared" si="9"/>
        <v>547</v>
      </c>
      <c r="L56" s="14">
        <f t="shared" si="10"/>
        <v>0.39071428571428574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1</v>
      </c>
      <c r="B57" s="10" t="s">
        <v>17</v>
      </c>
      <c r="C57" s="34" t="s">
        <v>32</v>
      </c>
      <c r="D57" s="13">
        <v>2400</v>
      </c>
      <c r="E57" s="13">
        <f t="shared" si="6"/>
        <v>2400</v>
      </c>
      <c r="F57" s="13">
        <f t="shared" si="7"/>
        <v>2652</v>
      </c>
      <c r="G57" s="2"/>
      <c r="H57" s="2"/>
      <c r="I57" s="13">
        <f>8000/7</f>
        <v>1142.8571428571429</v>
      </c>
      <c r="J57" s="13">
        <f t="shared" si="8"/>
        <v>1142.8571428571429</v>
      </c>
      <c r="K57" s="13">
        <f t="shared" si="9"/>
        <v>1509.1428571428571</v>
      </c>
      <c r="L57" s="14">
        <f t="shared" si="10"/>
        <v>0.62880952380952382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1</v>
      </c>
      <c r="B58" s="10" t="s">
        <v>17</v>
      </c>
      <c r="C58" s="11" t="s">
        <v>31</v>
      </c>
      <c r="D58" s="13">
        <v>3200</v>
      </c>
      <c r="E58" s="13">
        <f t="shared" si="6"/>
        <v>3200</v>
      </c>
      <c r="F58" s="13">
        <f t="shared" si="7"/>
        <v>3536</v>
      </c>
      <c r="G58" s="2"/>
      <c r="H58" s="2"/>
      <c r="I58" s="13">
        <f>12000/7</f>
        <v>1714.2857142857142</v>
      </c>
      <c r="J58" s="13">
        <f t="shared" si="8"/>
        <v>1714.2857142857142</v>
      </c>
      <c r="K58" s="13">
        <f t="shared" si="9"/>
        <v>1821.7142857142858</v>
      </c>
      <c r="L58" s="14">
        <f t="shared" si="10"/>
        <v>0.56928571428571428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5</v>
      </c>
      <c r="B59" s="10" t="s">
        <v>17</v>
      </c>
      <c r="C59" s="11" t="s">
        <v>144</v>
      </c>
      <c r="D59" s="13">
        <v>4500</v>
      </c>
      <c r="E59" s="13">
        <f t="shared" si="6"/>
        <v>22500</v>
      </c>
      <c r="F59" s="13">
        <f t="shared" si="7"/>
        <v>24862.5</v>
      </c>
      <c r="G59" s="2"/>
      <c r="H59" s="13"/>
      <c r="I59" s="13">
        <f>25000/7</f>
        <v>3571.4285714285716</v>
      </c>
      <c r="J59" s="13">
        <f t="shared" si="8"/>
        <v>17857.142857142859</v>
      </c>
      <c r="K59" s="13">
        <f t="shared" si="9"/>
        <v>7005.3571428571413</v>
      </c>
      <c r="L59" s="14">
        <f t="shared" si="10"/>
        <v>0.31134920634920626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2.6</v>
      </c>
      <c r="B60" s="10" t="s">
        <v>17</v>
      </c>
      <c r="C60" s="11" t="s">
        <v>38</v>
      </c>
      <c r="D60" s="13">
        <v>1800</v>
      </c>
      <c r="E60" s="13">
        <f t="shared" si="6"/>
        <v>4680</v>
      </c>
      <c r="F60" s="13">
        <f t="shared" si="7"/>
        <v>5171.3999999999996</v>
      </c>
      <c r="G60" s="2"/>
      <c r="H60" s="13"/>
      <c r="I60" s="13">
        <v>800</v>
      </c>
      <c r="J60" s="13">
        <f t="shared" si="8"/>
        <v>2080</v>
      </c>
      <c r="K60" s="13">
        <f t="shared" si="9"/>
        <v>3091.3999999999996</v>
      </c>
      <c r="L60" s="14">
        <f t="shared" si="10"/>
        <v>0.66055555555555545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1.8</v>
      </c>
      <c r="B61" s="10" t="s">
        <v>17</v>
      </c>
      <c r="C61" s="11" t="s">
        <v>36</v>
      </c>
      <c r="D61" s="13">
        <v>1800</v>
      </c>
      <c r="E61" s="13">
        <f t="shared" si="6"/>
        <v>3240</v>
      </c>
      <c r="F61" s="13">
        <f t="shared" si="7"/>
        <v>3580.2</v>
      </c>
      <c r="G61" s="2"/>
      <c r="H61" s="2"/>
      <c r="I61" s="13">
        <v>800</v>
      </c>
      <c r="J61" s="13">
        <f t="shared" si="8"/>
        <v>1440</v>
      </c>
      <c r="K61" s="13">
        <f t="shared" si="9"/>
        <v>2140.1999999999998</v>
      </c>
      <c r="L61" s="14">
        <f t="shared" si="10"/>
        <v>0.66055555555555545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5</v>
      </c>
      <c r="B62" s="10" t="s">
        <v>17</v>
      </c>
      <c r="C62" s="11" t="s">
        <v>82</v>
      </c>
      <c r="D62" s="13">
        <v>2200</v>
      </c>
      <c r="E62" s="13">
        <f t="shared" si="6"/>
        <v>11000</v>
      </c>
      <c r="F62" s="13">
        <f t="shared" si="7"/>
        <v>12155</v>
      </c>
      <c r="G62" s="2"/>
      <c r="H62" s="2"/>
      <c r="I62" s="13">
        <f>16500/14</f>
        <v>1178.5714285714287</v>
      </c>
      <c r="J62" s="13">
        <f t="shared" si="8"/>
        <v>5892.8571428571431</v>
      </c>
      <c r="K62" s="13">
        <f t="shared" si="9"/>
        <v>6262.1428571428569</v>
      </c>
      <c r="L62" s="14">
        <f t="shared" si="10"/>
        <v>0.56928571428571428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3</v>
      </c>
      <c r="B63" s="10" t="s">
        <v>4</v>
      </c>
      <c r="C63" s="11" t="s">
        <v>65</v>
      </c>
      <c r="D63" s="13">
        <v>1000</v>
      </c>
      <c r="E63" s="13">
        <f t="shared" si="6"/>
        <v>3000</v>
      </c>
      <c r="F63" s="13">
        <f t="shared" si="7"/>
        <v>3315</v>
      </c>
      <c r="G63" s="2"/>
      <c r="H63" s="2"/>
      <c r="I63" s="13">
        <f>27000/50</f>
        <v>540</v>
      </c>
      <c r="J63" s="13">
        <f t="shared" si="8"/>
        <v>1620</v>
      </c>
      <c r="K63" s="13">
        <f t="shared" si="9"/>
        <v>1695</v>
      </c>
      <c r="L63" s="14">
        <f t="shared" si="10"/>
        <v>0.56499999999999995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1</v>
      </c>
      <c r="B64" s="10" t="s">
        <v>21</v>
      </c>
      <c r="C64" s="11" t="s">
        <v>52</v>
      </c>
      <c r="D64" s="13">
        <v>2000</v>
      </c>
      <c r="E64" s="13">
        <f t="shared" si="6"/>
        <v>2000</v>
      </c>
      <c r="F64" s="13">
        <f t="shared" si="7"/>
        <v>2210</v>
      </c>
      <c r="G64" s="2"/>
      <c r="H64" s="2"/>
      <c r="I64" s="13">
        <v>2000</v>
      </c>
      <c r="J64" s="13">
        <f t="shared" si="8"/>
        <v>2000</v>
      </c>
      <c r="K64" s="13">
        <f t="shared" si="9"/>
        <v>210</v>
      </c>
      <c r="L64" s="14">
        <f t="shared" si="10"/>
        <v>0.105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0.3</v>
      </c>
      <c r="B65" s="10" t="s">
        <v>17</v>
      </c>
      <c r="C65" s="11" t="s">
        <v>93</v>
      </c>
      <c r="D65" s="13">
        <v>3000</v>
      </c>
      <c r="E65" s="13">
        <f t="shared" si="6"/>
        <v>900</v>
      </c>
      <c r="F65" s="13">
        <f t="shared" si="7"/>
        <v>994.5</v>
      </c>
      <c r="G65" s="2"/>
      <c r="H65" s="2"/>
      <c r="I65" s="13">
        <f>10000/7</f>
        <v>1428.5714285714287</v>
      </c>
      <c r="J65" s="13">
        <f t="shared" si="8"/>
        <v>428.57142857142861</v>
      </c>
      <c r="K65" s="13">
        <f t="shared" si="9"/>
        <v>565.92857142857133</v>
      </c>
      <c r="L65" s="14">
        <f t="shared" si="10"/>
        <v>0.62880952380952371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1</v>
      </c>
      <c r="B66" s="10" t="s">
        <v>21</v>
      </c>
      <c r="C66" s="11" t="s">
        <v>133</v>
      </c>
      <c r="D66" s="13">
        <v>3000</v>
      </c>
      <c r="E66" s="13">
        <f t="shared" si="6"/>
        <v>3000</v>
      </c>
      <c r="F66" s="13">
        <f t="shared" si="7"/>
        <v>3315</v>
      </c>
      <c r="G66" s="2"/>
      <c r="H66" s="2"/>
      <c r="I66" s="13">
        <v>1000</v>
      </c>
      <c r="J66" s="13">
        <f t="shared" si="8"/>
        <v>1000</v>
      </c>
      <c r="K66" s="13">
        <f t="shared" si="9"/>
        <v>2315</v>
      </c>
      <c r="L66" s="14">
        <f t="shared" si="10"/>
        <v>0.77166666666666661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0.5</v>
      </c>
      <c r="B67" s="10" t="s">
        <v>21</v>
      </c>
      <c r="C67" s="11" t="s">
        <v>29</v>
      </c>
      <c r="D67" s="13">
        <v>3500</v>
      </c>
      <c r="E67" s="13">
        <f t="shared" si="6"/>
        <v>1750</v>
      </c>
      <c r="F67" s="13">
        <f t="shared" si="7"/>
        <v>1933.75</v>
      </c>
      <c r="G67" s="2"/>
      <c r="H67" s="2"/>
      <c r="I67" s="13">
        <v>1200</v>
      </c>
      <c r="J67" s="13">
        <f t="shared" si="8"/>
        <v>600</v>
      </c>
      <c r="K67" s="13">
        <f t="shared" si="9"/>
        <v>1333.75</v>
      </c>
      <c r="L67" s="14">
        <f t="shared" si="10"/>
        <v>0.76214285714285712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0.3</v>
      </c>
      <c r="B68" s="10" t="s">
        <v>17</v>
      </c>
      <c r="C68" s="11" t="s">
        <v>42</v>
      </c>
      <c r="D68" s="13">
        <v>4500</v>
      </c>
      <c r="E68" s="13">
        <f t="shared" si="6"/>
        <v>1350</v>
      </c>
      <c r="F68" s="13">
        <f t="shared" si="7"/>
        <v>1491.75</v>
      </c>
      <c r="G68" s="2"/>
      <c r="H68" s="2"/>
      <c r="I68" s="13">
        <v>1300</v>
      </c>
      <c r="J68" s="13">
        <f t="shared" si="8"/>
        <v>390</v>
      </c>
      <c r="K68" s="13">
        <f t="shared" si="9"/>
        <v>1101.75</v>
      </c>
      <c r="L68" s="14">
        <f t="shared" si="10"/>
        <v>0.81611111111111112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1</v>
      </c>
      <c r="B69" s="10" t="s">
        <v>4</v>
      </c>
      <c r="C69" s="11" t="s">
        <v>13</v>
      </c>
      <c r="D69" s="13">
        <v>900</v>
      </c>
      <c r="E69" s="13">
        <f t="shared" si="6"/>
        <v>900</v>
      </c>
      <c r="F69" s="13">
        <f t="shared" si="7"/>
        <v>994.5</v>
      </c>
      <c r="G69" s="2"/>
      <c r="H69" s="2"/>
      <c r="I69" s="13">
        <f>28000/50</f>
        <v>560</v>
      </c>
      <c r="J69" s="13">
        <f t="shared" si="8"/>
        <v>560</v>
      </c>
      <c r="K69" s="13">
        <f t="shared" si="9"/>
        <v>434.5</v>
      </c>
      <c r="L69" s="14">
        <f t="shared" si="10"/>
        <v>0.48277777777777775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2</v>
      </c>
      <c r="B70" s="10" t="s">
        <v>21</v>
      </c>
      <c r="C70" s="11" t="s">
        <v>130</v>
      </c>
      <c r="D70" s="13">
        <v>1400</v>
      </c>
      <c r="E70" s="13">
        <f t="shared" si="6"/>
        <v>2800</v>
      </c>
      <c r="F70" s="13">
        <f t="shared" si="7"/>
        <v>3094</v>
      </c>
      <c r="G70" s="2"/>
      <c r="H70" s="2"/>
      <c r="I70" s="13">
        <v>1000</v>
      </c>
      <c r="J70" s="13">
        <f t="shared" si="8"/>
        <v>2000</v>
      </c>
      <c r="K70" s="13">
        <f t="shared" si="9"/>
        <v>1094</v>
      </c>
      <c r="L70" s="14">
        <f t="shared" si="10"/>
        <v>0.39071428571428574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25</v>
      </c>
      <c r="B71" s="10" t="s">
        <v>21</v>
      </c>
      <c r="C71" s="11" t="s">
        <v>46</v>
      </c>
      <c r="D71" s="13">
        <v>600</v>
      </c>
      <c r="E71" s="13">
        <f t="shared" si="6"/>
        <v>15000</v>
      </c>
      <c r="F71" s="13">
        <f t="shared" si="7"/>
        <v>16575</v>
      </c>
      <c r="G71" s="2"/>
      <c r="H71" s="2"/>
      <c r="I71" s="13">
        <f>7000/24</f>
        <v>291.66666666666669</v>
      </c>
      <c r="J71" s="13">
        <f t="shared" si="8"/>
        <v>7291.666666666667</v>
      </c>
      <c r="K71" s="13">
        <f t="shared" si="9"/>
        <v>9283.3333333333321</v>
      </c>
      <c r="L71" s="14">
        <f t="shared" si="10"/>
        <v>0.61888888888888882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3</v>
      </c>
      <c r="B72" s="10" t="s">
        <v>17</v>
      </c>
      <c r="C72" s="11" t="s">
        <v>43</v>
      </c>
      <c r="D72" s="13">
        <v>5000</v>
      </c>
      <c r="E72" s="13">
        <f t="shared" si="6"/>
        <v>15000</v>
      </c>
      <c r="F72" s="13">
        <f t="shared" si="7"/>
        <v>16575</v>
      </c>
      <c r="G72" s="2"/>
      <c r="H72" s="2"/>
      <c r="I72" s="13">
        <f>15000/4</f>
        <v>3750</v>
      </c>
      <c r="J72" s="13">
        <f t="shared" si="8"/>
        <v>11250</v>
      </c>
      <c r="K72" s="13">
        <f t="shared" si="9"/>
        <v>5325</v>
      </c>
      <c r="L72" s="14">
        <f t="shared" si="10"/>
        <v>0.35499999999999998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5</v>
      </c>
      <c r="B73" s="10" t="s">
        <v>17</v>
      </c>
      <c r="C73" s="11" t="s">
        <v>123</v>
      </c>
      <c r="D73" s="13">
        <v>2000</v>
      </c>
      <c r="E73" s="13">
        <f t="shared" si="6"/>
        <v>10000</v>
      </c>
      <c r="F73" s="13">
        <f t="shared" si="7"/>
        <v>11050</v>
      </c>
      <c r="G73" s="2"/>
      <c r="H73" s="2"/>
      <c r="I73" s="13">
        <f>12000/14</f>
        <v>857.14285714285711</v>
      </c>
      <c r="J73" s="13">
        <f t="shared" si="8"/>
        <v>4285.7142857142853</v>
      </c>
      <c r="K73" s="13">
        <f t="shared" si="9"/>
        <v>6764.2857142857147</v>
      </c>
      <c r="L73" s="14">
        <f t="shared" si="10"/>
        <v>0.67642857142857149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3</v>
      </c>
      <c r="B74" s="10" t="s">
        <v>17</v>
      </c>
      <c r="C74" s="11" t="s">
        <v>24</v>
      </c>
      <c r="D74" s="13">
        <v>3600</v>
      </c>
      <c r="E74" s="13">
        <f t="shared" si="6"/>
        <v>10800</v>
      </c>
      <c r="F74" s="13">
        <f t="shared" si="7"/>
        <v>11934</v>
      </c>
      <c r="G74" s="2"/>
      <c r="H74" s="2"/>
      <c r="I74" s="13">
        <f>50000/17</f>
        <v>2941.1764705882351</v>
      </c>
      <c r="J74" s="13">
        <f t="shared" si="8"/>
        <v>8823.5294117647063</v>
      </c>
      <c r="K74" s="13">
        <f t="shared" si="9"/>
        <v>3110.4705882352937</v>
      </c>
      <c r="L74" s="14">
        <f t="shared" si="10"/>
        <v>0.28800653594771236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3</v>
      </c>
      <c r="B75" s="10" t="s">
        <v>17</v>
      </c>
      <c r="C75" s="11" t="s">
        <v>25</v>
      </c>
      <c r="D75" s="13">
        <v>4500</v>
      </c>
      <c r="E75" s="13">
        <f t="shared" si="6"/>
        <v>13500</v>
      </c>
      <c r="F75" s="13">
        <f t="shared" si="7"/>
        <v>14917.5</v>
      </c>
      <c r="G75" s="2"/>
      <c r="H75" s="2"/>
      <c r="I75" s="13">
        <f>62000/17</f>
        <v>3647.0588235294117</v>
      </c>
      <c r="J75" s="13">
        <f t="shared" si="8"/>
        <v>10941.176470588234</v>
      </c>
      <c r="K75" s="13">
        <f t="shared" si="9"/>
        <v>3976.3235294117658</v>
      </c>
      <c r="L75" s="14">
        <f t="shared" si="10"/>
        <v>0.2945424836601308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1.5</v>
      </c>
      <c r="B76" s="10" t="s">
        <v>23</v>
      </c>
      <c r="C76" s="11" t="s">
        <v>26</v>
      </c>
      <c r="D76" s="13">
        <v>22000</v>
      </c>
      <c r="E76" s="13">
        <f t="shared" si="6"/>
        <v>33000</v>
      </c>
      <c r="F76" s="13">
        <f t="shared" si="7"/>
        <v>36465</v>
      </c>
      <c r="G76" s="2"/>
      <c r="H76" s="2"/>
      <c r="I76" s="13">
        <v>16000</v>
      </c>
      <c r="J76" s="13">
        <f t="shared" si="8"/>
        <v>24000</v>
      </c>
      <c r="K76" s="13">
        <f t="shared" si="9"/>
        <v>12465</v>
      </c>
      <c r="L76" s="14">
        <f t="shared" si="10"/>
        <v>0.37772727272727274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1</v>
      </c>
      <c r="B77" s="10" t="s">
        <v>17</v>
      </c>
      <c r="C77" s="11" t="s">
        <v>62</v>
      </c>
      <c r="D77" s="13">
        <v>3000</v>
      </c>
      <c r="E77" s="13">
        <f t="shared" si="6"/>
        <v>3000</v>
      </c>
      <c r="F77" s="13">
        <f t="shared" si="7"/>
        <v>3315</v>
      </c>
      <c r="G77" s="2"/>
      <c r="H77" s="2"/>
      <c r="I77" s="13">
        <f>31000/17</f>
        <v>1823.5294117647059</v>
      </c>
      <c r="J77" s="13">
        <f t="shared" si="8"/>
        <v>1823.5294117647059</v>
      </c>
      <c r="K77" s="13">
        <f t="shared" si="9"/>
        <v>1491.4705882352941</v>
      </c>
      <c r="L77" s="14">
        <f t="shared" si="10"/>
        <v>0.49715686274509807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5"/>
      <c r="B78" s="2"/>
      <c r="C78" s="4"/>
      <c r="D78" s="2"/>
      <c r="E78" s="2"/>
      <c r="F78" s="2"/>
      <c r="G78" s="2"/>
      <c r="H78" s="2"/>
      <c r="I78" s="2"/>
      <c r="J78" s="2"/>
      <c r="K78" s="2"/>
      <c r="L78" s="3"/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"/>
      <c r="B79" s="2"/>
      <c r="C79" s="4"/>
      <c r="D79" s="2"/>
      <c r="E79" s="13">
        <f t="shared" ref="E79:F79" si="11">SUM(E47:E77)</f>
        <v>335080</v>
      </c>
      <c r="F79" s="13">
        <f t="shared" si="11"/>
        <v>370263.4</v>
      </c>
      <c r="G79" s="2"/>
      <c r="H79" s="2"/>
      <c r="I79" s="2"/>
      <c r="J79" s="2"/>
      <c r="K79" s="13">
        <f>SUM(K47:K77)</f>
        <v>141959.5297852474</v>
      </c>
      <c r="L79" s="14">
        <f>K79/F79</f>
        <v>0.38340146443112494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"/>
      <c r="B80" s="2"/>
      <c r="C80" s="4"/>
      <c r="D80" s="2"/>
      <c r="E80" s="2"/>
      <c r="F80" s="2"/>
      <c r="G80" s="2"/>
      <c r="H80" s="2"/>
      <c r="I80" s="2"/>
      <c r="J80" s="2"/>
      <c r="K80" s="2"/>
      <c r="L80" s="3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"/>
      <c r="B81" s="2"/>
      <c r="C81" s="4"/>
      <c r="D81" s="2"/>
      <c r="E81" s="2"/>
      <c r="F81" s="2"/>
      <c r="G81" s="2"/>
      <c r="H81" s="2"/>
      <c r="I81" s="2"/>
      <c r="J81" s="2"/>
      <c r="K81" s="2"/>
      <c r="L81" s="3"/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"/>
      <c r="B82" s="2"/>
      <c r="C82" s="4"/>
      <c r="D82" s="2"/>
      <c r="E82" s="2"/>
      <c r="F82" s="2"/>
      <c r="G82" s="2"/>
      <c r="H82" s="2"/>
      <c r="I82" s="2"/>
      <c r="J82" s="2"/>
      <c r="K82" s="2"/>
      <c r="L82" s="3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"/>
      <c r="B83" s="1"/>
      <c r="C83" s="1"/>
      <c r="D83" s="2"/>
      <c r="E83" s="2"/>
      <c r="F83" s="5"/>
      <c r="G83" s="2"/>
      <c r="H83" s="2"/>
      <c r="I83" s="2"/>
      <c r="J83" s="2"/>
      <c r="K83" s="2"/>
      <c r="L83" s="3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88" t="s">
        <v>57</v>
      </c>
      <c r="B84" s="89"/>
      <c r="C84" s="89"/>
      <c r="D84" s="2"/>
      <c r="E84" s="7" t="s">
        <v>1093</v>
      </c>
      <c r="F84" s="8">
        <v>46133</v>
      </c>
      <c r="G84" s="2"/>
      <c r="H84" s="2"/>
      <c r="I84" s="91" t="s">
        <v>2</v>
      </c>
      <c r="J84" s="89"/>
      <c r="K84" s="89"/>
      <c r="L84" s="3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"/>
      <c r="B85" s="2"/>
      <c r="C85" s="5"/>
      <c r="D85" s="2"/>
      <c r="E85" s="2"/>
      <c r="F85" s="2"/>
      <c r="G85" s="2"/>
      <c r="H85" s="2"/>
      <c r="I85" s="2"/>
      <c r="J85" s="2"/>
      <c r="K85" s="2"/>
      <c r="L85" s="3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6" t="s">
        <v>3</v>
      </c>
      <c r="B86" s="10" t="s">
        <v>4</v>
      </c>
      <c r="C86" s="11" t="s">
        <v>5</v>
      </c>
      <c r="D86" s="10" t="s">
        <v>6</v>
      </c>
      <c r="E86" s="10" t="s">
        <v>7</v>
      </c>
      <c r="F86" s="10" t="s">
        <v>8</v>
      </c>
      <c r="G86" s="2"/>
      <c r="H86" s="2"/>
      <c r="I86" s="10" t="s">
        <v>9</v>
      </c>
      <c r="J86" s="10" t="s">
        <v>7</v>
      </c>
      <c r="K86" s="10" t="s">
        <v>10</v>
      </c>
      <c r="L86" s="3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0.6</v>
      </c>
      <c r="B87" s="10" t="s">
        <v>17</v>
      </c>
      <c r="C87" s="11" t="s">
        <v>34</v>
      </c>
      <c r="D87" s="13">
        <v>5000</v>
      </c>
      <c r="E87" s="13">
        <f t="shared" ref="E87:E116" si="12">A87*D87</f>
        <v>3000</v>
      </c>
      <c r="F87" s="13">
        <f t="shared" ref="F87:F115" si="13">E87*1.105</f>
        <v>3315</v>
      </c>
      <c r="G87" s="2"/>
      <c r="H87" s="2"/>
      <c r="I87" s="13">
        <v>2000</v>
      </c>
      <c r="J87" s="13">
        <f t="shared" ref="J87:J116" si="14">I87*A87</f>
        <v>1200</v>
      </c>
      <c r="K87" s="13">
        <f t="shared" ref="K87:K116" si="15">F87-J87</f>
        <v>2115</v>
      </c>
      <c r="L87" s="14">
        <f t="shared" ref="L87:L116" si="16">IFERROR(K87/E87, 0)</f>
        <v>0.70499999999999996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1</v>
      </c>
      <c r="B88" s="10" t="s">
        <v>17</v>
      </c>
      <c r="C88" s="11" t="s">
        <v>35</v>
      </c>
      <c r="D88" s="13">
        <v>2500</v>
      </c>
      <c r="E88" s="13">
        <f t="shared" si="12"/>
        <v>2500</v>
      </c>
      <c r="F88" s="13">
        <f t="shared" si="13"/>
        <v>2762.5</v>
      </c>
      <c r="G88" s="2"/>
      <c r="H88" s="2"/>
      <c r="I88" s="13">
        <f>14000/9</f>
        <v>1555.5555555555557</v>
      </c>
      <c r="J88" s="13">
        <f t="shared" si="14"/>
        <v>1555.5555555555557</v>
      </c>
      <c r="K88" s="13">
        <f t="shared" si="15"/>
        <v>1206.9444444444443</v>
      </c>
      <c r="L88" s="14">
        <f t="shared" si="16"/>
        <v>0.48277777777777775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5</v>
      </c>
      <c r="B89" s="10" t="s">
        <v>17</v>
      </c>
      <c r="C89" s="11" t="s">
        <v>144</v>
      </c>
      <c r="D89" s="13">
        <v>4500</v>
      </c>
      <c r="E89" s="13">
        <f t="shared" si="12"/>
        <v>22500</v>
      </c>
      <c r="F89" s="13">
        <f t="shared" si="13"/>
        <v>24862.5</v>
      </c>
      <c r="G89" s="2"/>
      <c r="H89" s="2"/>
      <c r="I89" s="13">
        <f>25000/7</f>
        <v>3571.4285714285716</v>
      </c>
      <c r="J89" s="13">
        <f t="shared" si="14"/>
        <v>17857.142857142859</v>
      </c>
      <c r="K89" s="13">
        <f t="shared" si="15"/>
        <v>7005.3571428571413</v>
      </c>
      <c r="L89" s="14">
        <f t="shared" si="16"/>
        <v>0.31134920634920626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5</v>
      </c>
      <c r="B90" s="10" t="s">
        <v>17</v>
      </c>
      <c r="C90" s="11" t="s">
        <v>82</v>
      </c>
      <c r="D90" s="13">
        <v>2200</v>
      </c>
      <c r="E90" s="13">
        <f t="shared" si="12"/>
        <v>11000</v>
      </c>
      <c r="F90" s="13">
        <f t="shared" si="13"/>
        <v>12155</v>
      </c>
      <c r="G90" s="2"/>
      <c r="H90" s="2"/>
      <c r="I90" s="13">
        <f>16500/14</f>
        <v>1178.5714285714287</v>
      </c>
      <c r="J90" s="13">
        <f t="shared" si="14"/>
        <v>5892.8571428571431</v>
      </c>
      <c r="K90" s="13">
        <f t="shared" si="15"/>
        <v>6262.1428571428569</v>
      </c>
      <c r="L90" s="14">
        <f t="shared" si="16"/>
        <v>0.56928571428571428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3</v>
      </c>
      <c r="B91" s="10" t="s">
        <v>4</v>
      </c>
      <c r="C91" s="11" t="s">
        <v>65</v>
      </c>
      <c r="D91" s="13">
        <v>1000</v>
      </c>
      <c r="E91" s="13">
        <f t="shared" si="12"/>
        <v>3000</v>
      </c>
      <c r="F91" s="13">
        <f t="shared" si="13"/>
        <v>3315</v>
      </c>
      <c r="G91" s="2"/>
      <c r="H91" s="2"/>
      <c r="I91" s="13">
        <f>27000/50</f>
        <v>540</v>
      </c>
      <c r="J91" s="13">
        <f t="shared" si="14"/>
        <v>1620</v>
      </c>
      <c r="K91" s="13">
        <f t="shared" si="15"/>
        <v>1695</v>
      </c>
      <c r="L91" s="14">
        <f t="shared" si="16"/>
        <v>0.56499999999999995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1</v>
      </c>
      <c r="B92" s="10" t="s">
        <v>17</v>
      </c>
      <c r="C92" s="11" t="s">
        <v>93</v>
      </c>
      <c r="D92" s="13">
        <v>3000</v>
      </c>
      <c r="E92" s="13">
        <f t="shared" si="12"/>
        <v>3000</v>
      </c>
      <c r="F92" s="13">
        <f t="shared" si="13"/>
        <v>3315</v>
      </c>
      <c r="G92" s="2"/>
      <c r="H92" s="2"/>
      <c r="I92" s="13">
        <f>10000/7</f>
        <v>1428.5714285714287</v>
      </c>
      <c r="J92" s="13">
        <f t="shared" si="14"/>
        <v>1428.5714285714287</v>
      </c>
      <c r="K92" s="13">
        <f t="shared" si="15"/>
        <v>1886.4285714285713</v>
      </c>
      <c r="L92" s="14">
        <f t="shared" si="16"/>
        <v>0.62880952380952382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2</v>
      </c>
      <c r="B93" s="10" t="s">
        <v>4</v>
      </c>
      <c r="C93" s="11" t="s">
        <v>13</v>
      </c>
      <c r="D93" s="13">
        <v>900</v>
      </c>
      <c r="E93" s="13">
        <f t="shared" si="12"/>
        <v>1800</v>
      </c>
      <c r="F93" s="13">
        <f t="shared" si="13"/>
        <v>1989</v>
      </c>
      <c r="G93" s="2"/>
      <c r="H93" s="2"/>
      <c r="I93" s="13">
        <f>28000/50</f>
        <v>560</v>
      </c>
      <c r="J93" s="13">
        <f t="shared" si="14"/>
        <v>1120</v>
      </c>
      <c r="K93" s="13">
        <f t="shared" si="15"/>
        <v>869</v>
      </c>
      <c r="L93" s="14">
        <f t="shared" si="16"/>
        <v>0.48277777777777775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1</v>
      </c>
      <c r="B94" s="10" t="s">
        <v>15</v>
      </c>
      <c r="C94" s="11" t="s">
        <v>40</v>
      </c>
      <c r="D94" s="13">
        <v>12000</v>
      </c>
      <c r="E94" s="13">
        <f t="shared" si="12"/>
        <v>12000</v>
      </c>
      <c r="F94" s="13">
        <f t="shared" si="13"/>
        <v>13260</v>
      </c>
      <c r="G94" s="2"/>
      <c r="H94" s="2"/>
      <c r="I94" s="13">
        <v>8000</v>
      </c>
      <c r="J94" s="13">
        <f t="shared" si="14"/>
        <v>8000</v>
      </c>
      <c r="K94" s="13">
        <f t="shared" si="15"/>
        <v>5260</v>
      </c>
      <c r="L94" s="14">
        <f t="shared" si="16"/>
        <v>0.43833333333333335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3.5</v>
      </c>
      <c r="B95" s="10" t="s">
        <v>17</v>
      </c>
      <c r="C95" s="11" t="s">
        <v>56</v>
      </c>
      <c r="D95" s="13">
        <v>1200</v>
      </c>
      <c r="E95" s="13">
        <f t="shared" si="12"/>
        <v>4200</v>
      </c>
      <c r="F95" s="13">
        <f t="shared" si="13"/>
        <v>4641</v>
      </c>
      <c r="G95" s="2"/>
      <c r="H95" s="2"/>
      <c r="I95" s="13">
        <f>9000/15</f>
        <v>600</v>
      </c>
      <c r="J95" s="13">
        <f t="shared" si="14"/>
        <v>2100</v>
      </c>
      <c r="K95" s="13">
        <f t="shared" si="15"/>
        <v>2541</v>
      </c>
      <c r="L95" s="14">
        <f t="shared" si="16"/>
        <v>0.60499999999999998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14</v>
      </c>
      <c r="B96" s="10" t="s">
        <v>17</v>
      </c>
      <c r="C96" s="11" t="s">
        <v>39</v>
      </c>
      <c r="D96" s="13">
        <v>1600</v>
      </c>
      <c r="E96" s="13">
        <f t="shared" si="12"/>
        <v>22400</v>
      </c>
      <c r="F96" s="13">
        <f t="shared" si="13"/>
        <v>24752</v>
      </c>
      <c r="G96" s="2"/>
      <c r="H96" s="2"/>
      <c r="I96" s="13">
        <f>17000/15</f>
        <v>1133.3333333333333</v>
      </c>
      <c r="J96" s="13">
        <f t="shared" si="14"/>
        <v>15866.666666666666</v>
      </c>
      <c r="K96" s="13">
        <f t="shared" si="15"/>
        <v>8885.3333333333339</v>
      </c>
      <c r="L96" s="14">
        <f t="shared" si="16"/>
        <v>0.39666666666666667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35</v>
      </c>
      <c r="B97" s="10" t="s">
        <v>21</v>
      </c>
      <c r="C97" s="11" t="s">
        <v>46</v>
      </c>
      <c r="D97" s="13">
        <v>600</v>
      </c>
      <c r="E97" s="13">
        <f t="shared" si="12"/>
        <v>21000</v>
      </c>
      <c r="F97" s="13">
        <f t="shared" si="13"/>
        <v>23205</v>
      </c>
      <c r="G97" s="2"/>
      <c r="H97" s="2"/>
      <c r="I97" s="13">
        <f>7000/24</f>
        <v>291.66666666666669</v>
      </c>
      <c r="J97" s="13">
        <f t="shared" si="14"/>
        <v>10208.333333333334</v>
      </c>
      <c r="K97" s="13">
        <f t="shared" si="15"/>
        <v>12996.666666666666</v>
      </c>
      <c r="L97" s="14">
        <f t="shared" si="16"/>
        <v>0.61888888888888882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17</v>
      </c>
      <c r="C98" s="11" t="s">
        <v>43</v>
      </c>
      <c r="D98" s="13">
        <v>5000</v>
      </c>
      <c r="E98" s="13">
        <f t="shared" si="12"/>
        <v>10000</v>
      </c>
      <c r="F98" s="13">
        <f t="shared" si="13"/>
        <v>11050</v>
      </c>
      <c r="G98" s="2"/>
      <c r="H98" s="2"/>
      <c r="I98" s="13">
        <f>15000/4</f>
        <v>3750</v>
      </c>
      <c r="J98" s="13">
        <f t="shared" si="14"/>
        <v>7500</v>
      </c>
      <c r="K98" s="13">
        <f t="shared" si="15"/>
        <v>3550</v>
      </c>
      <c r="L98" s="14">
        <f t="shared" si="16"/>
        <v>0.35499999999999998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1</v>
      </c>
      <c r="B99" s="10" t="s">
        <v>15</v>
      </c>
      <c r="C99" s="11" t="s">
        <v>27</v>
      </c>
      <c r="D99" s="13">
        <v>25000</v>
      </c>
      <c r="E99" s="13">
        <f t="shared" si="12"/>
        <v>25000</v>
      </c>
      <c r="F99" s="13">
        <f t="shared" si="13"/>
        <v>27625</v>
      </c>
      <c r="G99" s="2"/>
      <c r="H99" s="2"/>
      <c r="I99" s="13">
        <v>18300</v>
      </c>
      <c r="J99" s="13">
        <f t="shared" si="14"/>
        <v>18300</v>
      </c>
      <c r="K99" s="13">
        <f t="shared" si="15"/>
        <v>9325</v>
      </c>
      <c r="L99" s="14">
        <f t="shared" si="16"/>
        <v>0.373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2</v>
      </c>
      <c r="B100" s="10" t="s">
        <v>17</v>
      </c>
      <c r="C100" s="11" t="s">
        <v>31</v>
      </c>
      <c r="D100" s="13">
        <v>3200</v>
      </c>
      <c r="E100" s="13">
        <f t="shared" si="12"/>
        <v>6400</v>
      </c>
      <c r="F100" s="13">
        <f t="shared" si="13"/>
        <v>7072</v>
      </c>
      <c r="G100" s="2"/>
      <c r="H100" s="2"/>
      <c r="I100" s="13">
        <f>12000/7</f>
        <v>1714.2857142857142</v>
      </c>
      <c r="J100" s="13">
        <f t="shared" si="14"/>
        <v>3428.5714285714284</v>
      </c>
      <c r="K100" s="13">
        <f t="shared" si="15"/>
        <v>3643.4285714285716</v>
      </c>
      <c r="L100" s="14">
        <f t="shared" si="16"/>
        <v>0.56928571428571428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0.5</v>
      </c>
      <c r="B101" s="10" t="s">
        <v>17</v>
      </c>
      <c r="C101" s="11" t="s">
        <v>33</v>
      </c>
      <c r="D101" s="13">
        <v>2800</v>
      </c>
      <c r="E101" s="13">
        <f t="shared" si="12"/>
        <v>1400</v>
      </c>
      <c r="F101" s="13">
        <f t="shared" si="13"/>
        <v>1547</v>
      </c>
      <c r="G101" s="2"/>
      <c r="H101" s="2"/>
      <c r="I101" s="13">
        <v>2000</v>
      </c>
      <c r="J101" s="13">
        <f t="shared" si="14"/>
        <v>1000</v>
      </c>
      <c r="K101" s="13">
        <f t="shared" si="15"/>
        <v>547</v>
      </c>
      <c r="L101" s="14">
        <f t="shared" si="16"/>
        <v>0.39071428571428574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0.5</v>
      </c>
      <c r="B102" s="10" t="s">
        <v>17</v>
      </c>
      <c r="C102" s="11" t="s">
        <v>32</v>
      </c>
      <c r="D102" s="13">
        <v>2400</v>
      </c>
      <c r="E102" s="13">
        <f t="shared" si="12"/>
        <v>1200</v>
      </c>
      <c r="F102" s="13">
        <f t="shared" si="13"/>
        <v>1326</v>
      </c>
      <c r="G102" s="2"/>
      <c r="H102" s="2"/>
      <c r="I102" s="13">
        <f>8000/7</f>
        <v>1142.8571428571429</v>
      </c>
      <c r="J102" s="13">
        <f t="shared" si="14"/>
        <v>571.42857142857144</v>
      </c>
      <c r="K102" s="13">
        <f t="shared" si="15"/>
        <v>754.57142857142856</v>
      </c>
      <c r="L102" s="14">
        <f t="shared" si="16"/>
        <v>0.62880952380952382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4</v>
      </c>
      <c r="B103" s="10" t="s">
        <v>4</v>
      </c>
      <c r="C103" s="11" t="s">
        <v>14</v>
      </c>
      <c r="D103" s="13">
        <v>3200</v>
      </c>
      <c r="E103" s="13">
        <f t="shared" si="12"/>
        <v>12800</v>
      </c>
      <c r="F103" s="13">
        <f t="shared" si="13"/>
        <v>14144</v>
      </c>
      <c r="G103" s="2"/>
      <c r="H103" s="2"/>
      <c r="I103" s="13">
        <v>2250</v>
      </c>
      <c r="J103" s="13">
        <f t="shared" si="14"/>
        <v>9000</v>
      </c>
      <c r="K103" s="13">
        <f t="shared" si="15"/>
        <v>5144</v>
      </c>
      <c r="L103" s="14">
        <f t="shared" si="16"/>
        <v>0.40187499999999998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2</v>
      </c>
      <c r="B104" s="10" t="s">
        <v>21</v>
      </c>
      <c r="C104" s="11" t="s">
        <v>22</v>
      </c>
      <c r="D104" s="13">
        <v>1700</v>
      </c>
      <c r="E104" s="13">
        <f t="shared" si="12"/>
        <v>3400</v>
      </c>
      <c r="F104" s="13">
        <f t="shared" si="13"/>
        <v>3757</v>
      </c>
      <c r="G104" s="2"/>
      <c r="H104" s="2"/>
      <c r="I104" s="13">
        <f>1300</f>
        <v>1300</v>
      </c>
      <c r="J104" s="13">
        <f t="shared" si="14"/>
        <v>2600</v>
      </c>
      <c r="K104" s="13">
        <f t="shared" si="15"/>
        <v>1157</v>
      </c>
      <c r="L104" s="14">
        <f t="shared" si="16"/>
        <v>0.3402941176470588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17</v>
      </c>
      <c r="C105" s="11" t="s">
        <v>36</v>
      </c>
      <c r="D105" s="13">
        <v>1800</v>
      </c>
      <c r="E105" s="13">
        <f t="shared" si="12"/>
        <v>3600</v>
      </c>
      <c r="F105" s="13">
        <f t="shared" si="13"/>
        <v>3978</v>
      </c>
      <c r="G105" s="2"/>
      <c r="H105" s="2"/>
      <c r="I105" s="13">
        <v>800</v>
      </c>
      <c r="J105" s="13">
        <f t="shared" si="14"/>
        <v>1600</v>
      </c>
      <c r="K105" s="13">
        <f t="shared" si="15"/>
        <v>2378</v>
      </c>
      <c r="L105" s="14">
        <f t="shared" si="16"/>
        <v>0.66055555555555556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2</v>
      </c>
      <c r="B106" s="10" t="s">
        <v>17</v>
      </c>
      <c r="C106" s="11" t="s">
        <v>38</v>
      </c>
      <c r="D106" s="13">
        <v>1800</v>
      </c>
      <c r="E106" s="13">
        <f t="shared" si="12"/>
        <v>3600</v>
      </c>
      <c r="F106" s="13">
        <f t="shared" si="13"/>
        <v>3978</v>
      </c>
      <c r="G106" s="2"/>
      <c r="H106" s="2"/>
      <c r="I106" s="13">
        <v>800</v>
      </c>
      <c r="J106" s="13">
        <f t="shared" si="14"/>
        <v>1600</v>
      </c>
      <c r="K106" s="13">
        <f t="shared" si="15"/>
        <v>2378</v>
      </c>
      <c r="L106" s="14">
        <f t="shared" si="16"/>
        <v>0.66055555555555556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2</v>
      </c>
      <c r="B107" s="10" t="s">
        <v>21</v>
      </c>
      <c r="C107" s="11" t="s">
        <v>28</v>
      </c>
      <c r="D107" s="13">
        <v>3000</v>
      </c>
      <c r="E107" s="13">
        <f t="shared" si="12"/>
        <v>6000</v>
      </c>
      <c r="F107" s="13">
        <f t="shared" si="13"/>
        <v>6630</v>
      </c>
      <c r="G107" s="2"/>
      <c r="H107" s="2"/>
      <c r="I107" s="13">
        <v>2500</v>
      </c>
      <c r="J107" s="13">
        <f t="shared" si="14"/>
        <v>5000</v>
      </c>
      <c r="K107" s="13">
        <f t="shared" si="15"/>
        <v>1630</v>
      </c>
      <c r="L107" s="14">
        <f t="shared" si="16"/>
        <v>0.27166666666666667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</v>
      </c>
      <c r="B108" s="10" t="s">
        <v>21</v>
      </c>
      <c r="C108" s="11" t="s">
        <v>133</v>
      </c>
      <c r="D108" s="13">
        <v>3000</v>
      </c>
      <c r="E108" s="13">
        <f t="shared" si="12"/>
        <v>6000</v>
      </c>
      <c r="F108" s="13">
        <f t="shared" si="13"/>
        <v>6630</v>
      </c>
      <c r="G108" s="2"/>
      <c r="H108" s="2"/>
      <c r="I108" s="13">
        <v>1000</v>
      </c>
      <c r="J108" s="13">
        <f t="shared" si="14"/>
        <v>2000</v>
      </c>
      <c r="K108" s="13">
        <f t="shared" si="15"/>
        <v>4630</v>
      </c>
      <c r="L108" s="14">
        <f t="shared" si="16"/>
        <v>0.77166666666666661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</v>
      </c>
      <c r="B109" s="10" t="s">
        <v>21</v>
      </c>
      <c r="C109" s="11" t="s">
        <v>29</v>
      </c>
      <c r="D109" s="13">
        <v>3500</v>
      </c>
      <c r="E109" s="13">
        <f t="shared" si="12"/>
        <v>3500</v>
      </c>
      <c r="F109" s="13">
        <f t="shared" si="13"/>
        <v>3867.5</v>
      </c>
      <c r="G109" s="2"/>
      <c r="H109" s="2"/>
      <c r="I109" s="13">
        <v>1200</v>
      </c>
      <c r="J109" s="13">
        <f t="shared" si="14"/>
        <v>1200</v>
      </c>
      <c r="K109" s="13">
        <f t="shared" si="15"/>
        <v>2667.5</v>
      </c>
      <c r="L109" s="14">
        <f t="shared" si="16"/>
        <v>0.76214285714285712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2</v>
      </c>
      <c r="B110" s="10" t="s">
        <v>15</v>
      </c>
      <c r="C110" s="11" t="s">
        <v>16</v>
      </c>
      <c r="D110" s="13">
        <v>13000</v>
      </c>
      <c r="E110" s="13">
        <f t="shared" si="12"/>
        <v>26000</v>
      </c>
      <c r="F110" s="13">
        <f t="shared" si="13"/>
        <v>28730</v>
      </c>
      <c r="G110" s="2"/>
      <c r="H110" s="2"/>
      <c r="I110" s="13">
        <v>8000</v>
      </c>
      <c r="J110" s="13">
        <f t="shared" si="14"/>
        <v>16000</v>
      </c>
      <c r="K110" s="13">
        <f t="shared" si="15"/>
        <v>12730</v>
      </c>
      <c r="L110" s="14">
        <f t="shared" si="16"/>
        <v>0.48961538461538462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8.4499999999999993</v>
      </c>
      <c r="B111" s="10" t="s">
        <v>17</v>
      </c>
      <c r="C111" s="11" t="s">
        <v>123</v>
      </c>
      <c r="D111" s="13">
        <v>3000</v>
      </c>
      <c r="E111" s="13">
        <f t="shared" si="12"/>
        <v>25349.999999999996</v>
      </c>
      <c r="F111" s="13">
        <f t="shared" si="13"/>
        <v>28011.749999999996</v>
      </c>
      <c r="G111" s="2"/>
      <c r="H111" s="2"/>
      <c r="I111" s="13">
        <f>12000/14</f>
        <v>857.14285714285711</v>
      </c>
      <c r="J111" s="13">
        <f t="shared" si="14"/>
        <v>7242.8571428571422</v>
      </c>
      <c r="K111" s="13">
        <f t="shared" si="15"/>
        <v>20768.892857142855</v>
      </c>
      <c r="L111" s="14">
        <f t="shared" si="16"/>
        <v>0.81928571428571428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4</v>
      </c>
      <c r="B112" s="10" t="s">
        <v>17</v>
      </c>
      <c r="C112" s="11" t="s">
        <v>62</v>
      </c>
      <c r="D112" s="13">
        <v>3000</v>
      </c>
      <c r="E112" s="13">
        <f t="shared" si="12"/>
        <v>12000</v>
      </c>
      <c r="F112" s="13">
        <f t="shared" si="13"/>
        <v>13260</v>
      </c>
      <c r="G112" s="2"/>
      <c r="H112" s="2"/>
      <c r="I112" s="13">
        <f>31000/17</f>
        <v>1823.5294117647059</v>
      </c>
      <c r="J112" s="13">
        <f t="shared" si="14"/>
        <v>7294.1176470588234</v>
      </c>
      <c r="K112" s="13">
        <f t="shared" si="15"/>
        <v>5965.8823529411766</v>
      </c>
      <c r="L112" s="14">
        <f t="shared" si="16"/>
        <v>0.49715686274509807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1</v>
      </c>
      <c r="B113" s="10" t="s">
        <v>23</v>
      </c>
      <c r="C113" s="11" t="s">
        <v>26</v>
      </c>
      <c r="D113" s="13">
        <v>22000</v>
      </c>
      <c r="E113" s="13">
        <f t="shared" si="12"/>
        <v>22000</v>
      </c>
      <c r="F113" s="13">
        <f t="shared" si="13"/>
        <v>24310</v>
      </c>
      <c r="G113" s="2"/>
      <c r="H113" s="2"/>
      <c r="I113" s="13">
        <v>16000</v>
      </c>
      <c r="J113" s="13">
        <f t="shared" si="14"/>
        <v>16000</v>
      </c>
      <c r="K113" s="13">
        <f t="shared" si="15"/>
        <v>8310</v>
      </c>
      <c r="L113" s="14">
        <f t="shared" si="16"/>
        <v>0.37772727272727274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2</v>
      </c>
      <c r="B114" s="10" t="s">
        <v>21</v>
      </c>
      <c r="C114" s="11" t="s">
        <v>130</v>
      </c>
      <c r="D114" s="13">
        <v>1400</v>
      </c>
      <c r="E114" s="13">
        <f t="shared" si="12"/>
        <v>2800</v>
      </c>
      <c r="F114" s="13">
        <f t="shared" si="13"/>
        <v>3094</v>
      </c>
      <c r="G114" s="2"/>
      <c r="H114" s="2"/>
      <c r="I114" s="13">
        <v>1000</v>
      </c>
      <c r="J114" s="13">
        <f t="shared" si="14"/>
        <v>2000</v>
      </c>
      <c r="K114" s="13">
        <f t="shared" si="15"/>
        <v>1094</v>
      </c>
      <c r="L114" s="14">
        <f t="shared" si="16"/>
        <v>0.39071428571428574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1</v>
      </c>
      <c r="B115" s="10" t="s">
        <v>21</v>
      </c>
      <c r="C115" s="11" t="s">
        <v>52</v>
      </c>
      <c r="D115" s="13">
        <v>2000</v>
      </c>
      <c r="E115" s="13">
        <f t="shared" si="12"/>
        <v>2000</v>
      </c>
      <c r="F115" s="13">
        <f t="shared" si="13"/>
        <v>2210</v>
      </c>
      <c r="G115" s="2"/>
      <c r="H115" s="2"/>
      <c r="I115" s="13">
        <v>2000</v>
      </c>
      <c r="J115" s="13">
        <f t="shared" si="14"/>
        <v>2000</v>
      </c>
      <c r="K115" s="13">
        <f t="shared" si="15"/>
        <v>210</v>
      </c>
      <c r="L115" s="14">
        <f t="shared" si="16"/>
        <v>0.105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8</v>
      </c>
      <c r="B116" s="10" t="s">
        <v>11</v>
      </c>
      <c r="C116" s="11" t="s">
        <v>12</v>
      </c>
      <c r="D116" s="13">
        <v>4500</v>
      </c>
      <c r="E116" s="13">
        <f t="shared" si="12"/>
        <v>36000</v>
      </c>
      <c r="F116" s="13">
        <f>E116*1.21</f>
        <v>43560</v>
      </c>
      <c r="G116" s="2"/>
      <c r="H116" s="2"/>
      <c r="I116" s="13">
        <v>4500</v>
      </c>
      <c r="J116" s="13">
        <f t="shared" si="14"/>
        <v>36000</v>
      </c>
      <c r="K116" s="13">
        <f t="shared" si="15"/>
        <v>7560</v>
      </c>
      <c r="L116" s="14">
        <f t="shared" si="16"/>
        <v>0.21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5"/>
      <c r="B117" s="2"/>
      <c r="C117" s="4"/>
      <c r="D117" s="2"/>
      <c r="E117" s="2"/>
      <c r="F117" s="2"/>
      <c r="G117" s="2"/>
      <c r="H117" s="2"/>
      <c r="I117" s="2"/>
      <c r="J117" s="2"/>
      <c r="K117" s="2"/>
      <c r="L117" s="3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"/>
      <c r="B118" s="2"/>
      <c r="C118" s="4"/>
      <c r="D118" s="2"/>
      <c r="E118" s="13">
        <f t="shared" ref="E118:F118" si="17">SUM(E87:E116)</f>
        <v>315450</v>
      </c>
      <c r="F118" s="13">
        <f t="shared" si="17"/>
        <v>352352.25</v>
      </c>
      <c r="G118" s="2"/>
      <c r="H118" s="2"/>
      <c r="I118" s="2"/>
      <c r="J118" s="2"/>
      <c r="K118" s="13">
        <f>SUM(K87:K116)</f>
        <v>145166.14822595706</v>
      </c>
      <c r="L118" s="14">
        <f>K118/F118</f>
        <v>0.41199154603371219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88" t="s">
        <v>63</v>
      </c>
      <c r="B123" s="89"/>
      <c r="C123" s="89"/>
      <c r="D123" s="2"/>
      <c r="E123" s="7" t="s">
        <v>1093</v>
      </c>
      <c r="F123" s="8">
        <v>46133</v>
      </c>
      <c r="G123" s="7"/>
      <c r="H123" s="2"/>
      <c r="I123" s="91" t="s">
        <v>2</v>
      </c>
      <c r="J123" s="89"/>
      <c r="K123" s="89"/>
      <c r="L123" s="3"/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3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6" t="s">
        <v>3</v>
      </c>
      <c r="B125" s="10" t="s">
        <v>4</v>
      </c>
      <c r="C125" s="11" t="s">
        <v>5</v>
      </c>
      <c r="D125" s="10" t="s">
        <v>6</v>
      </c>
      <c r="E125" s="10" t="s">
        <v>7</v>
      </c>
      <c r="F125" s="10" t="s">
        <v>8</v>
      </c>
      <c r="G125" s="2"/>
      <c r="H125" s="2"/>
      <c r="I125" s="10" t="s">
        <v>9</v>
      </c>
      <c r="J125" s="10" t="s">
        <v>7</v>
      </c>
      <c r="K125" s="10" t="s">
        <v>10</v>
      </c>
      <c r="L125" s="3"/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1</v>
      </c>
      <c r="B126" s="10" t="s">
        <v>21</v>
      </c>
      <c r="C126" s="11" t="s">
        <v>51</v>
      </c>
      <c r="D126" s="13">
        <v>1500</v>
      </c>
      <c r="E126" s="13">
        <f t="shared" ref="E126:E162" si="18">A126*D126</f>
        <v>1500</v>
      </c>
      <c r="F126" s="13">
        <f t="shared" ref="F126:F161" si="19">E126*1.105</f>
        <v>1657.5</v>
      </c>
      <c r="G126" s="2"/>
      <c r="H126" s="2"/>
      <c r="I126" s="13">
        <f>4000/6</f>
        <v>666.66666666666663</v>
      </c>
      <c r="J126" s="13">
        <f t="shared" ref="J126:J162" si="20">I126*A126</f>
        <v>666.66666666666663</v>
      </c>
      <c r="K126" s="13">
        <f t="shared" ref="K126:K162" si="21">F126-J126</f>
        <v>990.83333333333337</v>
      </c>
      <c r="L126" s="14">
        <f t="shared" ref="L126:L162" si="22">IFERROR(K126/E126, 0)</f>
        <v>0.66055555555555556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0.7</v>
      </c>
      <c r="B127" s="10" t="s">
        <v>17</v>
      </c>
      <c r="C127" s="11" t="s">
        <v>64</v>
      </c>
      <c r="D127" s="13">
        <v>2000</v>
      </c>
      <c r="E127" s="13">
        <f t="shared" si="18"/>
        <v>1400</v>
      </c>
      <c r="F127" s="13">
        <f t="shared" si="19"/>
        <v>1547</v>
      </c>
      <c r="G127" s="2"/>
      <c r="H127" s="2"/>
      <c r="I127" s="13">
        <v>1000</v>
      </c>
      <c r="J127" s="13">
        <f t="shared" si="20"/>
        <v>700</v>
      </c>
      <c r="K127" s="13">
        <f t="shared" si="21"/>
        <v>847</v>
      </c>
      <c r="L127" s="14">
        <f t="shared" si="22"/>
        <v>0.60499999999999998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3</v>
      </c>
      <c r="B128" s="10" t="s">
        <v>17</v>
      </c>
      <c r="C128" s="11" t="s">
        <v>62</v>
      </c>
      <c r="D128" s="13">
        <v>3000</v>
      </c>
      <c r="E128" s="13">
        <f t="shared" si="18"/>
        <v>9000</v>
      </c>
      <c r="F128" s="13">
        <f t="shared" si="19"/>
        <v>9945</v>
      </c>
      <c r="G128" s="2"/>
      <c r="H128" s="2"/>
      <c r="I128" s="13">
        <f>31000/17</f>
        <v>1823.5294117647059</v>
      </c>
      <c r="J128" s="13">
        <f t="shared" si="20"/>
        <v>5470.5882352941171</v>
      </c>
      <c r="K128" s="13">
        <f t="shared" si="21"/>
        <v>4474.4117647058829</v>
      </c>
      <c r="L128" s="14">
        <f t="shared" si="22"/>
        <v>0.49715686274509807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1</v>
      </c>
      <c r="B129" s="10" t="s">
        <v>15</v>
      </c>
      <c r="C129" s="11" t="s">
        <v>129</v>
      </c>
      <c r="D129" s="13">
        <v>16000</v>
      </c>
      <c r="E129" s="13">
        <f t="shared" si="18"/>
        <v>16000</v>
      </c>
      <c r="F129" s="13">
        <f t="shared" si="19"/>
        <v>17680</v>
      </c>
      <c r="G129" s="2"/>
      <c r="H129" s="2"/>
      <c r="I129" s="13">
        <v>11000</v>
      </c>
      <c r="J129" s="13">
        <f t="shared" si="20"/>
        <v>11000</v>
      </c>
      <c r="K129" s="13">
        <f t="shared" si="21"/>
        <v>6680</v>
      </c>
      <c r="L129" s="14">
        <f t="shared" si="22"/>
        <v>0.41749999999999998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1</v>
      </c>
      <c r="B130" s="10" t="s">
        <v>15</v>
      </c>
      <c r="C130" s="11" t="s">
        <v>16</v>
      </c>
      <c r="D130" s="13">
        <v>13000</v>
      </c>
      <c r="E130" s="13">
        <f t="shared" si="18"/>
        <v>13000</v>
      </c>
      <c r="F130" s="13">
        <f t="shared" si="19"/>
        <v>14365</v>
      </c>
      <c r="G130" s="2"/>
      <c r="H130" s="2"/>
      <c r="I130" s="13">
        <v>8000</v>
      </c>
      <c r="J130" s="13">
        <f t="shared" si="20"/>
        <v>8000</v>
      </c>
      <c r="K130" s="13">
        <f t="shared" si="21"/>
        <v>6365</v>
      </c>
      <c r="L130" s="14">
        <f t="shared" si="22"/>
        <v>0.48961538461538462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4</v>
      </c>
      <c r="B131" s="10" t="s">
        <v>4</v>
      </c>
      <c r="C131" s="11" t="s">
        <v>14</v>
      </c>
      <c r="D131" s="13">
        <v>3200</v>
      </c>
      <c r="E131" s="13">
        <f t="shared" si="18"/>
        <v>12800</v>
      </c>
      <c r="F131" s="13">
        <f t="shared" si="19"/>
        <v>14144</v>
      </c>
      <c r="G131" s="2"/>
      <c r="H131" s="2"/>
      <c r="I131" s="13">
        <v>2250</v>
      </c>
      <c r="J131" s="13">
        <f t="shared" si="20"/>
        <v>9000</v>
      </c>
      <c r="K131" s="13">
        <f t="shared" si="21"/>
        <v>5144</v>
      </c>
      <c r="L131" s="14">
        <f t="shared" si="22"/>
        <v>0.40187499999999998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5</v>
      </c>
      <c r="B132" s="10" t="s">
        <v>17</v>
      </c>
      <c r="C132" s="11" t="s">
        <v>18</v>
      </c>
      <c r="D132" s="13">
        <v>1600</v>
      </c>
      <c r="E132" s="13">
        <f t="shared" si="18"/>
        <v>8000</v>
      </c>
      <c r="F132" s="13">
        <f t="shared" si="19"/>
        <v>8840</v>
      </c>
      <c r="G132" s="2"/>
      <c r="H132" s="2"/>
      <c r="I132" s="13">
        <f>12000/14</f>
        <v>857.14285714285711</v>
      </c>
      <c r="J132" s="13">
        <f t="shared" si="20"/>
        <v>4285.7142857142853</v>
      </c>
      <c r="K132" s="13">
        <f t="shared" si="21"/>
        <v>4554.2857142857147</v>
      </c>
      <c r="L132" s="14">
        <f t="shared" si="22"/>
        <v>0.56928571428571428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4</v>
      </c>
      <c r="B133" s="10" t="s">
        <v>17</v>
      </c>
      <c r="C133" s="11" t="s">
        <v>56</v>
      </c>
      <c r="D133" s="13">
        <v>1200</v>
      </c>
      <c r="E133" s="13">
        <f t="shared" si="18"/>
        <v>4800</v>
      </c>
      <c r="F133" s="13">
        <f t="shared" si="19"/>
        <v>5304</v>
      </c>
      <c r="G133" s="2"/>
      <c r="H133" s="2"/>
      <c r="I133" s="13">
        <f>9000/15</f>
        <v>600</v>
      </c>
      <c r="J133" s="13">
        <f t="shared" si="20"/>
        <v>2400</v>
      </c>
      <c r="K133" s="13">
        <f t="shared" si="21"/>
        <v>2904</v>
      </c>
      <c r="L133" s="14">
        <f t="shared" si="22"/>
        <v>0.60499999999999998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1</v>
      </c>
      <c r="B134" s="10" t="s">
        <v>21</v>
      </c>
      <c r="C134" s="11" t="s">
        <v>133</v>
      </c>
      <c r="D134" s="13">
        <v>3000</v>
      </c>
      <c r="E134" s="13">
        <f t="shared" si="18"/>
        <v>3000</v>
      </c>
      <c r="F134" s="13">
        <f t="shared" si="19"/>
        <v>3315</v>
      </c>
      <c r="G134" s="2"/>
      <c r="H134" s="2"/>
      <c r="I134" s="13">
        <v>1000</v>
      </c>
      <c r="J134" s="13">
        <f t="shared" si="20"/>
        <v>1000</v>
      </c>
      <c r="K134" s="13">
        <f t="shared" si="21"/>
        <v>2315</v>
      </c>
      <c r="L134" s="14">
        <f t="shared" si="22"/>
        <v>0.77166666666666661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1</v>
      </c>
      <c r="B135" s="10" t="s">
        <v>21</v>
      </c>
      <c r="C135" s="11" t="s">
        <v>28</v>
      </c>
      <c r="D135" s="13">
        <v>3000</v>
      </c>
      <c r="E135" s="13">
        <f t="shared" si="18"/>
        <v>3000</v>
      </c>
      <c r="F135" s="13">
        <f t="shared" si="19"/>
        <v>3315</v>
      </c>
      <c r="G135" s="2"/>
      <c r="H135" s="2"/>
      <c r="I135" s="13">
        <v>2500</v>
      </c>
      <c r="J135" s="13">
        <f t="shared" si="20"/>
        <v>2500</v>
      </c>
      <c r="K135" s="13">
        <f t="shared" si="21"/>
        <v>815</v>
      </c>
      <c r="L135" s="14">
        <f t="shared" si="22"/>
        <v>0.27166666666666667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0.4</v>
      </c>
      <c r="B136" s="10" t="s">
        <v>17</v>
      </c>
      <c r="C136" s="11" t="s">
        <v>52</v>
      </c>
      <c r="D136" s="13">
        <v>2000</v>
      </c>
      <c r="E136" s="13">
        <f t="shared" si="18"/>
        <v>800</v>
      </c>
      <c r="F136" s="13">
        <f t="shared" si="19"/>
        <v>884</v>
      </c>
      <c r="G136" s="2"/>
      <c r="H136" s="2"/>
      <c r="I136" s="13">
        <v>2000</v>
      </c>
      <c r="J136" s="13">
        <f t="shared" si="20"/>
        <v>800</v>
      </c>
      <c r="K136" s="13">
        <f t="shared" si="21"/>
        <v>84</v>
      </c>
      <c r="L136" s="14">
        <f t="shared" si="22"/>
        <v>0.105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3</v>
      </c>
      <c r="B137" s="10" t="s">
        <v>17</v>
      </c>
      <c r="C137" s="11" t="s">
        <v>43</v>
      </c>
      <c r="D137" s="13">
        <v>5000</v>
      </c>
      <c r="E137" s="13">
        <f t="shared" si="18"/>
        <v>15000</v>
      </c>
      <c r="F137" s="13">
        <f t="shared" si="19"/>
        <v>16575</v>
      </c>
      <c r="G137" s="2"/>
      <c r="H137" s="2"/>
      <c r="I137" s="13">
        <f>15000/4</f>
        <v>3750</v>
      </c>
      <c r="J137" s="13">
        <f t="shared" si="20"/>
        <v>11250</v>
      </c>
      <c r="K137" s="13">
        <f t="shared" si="21"/>
        <v>5325</v>
      </c>
      <c r="L137" s="14">
        <f t="shared" si="22"/>
        <v>0.35499999999999998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7</v>
      </c>
      <c r="B138" s="10" t="s">
        <v>15</v>
      </c>
      <c r="C138" s="11" t="s">
        <v>27</v>
      </c>
      <c r="D138" s="13">
        <v>25000</v>
      </c>
      <c r="E138" s="13">
        <f t="shared" si="18"/>
        <v>175000</v>
      </c>
      <c r="F138" s="13">
        <f t="shared" si="19"/>
        <v>193375</v>
      </c>
      <c r="G138" s="2"/>
      <c r="H138" s="2"/>
      <c r="I138" s="13">
        <v>18300</v>
      </c>
      <c r="J138" s="13">
        <f t="shared" si="20"/>
        <v>128100</v>
      </c>
      <c r="K138" s="13">
        <f t="shared" si="21"/>
        <v>65275</v>
      </c>
      <c r="L138" s="14">
        <f t="shared" si="22"/>
        <v>0.373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0.5</v>
      </c>
      <c r="B139" s="10" t="s">
        <v>17</v>
      </c>
      <c r="C139" s="11" t="s">
        <v>88</v>
      </c>
      <c r="D139" s="13">
        <v>2400</v>
      </c>
      <c r="E139" s="13">
        <f t="shared" si="18"/>
        <v>1200</v>
      </c>
      <c r="F139" s="13">
        <f t="shared" si="19"/>
        <v>1326</v>
      </c>
      <c r="G139" s="2"/>
      <c r="H139" s="2"/>
      <c r="I139" s="13">
        <f>13000/14</f>
        <v>928.57142857142856</v>
      </c>
      <c r="J139" s="13">
        <f t="shared" si="20"/>
        <v>464.28571428571428</v>
      </c>
      <c r="K139" s="13">
        <f t="shared" si="21"/>
        <v>861.71428571428578</v>
      </c>
      <c r="L139" s="14">
        <f t="shared" si="22"/>
        <v>0.71809523809523812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3</v>
      </c>
      <c r="B140" s="10" t="s">
        <v>4</v>
      </c>
      <c r="C140" s="11" t="s">
        <v>65</v>
      </c>
      <c r="D140" s="13">
        <v>1000</v>
      </c>
      <c r="E140" s="13">
        <f t="shared" si="18"/>
        <v>3000</v>
      </c>
      <c r="F140" s="13">
        <f t="shared" si="19"/>
        <v>3315</v>
      </c>
      <c r="G140" s="2"/>
      <c r="H140" s="2"/>
      <c r="I140" s="13">
        <f>27000/50</f>
        <v>540</v>
      </c>
      <c r="J140" s="13">
        <f t="shared" si="20"/>
        <v>1620</v>
      </c>
      <c r="K140" s="13">
        <f t="shared" si="21"/>
        <v>1695</v>
      </c>
      <c r="L140" s="14">
        <f t="shared" si="22"/>
        <v>0.56499999999999995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1</v>
      </c>
      <c r="B141" s="10" t="s">
        <v>21</v>
      </c>
      <c r="C141" s="11" t="s">
        <v>29</v>
      </c>
      <c r="D141" s="13">
        <v>3500</v>
      </c>
      <c r="E141" s="13">
        <f t="shared" si="18"/>
        <v>3500</v>
      </c>
      <c r="F141" s="13">
        <f t="shared" si="19"/>
        <v>3867.5</v>
      </c>
      <c r="G141" s="2"/>
      <c r="H141" s="2"/>
      <c r="I141" s="13">
        <v>1200</v>
      </c>
      <c r="J141" s="13">
        <f t="shared" si="20"/>
        <v>1200</v>
      </c>
      <c r="K141" s="13">
        <f t="shared" si="21"/>
        <v>2667.5</v>
      </c>
      <c r="L141" s="14">
        <f t="shared" si="22"/>
        <v>0.76214285714285712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18</v>
      </c>
      <c r="B142" s="10" t="s">
        <v>17</v>
      </c>
      <c r="C142" s="11" t="s">
        <v>39</v>
      </c>
      <c r="D142" s="13">
        <v>1600</v>
      </c>
      <c r="E142" s="13">
        <f t="shared" si="18"/>
        <v>28800</v>
      </c>
      <c r="F142" s="13">
        <f t="shared" si="19"/>
        <v>31824</v>
      </c>
      <c r="G142" s="2"/>
      <c r="H142" s="2"/>
      <c r="I142" s="13">
        <f>17000/15</f>
        <v>1133.3333333333333</v>
      </c>
      <c r="J142" s="13">
        <f t="shared" si="20"/>
        <v>20400</v>
      </c>
      <c r="K142" s="13">
        <f t="shared" si="21"/>
        <v>11424</v>
      </c>
      <c r="L142" s="14">
        <f t="shared" si="22"/>
        <v>0.39666666666666667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1</v>
      </c>
      <c r="B143" s="10" t="s">
        <v>15</v>
      </c>
      <c r="C143" s="11" t="s">
        <v>40</v>
      </c>
      <c r="D143" s="13">
        <v>12000</v>
      </c>
      <c r="E143" s="13">
        <f t="shared" si="18"/>
        <v>12000</v>
      </c>
      <c r="F143" s="13">
        <f t="shared" si="19"/>
        <v>13260</v>
      </c>
      <c r="G143" s="2"/>
      <c r="H143" s="2"/>
      <c r="I143" s="13">
        <v>8000</v>
      </c>
      <c r="J143" s="13">
        <f t="shared" si="20"/>
        <v>8000</v>
      </c>
      <c r="K143" s="13">
        <f t="shared" si="21"/>
        <v>5260</v>
      </c>
      <c r="L143" s="14">
        <f t="shared" si="22"/>
        <v>0.43833333333333335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3</v>
      </c>
      <c r="B144" s="10" t="s">
        <v>23</v>
      </c>
      <c r="C144" s="11" t="s">
        <v>26</v>
      </c>
      <c r="D144" s="13">
        <v>22000</v>
      </c>
      <c r="E144" s="13">
        <f t="shared" si="18"/>
        <v>66000</v>
      </c>
      <c r="F144" s="13">
        <f t="shared" si="19"/>
        <v>72930</v>
      </c>
      <c r="G144" s="2"/>
      <c r="H144" s="2"/>
      <c r="I144" s="13">
        <v>16000</v>
      </c>
      <c r="J144" s="13">
        <f t="shared" si="20"/>
        <v>48000</v>
      </c>
      <c r="K144" s="13">
        <f t="shared" si="21"/>
        <v>24930</v>
      </c>
      <c r="L144" s="14">
        <f t="shared" si="22"/>
        <v>0.37772727272727274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1</v>
      </c>
      <c r="B145" s="10" t="s">
        <v>23</v>
      </c>
      <c r="C145" s="11" t="s">
        <v>25</v>
      </c>
      <c r="D145" s="13">
        <v>72000</v>
      </c>
      <c r="E145" s="13">
        <f t="shared" si="18"/>
        <v>72000</v>
      </c>
      <c r="F145" s="13">
        <f t="shared" si="19"/>
        <v>79560</v>
      </c>
      <c r="G145" s="2"/>
      <c r="H145" s="2"/>
      <c r="I145" s="13">
        <v>62000</v>
      </c>
      <c r="J145" s="13">
        <f t="shared" si="20"/>
        <v>62000</v>
      </c>
      <c r="K145" s="13">
        <f t="shared" si="21"/>
        <v>17560</v>
      </c>
      <c r="L145" s="14">
        <f t="shared" si="22"/>
        <v>0.24388888888888888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1</v>
      </c>
      <c r="B146" s="10" t="s">
        <v>23</v>
      </c>
      <c r="C146" s="11" t="s">
        <v>24</v>
      </c>
      <c r="D146" s="13">
        <v>60000</v>
      </c>
      <c r="E146" s="13">
        <f t="shared" si="18"/>
        <v>60000</v>
      </c>
      <c r="F146" s="13">
        <f t="shared" si="19"/>
        <v>66300</v>
      </c>
      <c r="G146" s="2"/>
      <c r="H146" s="2"/>
      <c r="I146" s="13">
        <v>50000</v>
      </c>
      <c r="J146" s="13">
        <f t="shared" si="20"/>
        <v>50000</v>
      </c>
      <c r="K146" s="13">
        <f t="shared" si="21"/>
        <v>16300</v>
      </c>
      <c r="L146" s="14">
        <f t="shared" si="22"/>
        <v>0.27166666666666667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30</v>
      </c>
      <c r="B147" s="10" t="s">
        <v>21</v>
      </c>
      <c r="C147" s="11" t="s">
        <v>46</v>
      </c>
      <c r="D147" s="13">
        <v>600</v>
      </c>
      <c r="E147" s="13">
        <f t="shared" si="18"/>
        <v>18000</v>
      </c>
      <c r="F147" s="13">
        <f t="shared" si="19"/>
        <v>19890</v>
      </c>
      <c r="G147" s="2"/>
      <c r="H147" s="2"/>
      <c r="I147" s="13">
        <f>7000/24</f>
        <v>291.66666666666669</v>
      </c>
      <c r="J147" s="13">
        <f t="shared" si="20"/>
        <v>8750</v>
      </c>
      <c r="K147" s="13">
        <f t="shared" si="21"/>
        <v>11140</v>
      </c>
      <c r="L147" s="14">
        <f t="shared" si="22"/>
        <v>0.61888888888888893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2</v>
      </c>
      <c r="B148" s="10" t="s">
        <v>17</v>
      </c>
      <c r="C148" s="11" t="s">
        <v>31</v>
      </c>
      <c r="D148" s="13">
        <v>3200</v>
      </c>
      <c r="E148" s="13">
        <f t="shared" si="18"/>
        <v>6400</v>
      </c>
      <c r="F148" s="13">
        <f t="shared" si="19"/>
        <v>7072</v>
      </c>
      <c r="G148" s="2"/>
      <c r="H148" s="2"/>
      <c r="I148" s="13">
        <f>12000/7</f>
        <v>1714.2857142857142</v>
      </c>
      <c r="J148" s="13">
        <f t="shared" si="20"/>
        <v>3428.5714285714284</v>
      </c>
      <c r="K148" s="13">
        <f t="shared" si="21"/>
        <v>3643.4285714285716</v>
      </c>
      <c r="L148" s="14">
        <f t="shared" si="22"/>
        <v>0.56928571428571428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2</v>
      </c>
      <c r="B149" s="10" t="s">
        <v>17</v>
      </c>
      <c r="C149" s="11" t="s">
        <v>32</v>
      </c>
      <c r="D149" s="13">
        <v>2400</v>
      </c>
      <c r="E149" s="13">
        <f t="shared" si="18"/>
        <v>4800</v>
      </c>
      <c r="F149" s="13">
        <f t="shared" si="19"/>
        <v>5304</v>
      </c>
      <c r="G149" s="2"/>
      <c r="H149" s="2"/>
      <c r="I149" s="13">
        <f>8000/7</f>
        <v>1142.8571428571429</v>
      </c>
      <c r="J149" s="13">
        <f t="shared" si="20"/>
        <v>2285.7142857142858</v>
      </c>
      <c r="K149" s="13">
        <f t="shared" si="21"/>
        <v>3018.2857142857142</v>
      </c>
      <c r="L149" s="14">
        <f t="shared" si="22"/>
        <v>0.62880952380952382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17</v>
      </c>
      <c r="C150" s="11" t="s">
        <v>33</v>
      </c>
      <c r="D150" s="13">
        <v>2800</v>
      </c>
      <c r="E150" s="13">
        <f t="shared" si="18"/>
        <v>2800</v>
      </c>
      <c r="F150" s="13">
        <f t="shared" si="19"/>
        <v>3094</v>
      </c>
      <c r="G150" s="2"/>
      <c r="H150" s="2"/>
      <c r="I150" s="13">
        <v>2000</v>
      </c>
      <c r="J150" s="13">
        <f t="shared" si="20"/>
        <v>2000</v>
      </c>
      <c r="K150" s="13">
        <f t="shared" si="21"/>
        <v>1094</v>
      </c>
      <c r="L150" s="14">
        <f t="shared" si="22"/>
        <v>0.39071428571428574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0.6</v>
      </c>
      <c r="B151" s="10" t="s">
        <v>17</v>
      </c>
      <c r="C151" s="11" t="s">
        <v>93</v>
      </c>
      <c r="D151" s="13">
        <v>3000</v>
      </c>
      <c r="E151" s="13">
        <f t="shared" si="18"/>
        <v>1800</v>
      </c>
      <c r="F151" s="13">
        <f t="shared" si="19"/>
        <v>1989</v>
      </c>
      <c r="G151" s="2"/>
      <c r="H151" s="2"/>
      <c r="I151" s="13">
        <f>10000/7</f>
        <v>1428.5714285714287</v>
      </c>
      <c r="J151" s="13">
        <f t="shared" si="20"/>
        <v>857.14285714285722</v>
      </c>
      <c r="K151" s="13">
        <f t="shared" si="21"/>
        <v>1131.8571428571427</v>
      </c>
      <c r="L151" s="14">
        <f t="shared" si="22"/>
        <v>0.62880952380952371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0.65</v>
      </c>
      <c r="B152" s="10" t="s">
        <v>17</v>
      </c>
      <c r="C152" s="11" t="s">
        <v>61</v>
      </c>
      <c r="D152" s="13">
        <v>2800</v>
      </c>
      <c r="E152" s="13">
        <f t="shared" si="18"/>
        <v>1820</v>
      </c>
      <c r="F152" s="13">
        <f t="shared" si="19"/>
        <v>2011.1</v>
      </c>
      <c r="G152" s="2"/>
      <c r="H152" s="2"/>
      <c r="I152" s="13">
        <f>30000/14</f>
        <v>2142.8571428571427</v>
      </c>
      <c r="J152" s="13">
        <f t="shared" si="20"/>
        <v>1392.8571428571429</v>
      </c>
      <c r="K152" s="13">
        <f t="shared" si="21"/>
        <v>618.24285714285702</v>
      </c>
      <c r="L152" s="14">
        <f t="shared" si="22"/>
        <v>0.33969387755102032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1.7</v>
      </c>
      <c r="B153" s="10" t="s">
        <v>17</v>
      </c>
      <c r="C153" s="11" t="s">
        <v>34</v>
      </c>
      <c r="D153" s="13">
        <v>5000</v>
      </c>
      <c r="E153" s="13">
        <f t="shared" si="18"/>
        <v>8500</v>
      </c>
      <c r="F153" s="13">
        <f t="shared" si="19"/>
        <v>9392.5</v>
      </c>
      <c r="G153" s="2"/>
      <c r="H153" s="2"/>
      <c r="I153" s="13">
        <v>2000</v>
      </c>
      <c r="J153" s="13">
        <f t="shared" si="20"/>
        <v>3400</v>
      </c>
      <c r="K153" s="13">
        <f t="shared" si="21"/>
        <v>5992.5</v>
      </c>
      <c r="L153" s="14">
        <f t="shared" si="22"/>
        <v>0.70499999999999996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4</v>
      </c>
      <c r="B154" s="10" t="s">
        <v>17</v>
      </c>
      <c r="C154" s="11" t="s">
        <v>35</v>
      </c>
      <c r="D154" s="13">
        <v>2500</v>
      </c>
      <c r="E154" s="13">
        <f t="shared" si="18"/>
        <v>10000</v>
      </c>
      <c r="F154" s="13">
        <f t="shared" si="19"/>
        <v>11050</v>
      </c>
      <c r="G154" s="2"/>
      <c r="H154" s="2"/>
      <c r="I154" s="13">
        <f>14000/9</f>
        <v>1555.5555555555557</v>
      </c>
      <c r="J154" s="13">
        <f t="shared" si="20"/>
        <v>6222.2222222222226</v>
      </c>
      <c r="K154" s="13">
        <f t="shared" si="21"/>
        <v>4827.7777777777774</v>
      </c>
      <c r="L154" s="14">
        <f t="shared" si="22"/>
        <v>0.48277777777777775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0.6</v>
      </c>
      <c r="B155" s="10" t="s">
        <v>17</v>
      </c>
      <c r="C155" s="11" t="s">
        <v>42</v>
      </c>
      <c r="D155" s="13">
        <v>4500</v>
      </c>
      <c r="E155" s="13">
        <f t="shared" si="18"/>
        <v>2700</v>
      </c>
      <c r="F155" s="13">
        <f t="shared" si="19"/>
        <v>2983.5</v>
      </c>
      <c r="G155" s="2"/>
      <c r="H155" s="2"/>
      <c r="I155" s="13">
        <v>1300</v>
      </c>
      <c r="J155" s="13">
        <f t="shared" si="20"/>
        <v>780</v>
      </c>
      <c r="K155" s="13">
        <f t="shared" si="21"/>
        <v>2203.5</v>
      </c>
      <c r="L155" s="14">
        <f t="shared" si="22"/>
        <v>0.81611111111111112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4</v>
      </c>
      <c r="B156" s="10" t="s">
        <v>17</v>
      </c>
      <c r="C156" s="11" t="s">
        <v>144</v>
      </c>
      <c r="D156" s="13">
        <v>4500</v>
      </c>
      <c r="E156" s="13">
        <f t="shared" si="18"/>
        <v>18000</v>
      </c>
      <c r="F156" s="13">
        <f t="shared" si="19"/>
        <v>19890</v>
      </c>
      <c r="G156" s="2"/>
      <c r="H156" s="2"/>
      <c r="I156" s="13">
        <f>25000/7</f>
        <v>3571.4285714285716</v>
      </c>
      <c r="J156" s="13">
        <f t="shared" si="20"/>
        <v>14285.714285714286</v>
      </c>
      <c r="K156" s="13">
        <f t="shared" si="21"/>
        <v>5604.2857142857138</v>
      </c>
      <c r="L156" s="14">
        <f t="shared" si="22"/>
        <v>0.31134920634920632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7</v>
      </c>
      <c r="B157" s="10" t="s">
        <v>17</v>
      </c>
      <c r="C157" s="11" t="s">
        <v>82</v>
      </c>
      <c r="D157" s="13">
        <v>2200</v>
      </c>
      <c r="E157" s="13">
        <f t="shared" si="18"/>
        <v>15400</v>
      </c>
      <c r="F157" s="13">
        <f t="shared" si="19"/>
        <v>17017</v>
      </c>
      <c r="G157" s="2"/>
      <c r="H157" s="2"/>
      <c r="I157" s="13">
        <f>16500/14</f>
        <v>1178.5714285714287</v>
      </c>
      <c r="J157" s="13">
        <f t="shared" si="20"/>
        <v>8250</v>
      </c>
      <c r="K157" s="13">
        <f t="shared" si="21"/>
        <v>8767</v>
      </c>
      <c r="L157" s="14">
        <f t="shared" si="22"/>
        <v>0.56928571428571428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1</v>
      </c>
      <c r="B158" s="10" t="s">
        <v>23</v>
      </c>
      <c r="C158" s="11" t="s">
        <v>123</v>
      </c>
      <c r="D158" s="13">
        <v>20000</v>
      </c>
      <c r="E158" s="13">
        <f t="shared" si="18"/>
        <v>20000</v>
      </c>
      <c r="F158" s="13">
        <f t="shared" si="19"/>
        <v>22100</v>
      </c>
      <c r="G158" s="2"/>
      <c r="H158" s="2"/>
      <c r="I158" s="13">
        <v>12000</v>
      </c>
      <c r="J158" s="13">
        <f t="shared" si="20"/>
        <v>12000</v>
      </c>
      <c r="K158" s="13">
        <f t="shared" si="21"/>
        <v>10100</v>
      </c>
      <c r="L158" s="14">
        <f t="shared" si="22"/>
        <v>0.505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6</v>
      </c>
      <c r="B159" s="10" t="s">
        <v>17</v>
      </c>
      <c r="C159" s="11" t="s">
        <v>130</v>
      </c>
      <c r="D159" s="13">
        <v>1400</v>
      </c>
      <c r="E159" s="13">
        <f t="shared" si="18"/>
        <v>8400</v>
      </c>
      <c r="F159" s="13">
        <f t="shared" si="19"/>
        <v>9282</v>
      </c>
      <c r="G159" s="2"/>
      <c r="H159" s="2"/>
      <c r="I159" s="13">
        <v>1000</v>
      </c>
      <c r="J159" s="13">
        <f t="shared" si="20"/>
        <v>6000</v>
      </c>
      <c r="K159" s="13">
        <f t="shared" si="21"/>
        <v>3282</v>
      </c>
      <c r="L159" s="14">
        <f t="shared" si="22"/>
        <v>0.39071428571428574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3</v>
      </c>
      <c r="B160" s="10" t="s">
        <v>17</v>
      </c>
      <c r="C160" s="11" t="s">
        <v>162</v>
      </c>
      <c r="D160" s="13">
        <v>4500</v>
      </c>
      <c r="E160" s="13">
        <f t="shared" si="18"/>
        <v>13500</v>
      </c>
      <c r="F160" s="13">
        <f t="shared" si="19"/>
        <v>14917.5</v>
      </c>
      <c r="G160" s="2"/>
      <c r="H160" s="2"/>
      <c r="I160" s="13">
        <f>18000/6</f>
        <v>3000</v>
      </c>
      <c r="J160" s="13">
        <f t="shared" si="20"/>
        <v>9000</v>
      </c>
      <c r="K160" s="13">
        <f t="shared" si="21"/>
        <v>5917.5</v>
      </c>
      <c r="L160" s="14">
        <f t="shared" si="22"/>
        <v>0.43833333333333335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2</v>
      </c>
      <c r="B161" s="10" t="s">
        <v>17</v>
      </c>
      <c r="C161" s="11" t="s">
        <v>49</v>
      </c>
      <c r="D161" s="13">
        <v>3000</v>
      </c>
      <c r="E161" s="13">
        <f t="shared" si="18"/>
        <v>6000</v>
      </c>
      <c r="F161" s="13">
        <f t="shared" si="19"/>
        <v>6630</v>
      </c>
      <c r="G161" s="2"/>
      <c r="H161" s="2"/>
      <c r="I161" s="13">
        <f>35000/17</f>
        <v>2058.8235294117649</v>
      </c>
      <c r="J161" s="13">
        <f t="shared" si="20"/>
        <v>4117.6470588235297</v>
      </c>
      <c r="K161" s="13">
        <f t="shared" si="21"/>
        <v>2512.3529411764703</v>
      </c>
      <c r="L161" s="14">
        <f t="shared" si="22"/>
        <v>0.41872549019607835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1.5</v>
      </c>
      <c r="B162" s="10" t="s">
        <v>23</v>
      </c>
      <c r="C162" s="11" t="s">
        <v>12</v>
      </c>
      <c r="D162" s="13">
        <v>54000</v>
      </c>
      <c r="E162" s="13">
        <f t="shared" si="18"/>
        <v>81000</v>
      </c>
      <c r="F162" s="13">
        <f>E162*1.21</f>
        <v>98010</v>
      </c>
      <c r="G162" s="2"/>
      <c r="H162" s="2"/>
      <c r="I162" s="13">
        <v>54000</v>
      </c>
      <c r="J162" s="13">
        <f t="shared" si="20"/>
        <v>81000</v>
      </c>
      <c r="K162" s="13">
        <f t="shared" si="21"/>
        <v>17010</v>
      </c>
      <c r="L162" s="14">
        <f t="shared" si="22"/>
        <v>0.21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"/>
      <c r="B163" s="2"/>
      <c r="C163" s="4"/>
      <c r="D163" s="2"/>
      <c r="E163" s="2"/>
      <c r="F163" s="2"/>
      <c r="G163" s="2"/>
      <c r="H163" s="2"/>
      <c r="I163" s="2"/>
      <c r="J163" s="2"/>
      <c r="K163" s="2"/>
      <c r="L163" s="3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"/>
      <c r="B164" s="2"/>
      <c r="C164" s="4"/>
      <c r="D164" s="2"/>
      <c r="E164" s="13">
        <f t="shared" ref="E164:F164" si="23">SUM(E126:E162)</f>
        <v>728920</v>
      </c>
      <c r="F164" s="13">
        <f t="shared" si="23"/>
        <v>813961.6</v>
      </c>
      <c r="G164" s="2"/>
      <c r="H164" s="2"/>
      <c r="I164" s="2"/>
      <c r="J164" s="2"/>
      <c r="K164" s="13">
        <f>SUM(K126:K162)</f>
        <v>273334.47581699345</v>
      </c>
      <c r="L164" s="14">
        <f>K164/F164</f>
        <v>0.33580758086990031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0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0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6" t="s">
        <v>124</v>
      </c>
      <c r="B167" s="1"/>
      <c r="C167" s="1"/>
      <c r="D167" s="22" t="s">
        <v>1120</v>
      </c>
      <c r="E167" s="8">
        <v>46133</v>
      </c>
      <c r="F167" s="24" t="s">
        <v>37</v>
      </c>
      <c r="G167" s="2"/>
      <c r="H167" s="2"/>
      <c r="I167" s="2"/>
      <c r="J167" s="2"/>
      <c r="K167" s="2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2"/>
      <c r="C168" s="4"/>
      <c r="D168" s="2"/>
      <c r="E168" s="2"/>
      <c r="F168" s="2"/>
      <c r="G168" s="2"/>
      <c r="H168" s="2"/>
      <c r="I168" s="2"/>
      <c r="J168" s="2"/>
      <c r="K168" s="2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6" t="s">
        <v>3</v>
      </c>
      <c r="B169" s="10" t="s">
        <v>4</v>
      </c>
      <c r="C169" s="11" t="s">
        <v>5</v>
      </c>
      <c r="D169" s="10" t="s">
        <v>6</v>
      </c>
      <c r="E169" s="10" t="s">
        <v>7</v>
      </c>
      <c r="F169" s="2"/>
      <c r="G169" s="2"/>
      <c r="H169" s="2"/>
      <c r="I169" s="10" t="s">
        <v>6</v>
      </c>
      <c r="J169" s="10" t="s">
        <v>7</v>
      </c>
      <c r="K169" s="10" t="s">
        <v>10</v>
      </c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2</v>
      </c>
      <c r="B170" s="10" t="s">
        <v>17</v>
      </c>
      <c r="C170" s="11" t="s">
        <v>99</v>
      </c>
      <c r="D170" s="13">
        <v>1500</v>
      </c>
      <c r="E170" s="13">
        <f t="shared" ref="E170:E181" si="24">A170*D170</f>
        <v>3000</v>
      </c>
      <c r="F170" s="2"/>
      <c r="G170" s="2"/>
      <c r="H170" s="2"/>
      <c r="I170" s="13">
        <f>5000/8</f>
        <v>625</v>
      </c>
      <c r="J170" s="13">
        <f t="shared" ref="J170:J181" si="25">I170*A170</f>
        <v>1250</v>
      </c>
      <c r="K170" s="13">
        <f t="shared" ref="K170:K181" si="26">E170-J170</f>
        <v>1750</v>
      </c>
      <c r="L170" s="14">
        <f t="shared" ref="L170:L181" si="27">K170/E170</f>
        <v>0.58333333333333337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0.5</v>
      </c>
      <c r="B171" s="10" t="s">
        <v>17</v>
      </c>
      <c r="C171" s="11" t="s">
        <v>35</v>
      </c>
      <c r="D171" s="13">
        <v>2000</v>
      </c>
      <c r="E171" s="13">
        <f t="shared" si="24"/>
        <v>1000</v>
      </c>
      <c r="F171" s="2"/>
      <c r="G171" s="2"/>
      <c r="H171" s="2"/>
      <c r="I171" s="13">
        <f>14000/9</f>
        <v>1555.5555555555557</v>
      </c>
      <c r="J171" s="13">
        <f t="shared" si="25"/>
        <v>777.77777777777783</v>
      </c>
      <c r="K171" s="13">
        <f t="shared" si="26"/>
        <v>222.22222222222217</v>
      </c>
      <c r="L171" s="14">
        <f t="shared" si="27"/>
        <v>0.22222222222222218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5</v>
      </c>
      <c r="B172" s="10" t="s">
        <v>21</v>
      </c>
      <c r="C172" s="11" t="s">
        <v>46</v>
      </c>
      <c r="D172" s="13">
        <v>500</v>
      </c>
      <c r="E172" s="13">
        <f t="shared" si="24"/>
        <v>2500</v>
      </c>
      <c r="F172" s="2"/>
      <c r="G172" s="2"/>
      <c r="H172" s="7"/>
      <c r="I172" s="13">
        <f>7000/24</f>
        <v>291.66666666666669</v>
      </c>
      <c r="J172" s="13">
        <f t="shared" si="25"/>
        <v>1458.3333333333335</v>
      </c>
      <c r="K172" s="13">
        <f t="shared" si="26"/>
        <v>1041.6666666666665</v>
      </c>
      <c r="L172" s="14">
        <f t="shared" si="27"/>
        <v>0.41666666666666663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1</v>
      </c>
      <c r="B173" s="10" t="s">
        <v>15</v>
      </c>
      <c r="C173" s="11" t="s">
        <v>135</v>
      </c>
      <c r="D173" s="13">
        <v>15000</v>
      </c>
      <c r="E173" s="13">
        <f t="shared" si="24"/>
        <v>15000</v>
      </c>
      <c r="F173" s="2"/>
      <c r="G173" s="2"/>
      <c r="H173" s="2"/>
      <c r="I173" s="13">
        <v>11000</v>
      </c>
      <c r="J173" s="13">
        <f t="shared" si="25"/>
        <v>11000</v>
      </c>
      <c r="K173" s="13">
        <f t="shared" si="26"/>
        <v>4000</v>
      </c>
      <c r="L173" s="14">
        <f t="shared" si="27"/>
        <v>0.26666666666666666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2">
        <v>5</v>
      </c>
      <c r="B174" s="10" t="s">
        <v>21</v>
      </c>
      <c r="C174" s="11" t="s">
        <v>46</v>
      </c>
      <c r="D174" s="13">
        <v>500</v>
      </c>
      <c r="E174" s="13">
        <f t="shared" si="24"/>
        <v>2500</v>
      </c>
      <c r="F174" s="2"/>
      <c r="G174" s="2"/>
      <c r="H174" s="7"/>
      <c r="I174" s="13">
        <f>7000/24</f>
        <v>291.66666666666669</v>
      </c>
      <c r="J174" s="13">
        <f t="shared" si="25"/>
        <v>1458.3333333333335</v>
      </c>
      <c r="K174" s="13">
        <f t="shared" si="26"/>
        <v>1041.6666666666665</v>
      </c>
      <c r="L174" s="14">
        <f t="shared" si="27"/>
        <v>0.41666666666666663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1</v>
      </c>
      <c r="B175" s="10" t="s">
        <v>15</v>
      </c>
      <c r="C175" s="11" t="s">
        <v>135</v>
      </c>
      <c r="D175" s="13">
        <v>15000</v>
      </c>
      <c r="E175" s="13">
        <f t="shared" si="24"/>
        <v>15000</v>
      </c>
      <c r="F175" s="2"/>
      <c r="G175" s="2"/>
      <c r="H175" s="2"/>
      <c r="I175" s="13">
        <v>11000</v>
      </c>
      <c r="J175" s="13">
        <f t="shared" si="25"/>
        <v>11000</v>
      </c>
      <c r="K175" s="13">
        <f t="shared" si="26"/>
        <v>4000</v>
      </c>
      <c r="L175" s="14">
        <f t="shared" si="27"/>
        <v>0.26666666666666666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0.25</v>
      </c>
      <c r="B176" s="10" t="s">
        <v>17</v>
      </c>
      <c r="C176" s="11" t="s">
        <v>42</v>
      </c>
      <c r="D176" s="13">
        <v>3000</v>
      </c>
      <c r="E176" s="13">
        <f t="shared" si="24"/>
        <v>750</v>
      </c>
      <c r="F176" s="2"/>
      <c r="G176" s="2"/>
      <c r="H176" s="2"/>
      <c r="I176" s="13">
        <v>1300</v>
      </c>
      <c r="J176" s="13">
        <f t="shared" si="25"/>
        <v>325</v>
      </c>
      <c r="K176" s="13">
        <f t="shared" si="26"/>
        <v>425</v>
      </c>
      <c r="L176" s="14">
        <f t="shared" si="27"/>
        <v>0.56666666666666665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2">
        <v>1</v>
      </c>
      <c r="B177" s="10" t="s">
        <v>17</v>
      </c>
      <c r="C177" s="11" t="s">
        <v>49</v>
      </c>
      <c r="D177" s="13">
        <v>2600</v>
      </c>
      <c r="E177" s="13">
        <f t="shared" si="24"/>
        <v>2600</v>
      </c>
      <c r="F177" s="2"/>
      <c r="G177" s="2"/>
      <c r="H177" s="2"/>
      <c r="I177" s="13">
        <f>35000/17</f>
        <v>2058.8235294117649</v>
      </c>
      <c r="J177" s="13">
        <f t="shared" si="25"/>
        <v>2058.8235294117649</v>
      </c>
      <c r="K177" s="13">
        <f t="shared" si="26"/>
        <v>541.17647058823513</v>
      </c>
      <c r="L177" s="14">
        <f t="shared" si="27"/>
        <v>0.20814479638009042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2">
        <v>1</v>
      </c>
      <c r="B178" s="10" t="s">
        <v>17</v>
      </c>
      <c r="C178" s="11" t="s">
        <v>90</v>
      </c>
      <c r="D178" s="13">
        <v>8000</v>
      </c>
      <c r="E178" s="13">
        <f t="shared" si="24"/>
        <v>8000</v>
      </c>
      <c r="F178" s="2"/>
      <c r="G178" s="2"/>
      <c r="H178" s="2"/>
      <c r="I178" s="13">
        <v>7000</v>
      </c>
      <c r="J178" s="13">
        <f t="shared" si="25"/>
        <v>7000</v>
      </c>
      <c r="K178" s="13">
        <f t="shared" si="26"/>
        <v>1000</v>
      </c>
      <c r="L178" s="14">
        <f t="shared" si="27"/>
        <v>0.125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2">
        <v>1</v>
      </c>
      <c r="B179" s="10" t="s">
        <v>21</v>
      </c>
      <c r="C179" s="11" t="s">
        <v>112</v>
      </c>
      <c r="D179" s="13">
        <v>3000</v>
      </c>
      <c r="E179" s="13">
        <f t="shared" si="24"/>
        <v>3000</v>
      </c>
      <c r="F179" s="2"/>
      <c r="G179" s="2"/>
      <c r="H179" s="2"/>
      <c r="I179" s="13">
        <v>2000</v>
      </c>
      <c r="J179" s="13">
        <f t="shared" si="25"/>
        <v>2000</v>
      </c>
      <c r="K179" s="13">
        <f t="shared" si="26"/>
        <v>1000</v>
      </c>
      <c r="L179" s="14">
        <f t="shared" si="27"/>
        <v>0.33333333333333331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2">
        <v>1</v>
      </c>
      <c r="B180" s="10" t="s">
        <v>23</v>
      </c>
      <c r="C180" s="11" t="s">
        <v>88</v>
      </c>
      <c r="D180" s="13">
        <v>19000</v>
      </c>
      <c r="E180" s="13">
        <f t="shared" si="24"/>
        <v>19000</v>
      </c>
      <c r="F180" s="2"/>
      <c r="G180" s="2"/>
      <c r="H180" s="7"/>
      <c r="I180" s="13">
        <v>13000</v>
      </c>
      <c r="J180" s="13">
        <f t="shared" si="25"/>
        <v>13000</v>
      </c>
      <c r="K180" s="13">
        <f t="shared" si="26"/>
        <v>6000</v>
      </c>
      <c r="L180" s="14">
        <f t="shared" si="27"/>
        <v>0.31578947368421051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1</v>
      </c>
      <c r="B181" s="10" t="s">
        <v>21</v>
      </c>
      <c r="C181" s="11" t="s">
        <v>51</v>
      </c>
      <c r="D181" s="13">
        <v>1000</v>
      </c>
      <c r="E181" s="13">
        <f t="shared" si="24"/>
        <v>1000</v>
      </c>
      <c r="F181" s="2"/>
      <c r="G181" s="2"/>
      <c r="H181" s="2"/>
      <c r="I181" s="13">
        <f>4000/6</f>
        <v>666.66666666666663</v>
      </c>
      <c r="J181" s="13">
        <f t="shared" si="25"/>
        <v>666.66666666666663</v>
      </c>
      <c r="K181" s="13">
        <f t="shared" si="26"/>
        <v>333.33333333333337</v>
      </c>
      <c r="L181" s="14">
        <f t="shared" si="27"/>
        <v>0.33333333333333337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"/>
      <c r="B182" s="2"/>
      <c r="C182" s="4"/>
      <c r="D182" s="2"/>
      <c r="E182" s="2"/>
      <c r="F182" s="2"/>
      <c r="G182" s="4"/>
      <c r="H182" s="2"/>
      <c r="I182" s="2"/>
      <c r="J182" s="2"/>
      <c r="K182" s="2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"/>
      <c r="B183" s="2"/>
      <c r="C183" s="4"/>
      <c r="D183" s="2"/>
      <c r="E183" s="13">
        <f>SUM(E170:E181)</f>
        <v>73350</v>
      </c>
      <c r="F183" s="2"/>
      <c r="G183" s="2"/>
      <c r="H183" s="2"/>
      <c r="I183" s="2"/>
      <c r="J183" s="2"/>
      <c r="K183" s="13">
        <f>SUM(K170:K181)</f>
        <v>21355.065359477121</v>
      </c>
      <c r="L183" s="14">
        <f>K183/E183</f>
        <v>0.29113926870452789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0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0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0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0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6" t="s">
        <v>124</v>
      </c>
      <c r="B188" s="1"/>
      <c r="C188" s="1"/>
      <c r="D188" s="22" t="s">
        <v>1121</v>
      </c>
      <c r="E188" s="8">
        <v>46133</v>
      </c>
      <c r="F188" s="24" t="s">
        <v>37</v>
      </c>
      <c r="G188" s="2"/>
      <c r="H188" s="2"/>
      <c r="I188" s="2"/>
      <c r="J188" s="2"/>
      <c r="K188" s="2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2"/>
      <c r="C189" s="4"/>
      <c r="D189" s="2"/>
      <c r="E189" s="2"/>
      <c r="F189" s="2"/>
      <c r="G189" s="2"/>
      <c r="H189" s="2"/>
      <c r="I189" s="2"/>
      <c r="J189" s="2"/>
      <c r="K189" s="2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6" t="s">
        <v>3</v>
      </c>
      <c r="B190" s="10" t="s">
        <v>4</v>
      </c>
      <c r="C190" s="11" t="s">
        <v>5</v>
      </c>
      <c r="D190" s="10" t="s">
        <v>6</v>
      </c>
      <c r="E190" s="10" t="s">
        <v>7</v>
      </c>
      <c r="F190" s="2"/>
      <c r="G190" s="2"/>
      <c r="H190" s="2"/>
      <c r="I190" s="10" t="s">
        <v>6</v>
      </c>
      <c r="J190" s="10" t="s">
        <v>7</v>
      </c>
      <c r="K190" s="10" t="s">
        <v>10</v>
      </c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3</v>
      </c>
      <c r="B191" s="10" t="s">
        <v>17</v>
      </c>
      <c r="C191" s="11" t="s">
        <v>84</v>
      </c>
      <c r="D191" s="13">
        <v>1700</v>
      </c>
      <c r="E191" s="13">
        <f t="shared" ref="E191:E200" si="28">A191*D191</f>
        <v>5100</v>
      </c>
      <c r="F191" s="2"/>
      <c r="G191" s="2"/>
      <c r="H191" s="2"/>
      <c r="I191" s="13">
        <f>18300/17</f>
        <v>1076.4705882352941</v>
      </c>
      <c r="J191" s="13">
        <f t="shared" ref="J191:J200" si="29">I191*A191</f>
        <v>3229.4117647058824</v>
      </c>
      <c r="K191" s="13">
        <f t="shared" ref="K191:K200" si="30">E191-J191</f>
        <v>1870.5882352941176</v>
      </c>
      <c r="L191" s="14">
        <f t="shared" ref="L191:L200" si="31">K191/E191</f>
        <v>0.36678200692041518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2</v>
      </c>
      <c r="B192" s="10" t="s">
        <v>17</v>
      </c>
      <c r="C192" s="11" t="s">
        <v>18</v>
      </c>
      <c r="D192" s="13">
        <v>1600</v>
      </c>
      <c r="E192" s="13">
        <f t="shared" si="28"/>
        <v>3200</v>
      </c>
      <c r="F192" s="2"/>
      <c r="G192" s="2"/>
      <c r="H192" s="2"/>
      <c r="I192" s="13">
        <f>12000/14</f>
        <v>857.14285714285711</v>
      </c>
      <c r="J192" s="13">
        <f t="shared" si="29"/>
        <v>1714.2857142857142</v>
      </c>
      <c r="K192" s="13">
        <f t="shared" si="30"/>
        <v>1485.7142857142858</v>
      </c>
      <c r="L192" s="14">
        <f t="shared" si="31"/>
        <v>0.4642857142857143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1.5</v>
      </c>
      <c r="B193" s="10" t="s">
        <v>17</v>
      </c>
      <c r="C193" s="11" t="s">
        <v>99</v>
      </c>
      <c r="D193" s="13">
        <v>1500</v>
      </c>
      <c r="E193" s="13">
        <f t="shared" si="28"/>
        <v>2250</v>
      </c>
      <c r="F193" s="2"/>
      <c r="G193" s="2"/>
      <c r="H193" s="7"/>
      <c r="I193" s="13">
        <f>5000/8</f>
        <v>625</v>
      </c>
      <c r="J193" s="13">
        <f t="shared" si="29"/>
        <v>937.5</v>
      </c>
      <c r="K193" s="13">
        <f t="shared" si="30"/>
        <v>1312.5</v>
      </c>
      <c r="L193" s="14">
        <f t="shared" si="31"/>
        <v>0.58333333333333337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2</v>
      </c>
      <c r="B194" s="10" t="s">
        <v>17</v>
      </c>
      <c r="C194" s="11" t="s">
        <v>30</v>
      </c>
      <c r="D194" s="13">
        <v>2500</v>
      </c>
      <c r="E194" s="13">
        <f t="shared" si="28"/>
        <v>5000</v>
      </c>
      <c r="F194" s="2"/>
      <c r="G194" s="2"/>
      <c r="H194" s="2"/>
      <c r="I194" s="13">
        <f>30000/14</f>
        <v>2142.8571428571427</v>
      </c>
      <c r="J194" s="13">
        <f t="shared" si="29"/>
        <v>4285.7142857142853</v>
      </c>
      <c r="K194" s="13">
        <f t="shared" si="30"/>
        <v>714.28571428571468</v>
      </c>
      <c r="L194" s="14">
        <f t="shared" si="31"/>
        <v>0.14285714285714293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2</v>
      </c>
      <c r="B195" s="10" t="s">
        <v>17</v>
      </c>
      <c r="C195" s="11" t="s">
        <v>88</v>
      </c>
      <c r="D195" s="13">
        <v>1500</v>
      </c>
      <c r="E195" s="13">
        <f t="shared" si="28"/>
        <v>3000</v>
      </c>
      <c r="F195" s="2"/>
      <c r="G195" s="2"/>
      <c r="H195" s="2"/>
      <c r="I195" s="13">
        <f>13000/14</f>
        <v>928.57142857142856</v>
      </c>
      <c r="J195" s="13">
        <f t="shared" si="29"/>
        <v>1857.1428571428571</v>
      </c>
      <c r="K195" s="13">
        <f t="shared" si="30"/>
        <v>1142.8571428571429</v>
      </c>
      <c r="L195" s="14">
        <f t="shared" si="31"/>
        <v>0.38095238095238099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2">
        <v>1</v>
      </c>
      <c r="B196" s="10" t="s">
        <v>17</v>
      </c>
      <c r="C196" s="11" t="s">
        <v>29</v>
      </c>
      <c r="D196" s="13">
        <v>3000</v>
      </c>
      <c r="E196" s="13">
        <f t="shared" si="28"/>
        <v>3000</v>
      </c>
      <c r="F196" s="2"/>
      <c r="G196" s="2"/>
      <c r="H196" s="2"/>
      <c r="I196" s="13">
        <v>1200</v>
      </c>
      <c r="J196" s="13">
        <f t="shared" si="29"/>
        <v>1200</v>
      </c>
      <c r="K196" s="13">
        <f t="shared" si="30"/>
        <v>1800</v>
      </c>
      <c r="L196" s="14">
        <f t="shared" si="31"/>
        <v>0.6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2">
        <v>1</v>
      </c>
      <c r="B197" s="10" t="s">
        <v>4</v>
      </c>
      <c r="C197" s="11" t="s">
        <v>13</v>
      </c>
      <c r="D197" s="13">
        <v>900</v>
      </c>
      <c r="E197" s="13">
        <f t="shared" si="28"/>
        <v>900</v>
      </c>
      <c r="F197" s="2"/>
      <c r="G197" s="2"/>
      <c r="H197" s="2"/>
      <c r="I197" s="13">
        <f>28000/50</f>
        <v>560</v>
      </c>
      <c r="J197" s="13">
        <f t="shared" si="29"/>
        <v>560</v>
      </c>
      <c r="K197" s="13">
        <f t="shared" si="30"/>
        <v>340</v>
      </c>
      <c r="L197" s="14">
        <f t="shared" si="31"/>
        <v>0.37777777777777777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2">
        <v>2</v>
      </c>
      <c r="B198" s="10" t="s">
        <v>17</v>
      </c>
      <c r="C198" s="11" t="s">
        <v>40</v>
      </c>
      <c r="D198" s="13">
        <v>1500</v>
      </c>
      <c r="E198" s="13">
        <f t="shared" si="28"/>
        <v>3000</v>
      </c>
      <c r="F198" s="2"/>
      <c r="G198" s="2"/>
      <c r="H198" s="2"/>
      <c r="I198" s="13">
        <f>8000/8</f>
        <v>1000</v>
      </c>
      <c r="J198" s="13">
        <f t="shared" si="29"/>
        <v>2000</v>
      </c>
      <c r="K198" s="13">
        <f t="shared" si="30"/>
        <v>1000</v>
      </c>
      <c r="L198" s="14">
        <f t="shared" si="31"/>
        <v>0.33333333333333331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2">
        <v>1</v>
      </c>
      <c r="B199" s="10" t="s">
        <v>17</v>
      </c>
      <c r="C199" s="11" t="s">
        <v>64</v>
      </c>
      <c r="D199" s="13">
        <v>1500</v>
      </c>
      <c r="E199" s="13">
        <f t="shared" si="28"/>
        <v>1500</v>
      </c>
      <c r="F199" s="2"/>
      <c r="G199" s="2"/>
      <c r="H199" s="2"/>
      <c r="I199" s="13">
        <v>1000</v>
      </c>
      <c r="J199" s="13">
        <f t="shared" si="29"/>
        <v>1000</v>
      </c>
      <c r="K199" s="13">
        <f t="shared" si="30"/>
        <v>500</v>
      </c>
      <c r="L199" s="14">
        <f t="shared" si="31"/>
        <v>0.33333333333333331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2">
        <v>2</v>
      </c>
      <c r="B200" s="10" t="s">
        <v>17</v>
      </c>
      <c r="C200" s="11" t="s">
        <v>56</v>
      </c>
      <c r="D200" s="13">
        <v>1200</v>
      </c>
      <c r="E200" s="13">
        <f t="shared" si="28"/>
        <v>2400</v>
      </c>
      <c r="F200" s="2"/>
      <c r="G200" s="2"/>
      <c r="H200" s="7"/>
      <c r="I200" s="13">
        <f>9000/15</f>
        <v>600</v>
      </c>
      <c r="J200" s="13">
        <f t="shared" si="29"/>
        <v>1200</v>
      </c>
      <c r="K200" s="13">
        <f t="shared" si="30"/>
        <v>1200</v>
      </c>
      <c r="L200" s="14">
        <f t="shared" si="31"/>
        <v>0.5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"/>
      <c r="B201" s="2"/>
      <c r="C201" s="4"/>
      <c r="D201" s="2"/>
      <c r="E201" s="2"/>
      <c r="F201" s="2"/>
      <c r="G201" s="4"/>
      <c r="H201" s="2"/>
      <c r="I201" s="2"/>
      <c r="J201" s="2"/>
      <c r="K201" s="2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"/>
      <c r="B202" s="2"/>
      <c r="C202" s="4"/>
      <c r="D202" s="2"/>
      <c r="E202" s="13">
        <f>SUM(E191:E200)</f>
        <v>29350</v>
      </c>
      <c r="F202" s="2"/>
      <c r="G202" s="2"/>
      <c r="H202" s="2"/>
      <c r="I202" s="2"/>
      <c r="J202" s="2"/>
      <c r="K202" s="13">
        <f>SUM(K191:K200)</f>
        <v>11365.94537815126</v>
      </c>
      <c r="L202" s="14">
        <f>K202/E202</f>
        <v>0.38725537915336489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0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6" t="s">
        <v>91</v>
      </c>
      <c r="B204" s="25"/>
      <c r="C204" s="1"/>
      <c r="D204" s="12" t="s">
        <v>1120</v>
      </c>
      <c r="E204" s="8">
        <v>46133</v>
      </c>
      <c r="F204" s="15" t="s">
        <v>37</v>
      </c>
      <c r="G204" s="2"/>
      <c r="H204" s="2"/>
      <c r="I204" s="2"/>
      <c r="J204" s="2"/>
      <c r="K204" s="2"/>
      <c r="L204" s="3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"/>
      <c r="B205" s="2"/>
      <c r="C205" s="1"/>
      <c r="D205" s="2"/>
      <c r="E205" s="2"/>
      <c r="F205" s="2"/>
      <c r="G205" s="2"/>
      <c r="H205" s="2"/>
      <c r="I205" s="2"/>
      <c r="J205" s="2"/>
      <c r="K205" s="2"/>
      <c r="L205" s="3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6" t="s">
        <v>3</v>
      </c>
      <c r="B206" s="10" t="s">
        <v>4</v>
      </c>
      <c r="C206" s="6" t="s">
        <v>5</v>
      </c>
      <c r="D206" s="10" t="s">
        <v>6</v>
      </c>
      <c r="E206" s="10" t="s">
        <v>7</v>
      </c>
      <c r="F206" s="2"/>
      <c r="G206" s="2"/>
      <c r="H206" s="2"/>
      <c r="I206" s="10" t="s">
        <v>6</v>
      </c>
      <c r="J206" s="10" t="s">
        <v>7</v>
      </c>
      <c r="K206" s="10" t="s">
        <v>10</v>
      </c>
      <c r="L206" s="3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2">
        <v>0.5</v>
      </c>
      <c r="B207" s="10" t="s">
        <v>23</v>
      </c>
      <c r="C207" s="6" t="s">
        <v>46</v>
      </c>
      <c r="D207" s="13">
        <v>13000</v>
      </c>
      <c r="E207" s="13">
        <f t="shared" ref="E207:E212" si="32">A207*D207</f>
        <v>6500</v>
      </c>
      <c r="F207" s="2"/>
      <c r="G207" s="2"/>
      <c r="H207" s="2"/>
      <c r="I207" s="13">
        <v>7000</v>
      </c>
      <c r="J207" s="13">
        <f t="shared" ref="J207:J212" si="33">I207*A207</f>
        <v>3500</v>
      </c>
      <c r="K207" s="13">
        <f t="shared" ref="K207:K212" si="34">E207-J207</f>
        <v>3000</v>
      </c>
      <c r="L207" s="14">
        <f t="shared" ref="L207:L212" si="35">K207/E207</f>
        <v>0.46153846153846156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2">
        <v>2</v>
      </c>
      <c r="B208" s="10" t="s">
        <v>21</v>
      </c>
      <c r="C208" s="6" t="s">
        <v>22</v>
      </c>
      <c r="D208" s="13">
        <v>1800</v>
      </c>
      <c r="E208" s="13">
        <f t="shared" si="32"/>
        <v>3600</v>
      </c>
      <c r="F208" s="2"/>
      <c r="G208" s="2"/>
      <c r="H208" s="2"/>
      <c r="I208" s="13">
        <f>1300</f>
        <v>1300</v>
      </c>
      <c r="J208" s="13">
        <f t="shared" si="33"/>
        <v>2600</v>
      </c>
      <c r="K208" s="13">
        <f t="shared" si="34"/>
        <v>1000</v>
      </c>
      <c r="L208" s="14">
        <f t="shared" si="35"/>
        <v>0.27777777777777779</v>
      </c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2">
        <v>3</v>
      </c>
      <c r="B209" s="10" t="s">
        <v>21</v>
      </c>
      <c r="C209" s="6" t="s">
        <v>51</v>
      </c>
      <c r="D209" s="13">
        <v>1500</v>
      </c>
      <c r="E209" s="13">
        <f t="shared" si="32"/>
        <v>4500</v>
      </c>
      <c r="F209" s="2"/>
      <c r="G209" s="2"/>
      <c r="H209" s="2"/>
      <c r="I209" s="13">
        <f>4000/6</f>
        <v>666.66666666666663</v>
      </c>
      <c r="J209" s="13">
        <f t="shared" si="33"/>
        <v>2000</v>
      </c>
      <c r="K209" s="13">
        <f t="shared" si="34"/>
        <v>2500</v>
      </c>
      <c r="L209" s="14">
        <f t="shared" si="35"/>
        <v>0.55555555555555558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2">
        <v>0.5</v>
      </c>
      <c r="B210" s="10" t="s">
        <v>17</v>
      </c>
      <c r="C210" s="6" t="s">
        <v>88</v>
      </c>
      <c r="D210" s="13">
        <v>2200</v>
      </c>
      <c r="E210" s="13">
        <f t="shared" si="32"/>
        <v>1100</v>
      </c>
      <c r="F210" s="2"/>
      <c r="G210" s="2"/>
      <c r="H210" s="2"/>
      <c r="I210" s="13">
        <f>13000/14</f>
        <v>928.57142857142856</v>
      </c>
      <c r="J210" s="13">
        <f t="shared" si="33"/>
        <v>464.28571428571428</v>
      </c>
      <c r="K210" s="13">
        <f t="shared" si="34"/>
        <v>635.71428571428578</v>
      </c>
      <c r="L210" s="14">
        <f t="shared" si="35"/>
        <v>0.57792207792207795</v>
      </c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2">
        <v>3</v>
      </c>
      <c r="B211" s="10" t="s">
        <v>17</v>
      </c>
      <c r="C211" s="6" t="s">
        <v>81</v>
      </c>
      <c r="D211" s="13">
        <v>1800</v>
      </c>
      <c r="E211" s="13">
        <f t="shared" si="32"/>
        <v>5400</v>
      </c>
      <c r="F211" s="2"/>
      <c r="G211" s="2"/>
      <c r="H211" s="2"/>
      <c r="I211" s="13">
        <f>12000/15</f>
        <v>800</v>
      </c>
      <c r="J211" s="13">
        <f t="shared" si="33"/>
        <v>2400</v>
      </c>
      <c r="K211" s="13">
        <f t="shared" si="34"/>
        <v>3000</v>
      </c>
      <c r="L211" s="14">
        <f t="shared" si="35"/>
        <v>0.55555555555555558</v>
      </c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2">
        <v>3</v>
      </c>
      <c r="B212" s="10" t="s">
        <v>4</v>
      </c>
      <c r="C212" s="6" t="s">
        <v>65</v>
      </c>
      <c r="D212" s="13">
        <v>1200</v>
      </c>
      <c r="E212" s="13">
        <f t="shared" si="32"/>
        <v>3600</v>
      </c>
      <c r="F212" s="2"/>
      <c r="G212" s="2"/>
      <c r="H212" s="2"/>
      <c r="I212" s="13">
        <f>27000/50</f>
        <v>540</v>
      </c>
      <c r="J212" s="13">
        <f t="shared" si="33"/>
        <v>1620</v>
      </c>
      <c r="K212" s="13">
        <f t="shared" si="34"/>
        <v>1980</v>
      </c>
      <c r="L212" s="14">
        <f t="shared" si="35"/>
        <v>0.55000000000000004</v>
      </c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"/>
      <c r="B213" s="2"/>
      <c r="C213" s="1"/>
      <c r="D213" s="2"/>
      <c r="E213" s="2"/>
      <c r="F213" s="2"/>
      <c r="G213" s="1"/>
      <c r="H213" s="2"/>
      <c r="I213" s="2"/>
      <c r="J213" s="2"/>
      <c r="K213" s="2"/>
      <c r="L213" s="3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"/>
      <c r="B214" s="2"/>
      <c r="C214" s="1"/>
      <c r="D214" s="2"/>
      <c r="E214" s="13">
        <f>SUM(E207:E212)</f>
        <v>24700</v>
      </c>
      <c r="F214" s="2"/>
      <c r="G214" s="2"/>
      <c r="H214" s="2"/>
      <c r="I214" s="2"/>
      <c r="J214" s="2"/>
      <c r="K214" s="13">
        <f>SUM(K207:K212)</f>
        <v>12115.714285714286</v>
      </c>
      <c r="L214" s="14">
        <f>K214/E214</f>
        <v>0.49051474840948528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0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0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88" t="s">
        <v>140</v>
      </c>
      <c r="B217" s="89"/>
      <c r="C217" s="89"/>
      <c r="D217" s="2"/>
      <c r="E217" s="7" t="s">
        <v>95</v>
      </c>
      <c r="F217" s="8">
        <v>46133</v>
      </c>
      <c r="G217" s="7"/>
      <c r="H217" s="2"/>
      <c r="I217" s="9" t="s">
        <v>2</v>
      </c>
      <c r="J217" s="9"/>
      <c r="K217" s="9"/>
      <c r="L217" s="3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3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6" t="s">
        <v>3</v>
      </c>
      <c r="B219" s="10" t="s">
        <v>4</v>
      </c>
      <c r="C219" s="11" t="s">
        <v>5</v>
      </c>
      <c r="D219" s="10" t="s">
        <v>6</v>
      </c>
      <c r="E219" s="10" t="s">
        <v>7</v>
      </c>
      <c r="F219" s="10" t="s">
        <v>8</v>
      </c>
      <c r="G219" s="2"/>
      <c r="H219" s="2"/>
      <c r="I219" s="10" t="s">
        <v>9</v>
      </c>
      <c r="J219" s="10" t="s">
        <v>7</v>
      </c>
      <c r="K219" s="10" t="s">
        <v>10</v>
      </c>
      <c r="L219" s="3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3</v>
      </c>
      <c r="B220" s="10" t="s">
        <v>15</v>
      </c>
      <c r="C220" s="11" t="s">
        <v>56</v>
      </c>
      <c r="D220" s="13">
        <v>16000</v>
      </c>
      <c r="E220" s="13">
        <f t="shared" ref="E220:E224" si="36">A220*D220</f>
        <v>48000</v>
      </c>
      <c r="F220" s="13">
        <f t="shared" ref="F220:F224" si="37">E220*1.105</f>
        <v>53040</v>
      </c>
      <c r="G220" s="2"/>
      <c r="H220" s="2"/>
      <c r="I220" s="13">
        <v>11000</v>
      </c>
      <c r="J220" s="13">
        <f t="shared" ref="J220:J224" si="38">I220*A220</f>
        <v>33000</v>
      </c>
      <c r="K220" s="13">
        <f t="shared" ref="K220:K224" si="39">F220-J220</f>
        <v>20040</v>
      </c>
      <c r="L220" s="14">
        <f t="shared" ref="L220:L221" si="40">IFERROR(K220/E220, 0)</f>
        <v>0.41749999999999998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2">
        <v>1</v>
      </c>
      <c r="B221" s="10" t="s">
        <v>23</v>
      </c>
      <c r="C221" s="11" t="s">
        <v>81</v>
      </c>
      <c r="D221" s="13">
        <v>18000</v>
      </c>
      <c r="E221" s="13">
        <f t="shared" si="36"/>
        <v>18000</v>
      </c>
      <c r="F221" s="13">
        <f t="shared" si="37"/>
        <v>19890</v>
      </c>
      <c r="G221" s="2"/>
      <c r="H221" s="2"/>
      <c r="I221" s="13">
        <v>12000</v>
      </c>
      <c r="J221" s="13">
        <f t="shared" si="38"/>
        <v>12000</v>
      </c>
      <c r="K221" s="13">
        <f t="shared" si="39"/>
        <v>7890</v>
      </c>
      <c r="L221" s="14">
        <f t="shared" si="40"/>
        <v>0.43833333333333335</v>
      </c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2">
        <v>1</v>
      </c>
      <c r="B222" s="10" t="s">
        <v>21</v>
      </c>
      <c r="C222" s="11" t="s">
        <v>42</v>
      </c>
      <c r="D222" s="13">
        <v>4000</v>
      </c>
      <c r="E222" s="13">
        <f t="shared" si="36"/>
        <v>4000</v>
      </c>
      <c r="F222" s="13">
        <f t="shared" si="37"/>
        <v>4420</v>
      </c>
      <c r="G222" s="2"/>
      <c r="H222" s="2"/>
      <c r="I222" s="13">
        <v>1300</v>
      </c>
      <c r="J222" s="13">
        <f t="shared" si="38"/>
        <v>1300</v>
      </c>
      <c r="K222" s="13">
        <f t="shared" si="39"/>
        <v>3120</v>
      </c>
      <c r="L222" s="18">
        <f>IFERROR(K222/E222, 0)</f>
        <v>0.78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2">
        <v>15</v>
      </c>
      <c r="B223" s="10" t="s">
        <v>21</v>
      </c>
      <c r="C223" s="11" t="s">
        <v>46</v>
      </c>
      <c r="D223" s="13">
        <v>500</v>
      </c>
      <c r="E223" s="13">
        <f t="shared" si="36"/>
        <v>7500</v>
      </c>
      <c r="F223" s="13">
        <f t="shared" si="37"/>
        <v>8287.5</v>
      </c>
      <c r="G223" s="2"/>
      <c r="H223" s="2"/>
      <c r="I223" s="13">
        <v>291</v>
      </c>
      <c r="J223" s="13">
        <f t="shared" si="38"/>
        <v>4365</v>
      </c>
      <c r="K223" s="13">
        <f t="shared" si="39"/>
        <v>3922.5</v>
      </c>
      <c r="L223" s="14">
        <f t="shared" ref="L223:L224" si="41">IFERROR(K223/E223, 0)</f>
        <v>0.52300000000000002</v>
      </c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2">
        <v>1</v>
      </c>
      <c r="B224" s="10" t="s">
        <v>21</v>
      </c>
      <c r="C224" s="11" t="s">
        <v>29</v>
      </c>
      <c r="D224" s="13">
        <v>3000</v>
      </c>
      <c r="E224" s="13">
        <f t="shared" si="36"/>
        <v>3000</v>
      </c>
      <c r="F224" s="13">
        <f t="shared" si="37"/>
        <v>3315</v>
      </c>
      <c r="G224" s="2"/>
      <c r="H224" s="2"/>
      <c r="I224" s="13">
        <v>1500</v>
      </c>
      <c r="J224" s="13">
        <f t="shared" si="38"/>
        <v>1500</v>
      </c>
      <c r="K224" s="13">
        <f t="shared" si="39"/>
        <v>1815</v>
      </c>
      <c r="L224" s="14">
        <f t="shared" si="41"/>
        <v>0.60499999999999998</v>
      </c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"/>
      <c r="B225" s="2"/>
      <c r="C225" s="4"/>
      <c r="D225" s="2"/>
      <c r="E225" s="2"/>
      <c r="F225" s="13"/>
      <c r="G225" s="2"/>
      <c r="H225" s="2"/>
      <c r="I225" s="2"/>
      <c r="J225" s="2"/>
      <c r="K225" s="2"/>
      <c r="L225" s="3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"/>
      <c r="B226" s="2"/>
      <c r="C226" s="4"/>
      <c r="D226" s="2"/>
      <c r="E226" s="13">
        <f t="shared" ref="E226:F226" si="42">SUM(E220:E224)</f>
        <v>80500</v>
      </c>
      <c r="F226" s="13">
        <f t="shared" si="42"/>
        <v>88952.5</v>
      </c>
      <c r="G226" s="2"/>
      <c r="H226" s="2"/>
      <c r="I226" s="2"/>
      <c r="J226" s="2"/>
      <c r="K226" s="13">
        <f>SUM(K220:K224)</f>
        <v>36787.5</v>
      </c>
      <c r="L226" s="14">
        <f>K226/F226</f>
        <v>0.41356341867850821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0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0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0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0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88" t="s">
        <v>47</v>
      </c>
      <c r="B231" s="89"/>
      <c r="C231" s="89"/>
      <c r="D231" s="2"/>
      <c r="E231" s="7" t="s">
        <v>953</v>
      </c>
      <c r="F231" s="8">
        <v>46133</v>
      </c>
      <c r="G231" s="7"/>
      <c r="H231" s="2"/>
      <c r="I231" s="9" t="s">
        <v>2</v>
      </c>
      <c r="J231" s="9"/>
      <c r="K231" s="9"/>
      <c r="L231" s="3"/>
      <c r="M231" s="1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5.75" customHeight="1" x14ac:dyDescent="0.2">
      <c r="A232" s="1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3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6" t="s">
        <v>3</v>
      </c>
      <c r="B233" s="10" t="s">
        <v>4</v>
      </c>
      <c r="C233" s="11" t="s">
        <v>5</v>
      </c>
      <c r="D233" s="10" t="s">
        <v>6</v>
      </c>
      <c r="E233" s="10" t="s">
        <v>7</v>
      </c>
      <c r="F233" s="10" t="s">
        <v>8</v>
      </c>
      <c r="G233" s="2"/>
      <c r="H233" s="2"/>
      <c r="I233" s="10" t="s">
        <v>9</v>
      </c>
      <c r="J233" s="10" t="s">
        <v>7</v>
      </c>
      <c r="K233" s="10" t="s">
        <v>10</v>
      </c>
      <c r="L233" s="3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3</v>
      </c>
      <c r="B234" s="10" t="s">
        <v>15</v>
      </c>
      <c r="C234" s="11" t="s">
        <v>27</v>
      </c>
      <c r="D234" s="13">
        <v>25000</v>
      </c>
      <c r="E234" s="13">
        <f t="shared" ref="E234:E266" si="43">A234*D234</f>
        <v>75000</v>
      </c>
      <c r="F234" s="13">
        <f t="shared" ref="F234:F265" si="44">E234*1.105</f>
        <v>82875</v>
      </c>
      <c r="G234" s="2"/>
      <c r="H234" s="2"/>
      <c r="I234" s="13">
        <v>18300</v>
      </c>
      <c r="J234" s="13">
        <f t="shared" ref="J234:J266" si="45">I234*A234</f>
        <v>54900</v>
      </c>
      <c r="K234" s="13">
        <f t="shared" ref="K234:K266" si="46">F234-J234</f>
        <v>27975</v>
      </c>
      <c r="L234" s="18">
        <f t="shared" ref="L234:L266" si="47">IFERROR(K234/E234, 0)</f>
        <v>0.373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1</v>
      </c>
      <c r="B235" s="10" t="s">
        <v>15</v>
      </c>
      <c r="C235" s="11" t="s">
        <v>129</v>
      </c>
      <c r="D235" s="13">
        <v>16000</v>
      </c>
      <c r="E235" s="13">
        <f t="shared" si="43"/>
        <v>16000</v>
      </c>
      <c r="F235" s="13">
        <f t="shared" si="44"/>
        <v>17680</v>
      </c>
      <c r="G235" s="2"/>
      <c r="H235" s="2"/>
      <c r="I235" s="13">
        <v>11000</v>
      </c>
      <c r="J235" s="13">
        <f t="shared" si="45"/>
        <v>11000</v>
      </c>
      <c r="K235" s="13">
        <f t="shared" si="46"/>
        <v>6680</v>
      </c>
      <c r="L235" s="18">
        <f t="shared" si="47"/>
        <v>0.41749999999999998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1</v>
      </c>
      <c r="B236" s="10" t="s">
        <v>15</v>
      </c>
      <c r="C236" s="11" t="s">
        <v>16</v>
      </c>
      <c r="D236" s="13">
        <v>13000</v>
      </c>
      <c r="E236" s="13">
        <f t="shared" si="43"/>
        <v>13000</v>
      </c>
      <c r="F236" s="13">
        <f t="shared" si="44"/>
        <v>14365</v>
      </c>
      <c r="G236" s="2"/>
      <c r="H236" s="2"/>
      <c r="I236" s="13">
        <v>8000</v>
      </c>
      <c r="J236" s="13">
        <f t="shared" si="45"/>
        <v>8000</v>
      </c>
      <c r="K236" s="13">
        <f t="shared" si="46"/>
        <v>6365</v>
      </c>
      <c r="L236" s="18">
        <f t="shared" si="47"/>
        <v>0.48961538461538462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8</v>
      </c>
      <c r="B237" s="10" t="s">
        <v>17</v>
      </c>
      <c r="C237" s="11" t="s">
        <v>39</v>
      </c>
      <c r="D237" s="13">
        <v>1600</v>
      </c>
      <c r="E237" s="13">
        <f t="shared" si="43"/>
        <v>12800</v>
      </c>
      <c r="F237" s="13">
        <f t="shared" si="44"/>
        <v>14144</v>
      </c>
      <c r="G237" s="2"/>
      <c r="H237" s="2"/>
      <c r="I237" s="13">
        <f>17000/15</f>
        <v>1133.3333333333333</v>
      </c>
      <c r="J237" s="13">
        <f t="shared" si="45"/>
        <v>9066.6666666666661</v>
      </c>
      <c r="K237" s="13">
        <f t="shared" si="46"/>
        <v>5077.3333333333339</v>
      </c>
      <c r="L237" s="18">
        <f t="shared" si="47"/>
        <v>0.39666666666666672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2">
        <v>12</v>
      </c>
      <c r="B238" s="10" t="s">
        <v>21</v>
      </c>
      <c r="C238" s="11" t="s">
        <v>46</v>
      </c>
      <c r="D238" s="13">
        <v>600</v>
      </c>
      <c r="E238" s="13">
        <f t="shared" si="43"/>
        <v>7200</v>
      </c>
      <c r="F238" s="13">
        <f t="shared" si="44"/>
        <v>7956</v>
      </c>
      <c r="G238" s="2"/>
      <c r="H238" s="2"/>
      <c r="I238" s="13">
        <f>7000/24</f>
        <v>291.66666666666669</v>
      </c>
      <c r="J238" s="13">
        <f t="shared" si="45"/>
        <v>3500</v>
      </c>
      <c r="K238" s="13">
        <f t="shared" si="46"/>
        <v>4456</v>
      </c>
      <c r="L238" s="18">
        <f t="shared" si="47"/>
        <v>0.61888888888888893</v>
      </c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2">
        <v>1</v>
      </c>
      <c r="B239" s="10" t="s">
        <v>17</v>
      </c>
      <c r="C239" s="11" t="s">
        <v>43</v>
      </c>
      <c r="D239" s="13">
        <v>5000</v>
      </c>
      <c r="E239" s="13">
        <f t="shared" si="43"/>
        <v>5000</v>
      </c>
      <c r="F239" s="13">
        <f t="shared" si="44"/>
        <v>5525</v>
      </c>
      <c r="G239" s="2"/>
      <c r="H239" s="2"/>
      <c r="I239" s="13">
        <f>15000/4</f>
        <v>3750</v>
      </c>
      <c r="J239" s="13">
        <f t="shared" si="45"/>
        <v>3750</v>
      </c>
      <c r="K239" s="13">
        <f t="shared" si="46"/>
        <v>1775</v>
      </c>
      <c r="L239" s="18">
        <f t="shared" si="47"/>
        <v>0.35499999999999998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2">
        <v>4</v>
      </c>
      <c r="B240" s="10" t="s">
        <v>21</v>
      </c>
      <c r="C240" s="11" t="s">
        <v>130</v>
      </c>
      <c r="D240" s="13">
        <v>1400</v>
      </c>
      <c r="E240" s="13">
        <f t="shared" si="43"/>
        <v>5600</v>
      </c>
      <c r="F240" s="13">
        <f t="shared" si="44"/>
        <v>6188</v>
      </c>
      <c r="G240" s="2"/>
      <c r="H240" s="2"/>
      <c r="I240" s="13">
        <v>1000</v>
      </c>
      <c r="J240" s="13">
        <f t="shared" si="45"/>
        <v>4000</v>
      </c>
      <c r="K240" s="13">
        <f t="shared" si="46"/>
        <v>2188</v>
      </c>
      <c r="L240" s="18">
        <f t="shared" si="47"/>
        <v>0.39071428571428574</v>
      </c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2">
        <v>0.5</v>
      </c>
      <c r="B241" s="10" t="s">
        <v>21</v>
      </c>
      <c r="C241" s="11" t="s">
        <v>42</v>
      </c>
      <c r="D241" s="13">
        <v>4500</v>
      </c>
      <c r="E241" s="13">
        <f t="shared" si="43"/>
        <v>2250</v>
      </c>
      <c r="F241" s="13">
        <f t="shared" si="44"/>
        <v>2486.25</v>
      </c>
      <c r="G241" s="2"/>
      <c r="H241" s="2"/>
      <c r="I241" s="13">
        <v>1300</v>
      </c>
      <c r="J241" s="13">
        <f t="shared" si="45"/>
        <v>650</v>
      </c>
      <c r="K241" s="13">
        <f t="shared" si="46"/>
        <v>1836.25</v>
      </c>
      <c r="L241" s="18">
        <f t="shared" si="47"/>
        <v>0.81611111111111112</v>
      </c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2">
        <v>0.5</v>
      </c>
      <c r="B242" s="10" t="s">
        <v>21</v>
      </c>
      <c r="C242" s="11" t="s">
        <v>29</v>
      </c>
      <c r="D242" s="13">
        <v>3500</v>
      </c>
      <c r="E242" s="13">
        <f t="shared" si="43"/>
        <v>1750</v>
      </c>
      <c r="F242" s="13">
        <f t="shared" si="44"/>
        <v>1933.75</v>
      </c>
      <c r="G242" s="2"/>
      <c r="H242" s="2"/>
      <c r="I242" s="13">
        <v>1200</v>
      </c>
      <c r="J242" s="13">
        <f t="shared" si="45"/>
        <v>600</v>
      </c>
      <c r="K242" s="13">
        <f t="shared" si="46"/>
        <v>1333.75</v>
      </c>
      <c r="L242" s="18">
        <f t="shared" si="47"/>
        <v>0.76214285714285712</v>
      </c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2">
        <v>1</v>
      </c>
      <c r="B243" s="10" t="s">
        <v>21</v>
      </c>
      <c r="C243" s="11" t="s">
        <v>133</v>
      </c>
      <c r="D243" s="13">
        <v>3000</v>
      </c>
      <c r="E243" s="13">
        <f t="shared" si="43"/>
        <v>3000</v>
      </c>
      <c r="F243" s="13">
        <f t="shared" si="44"/>
        <v>3315</v>
      </c>
      <c r="G243" s="2"/>
      <c r="H243" s="2"/>
      <c r="I243" s="13">
        <v>1000</v>
      </c>
      <c r="J243" s="13">
        <f t="shared" si="45"/>
        <v>1000</v>
      </c>
      <c r="K243" s="13">
        <f t="shared" si="46"/>
        <v>2315</v>
      </c>
      <c r="L243" s="18">
        <f t="shared" si="47"/>
        <v>0.77166666666666661</v>
      </c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2">
        <v>4</v>
      </c>
      <c r="B244" s="10" t="s">
        <v>21</v>
      </c>
      <c r="C244" s="11" t="s">
        <v>22</v>
      </c>
      <c r="D244" s="13">
        <v>1700</v>
      </c>
      <c r="E244" s="13">
        <f t="shared" si="43"/>
        <v>6800</v>
      </c>
      <c r="F244" s="13">
        <f t="shared" si="44"/>
        <v>7514</v>
      </c>
      <c r="G244" s="2"/>
      <c r="H244" s="2"/>
      <c r="I244" s="13">
        <f>1300</f>
        <v>1300</v>
      </c>
      <c r="J244" s="13">
        <f t="shared" si="45"/>
        <v>5200</v>
      </c>
      <c r="K244" s="13">
        <f t="shared" si="46"/>
        <v>2314</v>
      </c>
      <c r="L244" s="18">
        <f t="shared" si="47"/>
        <v>0.3402941176470588</v>
      </c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3</v>
      </c>
      <c r="B245" s="10" t="s">
        <v>17</v>
      </c>
      <c r="C245" s="11" t="s">
        <v>56</v>
      </c>
      <c r="D245" s="13">
        <v>1200</v>
      </c>
      <c r="E245" s="13">
        <f t="shared" si="43"/>
        <v>3600</v>
      </c>
      <c r="F245" s="13">
        <f t="shared" si="44"/>
        <v>3978</v>
      </c>
      <c r="G245" s="2"/>
      <c r="H245" s="2"/>
      <c r="I245" s="13">
        <f>9000/15</f>
        <v>600</v>
      </c>
      <c r="J245" s="13">
        <f t="shared" si="45"/>
        <v>1800</v>
      </c>
      <c r="K245" s="13">
        <f t="shared" si="46"/>
        <v>2178</v>
      </c>
      <c r="L245" s="18">
        <f t="shared" si="47"/>
        <v>0.60499999999999998</v>
      </c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2</v>
      </c>
      <c r="B246" s="10" t="s">
        <v>17</v>
      </c>
      <c r="C246" s="11" t="s">
        <v>18</v>
      </c>
      <c r="D246" s="13">
        <v>1600</v>
      </c>
      <c r="E246" s="13">
        <f t="shared" si="43"/>
        <v>3200</v>
      </c>
      <c r="F246" s="13">
        <f t="shared" si="44"/>
        <v>3536</v>
      </c>
      <c r="G246" s="2"/>
      <c r="H246" s="2"/>
      <c r="I246" s="13">
        <f>12000/14</f>
        <v>857.14285714285711</v>
      </c>
      <c r="J246" s="13">
        <f t="shared" si="45"/>
        <v>1714.2857142857142</v>
      </c>
      <c r="K246" s="13">
        <f t="shared" si="46"/>
        <v>1821.7142857142858</v>
      </c>
      <c r="L246" s="18">
        <f t="shared" si="47"/>
        <v>0.56928571428571428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2</v>
      </c>
      <c r="B247" s="10" t="s">
        <v>17</v>
      </c>
      <c r="C247" s="11" t="s">
        <v>144</v>
      </c>
      <c r="D247" s="13">
        <v>4500</v>
      </c>
      <c r="E247" s="13">
        <f t="shared" si="43"/>
        <v>9000</v>
      </c>
      <c r="F247" s="13">
        <f t="shared" si="44"/>
        <v>9945</v>
      </c>
      <c r="G247" s="2"/>
      <c r="H247" s="2"/>
      <c r="I247" s="13">
        <f>25000/7</f>
        <v>3571.4285714285716</v>
      </c>
      <c r="J247" s="13">
        <f t="shared" si="45"/>
        <v>7142.8571428571431</v>
      </c>
      <c r="K247" s="13">
        <f t="shared" si="46"/>
        <v>2802.1428571428569</v>
      </c>
      <c r="L247" s="18">
        <f t="shared" si="47"/>
        <v>0.31134920634920632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2</v>
      </c>
      <c r="B248" s="10" t="s">
        <v>17</v>
      </c>
      <c r="C248" s="11" t="s">
        <v>31</v>
      </c>
      <c r="D248" s="13">
        <v>3200</v>
      </c>
      <c r="E248" s="13">
        <f t="shared" si="43"/>
        <v>6400</v>
      </c>
      <c r="F248" s="13">
        <f t="shared" si="44"/>
        <v>7072</v>
      </c>
      <c r="G248" s="2"/>
      <c r="H248" s="2"/>
      <c r="I248" s="13">
        <f>12000/7</f>
        <v>1714.2857142857142</v>
      </c>
      <c r="J248" s="13">
        <f t="shared" si="45"/>
        <v>3428.5714285714284</v>
      </c>
      <c r="K248" s="13">
        <f t="shared" si="46"/>
        <v>3643.4285714285716</v>
      </c>
      <c r="L248" s="18">
        <f t="shared" si="47"/>
        <v>0.56928571428571428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</v>
      </c>
      <c r="B249" s="10" t="s">
        <v>17</v>
      </c>
      <c r="C249" s="11" t="s">
        <v>32</v>
      </c>
      <c r="D249" s="13">
        <v>2400</v>
      </c>
      <c r="E249" s="13">
        <f t="shared" si="43"/>
        <v>2400</v>
      </c>
      <c r="F249" s="13">
        <f t="shared" si="44"/>
        <v>2652</v>
      </c>
      <c r="G249" s="2"/>
      <c r="H249" s="2"/>
      <c r="I249" s="13">
        <f>8000/7</f>
        <v>1142.8571428571429</v>
      </c>
      <c r="J249" s="13">
        <f t="shared" si="45"/>
        <v>1142.8571428571429</v>
      </c>
      <c r="K249" s="13">
        <f t="shared" si="46"/>
        <v>1509.1428571428571</v>
      </c>
      <c r="L249" s="18">
        <f t="shared" si="47"/>
        <v>0.62880952380952382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1</v>
      </c>
      <c r="B250" s="10" t="s">
        <v>17</v>
      </c>
      <c r="C250" s="11" t="s">
        <v>33</v>
      </c>
      <c r="D250" s="13">
        <v>2800</v>
      </c>
      <c r="E250" s="13">
        <f t="shared" si="43"/>
        <v>2800</v>
      </c>
      <c r="F250" s="13">
        <f t="shared" si="44"/>
        <v>3094</v>
      </c>
      <c r="G250" s="2"/>
      <c r="H250" s="2"/>
      <c r="I250" s="13">
        <v>2000</v>
      </c>
      <c r="J250" s="13">
        <f t="shared" si="45"/>
        <v>2000</v>
      </c>
      <c r="K250" s="13">
        <f t="shared" si="46"/>
        <v>1094</v>
      </c>
      <c r="L250" s="18">
        <f t="shared" si="47"/>
        <v>0.39071428571428574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2</v>
      </c>
      <c r="B251" s="10" t="s">
        <v>17</v>
      </c>
      <c r="C251" s="11" t="s">
        <v>82</v>
      </c>
      <c r="D251" s="13">
        <v>2200</v>
      </c>
      <c r="E251" s="13">
        <f t="shared" si="43"/>
        <v>4400</v>
      </c>
      <c r="F251" s="13">
        <f t="shared" si="44"/>
        <v>4862</v>
      </c>
      <c r="G251" s="2"/>
      <c r="H251" s="2"/>
      <c r="I251" s="13">
        <f>16500/14</f>
        <v>1178.5714285714287</v>
      </c>
      <c r="J251" s="13">
        <f t="shared" si="45"/>
        <v>2357.1428571428573</v>
      </c>
      <c r="K251" s="13">
        <f t="shared" si="46"/>
        <v>2504.8571428571427</v>
      </c>
      <c r="L251" s="18">
        <f t="shared" si="47"/>
        <v>0.56928571428571428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3</v>
      </c>
      <c r="B252" s="10" t="s">
        <v>4</v>
      </c>
      <c r="C252" s="11" t="s">
        <v>14</v>
      </c>
      <c r="D252" s="13">
        <v>3200</v>
      </c>
      <c r="E252" s="13">
        <f t="shared" si="43"/>
        <v>9600</v>
      </c>
      <c r="F252" s="13">
        <f t="shared" si="44"/>
        <v>10608</v>
      </c>
      <c r="G252" s="2"/>
      <c r="H252" s="2"/>
      <c r="I252" s="13">
        <v>2250</v>
      </c>
      <c r="J252" s="13">
        <f t="shared" si="45"/>
        <v>6750</v>
      </c>
      <c r="K252" s="13">
        <f t="shared" si="46"/>
        <v>3858</v>
      </c>
      <c r="L252" s="18">
        <f t="shared" si="47"/>
        <v>0.40187499999999998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0.7</v>
      </c>
      <c r="B253" s="10" t="s">
        <v>17</v>
      </c>
      <c r="C253" s="11" t="s">
        <v>35</v>
      </c>
      <c r="D253" s="13">
        <v>2500</v>
      </c>
      <c r="E253" s="13">
        <f t="shared" si="43"/>
        <v>1750</v>
      </c>
      <c r="F253" s="13">
        <f t="shared" si="44"/>
        <v>1933.75</v>
      </c>
      <c r="G253" s="2"/>
      <c r="H253" s="2"/>
      <c r="I253" s="13">
        <f>14000/9</f>
        <v>1555.5555555555557</v>
      </c>
      <c r="J253" s="13">
        <f t="shared" si="45"/>
        <v>1088.8888888888889</v>
      </c>
      <c r="K253" s="13">
        <f t="shared" si="46"/>
        <v>844.86111111111109</v>
      </c>
      <c r="L253" s="18">
        <f t="shared" si="47"/>
        <v>0.48277777777777775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0.8</v>
      </c>
      <c r="B254" s="10" t="s">
        <v>17</v>
      </c>
      <c r="C254" s="11" t="s">
        <v>93</v>
      </c>
      <c r="D254" s="13">
        <v>3000</v>
      </c>
      <c r="E254" s="13">
        <f t="shared" si="43"/>
        <v>2400</v>
      </c>
      <c r="F254" s="13">
        <f t="shared" si="44"/>
        <v>2652</v>
      </c>
      <c r="G254" s="2"/>
      <c r="H254" s="2"/>
      <c r="I254" s="13">
        <f>10000/7</f>
        <v>1428.5714285714287</v>
      </c>
      <c r="J254" s="13">
        <f t="shared" si="45"/>
        <v>1142.8571428571429</v>
      </c>
      <c r="K254" s="13">
        <f t="shared" si="46"/>
        <v>1509.1428571428571</v>
      </c>
      <c r="L254" s="82">
        <f t="shared" si="47"/>
        <v>0.62880952380952382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0.6</v>
      </c>
      <c r="B255" s="10" t="s">
        <v>17</v>
      </c>
      <c r="C255" s="11" t="s">
        <v>52</v>
      </c>
      <c r="D255" s="13">
        <v>2000</v>
      </c>
      <c r="E255" s="13">
        <f t="shared" si="43"/>
        <v>1200</v>
      </c>
      <c r="F255" s="13">
        <f t="shared" si="44"/>
        <v>1326</v>
      </c>
      <c r="G255" s="2"/>
      <c r="H255" s="2"/>
      <c r="I255" s="13">
        <v>2000</v>
      </c>
      <c r="J255" s="13">
        <f t="shared" si="45"/>
        <v>1200</v>
      </c>
      <c r="K255" s="13">
        <f t="shared" si="46"/>
        <v>126</v>
      </c>
      <c r="L255" s="18">
        <f t="shared" si="47"/>
        <v>0.105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4</v>
      </c>
      <c r="B256" s="10" t="s">
        <v>17</v>
      </c>
      <c r="C256" s="11" t="s">
        <v>40</v>
      </c>
      <c r="D256" s="13">
        <v>1400</v>
      </c>
      <c r="E256" s="13">
        <f t="shared" si="43"/>
        <v>5600</v>
      </c>
      <c r="F256" s="13">
        <f t="shared" si="44"/>
        <v>6188</v>
      </c>
      <c r="G256" s="2"/>
      <c r="H256" s="2"/>
      <c r="I256" s="13">
        <f>8000/8</f>
        <v>1000</v>
      </c>
      <c r="J256" s="13">
        <f t="shared" si="45"/>
        <v>4000</v>
      </c>
      <c r="K256" s="13">
        <f t="shared" si="46"/>
        <v>2188</v>
      </c>
      <c r="L256" s="18">
        <f t="shared" si="47"/>
        <v>0.39071428571428574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1.2</v>
      </c>
      <c r="B257" s="10" t="s">
        <v>17</v>
      </c>
      <c r="C257" s="11" t="s">
        <v>38</v>
      </c>
      <c r="D257" s="13">
        <v>1800</v>
      </c>
      <c r="E257" s="13">
        <f t="shared" si="43"/>
        <v>2160</v>
      </c>
      <c r="F257" s="13">
        <f t="shared" si="44"/>
        <v>2386.8000000000002</v>
      </c>
      <c r="G257" s="2"/>
      <c r="H257" s="2"/>
      <c r="I257" s="13">
        <v>800</v>
      </c>
      <c r="J257" s="13">
        <f t="shared" si="45"/>
        <v>960</v>
      </c>
      <c r="K257" s="13">
        <f t="shared" si="46"/>
        <v>1426.8000000000002</v>
      </c>
      <c r="L257" s="18">
        <f t="shared" si="47"/>
        <v>0.66055555555555567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1</v>
      </c>
      <c r="B258" s="10" t="s">
        <v>17</v>
      </c>
      <c r="C258" s="11" t="s">
        <v>36</v>
      </c>
      <c r="D258" s="13">
        <v>1800</v>
      </c>
      <c r="E258" s="13">
        <f t="shared" si="43"/>
        <v>1800</v>
      </c>
      <c r="F258" s="13">
        <f t="shared" si="44"/>
        <v>1989</v>
      </c>
      <c r="G258" s="2"/>
      <c r="H258" s="2"/>
      <c r="I258" s="13">
        <v>800</v>
      </c>
      <c r="J258" s="13">
        <f t="shared" si="45"/>
        <v>800</v>
      </c>
      <c r="K258" s="13">
        <f t="shared" si="46"/>
        <v>1189</v>
      </c>
      <c r="L258" s="18">
        <f t="shared" si="47"/>
        <v>0.66055555555555556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3</v>
      </c>
      <c r="B259" s="10" t="s">
        <v>4</v>
      </c>
      <c r="C259" s="11" t="s">
        <v>65</v>
      </c>
      <c r="D259" s="13">
        <v>1000</v>
      </c>
      <c r="E259" s="13">
        <f t="shared" si="43"/>
        <v>3000</v>
      </c>
      <c r="F259" s="13">
        <f t="shared" si="44"/>
        <v>3315</v>
      </c>
      <c r="G259" s="2"/>
      <c r="H259" s="2"/>
      <c r="I259" s="13">
        <f>27000/50</f>
        <v>540</v>
      </c>
      <c r="J259" s="13">
        <f t="shared" si="45"/>
        <v>1620</v>
      </c>
      <c r="K259" s="13">
        <f t="shared" si="46"/>
        <v>1695</v>
      </c>
      <c r="L259" s="18">
        <f t="shared" si="47"/>
        <v>0.56499999999999995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1</v>
      </c>
      <c r="B260" s="10" t="s">
        <v>4</v>
      </c>
      <c r="C260" s="11" t="s">
        <v>13</v>
      </c>
      <c r="D260" s="13">
        <v>900</v>
      </c>
      <c r="E260" s="13">
        <f t="shared" si="43"/>
        <v>900</v>
      </c>
      <c r="F260" s="13">
        <f t="shared" si="44"/>
        <v>994.5</v>
      </c>
      <c r="G260" s="2"/>
      <c r="H260" s="2"/>
      <c r="I260" s="13">
        <f>28000/50</f>
        <v>560</v>
      </c>
      <c r="J260" s="13">
        <f t="shared" si="45"/>
        <v>560</v>
      </c>
      <c r="K260" s="13">
        <f t="shared" si="46"/>
        <v>434.5</v>
      </c>
      <c r="L260" s="18">
        <f t="shared" si="47"/>
        <v>0.48277777777777775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2</v>
      </c>
      <c r="B261" s="10" t="s">
        <v>23</v>
      </c>
      <c r="C261" s="11" t="s">
        <v>26</v>
      </c>
      <c r="D261" s="13">
        <v>22000</v>
      </c>
      <c r="E261" s="13">
        <f t="shared" si="43"/>
        <v>44000</v>
      </c>
      <c r="F261" s="13">
        <f t="shared" si="44"/>
        <v>48620</v>
      </c>
      <c r="G261" s="2"/>
      <c r="H261" s="2"/>
      <c r="I261" s="13">
        <v>16000</v>
      </c>
      <c r="J261" s="13">
        <f t="shared" si="45"/>
        <v>32000</v>
      </c>
      <c r="K261" s="13">
        <f t="shared" si="46"/>
        <v>16620</v>
      </c>
      <c r="L261" s="18">
        <f t="shared" si="47"/>
        <v>0.37772727272727274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4</v>
      </c>
      <c r="B262" s="10" t="s">
        <v>17</v>
      </c>
      <c r="C262" s="11" t="s">
        <v>24</v>
      </c>
      <c r="D262" s="13">
        <v>3600</v>
      </c>
      <c r="E262" s="13">
        <f t="shared" si="43"/>
        <v>14400</v>
      </c>
      <c r="F262" s="13">
        <f t="shared" si="44"/>
        <v>15912</v>
      </c>
      <c r="G262" s="2"/>
      <c r="H262" s="2"/>
      <c r="I262" s="13">
        <f>50000/17</f>
        <v>2941.1764705882351</v>
      </c>
      <c r="J262" s="13">
        <f t="shared" si="45"/>
        <v>11764.705882352941</v>
      </c>
      <c r="K262" s="13">
        <f t="shared" si="46"/>
        <v>4147.2941176470595</v>
      </c>
      <c r="L262" s="18">
        <f t="shared" si="47"/>
        <v>0.28800653594771247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4</v>
      </c>
      <c r="B263" s="10" t="s">
        <v>17</v>
      </c>
      <c r="C263" s="11" t="s">
        <v>25</v>
      </c>
      <c r="D263" s="13">
        <v>4500</v>
      </c>
      <c r="E263" s="13">
        <f t="shared" si="43"/>
        <v>18000</v>
      </c>
      <c r="F263" s="13">
        <f t="shared" si="44"/>
        <v>19890</v>
      </c>
      <c r="G263" s="2"/>
      <c r="H263" s="2"/>
      <c r="I263" s="13">
        <f>62000/17</f>
        <v>3647.0588235294117</v>
      </c>
      <c r="J263" s="13">
        <f t="shared" si="45"/>
        <v>14588.235294117647</v>
      </c>
      <c r="K263" s="13">
        <f t="shared" si="46"/>
        <v>5301.7647058823532</v>
      </c>
      <c r="L263" s="18">
        <f t="shared" si="47"/>
        <v>0.29454248366013075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3</v>
      </c>
      <c r="B264" s="10" t="s">
        <v>17</v>
      </c>
      <c r="C264" s="11" t="s">
        <v>49</v>
      </c>
      <c r="D264" s="13">
        <v>3000</v>
      </c>
      <c r="E264" s="13">
        <f t="shared" si="43"/>
        <v>9000</v>
      </c>
      <c r="F264" s="13">
        <f t="shared" si="44"/>
        <v>9945</v>
      </c>
      <c r="G264" s="2"/>
      <c r="H264" s="2"/>
      <c r="I264" s="13">
        <f>35000/17</f>
        <v>2058.8235294117649</v>
      </c>
      <c r="J264" s="13">
        <f t="shared" si="45"/>
        <v>6176.4705882352946</v>
      </c>
      <c r="K264" s="13">
        <f t="shared" si="46"/>
        <v>3768.5294117647054</v>
      </c>
      <c r="L264" s="18">
        <f t="shared" si="47"/>
        <v>0.41872549019607835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2</v>
      </c>
      <c r="B265" s="10" t="s">
        <v>17</v>
      </c>
      <c r="C265" s="11" t="s">
        <v>62</v>
      </c>
      <c r="D265" s="13">
        <v>3000</v>
      </c>
      <c r="E265" s="13">
        <f t="shared" si="43"/>
        <v>6000</v>
      </c>
      <c r="F265" s="13">
        <f t="shared" si="44"/>
        <v>6630</v>
      </c>
      <c r="G265" s="2"/>
      <c r="H265" s="2"/>
      <c r="I265" s="13">
        <f>31000/17</f>
        <v>1823.5294117647059</v>
      </c>
      <c r="J265" s="13">
        <f t="shared" si="45"/>
        <v>3647.0588235294117</v>
      </c>
      <c r="K265" s="13">
        <f t="shared" si="46"/>
        <v>2982.9411764705883</v>
      </c>
      <c r="L265" s="18">
        <f t="shared" si="47"/>
        <v>0.49715686274509807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0.5</v>
      </c>
      <c r="B266" s="10" t="s">
        <v>23</v>
      </c>
      <c r="C266" s="11" t="s">
        <v>12</v>
      </c>
      <c r="D266" s="13">
        <v>54000</v>
      </c>
      <c r="E266" s="13">
        <f t="shared" si="43"/>
        <v>27000</v>
      </c>
      <c r="F266" s="13">
        <f>E266*1.21</f>
        <v>32670</v>
      </c>
      <c r="G266" s="2"/>
      <c r="H266" s="2"/>
      <c r="I266" s="13">
        <v>54000</v>
      </c>
      <c r="J266" s="13">
        <f t="shared" si="45"/>
        <v>27000</v>
      </c>
      <c r="K266" s="13">
        <f t="shared" si="46"/>
        <v>5670</v>
      </c>
      <c r="L266" s="18">
        <f t="shared" si="47"/>
        <v>0.21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"/>
      <c r="B267" s="2"/>
      <c r="C267" s="4"/>
      <c r="D267" s="2"/>
      <c r="E267" s="2"/>
      <c r="F267" s="2"/>
      <c r="G267" s="2"/>
      <c r="H267" s="2"/>
      <c r="I267" s="2"/>
      <c r="J267" s="2"/>
      <c r="K267" s="2"/>
      <c r="L267" s="3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"/>
      <c r="B268" s="2"/>
      <c r="C268" s="4"/>
      <c r="D268" s="2"/>
      <c r="E268" s="13">
        <f t="shared" ref="E268:F268" si="48">SUM(E234:E266)</f>
        <v>327010</v>
      </c>
      <c r="F268" s="13">
        <f t="shared" si="48"/>
        <v>364181.05</v>
      </c>
      <c r="G268" s="2"/>
      <c r="H268" s="2"/>
      <c r="I268" s="2"/>
      <c r="J268" s="2"/>
      <c r="K268" s="13">
        <f>SUM(K234:K266)</f>
        <v>129630.45242763771</v>
      </c>
      <c r="L268" s="18">
        <f>K268/F268</f>
        <v>0.3559505702661841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"/>
      <c r="B269" s="2"/>
      <c r="C269" s="4"/>
      <c r="D269" s="2"/>
      <c r="E269" s="2"/>
      <c r="F269" s="13"/>
      <c r="G269" s="4"/>
      <c r="H269" s="2"/>
      <c r="I269" s="2"/>
      <c r="J269" s="2"/>
      <c r="K269" s="2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6"/>
      <c r="B270" s="6"/>
      <c r="C270" s="6"/>
      <c r="D270" s="2"/>
      <c r="E270" s="7"/>
      <c r="F270" s="8"/>
      <c r="G270" s="7"/>
      <c r="H270" s="2"/>
      <c r="I270" s="9"/>
      <c r="J270" s="9"/>
      <c r="K270" s="9"/>
      <c r="L270" s="3"/>
      <c r="M270" s="1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88" t="s">
        <v>50</v>
      </c>
      <c r="B271" s="89"/>
      <c r="C271" s="89"/>
      <c r="D271" s="2"/>
      <c r="E271" s="7" t="s">
        <v>953</v>
      </c>
      <c r="F271" s="8">
        <v>46133</v>
      </c>
      <c r="G271" s="2"/>
      <c r="H271" s="2"/>
      <c r="I271" s="9" t="s">
        <v>2</v>
      </c>
      <c r="J271" s="9"/>
      <c r="K271" s="9"/>
      <c r="L271" s="3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3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6" t="s">
        <v>3</v>
      </c>
      <c r="B273" s="10" t="s">
        <v>4</v>
      </c>
      <c r="C273" s="11" t="s">
        <v>5</v>
      </c>
      <c r="D273" s="10" t="s">
        <v>6</v>
      </c>
      <c r="E273" s="10" t="s">
        <v>7</v>
      </c>
      <c r="F273" s="10" t="s">
        <v>8</v>
      </c>
      <c r="G273" s="2"/>
      <c r="H273" s="2"/>
      <c r="I273" s="10" t="s">
        <v>9</v>
      </c>
      <c r="J273" s="10" t="s">
        <v>7</v>
      </c>
      <c r="K273" s="10" t="s">
        <v>10</v>
      </c>
      <c r="L273" s="3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4</v>
      </c>
      <c r="B274" s="10" t="s">
        <v>21</v>
      </c>
      <c r="C274" s="11" t="s">
        <v>130</v>
      </c>
      <c r="D274" s="13">
        <v>1400</v>
      </c>
      <c r="E274" s="13">
        <f t="shared" ref="E274:E304" si="49">A274*D274</f>
        <v>5600</v>
      </c>
      <c r="F274" s="13">
        <f t="shared" ref="F274:F302" si="50">E274*1.105</f>
        <v>6188</v>
      </c>
      <c r="G274" s="2"/>
      <c r="H274" s="2"/>
      <c r="I274" s="13">
        <v>1000</v>
      </c>
      <c r="J274" s="13">
        <f t="shared" ref="J274:J304" si="51">I274*A274</f>
        <v>4000</v>
      </c>
      <c r="K274" s="13">
        <f t="shared" ref="K274:K304" si="52">F274-J274</f>
        <v>2188</v>
      </c>
      <c r="L274" s="18">
        <f t="shared" ref="L274:L304" si="53">IFERROR(K274/E274, 0)</f>
        <v>0.39071428571428574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1</v>
      </c>
      <c r="B275" s="10" t="s">
        <v>21</v>
      </c>
      <c r="C275" s="11" t="s">
        <v>51</v>
      </c>
      <c r="D275" s="13">
        <v>1500</v>
      </c>
      <c r="E275" s="13">
        <f t="shared" si="49"/>
        <v>1500</v>
      </c>
      <c r="F275" s="13">
        <f t="shared" si="50"/>
        <v>1657.5</v>
      </c>
      <c r="G275" s="2"/>
      <c r="H275" s="2"/>
      <c r="I275" s="13">
        <f>4000/6</f>
        <v>666.66666666666663</v>
      </c>
      <c r="J275" s="13">
        <f t="shared" si="51"/>
        <v>666.66666666666663</v>
      </c>
      <c r="K275" s="13">
        <f t="shared" si="52"/>
        <v>990.83333333333337</v>
      </c>
      <c r="L275" s="18">
        <f t="shared" si="53"/>
        <v>0.66055555555555556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0.5</v>
      </c>
      <c r="B276" s="10" t="s">
        <v>17</v>
      </c>
      <c r="C276" s="11" t="s">
        <v>64</v>
      </c>
      <c r="D276" s="13">
        <v>2000</v>
      </c>
      <c r="E276" s="13">
        <f t="shared" si="49"/>
        <v>1000</v>
      </c>
      <c r="F276" s="13">
        <f t="shared" si="50"/>
        <v>1105</v>
      </c>
      <c r="G276" s="2"/>
      <c r="H276" s="2"/>
      <c r="I276" s="13">
        <v>1000</v>
      </c>
      <c r="J276" s="13">
        <f t="shared" si="51"/>
        <v>500</v>
      </c>
      <c r="K276" s="13">
        <f t="shared" si="52"/>
        <v>605</v>
      </c>
      <c r="L276" s="18">
        <f t="shared" si="53"/>
        <v>0.60499999999999998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5</v>
      </c>
      <c r="B277" s="10" t="s">
        <v>17</v>
      </c>
      <c r="C277" s="11" t="s">
        <v>62</v>
      </c>
      <c r="D277" s="13">
        <v>3000</v>
      </c>
      <c r="E277" s="13">
        <f t="shared" si="49"/>
        <v>15000</v>
      </c>
      <c r="F277" s="13">
        <f t="shared" si="50"/>
        <v>16575</v>
      </c>
      <c r="G277" s="2"/>
      <c r="H277" s="2"/>
      <c r="I277" s="13">
        <f>31000/17</f>
        <v>1823.5294117647059</v>
      </c>
      <c r="J277" s="13">
        <f t="shared" si="51"/>
        <v>9117.6470588235297</v>
      </c>
      <c r="K277" s="13">
        <f t="shared" si="52"/>
        <v>7457.3529411764703</v>
      </c>
      <c r="L277" s="18">
        <f t="shared" si="53"/>
        <v>0.49715686274509802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>
        <v>5</v>
      </c>
      <c r="B278" s="10" t="s">
        <v>17</v>
      </c>
      <c r="C278" s="11" t="s">
        <v>129</v>
      </c>
      <c r="D278" s="13">
        <v>1600</v>
      </c>
      <c r="E278" s="13">
        <f t="shared" si="49"/>
        <v>8000</v>
      </c>
      <c r="F278" s="13">
        <f t="shared" si="50"/>
        <v>8840</v>
      </c>
      <c r="G278" s="2"/>
      <c r="H278" s="2"/>
      <c r="I278" s="13">
        <v>1000</v>
      </c>
      <c r="J278" s="13">
        <f t="shared" si="51"/>
        <v>5000</v>
      </c>
      <c r="K278" s="13">
        <f t="shared" si="52"/>
        <v>3840</v>
      </c>
      <c r="L278" s="18">
        <f t="shared" si="53"/>
        <v>0.48</v>
      </c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2">
        <v>3</v>
      </c>
      <c r="B279" s="10" t="s">
        <v>15</v>
      </c>
      <c r="C279" s="11" t="s">
        <v>27</v>
      </c>
      <c r="D279" s="13">
        <v>25000</v>
      </c>
      <c r="E279" s="13">
        <f t="shared" si="49"/>
        <v>75000</v>
      </c>
      <c r="F279" s="13">
        <f t="shared" si="50"/>
        <v>82875</v>
      </c>
      <c r="G279" s="2"/>
      <c r="H279" s="2"/>
      <c r="I279" s="13">
        <v>18300</v>
      </c>
      <c r="J279" s="13">
        <f t="shared" si="51"/>
        <v>54900</v>
      </c>
      <c r="K279" s="13">
        <f t="shared" si="52"/>
        <v>27975</v>
      </c>
      <c r="L279" s="18">
        <f t="shared" si="53"/>
        <v>0.373</v>
      </c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2">
        <v>2</v>
      </c>
      <c r="B280" s="10" t="s">
        <v>4</v>
      </c>
      <c r="C280" s="11" t="s">
        <v>14</v>
      </c>
      <c r="D280" s="13">
        <v>3200</v>
      </c>
      <c r="E280" s="13">
        <f t="shared" si="49"/>
        <v>6400</v>
      </c>
      <c r="F280" s="13">
        <f t="shared" si="50"/>
        <v>7072</v>
      </c>
      <c r="G280" s="2"/>
      <c r="H280" s="2"/>
      <c r="I280" s="13">
        <v>2250</v>
      </c>
      <c r="J280" s="13">
        <f t="shared" si="51"/>
        <v>4500</v>
      </c>
      <c r="K280" s="13">
        <f t="shared" si="52"/>
        <v>2572</v>
      </c>
      <c r="L280" s="18">
        <f t="shared" si="53"/>
        <v>0.40187499999999998</v>
      </c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10</v>
      </c>
      <c r="B281" s="10" t="s">
        <v>17</v>
      </c>
      <c r="C281" s="11" t="s">
        <v>48</v>
      </c>
      <c r="D281" s="13">
        <v>900</v>
      </c>
      <c r="E281" s="13">
        <f t="shared" si="49"/>
        <v>9000</v>
      </c>
      <c r="F281" s="13">
        <f t="shared" si="50"/>
        <v>9945</v>
      </c>
      <c r="G281" s="2"/>
      <c r="H281" s="2"/>
      <c r="I281" s="13">
        <f>8000/15</f>
        <v>533.33333333333337</v>
      </c>
      <c r="J281" s="13">
        <f t="shared" si="51"/>
        <v>5333.3333333333339</v>
      </c>
      <c r="K281" s="13">
        <f t="shared" si="52"/>
        <v>4611.6666666666661</v>
      </c>
      <c r="L281" s="18">
        <f t="shared" si="53"/>
        <v>0.51240740740740731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2</v>
      </c>
      <c r="B282" s="10" t="s">
        <v>17</v>
      </c>
      <c r="C282" s="11" t="s">
        <v>56</v>
      </c>
      <c r="D282" s="13">
        <v>1200</v>
      </c>
      <c r="E282" s="13">
        <f t="shared" si="49"/>
        <v>2400</v>
      </c>
      <c r="F282" s="13">
        <f t="shared" si="50"/>
        <v>2652</v>
      </c>
      <c r="G282" s="2"/>
      <c r="H282" s="2"/>
      <c r="I282" s="13">
        <f>9000/15</f>
        <v>600</v>
      </c>
      <c r="J282" s="13">
        <f t="shared" si="51"/>
        <v>1200</v>
      </c>
      <c r="K282" s="13">
        <f t="shared" si="52"/>
        <v>1452</v>
      </c>
      <c r="L282" s="18">
        <f t="shared" si="53"/>
        <v>0.60499999999999998</v>
      </c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4.5</v>
      </c>
      <c r="B283" s="10" t="s">
        <v>17</v>
      </c>
      <c r="C283" s="11" t="s">
        <v>144</v>
      </c>
      <c r="D283" s="13">
        <v>4500</v>
      </c>
      <c r="E283" s="13">
        <f t="shared" si="49"/>
        <v>20250</v>
      </c>
      <c r="F283" s="13">
        <f t="shared" si="50"/>
        <v>22376.25</v>
      </c>
      <c r="G283" s="2"/>
      <c r="H283" s="2"/>
      <c r="I283" s="13">
        <f>25000/7</f>
        <v>3571.4285714285716</v>
      </c>
      <c r="J283" s="13">
        <f t="shared" si="51"/>
        <v>16071.428571428572</v>
      </c>
      <c r="K283" s="13">
        <f t="shared" si="52"/>
        <v>6304.8214285714275</v>
      </c>
      <c r="L283" s="18">
        <f t="shared" si="53"/>
        <v>0.31134920634920632</v>
      </c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0.6</v>
      </c>
      <c r="B284" s="10" t="s">
        <v>17</v>
      </c>
      <c r="C284" s="11" t="s">
        <v>93</v>
      </c>
      <c r="D284" s="13">
        <v>3000</v>
      </c>
      <c r="E284" s="13">
        <f t="shared" si="49"/>
        <v>1800</v>
      </c>
      <c r="F284" s="13">
        <f t="shared" si="50"/>
        <v>1989</v>
      </c>
      <c r="G284" s="2"/>
      <c r="H284" s="2"/>
      <c r="I284" s="13">
        <f>10000/7</f>
        <v>1428.5714285714287</v>
      </c>
      <c r="J284" s="13">
        <f t="shared" si="51"/>
        <v>857.14285714285722</v>
      </c>
      <c r="K284" s="13">
        <f t="shared" si="52"/>
        <v>1131.8571428571427</v>
      </c>
      <c r="L284" s="18">
        <f t="shared" si="53"/>
        <v>0.62880952380952371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2</v>
      </c>
      <c r="B285" s="10" t="s">
        <v>21</v>
      </c>
      <c r="C285" s="11" t="s">
        <v>28</v>
      </c>
      <c r="D285" s="13">
        <v>3000</v>
      </c>
      <c r="E285" s="13">
        <f t="shared" si="49"/>
        <v>6000</v>
      </c>
      <c r="F285" s="13">
        <f t="shared" si="50"/>
        <v>6630</v>
      </c>
      <c r="G285" s="2"/>
      <c r="H285" s="2"/>
      <c r="I285" s="13">
        <v>2500</v>
      </c>
      <c r="J285" s="13">
        <f t="shared" si="51"/>
        <v>5000</v>
      </c>
      <c r="K285" s="13">
        <f t="shared" si="52"/>
        <v>1630</v>
      </c>
      <c r="L285" s="18">
        <f t="shared" si="53"/>
        <v>0.27166666666666667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2</v>
      </c>
      <c r="B286" s="10" t="s">
        <v>21</v>
      </c>
      <c r="C286" s="11" t="s">
        <v>133</v>
      </c>
      <c r="D286" s="13">
        <v>3000</v>
      </c>
      <c r="E286" s="13">
        <f t="shared" si="49"/>
        <v>6000</v>
      </c>
      <c r="F286" s="13">
        <f t="shared" si="50"/>
        <v>6630</v>
      </c>
      <c r="G286" s="2"/>
      <c r="H286" s="2"/>
      <c r="I286" s="13">
        <v>1000</v>
      </c>
      <c r="J286" s="13">
        <f t="shared" si="51"/>
        <v>2000</v>
      </c>
      <c r="K286" s="13">
        <f t="shared" si="52"/>
        <v>4630</v>
      </c>
      <c r="L286" s="18">
        <f t="shared" si="53"/>
        <v>0.77166666666666661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1</v>
      </c>
      <c r="B287" s="10" t="s">
        <v>21</v>
      </c>
      <c r="C287" s="11" t="s">
        <v>52</v>
      </c>
      <c r="D287" s="13">
        <v>2000</v>
      </c>
      <c r="E287" s="13">
        <f t="shared" si="49"/>
        <v>2000</v>
      </c>
      <c r="F287" s="13">
        <f t="shared" si="50"/>
        <v>2210</v>
      </c>
      <c r="G287" s="2"/>
      <c r="H287" s="2"/>
      <c r="I287" s="13">
        <v>2000</v>
      </c>
      <c r="J287" s="13">
        <f t="shared" si="51"/>
        <v>2000</v>
      </c>
      <c r="K287" s="13">
        <f t="shared" si="52"/>
        <v>210</v>
      </c>
      <c r="L287" s="18">
        <f t="shared" si="53"/>
        <v>0.105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3</v>
      </c>
      <c r="B288" s="10" t="s">
        <v>17</v>
      </c>
      <c r="C288" s="11" t="s">
        <v>43</v>
      </c>
      <c r="D288" s="13">
        <v>5000</v>
      </c>
      <c r="E288" s="13">
        <f t="shared" si="49"/>
        <v>15000</v>
      </c>
      <c r="F288" s="13">
        <f t="shared" si="50"/>
        <v>16575</v>
      </c>
      <c r="G288" s="2"/>
      <c r="H288" s="2"/>
      <c r="I288" s="13">
        <f>15000/4</f>
        <v>3750</v>
      </c>
      <c r="J288" s="13">
        <f t="shared" si="51"/>
        <v>11250</v>
      </c>
      <c r="K288" s="13">
        <f t="shared" si="52"/>
        <v>5325</v>
      </c>
      <c r="L288" s="18">
        <f t="shared" si="53"/>
        <v>0.35499999999999998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1</v>
      </c>
      <c r="B289" s="10" t="s">
        <v>23</v>
      </c>
      <c r="C289" s="11" t="s">
        <v>24</v>
      </c>
      <c r="D289" s="13">
        <v>60000</v>
      </c>
      <c r="E289" s="13">
        <f t="shared" si="49"/>
        <v>60000</v>
      </c>
      <c r="F289" s="13">
        <f t="shared" si="50"/>
        <v>66300</v>
      </c>
      <c r="G289" s="2"/>
      <c r="H289" s="2"/>
      <c r="I289" s="13">
        <v>50000</v>
      </c>
      <c r="J289" s="13">
        <f t="shared" si="51"/>
        <v>50000</v>
      </c>
      <c r="K289" s="13">
        <f t="shared" si="52"/>
        <v>16300</v>
      </c>
      <c r="L289" s="18">
        <f t="shared" si="53"/>
        <v>0.27166666666666667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1</v>
      </c>
      <c r="B290" s="10" t="s">
        <v>23</v>
      </c>
      <c r="C290" s="11" t="s">
        <v>25</v>
      </c>
      <c r="D290" s="13">
        <v>72000</v>
      </c>
      <c r="E290" s="13">
        <f t="shared" si="49"/>
        <v>72000</v>
      </c>
      <c r="F290" s="13">
        <f t="shared" si="50"/>
        <v>79560</v>
      </c>
      <c r="G290" s="2"/>
      <c r="H290" s="2"/>
      <c r="I290" s="13">
        <v>62000</v>
      </c>
      <c r="J290" s="13">
        <f t="shared" si="51"/>
        <v>62000</v>
      </c>
      <c r="K290" s="13">
        <f t="shared" si="52"/>
        <v>17560</v>
      </c>
      <c r="L290" s="18">
        <f t="shared" si="53"/>
        <v>0.24388888888888888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1</v>
      </c>
      <c r="B291" s="10" t="s">
        <v>17</v>
      </c>
      <c r="C291" s="11" t="s">
        <v>33</v>
      </c>
      <c r="D291" s="13">
        <v>2800</v>
      </c>
      <c r="E291" s="13">
        <f t="shared" si="49"/>
        <v>2800</v>
      </c>
      <c r="F291" s="13">
        <f t="shared" si="50"/>
        <v>3094</v>
      </c>
      <c r="G291" s="2"/>
      <c r="H291" s="2"/>
      <c r="I291" s="13">
        <v>2000</v>
      </c>
      <c r="J291" s="13">
        <f t="shared" si="51"/>
        <v>2000</v>
      </c>
      <c r="K291" s="13">
        <f t="shared" si="52"/>
        <v>1094</v>
      </c>
      <c r="L291" s="18">
        <f t="shared" si="53"/>
        <v>0.39071428571428574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2</v>
      </c>
      <c r="B292" s="10" t="s">
        <v>17</v>
      </c>
      <c r="C292" s="11" t="s">
        <v>31</v>
      </c>
      <c r="D292" s="13">
        <v>3200</v>
      </c>
      <c r="E292" s="13">
        <f t="shared" si="49"/>
        <v>6400</v>
      </c>
      <c r="F292" s="13">
        <f t="shared" si="50"/>
        <v>7072</v>
      </c>
      <c r="G292" s="2"/>
      <c r="H292" s="2"/>
      <c r="I292" s="13">
        <f>12000/7</f>
        <v>1714.2857142857142</v>
      </c>
      <c r="J292" s="13">
        <f t="shared" si="51"/>
        <v>3428.5714285714284</v>
      </c>
      <c r="K292" s="13">
        <f t="shared" si="52"/>
        <v>3643.4285714285716</v>
      </c>
      <c r="L292" s="18">
        <f t="shared" si="53"/>
        <v>0.56928571428571428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2</v>
      </c>
      <c r="B293" s="10" t="s">
        <v>17</v>
      </c>
      <c r="C293" s="11" t="s">
        <v>32</v>
      </c>
      <c r="D293" s="13">
        <v>2400</v>
      </c>
      <c r="E293" s="13">
        <f t="shared" si="49"/>
        <v>4800</v>
      </c>
      <c r="F293" s="13">
        <f t="shared" si="50"/>
        <v>5304</v>
      </c>
      <c r="G293" s="2"/>
      <c r="H293" s="2"/>
      <c r="I293" s="13">
        <f>8000/7</f>
        <v>1142.8571428571429</v>
      </c>
      <c r="J293" s="13">
        <f t="shared" si="51"/>
        <v>2285.7142857142858</v>
      </c>
      <c r="K293" s="13">
        <f t="shared" si="52"/>
        <v>3018.2857142857142</v>
      </c>
      <c r="L293" s="18">
        <f t="shared" si="53"/>
        <v>0.62880952380952382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3</v>
      </c>
      <c r="B294" s="10" t="s">
        <v>23</v>
      </c>
      <c r="C294" s="11" t="s">
        <v>26</v>
      </c>
      <c r="D294" s="13">
        <v>22000</v>
      </c>
      <c r="E294" s="13">
        <f t="shared" si="49"/>
        <v>66000</v>
      </c>
      <c r="F294" s="13">
        <f t="shared" si="50"/>
        <v>72930</v>
      </c>
      <c r="G294" s="2"/>
      <c r="H294" s="2"/>
      <c r="I294" s="13">
        <v>16000</v>
      </c>
      <c r="J294" s="13">
        <f t="shared" si="51"/>
        <v>48000</v>
      </c>
      <c r="K294" s="13">
        <f t="shared" si="52"/>
        <v>24930</v>
      </c>
      <c r="L294" s="18">
        <f t="shared" si="53"/>
        <v>0.37772727272727274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0.5</v>
      </c>
      <c r="B295" s="10" t="s">
        <v>21</v>
      </c>
      <c r="C295" s="11" t="s">
        <v>29</v>
      </c>
      <c r="D295" s="13">
        <v>3500</v>
      </c>
      <c r="E295" s="13">
        <f t="shared" si="49"/>
        <v>1750</v>
      </c>
      <c r="F295" s="13">
        <f t="shared" si="50"/>
        <v>1933.75</v>
      </c>
      <c r="G295" s="2"/>
      <c r="H295" s="2"/>
      <c r="I295" s="13">
        <v>1200</v>
      </c>
      <c r="J295" s="13">
        <f t="shared" si="51"/>
        <v>600</v>
      </c>
      <c r="K295" s="13">
        <f t="shared" si="52"/>
        <v>1333.75</v>
      </c>
      <c r="L295" s="18">
        <f t="shared" si="53"/>
        <v>0.76214285714285712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2</v>
      </c>
      <c r="B296" s="10" t="s">
        <v>17</v>
      </c>
      <c r="C296" s="11" t="s">
        <v>34</v>
      </c>
      <c r="D296" s="13">
        <v>5000</v>
      </c>
      <c r="E296" s="13">
        <f t="shared" si="49"/>
        <v>10000</v>
      </c>
      <c r="F296" s="13">
        <f t="shared" si="50"/>
        <v>11050</v>
      </c>
      <c r="G296" s="2"/>
      <c r="H296" s="2"/>
      <c r="I296" s="13">
        <v>2000</v>
      </c>
      <c r="J296" s="13">
        <f t="shared" si="51"/>
        <v>4000</v>
      </c>
      <c r="K296" s="13">
        <f t="shared" si="52"/>
        <v>7050</v>
      </c>
      <c r="L296" s="18">
        <f t="shared" si="53"/>
        <v>0.70499999999999996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1.4</v>
      </c>
      <c r="B297" s="10" t="s">
        <v>17</v>
      </c>
      <c r="C297" s="11" t="s">
        <v>36</v>
      </c>
      <c r="D297" s="13">
        <v>1800</v>
      </c>
      <c r="E297" s="13">
        <f t="shared" si="49"/>
        <v>2520</v>
      </c>
      <c r="F297" s="13">
        <f t="shared" si="50"/>
        <v>2784.6</v>
      </c>
      <c r="G297" s="2"/>
      <c r="H297" s="2"/>
      <c r="I297" s="13">
        <v>800</v>
      </c>
      <c r="J297" s="13">
        <f t="shared" si="51"/>
        <v>1120</v>
      </c>
      <c r="K297" s="13">
        <f t="shared" si="52"/>
        <v>1664.6</v>
      </c>
      <c r="L297" s="18">
        <f t="shared" si="53"/>
        <v>0.66055555555555556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2.1</v>
      </c>
      <c r="B298" s="10" t="s">
        <v>17</v>
      </c>
      <c r="C298" s="11" t="s">
        <v>38</v>
      </c>
      <c r="D298" s="13">
        <v>1800</v>
      </c>
      <c r="E298" s="13">
        <f t="shared" si="49"/>
        <v>3780</v>
      </c>
      <c r="F298" s="13">
        <f t="shared" si="50"/>
        <v>4176.8999999999996</v>
      </c>
      <c r="G298" s="2"/>
      <c r="H298" s="2"/>
      <c r="I298" s="13">
        <v>800</v>
      </c>
      <c r="J298" s="13">
        <f t="shared" si="51"/>
        <v>1680</v>
      </c>
      <c r="K298" s="13">
        <f t="shared" si="52"/>
        <v>2496.8999999999996</v>
      </c>
      <c r="L298" s="18">
        <f t="shared" si="53"/>
        <v>0.66055555555555545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15</v>
      </c>
      <c r="B299" s="10" t="s">
        <v>21</v>
      </c>
      <c r="C299" s="11" t="s">
        <v>46</v>
      </c>
      <c r="D299" s="13">
        <v>600</v>
      </c>
      <c r="E299" s="13">
        <f t="shared" si="49"/>
        <v>9000</v>
      </c>
      <c r="F299" s="13">
        <f t="shared" si="50"/>
        <v>9945</v>
      </c>
      <c r="G299" s="2"/>
      <c r="H299" s="2"/>
      <c r="I299" s="13">
        <f>7000/24</f>
        <v>291.66666666666669</v>
      </c>
      <c r="J299" s="13">
        <f t="shared" si="51"/>
        <v>4375</v>
      </c>
      <c r="K299" s="13">
        <f t="shared" si="52"/>
        <v>5570</v>
      </c>
      <c r="L299" s="18">
        <f t="shared" si="53"/>
        <v>0.61888888888888893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12</v>
      </c>
      <c r="B300" s="10" t="s">
        <v>17</v>
      </c>
      <c r="C300" s="11" t="s">
        <v>39</v>
      </c>
      <c r="D300" s="13">
        <v>1600</v>
      </c>
      <c r="E300" s="13">
        <f t="shared" si="49"/>
        <v>19200</v>
      </c>
      <c r="F300" s="13">
        <f t="shared" si="50"/>
        <v>21216</v>
      </c>
      <c r="G300" s="2"/>
      <c r="H300" s="2"/>
      <c r="I300" s="13">
        <f>17000/15</f>
        <v>1133.3333333333333</v>
      </c>
      <c r="J300" s="13">
        <f t="shared" si="51"/>
        <v>13600</v>
      </c>
      <c r="K300" s="13">
        <f t="shared" si="52"/>
        <v>7616</v>
      </c>
      <c r="L300" s="18">
        <f t="shared" si="53"/>
        <v>0.39666666666666667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1</v>
      </c>
      <c r="B301" s="10" t="s">
        <v>15</v>
      </c>
      <c r="C301" s="11" t="s">
        <v>40</v>
      </c>
      <c r="D301" s="13">
        <v>12000</v>
      </c>
      <c r="E301" s="13">
        <f t="shared" si="49"/>
        <v>12000</v>
      </c>
      <c r="F301" s="13">
        <f t="shared" si="50"/>
        <v>13260</v>
      </c>
      <c r="G301" s="2"/>
      <c r="H301" s="2"/>
      <c r="I301" s="13">
        <v>8000</v>
      </c>
      <c r="J301" s="13">
        <f t="shared" si="51"/>
        <v>8000</v>
      </c>
      <c r="K301" s="13">
        <f t="shared" si="52"/>
        <v>5260</v>
      </c>
      <c r="L301" s="18">
        <f t="shared" si="53"/>
        <v>0.43833333333333335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2</v>
      </c>
      <c r="B302" s="10" t="s">
        <v>17</v>
      </c>
      <c r="C302" s="11" t="s">
        <v>82</v>
      </c>
      <c r="D302" s="13">
        <v>2200</v>
      </c>
      <c r="E302" s="13">
        <f t="shared" si="49"/>
        <v>4400</v>
      </c>
      <c r="F302" s="13">
        <f t="shared" si="50"/>
        <v>4862</v>
      </c>
      <c r="G302" s="2"/>
      <c r="H302" s="2"/>
      <c r="I302" s="13">
        <f>16500/14</f>
        <v>1178.5714285714287</v>
      </c>
      <c r="J302" s="13">
        <f t="shared" si="51"/>
        <v>2357.1428571428573</v>
      </c>
      <c r="K302" s="13">
        <f t="shared" si="52"/>
        <v>2504.8571428571427</v>
      </c>
      <c r="L302" s="18">
        <f t="shared" si="53"/>
        <v>0.56928571428571428</v>
      </c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0.5</v>
      </c>
      <c r="B303" s="10" t="s">
        <v>23</v>
      </c>
      <c r="C303" s="11" t="s">
        <v>12</v>
      </c>
      <c r="D303" s="13">
        <v>54000</v>
      </c>
      <c r="E303" s="13">
        <f t="shared" si="49"/>
        <v>27000</v>
      </c>
      <c r="F303" s="13">
        <f>E303*1.21</f>
        <v>32670</v>
      </c>
      <c r="G303" s="2"/>
      <c r="H303" s="2"/>
      <c r="I303" s="13">
        <v>54000</v>
      </c>
      <c r="J303" s="13">
        <f t="shared" si="51"/>
        <v>27000</v>
      </c>
      <c r="K303" s="13">
        <f t="shared" si="52"/>
        <v>5670</v>
      </c>
      <c r="L303" s="18">
        <f t="shared" si="53"/>
        <v>0.21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0.5</v>
      </c>
      <c r="B304" s="10" t="s">
        <v>17</v>
      </c>
      <c r="C304" s="11" t="s">
        <v>89</v>
      </c>
      <c r="D304" s="13">
        <v>13000</v>
      </c>
      <c r="E304" s="13">
        <f t="shared" si="49"/>
        <v>6500</v>
      </c>
      <c r="F304" s="13">
        <f>E304*1.105</f>
        <v>7182.5</v>
      </c>
      <c r="G304" s="2"/>
      <c r="H304" s="2"/>
      <c r="I304" s="13">
        <v>11250</v>
      </c>
      <c r="J304" s="13">
        <f t="shared" si="51"/>
        <v>5625</v>
      </c>
      <c r="K304" s="13">
        <f t="shared" si="52"/>
        <v>1557.5</v>
      </c>
      <c r="L304" s="18">
        <f t="shared" si="53"/>
        <v>0.23961538461538462</v>
      </c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"/>
      <c r="B305" s="2"/>
      <c r="C305" s="4"/>
      <c r="D305" s="2"/>
      <c r="E305" s="2"/>
      <c r="F305" s="2"/>
      <c r="G305" s="2"/>
      <c r="H305" s="2"/>
      <c r="I305" s="2"/>
      <c r="J305" s="2"/>
      <c r="K305" s="2"/>
      <c r="L305" s="3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"/>
      <c r="B306" s="2"/>
      <c r="C306" s="4"/>
      <c r="D306" s="2"/>
      <c r="E306" s="13">
        <f t="shared" ref="E306:F306" si="54">SUM(E274:E304)</f>
        <v>483100</v>
      </c>
      <c r="F306" s="13">
        <f t="shared" si="54"/>
        <v>536660.5</v>
      </c>
      <c r="G306" s="2"/>
      <c r="H306" s="2"/>
      <c r="I306" s="2"/>
      <c r="J306" s="2"/>
      <c r="K306" s="13">
        <f>SUM(K274:K304)</f>
        <v>178192.85294117645</v>
      </c>
      <c r="L306" s="18">
        <f>K306/F306</f>
        <v>0.33204018730869228</v>
      </c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2"/>
      <c r="C307" s="4"/>
      <c r="D307" s="2"/>
      <c r="E307" s="13"/>
      <c r="F307" s="13"/>
      <c r="G307" s="2"/>
      <c r="H307" s="2"/>
      <c r="I307" s="2"/>
      <c r="J307" s="2"/>
      <c r="K307" s="13"/>
      <c r="L307" s="1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"/>
      <c r="B308" s="2"/>
      <c r="C308" s="4"/>
      <c r="D308" s="2"/>
      <c r="E308" s="13"/>
      <c r="F308" s="13"/>
      <c r="G308" s="2"/>
      <c r="H308" s="2"/>
      <c r="I308" s="2"/>
      <c r="J308" s="2"/>
      <c r="K308" s="13"/>
      <c r="L308" s="14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5.5" customHeight="1" x14ac:dyDescent="0.25">
      <c r="A309" s="26" t="s">
        <v>101</v>
      </c>
      <c r="B309" s="27">
        <f>F306+F268+E214+E202+E183+F164+F118+F41+F79+F226</f>
        <v>3037330.9499999997</v>
      </c>
      <c r="C309" s="4"/>
      <c r="D309" s="4"/>
      <c r="E309" s="4"/>
      <c r="F309" s="4"/>
      <c r="G309" s="4"/>
      <c r="H309" s="4"/>
      <c r="I309" s="4"/>
      <c r="J309" s="4"/>
      <c r="K309" s="4"/>
      <c r="L309" s="28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7" customHeight="1" x14ac:dyDescent="0.25">
      <c r="A311" s="26" t="s">
        <v>102</v>
      </c>
      <c r="B311" s="27">
        <f>K306+K268+K214+K202+K183+K164+K118+K79+K41+K226</f>
        <v>1096484.2436507936</v>
      </c>
      <c r="C311" s="4"/>
      <c r="D311" s="4"/>
      <c r="E311" s="4"/>
      <c r="F311" s="4"/>
      <c r="G311" s="4"/>
      <c r="H311" s="4"/>
      <c r="I311" s="4"/>
      <c r="J311" s="4"/>
      <c r="K311" s="4"/>
      <c r="L311" s="28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8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8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6.25" customHeight="1" x14ac:dyDescent="0.25">
      <c r="A314" s="26" t="s">
        <v>103</v>
      </c>
      <c r="B314" s="29">
        <f>B311/B309</f>
        <v>0.36100255839779122</v>
      </c>
      <c r="C314" s="4"/>
      <c r="D314" s="4"/>
      <c r="E314" s="4"/>
      <c r="F314" s="4"/>
      <c r="G314" s="4"/>
      <c r="H314" s="4"/>
      <c r="I314" s="4"/>
      <c r="J314" s="4"/>
      <c r="K314" s="4"/>
      <c r="L314" s="28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8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90" t="s">
        <v>104</v>
      </c>
      <c r="B316" s="89"/>
      <c r="C316" s="4"/>
      <c r="D316" s="4"/>
      <c r="E316" s="4"/>
      <c r="F316" s="4"/>
      <c r="G316" s="4"/>
      <c r="H316" s="4"/>
      <c r="I316" s="4"/>
      <c r="J316" s="4"/>
      <c r="K316" s="4"/>
      <c r="L316" s="28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"/>
      <c r="B317" s="2"/>
      <c r="C317" s="4"/>
      <c r="D317" s="2"/>
      <c r="E317" s="13"/>
      <c r="F317" s="13"/>
      <c r="G317" s="2"/>
      <c r="H317" s="2"/>
      <c r="I317" s="2"/>
      <c r="J317" s="2"/>
      <c r="K317" s="13"/>
      <c r="L317" s="1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"/>
      <c r="B318" s="2"/>
      <c r="C318" s="4"/>
      <c r="D318" s="2"/>
      <c r="E318" s="13"/>
      <c r="F318" s="13"/>
      <c r="G318" s="2"/>
      <c r="H318" s="2"/>
      <c r="I318" s="2"/>
      <c r="J318" s="2"/>
      <c r="K318" s="13"/>
      <c r="L318" s="1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"/>
      <c r="B319" s="2"/>
      <c r="C319" s="4"/>
      <c r="D319" s="2"/>
      <c r="E319" s="13"/>
      <c r="F319" s="13"/>
      <c r="G319" s="2"/>
      <c r="H319" s="2"/>
      <c r="I319" s="2"/>
      <c r="J319" s="2"/>
      <c r="K319" s="13"/>
      <c r="L319" s="1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2"/>
      <c r="C320" s="4"/>
      <c r="D320" s="2"/>
      <c r="E320" s="13"/>
      <c r="F320" s="13"/>
      <c r="G320" s="2"/>
      <c r="H320" s="2"/>
      <c r="I320" s="2"/>
      <c r="J320" s="2"/>
      <c r="K320" s="13"/>
      <c r="L320" s="1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"/>
      <c r="B321" s="2"/>
      <c r="C321" s="4"/>
      <c r="D321" s="2"/>
      <c r="E321" s="13"/>
      <c r="F321" s="13"/>
      <c r="G321" s="2"/>
      <c r="H321" s="2"/>
      <c r="I321" s="2"/>
      <c r="J321" s="2"/>
      <c r="K321" s="13"/>
      <c r="L321" s="1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2"/>
      <c r="C322" s="4"/>
      <c r="D322" s="2"/>
      <c r="E322" s="13"/>
      <c r="F322" s="13"/>
      <c r="G322" s="2"/>
      <c r="H322" s="2"/>
      <c r="I322" s="2"/>
      <c r="J322" s="2"/>
      <c r="K322" s="13"/>
      <c r="L322" s="1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"/>
      <c r="B323" s="2"/>
      <c r="C323" s="4"/>
      <c r="D323" s="2"/>
      <c r="E323" s="13"/>
      <c r="F323" s="13"/>
      <c r="G323" s="2"/>
      <c r="H323" s="2"/>
      <c r="I323" s="2"/>
      <c r="J323" s="2"/>
      <c r="K323" s="13"/>
      <c r="L323" s="1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"/>
      <c r="B324" s="2"/>
      <c r="C324" s="4"/>
      <c r="D324" s="2"/>
      <c r="E324" s="13"/>
      <c r="F324" s="13"/>
      <c r="G324" s="2"/>
      <c r="H324" s="2"/>
      <c r="I324" s="2"/>
      <c r="J324" s="2"/>
      <c r="K324" s="13"/>
      <c r="L324" s="1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"/>
      <c r="B325" s="2"/>
      <c r="C325" s="4"/>
      <c r="D325" s="2"/>
      <c r="E325" s="13"/>
      <c r="F325" s="13"/>
      <c r="G325" s="2"/>
      <c r="H325" s="2"/>
      <c r="I325" s="2"/>
      <c r="J325" s="2"/>
      <c r="K325" s="13"/>
      <c r="L325" s="1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"/>
      <c r="B326" s="2"/>
      <c r="C326" s="4"/>
      <c r="D326" s="2"/>
      <c r="E326" s="13"/>
      <c r="F326" s="13"/>
      <c r="G326" s="2"/>
      <c r="H326" s="2"/>
      <c r="I326" s="2"/>
      <c r="J326" s="2"/>
      <c r="K326" s="13"/>
      <c r="L326" s="1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"/>
      <c r="B327" s="2"/>
      <c r="C327" s="4"/>
      <c r="D327" s="2"/>
      <c r="E327" s="13"/>
      <c r="F327" s="13"/>
      <c r="G327" s="2"/>
      <c r="H327" s="2"/>
      <c r="I327" s="2"/>
      <c r="J327" s="2"/>
      <c r="K327" s="13"/>
      <c r="L327" s="1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"/>
      <c r="B328" s="2"/>
      <c r="C328" s="4"/>
      <c r="D328" s="2"/>
      <c r="E328" s="13"/>
      <c r="F328" s="13"/>
      <c r="G328" s="2"/>
      <c r="H328" s="2"/>
      <c r="I328" s="2"/>
      <c r="J328" s="2"/>
      <c r="K328" s="13"/>
      <c r="L328" s="1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"/>
      <c r="B329" s="2"/>
      <c r="C329" s="4"/>
      <c r="D329" s="2"/>
      <c r="E329" s="13"/>
      <c r="F329" s="13"/>
      <c r="G329" s="2"/>
      <c r="H329" s="2"/>
      <c r="I329" s="2"/>
      <c r="J329" s="2"/>
      <c r="K329" s="13"/>
      <c r="L329" s="1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"/>
      <c r="B330" s="2"/>
      <c r="C330" s="4"/>
      <c r="D330" s="2"/>
      <c r="E330" s="13"/>
      <c r="F330" s="13"/>
      <c r="G330" s="2"/>
      <c r="H330" s="2"/>
      <c r="I330" s="2"/>
      <c r="J330" s="2"/>
      <c r="K330" s="13"/>
      <c r="L330" s="1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"/>
      <c r="B331" s="2"/>
      <c r="C331" s="4"/>
      <c r="D331" s="2"/>
      <c r="E331" s="13"/>
      <c r="F331" s="13"/>
      <c r="G331" s="2"/>
      <c r="H331" s="2"/>
      <c r="I331" s="2"/>
      <c r="J331" s="2"/>
      <c r="K331" s="13"/>
      <c r="L331" s="1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"/>
      <c r="B332" s="2"/>
      <c r="C332" s="4"/>
      <c r="D332" s="2"/>
      <c r="E332" s="13"/>
      <c r="F332" s="13"/>
      <c r="G332" s="2"/>
      <c r="H332" s="2"/>
      <c r="I332" s="2"/>
      <c r="J332" s="2"/>
      <c r="K332" s="13"/>
      <c r="L332" s="1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"/>
      <c r="B333" s="2"/>
      <c r="C333" s="4"/>
      <c r="D333" s="2"/>
      <c r="E333" s="13"/>
      <c r="F333" s="13"/>
      <c r="G333" s="2"/>
      <c r="H333" s="2"/>
      <c r="I333" s="2"/>
      <c r="J333" s="2"/>
      <c r="K333" s="13"/>
      <c r="L333" s="1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"/>
      <c r="B334" s="2"/>
      <c r="C334" s="4"/>
      <c r="D334" s="2"/>
      <c r="E334" s="13"/>
      <c r="F334" s="13"/>
      <c r="G334" s="2"/>
      <c r="H334" s="2"/>
      <c r="I334" s="2"/>
      <c r="J334" s="2"/>
      <c r="K334" s="13"/>
      <c r="L334" s="1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"/>
      <c r="B335" s="2"/>
      <c r="C335" s="4"/>
      <c r="D335" s="2"/>
      <c r="E335" s="13"/>
      <c r="F335" s="13"/>
      <c r="G335" s="2"/>
      <c r="H335" s="2"/>
      <c r="I335" s="2"/>
      <c r="J335" s="2"/>
      <c r="K335" s="13"/>
      <c r="L335" s="1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"/>
      <c r="B336" s="2"/>
      <c r="C336" s="4"/>
      <c r="D336" s="2"/>
      <c r="E336" s="13"/>
      <c r="F336" s="13"/>
      <c r="G336" s="2"/>
      <c r="H336" s="2"/>
      <c r="I336" s="2"/>
      <c r="J336" s="2"/>
      <c r="K336" s="13"/>
      <c r="L336" s="1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"/>
      <c r="B337" s="2"/>
      <c r="C337" s="4"/>
      <c r="D337" s="2"/>
      <c r="E337" s="13"/>
      <c r="F337" s="13"/>
      <c r="G337" s="2"/>
      <c r="H337" s="2"/>
      <c r="I337" s="2"/>
      <c r="J337" s="2"/>
      <c r="K337" s="13"/>
      <c r="L337" s="1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"/>
      <c r="B338" s="2"/>
      <c r="C338" s="4"/>
      <c r="D338" s="2"/>
      <c r="E338" s="13"/>
      <c r="F338" s="13"/>
      <c r="G338" s="2"/>
      <c r="H338" s="2"/>
      <c r="I338" s="2"/>
      <c r="J338" s="2"/>
      <c r="K338" s="13"/>
      <c r="L338" s="1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"/>
      <c r="B339" s="2"/>
      <c r="C339" s="4"/>
      <c r="D339" s="2"/>
      <c r="E339" s="13"/>
      <c r="F339" s="13"/>
      <c r="G339" s="2"/>
      <c r="H339" s="2"/>
      <c r="I339" s="2"/>
      <c r="J339" s="2"/>
      <c r="K339" s="13"/>
      <c r="L339" s="1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"/>
      <c r="B340" s="2"/>
      <c r="C340" s="4"/>
      <c r="D340" s="2"/>
      <c r="E340" s="13"/>
      <c r="F340" s="13"/>
      <c r="G340" s="2"/>
      <c r="H340" s="2"/>
      <c r="I340" s="2"/>
      <c r="J340" s="2"/>
      <c r="K340" s="13"/>
      <c r="L340" s="1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"/>
      <c r="B341" s="2"/>
      <c r="C341" s="4"/>
      <c r="D341" s="2"/>
      <c r="E341" s="13"/>
      <c r="F341" s="13"/>
      <c r="G341" s="2"/>
      <c r="H341" s="2"/>
      <c r="I341" s="2"/>
      <c r="J341" s="2"/>
      <c r="K341" s="13"/>
      <c r="L341" s="1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2"/>
      <c r="C342" s="4"/>
      <c r="D342" s="2"/>
      <c r="E342" s="13"/>
      <c r="F342" s="13"/>
      <c r="G342" s="2"/>
      <c r="H342" s="2"/>
      <c r="I342" s="2"/>
      <c r="J342" s="2"/>
      <c r="K342" s="13"/>
      <c r="L342" s="1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"/>
      <c r="B343" s="2"/>
      <c r="C343" s="4"/>
      <c r="D343" s="2"/>
      <c r="E343" s="13"/>
      <c r="F343" s="13"/>
      <c r="G343" s="2"/>
      <c r="H343" s="2"/>
      <c r="I343" s="2"/>
      <c r="J343" s="2"/>
      <c r="K343" s="13"/>
      <c r="L343" s="1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"/>
      <c r="B344" s="2"/>
      <c r="C344" s="4"/>
      <c r="D344" s="2"/>
      <c r="E344" s="13"/>
      <c r="F344" s="13"/>
      <c r="G344" s="2"/>
      <c r="H344" s="2"/>
      <c r="I344" s="2"/>
      <c r="J344" s="2"/>
      <c r="K344" s="13"/>
      <c r="L344" s="1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"/>
      <c r="B345" s="2"/>
      <c r="C345" s="4"/>
      <c r="D345" s="2"/>
      <c r="E345" s="13"/>
      <c r="F345" s="13"/>
      <c r="G345" s="2"/>
      <c r="H345" s="2"/>
      <c r="I345" s="2"/>
      <c r="J345" s="2"/>
      <c r="K345" s="13"/>
      <c r="L345" s="1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"/>
      <c r="B346" s="2"/>
      <c r="C346" s="4"/>
      <c r="D346" s="2"/>
      <c r="E346" s="13"/>
      <c r="F346" s="13"/>
      <c r="G346" s="2"/>
      <c r="H346" s="2"/>
      <c r="I346" s="2"/>
      <c r="J346" s="2"/>
      <c r="K346" s="13"/>
      <c r="L346" s="1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"/>
      <c r="B347" s="2"/>
      <c r="C347" s="4"/>
      <c r="D347" s="2"/>
      <c r="E347" s="13"/>
      <c r="F347" s="13"/>
      <c r="G347" s="2"/>
      <c r="H347" s="2"/>
      <c r="I347" s="2"/>
      <c r="J347" s="2"/>
      <c r="K347" s="13"/>
      <c r="L347" s="1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"/>
      <c r="B348" s="2"/>
      <c r="C348" s="4"/>
      <c r="D348" s="2"/>
      <c r="E348" s="13"/>
      <c r="F348" s="13"/>
      <c r="G348" s="2"/>
      <c r="H348" s="2"/>
      <c r="I348" s="2"/>
      <c r="J348" s="2"/>
      <c r="K348" s="13"/>
      <c r="L348" s="1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"/>
      <c r="B349" s="2"/>
      <c r="C349" s="4"/>
      <c r="D349" s="2"/>
      <c r="E349" s="13"/>
      <c r="F349" s="13"/>
      <c r="G349" s="2"/>
      <c r="H349" s="2"/>
      <c r="I349" s="2"/>
      <c r="J349" s="2"/>
      <c r="K349" s="13"/>
      <c r="L349" s="1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"/>
      <c r="B350" s="2"/>
      <c r="C350" s="4"/>
      <c r="D350" s="2"/>
      <c r="E350" s="13"/>
      <c r="F350" s="13"/>
      <c r="G350" s="2"/>
      <c r="H350" s="2"/>
      <c r="I350" s="2"/>
      <c r="J350" s="2"/>
      <c r="K350" s="13"/>
      <c r="L350" s="1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"/>
      <c r="B351" s="2"/>
      <c r="C351" s="4"/>
      <c r="D351" s="2"/>
      <c r="E351" s="13"/>
      <c r="F351" s="13"/>
      <c r="G351" s="2"/>
      <c r="H351" s="2"/>
      <c r="I351" s="2"/>
      <c r="J351" s="2"/>
      <c r="K351" s="13"/>
      <c r="L351" s="1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"/>
      <c r="B352" s="2"/>
      <c r="C352" s="4"/>
      <c r="D352" s="2"/>
      <c r="E352" s="13"/>
      <c r="F352" s="13"/>
      <c r="G352" s="2"/>
      <c r="H352" s="2"/>
      <c r="I352" s="2"/>
      <c r="J352" s="2"/>
      <c r="K352" s="13"/>
      <c r="L352" s="1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"/>
      <c r="B353" s="2"/>
      <c r="C353" s="4"/>
      <c r="D353" s="2"/>
      <c r="E353" s="13"/>
      <c r="F353" s="13"/>
      <c r="G353" s="2"/>
      <c r="H353" s="2"/>
      <c r="I353" s="2"/>
      <c r="J353" s="2"/>
      <c r="K353" s="13"/>
      <c r="L353" s="1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"/>
      <c r="B354" s="2"/>
      <c r="C354" s="4"/>
      <c r="D354" s="2"/>
      <c r="E354" s="13"/>
      <c r="F354" s="13"/>
      <c r="G354" s="2"/>
      <c r="H354" s="2"/>
      <c r="I354" s="2"/>
      <c r="J354" s="2"/>
      <c r="K354" s="13"/>
      <c r="L354" s="1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"/>
      <c r="B355" s="2"/>
      <c r="C355" s="4"/>
      <c r="D355" s="2"/>
      <c r="E355" s="13"/>
      <c r="F355" s="13"/>
      <c r="G355" s="2"/>
      <c r="H355" s="2"/>
      <c r="I355" s="2"/>
      <c r="J355" s="2"/>
      <c r="K355" s="13"/>
      <c r="L355" s="1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"/>
      <c r="B356" s="2"/>
      <c r="C356" s="4"/>
      <c r="D356" s="2"/>
      <c r="E356" s="13"/>
      <c r="F356" s="13"/>
      <c r="G356" s="2"/>
      <c r="H356" s="2"/>
      <c r="I356" s="2"/>
      <c r="J356" s="2"/>
      <c r="K356" s="13"/>
      <c r="L356" s="1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"/>
      <c r="B357" s="2"/>
      <c r="C357" s="4"/>
      <c r="D357" s="2"/>
      <c r="E357" s="13"/>
      <c r="F357" s="13"/>
      <c r="G357" s="2"/>
      <c r="H357" s="2"/>
      <c r="I357" s="2"/>
      <c r="J357" s="2"/>
      <c r="K357" s="13"/>
      <c r="L357" s="1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"/>
      <c r="B358" s="2"/>
      <c r="C358" s="4"/>
      <c r="D358" s="2"/>
      <c r="E358" s="13"/>
      <c r="F358" s="13"/>
      <c r="G358" s="2"/>
      <c r="H358" s="2"/>
      <c r="I358" s="2"/>
      <c r="J358" s="2"/>
      <c r="K358" s="13"/>
      <c r="L358" s="1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"/>
      <c r="B359" s="2"/>
      <c r="C359" s="4"/>
      <c r="D359" s="2"/>
      <c r="E359" s="13"/>
      <c r="F359" s="13"/>
      <c r="G359" s="2"/>
      <c r="H359" s="2"/>
      <c r="I359" s="2"/>
      <c r="J359" s="2"/>
      <c r="K359" s="13"/>
      <c r="L359" s="1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"/>
      <c r="B360" s="2"/>
      <c r="C360" s="4"/>
      <c r="D360" s="2"/>
      <c r="E360" s="13"/>
      <c r="F360" s="13"/>
      <c r="G360" s="2"/>
      <c r="H360" s="2"/>
      <c r="I360" s="2"/>
      <c r="J360" s="2"/>
      <c r="K360" s="13"/>
      <c r="L360" s="1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"/>
      <c r="B361" s="2"/>
      <c r="C361" s="4"/>
      <c r="D361" s="2"/>
      <c r="E361" s="13"/>
      <c r="F361" s="13"/>
      <c r="G361" s="2"/>
      <c r="H361" s="2"/>
      <c r="I361" s="2"/>
      <c r="J361" s="2"/>
      <c r="K361" s="13"/>
      <c r="L361" s="1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"/>
      <c r="B362" s="2"/>
      <c r="C362" s="4"/>
      <c r="D362" s="2"/>
      <c r="E362" s="13"/>
      <c r="F362" s="13"/>
      <c r="G362" s="2"/>
      <c r="H362" s="2"/>
      <c r="I362" s="2"/>
      <c r="J362" s="2"/>
      <c r="K362" s="13"/>
      <c r="L362" s="1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"/>
      <c r="B363" s="2"/>
      <c r="C363" s="4"/>
      <c r="D363" s="2"/>
      <c r="E363" s="13"/>
      <c r="F363" s="13"/>
      <c r="G363" s="2"/>
      <c r="H363" s="2"/>
      <c r="I363" s="2"/>
      <c r="J363" s="2"/>
      <c r="K363" s="13"/>
      <c r="L363" s="1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"/>
      <c r="B364" s="2"/>
      <c r="C364" s="4"/>
      <c r="D364" s="2"/>
      <c r="E364" s="13"/>
      <c r="F364" s="13"/>
      <c r="G364" s="2"/>
      <c r="H364" s="2"/>
      <c r="I364" s="2"/>
      <c r="J364" s="2"/>
      <c r="K364" s="13"/>
      <c r="L364" s="1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"/>
      <c r="B365" s="2"/>
      <c r="C365" s="4"/>
      <c r="D365" s="2"/>
      <c r="E365" s="13"/>
      <c r="F365" s="13"/>
      <c r="G365" s="2"/>
      <c r="H365" s="2"/>
      <c r="I365" s="2"/>
      <c r="J365" s="2"/>
      <c r="K365" s="13"/>
      <c r="L365" s="1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"/>
      <c r="B366" s="2"/>
      <c r="C366" s="4"/>
      <c r="D366" s="2"/>
      <c r="E366" s="13"/>
      <c r="F366" s="13"/>
      <c r="G366" s="2"/>
      <c r="H366" s="2"/>
      <c r="I366" s="2"/>
      <c r="J366" s="2"/>
      <c r="K366" s="13"/>
      <c r="L366" s="1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"/>
      <c r="B367" s="2"/>
      <c r="C367" s="4"/>
      <c r="D367" s="2"/>
      <c r="E367" s="13"/>
      <c r="F367" s="13"/>
      <c r="G367" s="2"/>
      <c r="H367" s="2"/>
      <c r="I367" s="2"/>
      <c r="J367" s="2"/>
      <c r="K367" s="13"/>
      <c r="L367" s="1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"/>
      <c r="B368" s="2"/>
      <c r="C368" s="4"/>
      <c r="D368" s="2"/>
      <c r="E368" s="13"/>
      <c r="F368" s="13"/>
      <c r="G368" s="2"/>
      <c r="H368" s="2"/>
      <c r="I368" s="2"/>
      <c r="J368" s="2"/>
      <c r="K368" s="13"/>
      <c r="L368" s="1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"/>
      <c r="B369" s="2"/>
      <c r="C369" s="4"/>
      <c r="D369" s="2"/>
      <c r="E369" s="13"/>
      <c r="F369" s="13"/>
      <c r="G369" s="2"/>
      <c r="H369" s="2"/>
      <c r="I369" s="2"/>
      <c r="J369" s="2"/>
      <c r="K369" s="13"/>
      <c r="L369" s="1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"/>
      <c r="B370" s="2"/>
      <c r="C370" s="4"/>
      <c r="D370" s="2"/>
      <c r="E370" s="13"/>
      <c r="F370" s="13"/>
      <c r="G370" s="2"/>
      <c r="H370" s="2"/>
      <c r="I370" s="2"/>
      <c r="J370" s="2"/>
      <c r="K370" s="13"/>
      <c r="L370" s="1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"/>
      <c r="B371" s="2"/>
      <c r="C371" s="4"/>
      <c r="D371" s="2"/>
      <c r="E371" s="13"/>
      <c r="F371" s="13"/>
      <c r="G371" s="2"/>
      <c r="H371" s="2"/>
      <c r="I371" s="2"/>
      <c r="J371" s="2"/>
      <c r="K371" s="13"/>
      <c r="L371" s="1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"/>
      <c r="B372" s="2"/>
      <c r="C372" s="4"/>
      <c r="D372" s="2"/>
      <c r="E372" s="13"/>
      <c r="F372" s="13"/>
      <c r="G372" s="2"/>
      <c r="H372" s="2"/>
      <c r="I372" s="2"/>
      <c r="J372" s="2"/>
      <c r="K372" s="13"/>
      <c r="L372" s="1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"/>
      <c r="B373" s="2"/>
      <c r="C373" s="4"/>
      <c r="D373" s="2"/>
      <c r="E373" s="13"/>
      <c r="F373" s="13"/>
      <c r="G373" s="2"/>
      <c r="H373" s="2"/>
      <c r="I373" s="2"/>
      <c r="J373" s="2"/>
      <c r="K373" s="13"/>
      <c r="L373" s="1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"/>
      <c r="B374" s="2"/>
      <c r="C374" s="4"/>
      <c r="D374" s="2"/>
      <c r="E374" s="13"/>
      <c r="F374" s="13"/>
      <c r="G374" s="2"/>
      <c r="H374" s="2"/>
      <c r="I374" s="2"/>
      <c r="J374" s="2"/>
      <c r="K374" s="13"/>
      <c r="L374" s="1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"/>
      <c r="B375" s="2"/>
      <c r="C375" s="4"/>
      <c r="D375" s="2"/>
      <c r="E375" s="13"/>
      <c r="F375" s="13"/>
      <c r="G375" s="2"/>
      <c r="H375" s="2"/>
      <c r="I375" s="2"/>
      <c r="J375" s="2"/>
      <c r="K375" s="13"/>
      <c r="L375" s="1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"/>
      <c r="B376" s="2"/>
      <c r="C376" s="4"/>
      <c r="D376" s="2"/>
      <c r="E376" s="13"/>
      <c r="F376" s="13"/>
      <c r="G376" s="2"/>
      <c r="H376" s="2"/>
      <c r="I376" s="2"/>
      <c r="J376" s="2"/>
      <c r="K376" s="13"/>
      <c r="L376" s="1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"/>
      <c r="B377" s="2"/>
      <c r="C377" s="4"/>
      <c r="D377" s="2"/>
      <c r="E377" s="13"/>
      <c r="F377" s="13"/>
      <c r="G377" s="2"/>
      <c r="H377" s="2"/>
      <c r="I377" s="2"/>
      <c r="J377" s="2"/>
      <c r="K377" s="13"/>
      <c r="L377" s="1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"/>
      <c r="B378" s="2"/>
      <c r="C378" s="4"/>
      <c r="D378" s="2"/>
      <c r="E378" s="13"/>
      <c r="F378" s="13"/>
      <c r="G378" s="2"/>
      <c r="H378" s="2"/>
      <c r="I378" s="2"/>
      <c r="J378" s="2"/>
      <c r="K378" s="13"/>
      <c r="L378" s="1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"/>
      <c r="B379" s="2"/>
      <c r="C379" s="4"/>
      <c r="D379" s="2"/>
      <c r="E379" s="13"/>
      <c r="F379" s="13"/>
      <c r="G379" s="2"/>
      <c r="H379" s="2"/>
      <c r="I379" s="2"/>
      <c r="J379" s="2"/>
      <c r="K379" s="13"/>
      <c r="L379" s="1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"/>
      <c r="B380" s="2"/>
      <c r="C380" s="4"/>
      <c r="D380" s="2"/>
      <c r="E380" s="13"/>
      <c r="F380" s="13"/>
      <c r="G380" s="2"/>
      <c r="H380" s="2"/>
      <c r="I380" s="2"/>
      <c r="J380" s="2"/>
      <c r="K380" s="13"/>
      <c r="L380" s="1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"/>
      <c r="B381" s="2"/>
      <c r="C381" s="4"/>
      <c r="D381" s="2"/>
      <c r="E381" s="13"/>
      <c r="F381" s="13"/>
      <c r="G381" s="2"/>
      <c r="H381" s="2"/>
      <c r="I381" s="2"/>
      <c r="J381" s="2"/>
      <c r="K381" s="13"/>
      <c r="L381" s="1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"/>
      <c r="B382" s="2"/>
      <c r="C382" s="4"/>
      <c r="D382" s="2"/>
      <c r="E382" s="13"/>
      <c r="F382" s="13"/>
      <c r="G382" s="2"/>
      <c r="H382" s="2"/>
      <c r="I382" s="2"/>
      <c r="J382" s="2"/>
      <c r="K382" s="13"/>
      <c r="L382" s="1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"/>
      <c r="B383" s="2"/>
      <c r="C383" s="4"/>
      <c r="D383" s="2"/>
      <c r="E383" s="13"/>
      <c r="F383" s="13"/>
      <c r="G383" s="2"/>
      <c r="H383" s="2"/>
      <c r="I383" s="2"/>
      <c r="J383" s="2"/>
      <c r="K383" s="13"/>
      <c r="L383" s="1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"/>
      <c r="B384" s="2"/>
      <c r="C384" s="4"/>
      <c r="D384" s="2"/>
      <c r="E384" s="13"/>
      <c r="F384" s="13"/>
      <c r="G384" s="2"/>
      <c r="H384" s="2"/>
      <c r="I384" s="2"/>
      <c r="J384" s="2"/>
      <c r="K384" s="13"/>
      <c r="L384" s="1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"/>
      <c r="B385" s="2"/>
      <c r="C385" s="4"/>
      <c r="D385" s="2"/>
      <c r="E385" s="13"/>
      <c r="F385" s="13"/>
      <c r="G385" s="2"/>
      <c r="H385" s="2"/>
      <c r="I385" s="2"/>
      <c r="J385" s="2"/>
      <c r="K385" s="13"/>
      <c r="L385" s="1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"/>
      <c r="B386" s="2"/>
      <c r="C386" s="4"/>
      <c r="D386" s="2"/>
      <c r="E386" s="13"/>
      <c r="F386" s="13"/>
      <c r="G386" s="2"/>
      <c r="H386" s="2"/>
      <c r="I386" s="2"/>
      <c r="J386" s="2"/>
      <c r="K386" s="13"/>
      <c r="L386" s="1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"/>
      <c r="B387" s="2"/>
      <c r="C387" s="4"/>
      <c r="D387" s="2"/>
      <c r="E387" s="13"/>
      <c r="F387" s="13"/>
      <c r="G387" s="2"/>
      <c r="H387" s="2"/>
      <c r="I387" s="2"/>
      <c r="J387" s="2"/>
      <c r="K387" s="13"/>
      <c r="L387" s="1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"/>
      <c r="B388" s="2"/>
      <c r="C388" s="4"/>
      <c r="D388" s="2"/>
      <c r="E388" s="13"/>
      <c r="F388" s="13"/>
      <c r="G388" s="2"/>
      <c r="H388" s="2"/>
      <c r="I388" s="2"/>
      <c r="J388" s="2"/>
      <c r="K388" s="13"/>
      <c r="L388" s="1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"/>
      <c r="B389" s="2"/>
      <c r="C389" s="4"/>
      <c r="D389" s="2"/>
      <c r="E389" s="13"/>
      <c r="F389" s="13"/>
      <c r="G389" s="2"/>
      <c r="H389" s="2"/>
      <c r="I389" s="2"/>
      <c r="J389" s="2"/>
      <c r="K389" s="13"/>
      <c r="L389" s="1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"/>
      <c r="B390" s="2"/>
      <c r="C390" s="4"/>
      <c r="D390" s="2"/>
      <c r="E390" s="13"/>
      <c r="F390" s="13"/>
      <c r="G390" s="2"/>
      <c r="H390" s="2"/>
      <c r="I390" s="2"/>
      <c r="J390" s="2"/>
      <c r="K390" s="13"/>
      <c r="L390" s="1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"/>
      <c r="B391" s="2"/>
      <c r="C391" s="4"/>
      <c r="D391" s="2"/>
      <c r="E391" s="13"/>
      <c r="F391" s="13"/>
      <c r="G391" s="2"/>
      <c r="H391" s="2"/>
      <c r="I391" s="2"/>
      <c r="J391" s="2"/>
      <c r="K391" s="13"/>
      <c r="L391" s="1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"/>
      <c r="B392" s="2"/>
      <c r="C392" s="4"/>
      <c r="D392" s="2"/>
      <c r="E392" s="13"/>
      <c r="F392" s="13"/>
      <c r="G392" s="2"/>
      <c r="H392" s="2"/>
      <c r="I392" s="2"/>
      <c r="J392" s="2"/>
      <c r="K392" s="13"/>
      <c r="L392" s="1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"/>
      <c r="B393" s="2"/>
      <c r="C393" s="4"/>
      <c r="D393" s="2"/>
      <c r="E393" s="13"/>
      <c r="F393" s="13"/>
      <c r="G393" s="2"/>
      <c r="H393" s="2"/>
      <c r="I393" s="2"/>
      <c r="J393" s="2"/>
      <c r="K393" s="13"/>
      <c r="L393" s="1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1"/>
      <c r="B394" s="2"/>
      <c r="C394" s="4"/>
      <c r="D394" s="2"/>
      <c r="E394" s="13"/>
      <c r="F394" s="13"/>
      <c r="G394" s="2"/>
      <c r="H394" s="2"/>
      <c r="I394" s="2"/>
      <c r="J394" s="2"/>
      <c r="K394" s="13"/>
      <c r="L394" s="1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"/>
      <c r="B395" s="2"/>
      <c r="C395" s="4"/>
      <c r="D395" s="2"/>
      <c r="E395" s="13"/>
      <c r="F395" s="13"/>
      <c r="G395" s="2"/>
      <c r="H395" s="2"/>
      <c r="I395" s="2"/>
      <c r="J395" s="2"/>
      <c r="K395" s="13"/>
      <c r="L395" s="1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"/>
      <c r="B396" s="2"/>
      <c r="C396" s="4"/>
      <c r="D396" s="2"/>
      <c r="E396" s="13"/>
      <c r="F396" s="13"/>
      <c r="G396" s="2"/>
      <c r="H396" s="2"/>
      <c r="I396" s="2"/>
      <c r="J396" s="2"/>
      <c r="K396" s="13"/>
      <c r="L396" s="1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"/>
      <c r="B397" s="2"/>
      <c r="C397" s="4"/>
      <c r="D397" s="2"/>
      <c r="E397" s="13"/>
      <c r="F397" s="13"/>
      <c r="G397" s="2"/>
      <c r="H397" s="2"/>
      <c r="I397" s="2"/>
      <c r="J397" s="2"/>
      <c r="K397" s="13"/>
      <c r="L397" s="1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"/>
      <c r="B398" s="2"/>
      <c r="C398" s="4"/>
      <c r="D398" s="2"/>
      <c r="E398" s="13"/>
      <c r="F398" s="13"/>
      <c r="G398" s="2"/>
      <c r="H398" s="2"/>
      <c r="I398" s="2"/>
      <c r="J398" s="2"/>
      <c r="K398" s="13"/>
      <c r="L398" s="1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1"/>
      <c r="B399" s="2"/>
      <c r="C399" s="4"/>
      <c r="D399" s="2"/>
      <c r="E399" s="13"/>
      <c r="F399" s="13"/>
      <c r="G399" s="2"/>
      <c r="H399" s="2"/>
      <c r="I399" s="2"/>
      <c r="J399" s="2"/>
      <c r="K399" s="13"/>
      <c r="L399" s="1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"/>
      <c r="B400" s="2"/>
      <c r="C400" s="4"/>
      <c r="D400" s="2"/>
      <c r="E400" s="13"/>
      <c r="F400" s="13"/>
      <c r="G400" s="2"/>
      <c r="H400" s="2"/>
      <c r="I400" s="2"/>
      <c r="J400" s="2"/>
      <c r="K400" s="13"/>
      <c r="L400" s="1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"/>
      <c r="B401" s="2"/>
      <c r="C401" s="4"/>
      <c r="D401" s="2"/>
      <c r="E401" s="13"/>
      <c r="F401" s="13"/>
      <c r="G401" s="2"/>
      <c r="H401" s="2"/>
      <c r="I401" s="2"/>
      <c r="J401" s="2"/>
      <c r="K401" s="13"/>
      <c r="L401" s="1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"/>
      <c r="B402" s="2"/>
      <c r="C402" s="4"/>
      <c r="D402" s="2"/>
      <c r="E402" s="13"/>
      <c r="F402" s="13"/>
      <c r="G402" s="2"/>
      <c r="H402" s="2"/>
      <c r="I402" s="2"/>
      <c r="J402" s="2"/>
      <c r="K402" s="13"/>
      <c r="L402" s="1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"/>
      <c r="B403" s="2"/>
      <c r="C403" s="4"/>
      <c r="D403" s="2"/>
      <c r="E403" s="13"/>
      <c r="F403" s="13"/>
      <c r="G403" s="2"/>
      <c r="H403" s="2"/>
      <c r="I403" s="2"/>
      <c r="J403" s="2"/>
      <c r="K403" s="13"/>
      <c r="L403" s="1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"/>
      <c r="B404" s="2"/>
      <c r="C404" s="4"/>
      <c r="D404" s="2"/>
      <c r="E404" s="13"/>
      <c r="F404" s="13"/>
      <c r="G404" s="2"/>
      <c r="H404" s="2"/>
      <c r="I404" s="2"/>
      <c r="J404" s="2"/>
      <c r="K404" s="13"/>
      <c r="L404" s="1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"/>
      <c r="B405" s="2"/>
      <c r="C405" s="4"/>
      <c r="D405" s="2"/>
      <c r="E405" s="13"/>
      <c r="F405" s="13"/>
      <c r="G405" s="2"/>
      <c r="H405" s="2"/>
      <c r="I405" s="2"/>
      <c r="J405" s="2"/>
      <c r="K405" s="13"/>
      <c r="L405" s="1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"/>
      <c r="B406" s="2"/>
      <c r="C406" s="4"/>
      <c r="D406" s="2"/>
      <c r="E406" s="13"/>
      <c r="F406" s="13"/>
      <c r="G406" s="2"/>
      <c r="H406" s="2"/>
      <c r="I406" s="2"/>
      <c r="J406" s="2"/>
      <c r="K406" s="13"/>
      <c r="L406" s="1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"/>
      <c r="B407" s="2"/>
      <c r="C407" s="4"/>
      <c r="D407" s="2"/>
      <c r="E407" s="13"/>
      <c r="F407" s="13"/>
      <c r="G407" s="2"/>
      <c r="H407" s="2"/>
      <c r="I407" s="2"/>
      <c r="J407" s="2"/>
      <c r="K407" s="13"/>
      <c r="L407" s="1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"/>
      <c r="B408" s="2"/>
      <c r="C408" s="4"/>
      <c r="D408" s="2"/>
      <c r="E408" s="13"/>
      <c r="F408" s="13"/>
      <c r="G408" s="2"/>
      <c r="H408" s="2"/>
      <c r="I408" s="2"/>
      <c r="J408" s="2"/>
      <c r="K408" s="13"/>
      <c r="L408" s="1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"/>
      <c r="B409" s="2"/>
      <c r="C409" s="4"/>
      <c r="D409" s="2"/>
      <c r="E409" s="13"/>
      <c r="F409" s="13"/>
      <c r="G409" s="2"/>
      <c r="H409" s="2"/>
      <c r="I409" s="2"/>
      <c r="J409" s="2"/>
      <c r="K409" s="13"/>
      <c r="L409" s="1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"/>
      <c r="B410" s="2"/>
      <c r="C410" s="4"/>
      <c r="D410" s="2"/>
      <c r="E410" s="13"/>
      <c r="F410" s="13"/>
      <c r="G410" s="2"/>
      <c r="H410" s="2"/>
      <c r="I410" s="2"/>
      <c r="J410" s="2"/>
      <c r="K410" s="13"/>
      <c r="L410" s="1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"/>
      <c r="B411" s="2"/>
      <c r="C411" s="4"/>
      <c r="D411" s="2"/>
      <c r="E411" s="13"/>
      <c r="F411" s="13"/>
      <c r="G411" s="2"/>
      <c r="H411" s="2"/>
      <c r="I411" s="2"/>
      <c r="J411" s="2"/>
      <c r="K411" s="13"/>
      <c r="L411" s="1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"/>
      <c r="B412" s="2"/>
      <c r="C412" s="4"/>
      <c r="D412" s="2"/>
      <c r="E412" s="13"/>
      <c r="F412" s="13"/>
      <c r="G412" s="2"/>
      <c r="H412" s="2"/>
      <c r="I412" s="2"/>
      <c r="J412" s="2"/>
      <c r="K412" s="13"/>
      <c r="L412" s="1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"/>
      <c r="B413" s="2"/>
      <c r="C413" s="4"/>
      <c r="D413" s="2"/>
      <c r="E413" s="13"/>
      <c r="F413" s="13"/>
      <c r="G413" s="2"/>
      <c r="H413" s="2"/>
      <c r="I413" s="2"/>
      <c r="J413" s="2"/>
      <c r="K413" s="13"/>
      <c r="L413" s="1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"/>
      <c r="B414" s="2"/>
      <c r="C414" s="4"/>
      <c r="D414" s="2"/>
      <c r="E414" s="13"/>
      <c r="F414" s="13"/>
      <c r="G414" s="2"/>
      <c r="H414" s="2"/>
      <c r="I414" s="2"/>
      <c r="J414" s="2"/>
      <c r="K414" s="13"/>
      <c r="L414" s="1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"/>
      <c r="B415" s="2"/>
      <c r="C415" s="4"/>
      <c r="D415" s="2"/>
      <c r="E415" s="13"/>
      <c r="F415" s="13"/>
      <c r="G415" s="2"/>
      <c r="H415" s="2"/>
      <c r="I415" s="2"/>
      <c r="J415" s="2"/>
      <c r="K415" s="13"/>
      <c r="L415" s="1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"/>
      <c r="B416" s="2"/>
      <c r="C416" s="4"/>
      <c r="D416" s="2"/>
      <c r="E416" s="13"/>
      <c r="F416" s="13"/>
      <c r="G416" s="2"/>
      <c r="H416" s="2"/>
      <c r="I416" s="2"/>
      <c r="J416" s="2"/>
      <c r="K416" s="13"/>
      <c r="L416" s="1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"/>
      <c r="B417" s="2"/>
      <c r="C417" s="4"/>
      <c r="D417" s="2"/>
      <c r="E417" s="13"/>
      <c r="F417" s="13"/>
      <c r="G417" s="2"/>
      <c r="H417" s="2"/>
      <c r="I417" s="2"/>
      <c r="J417" s="2"/>
      <c r="K417" s="13"/>
      <c r="L417" s="1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"/>
      <c r="B418" s="2"/>
      <c r="C418" s="4"/>
      <c r="D418" s="2"/>
      <c r="E418" s="13"/>
      <c r="F418" s="13"/>
      <c r="G418" s="2"/>
      <c r="H418" s="2"/>
      <c r="I418" s="2"/>
      <c r="J418" s="2"/>
      <c r="K418" s="13"/>
      <c r="L418" s="1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"/>
      <c r="B419" s="2"/>
      <c r="C419" s="4"/>
      <c r="D419" s="2"/>
      <c r="E419" s="13"/>
      <c r="F419" s="13"/>
      <c r="G419" s="2"/>
      <c r="H419" s="2"/>
      <c r="I419" s="2"/>
      <c r="J419" s="2"/>
      <c r="K419" s="13"/>
      <c r="L419" s="1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"/>
      <c r="B420" s="2"/>
      <c r="C420" s="4"/>
      <c r="D420" s="2"/>
      <c r="E420" s="13"/>
      <c r="F420" s="13"/>
      <c r="G420" s="2"/>
      <c r="H420" s="2"/>
      <c r="I420" s="2"/>
      <c r="J420" s="2"/>
      <c r="K420" s="13"/>
      <c r="L420" s="1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"/>
      <c r="B421" s="2"/>
      <c r="C421" s="4"/>
      <c r="D421" s="2"/>
      <c r="E421" s="13"/>
      <c r="F421" s="13"/>
      <c r="G421" s="2"/>
      <c r="H421" s="2"/>
      <c r="I421" s="2"/>
      <c r="J421" s="2"/>
      <c r="K421" s="13"/>
      <c r="L421" s="1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2"/>
      <c r="C422" s="4"/>
      <c r="D422" s="2"/>
      <c r="E422" s="13"/>
      <c r="F422" s="13"/>
      <c r="G422" s="2"/>
      <c r="H422" s="2"/>
      <c r="I422" s="2"/>
      <c r="J422" s="2"/>
      <c r="K422" s="13"/>
      <c r="L422" s="1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2"/>
      <c r="C423" s="4"/>
      <c r="D423" s="2"/>
      <c r="E423" s="13"/>
      <c r="F423" s="13"/>
      <c r="G423" s="2"/>
      <c r="H423" s="2"/>
      <c r="I423" s="2"/>
      <c r="J423" s="2"/>
      <c r="K423" s="13"/>
      <c r="L423" s="1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2"/>
      <c r="C424" s="4"/>
      <c r="D424" s="2"/>
      <c r="E424" s="13"/>
      <c r="F424" s="13"/>
      <c r="G424" s="2"/>
      <c r="H424" s="2"/>
      <c r="I424" s="2"/>
      <c r="J424" s="2"/>
      <c r="K424" s="13"/>
      <c r="L424" s="1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"/>
      <c r="B425" s="2"/>
      <c r="C425" s="4"/>
      <c r="D425" s="2"/>
      <c r="E425" s="13"/>
      <c r="F425" s="13"/>
      <c r="G425" s="2"/>
      <c r="H425" s="2"/>
      <c r="I425" s="2"/>
      <c r="J425" s="2"/>
      <c r="K425" s="13"/>
      <c r="L425" s="1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"/>
      <c r="B426" s="2"/>
      <c r="C426" s="4"/>
      <c r="D426" s="2"/>
      <c r="E426" s="13"/>
      <c r="F426" s="13"/>
      <c r="G426" s="2"/>
      <c r="H426" s="2"/>
      <c r="I426" s="2"/>
      <c r="J426" s="2"/>
      <c r="K426" s="13"/>
      <c r="L426" s="1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"/>
      <c r="B427" s="2"/>
      <c r="C427" s="4"/>
      <c r="D427" s="2"/>
      <c r="E427" s="13"/>
      <c r="F427" s="13"/>
      <c r="G427" s="2"/>
      <c r="H427" s="2"/>
      <c r="I427" s="2"/>
      <c r="J427" s="2"/>
      <c r="K427" s="13"/>
      <c r="L427" s="1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"/>
      <c r="B428" s="2"/>
      <c r="C428" s="4"/>
      <c r="D428" s="2"/>
      <c r="E428" s="13"/>
      <c r="F428" s="13"/>
      <c r="G428" s="2"/>
      <c r="H428" s="2"/>
      <c r="I428" s="2"/>
      <c r="J428" s="2"/>
      <c r="K428" s="13"/>
      <c r="L428" s="1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"/>
      <c r="B429" s="2"/>
      <c r="C429" s="4"/>
      <c r="D429" s="2"/>
      <c r="E429" s="13"/>
      <c r="F429" s="13"/>
      <c r="G429" s="2"/>
      <c r="H429" s="2"/>
      <c r="I429" s="2"/>
      <c r="J429" s="2"/>
      <c r="K429" s="13"/>
      <c r="L429" s="1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"/>
      <c r="B430" s="2"/>
      <c r="C430" s="4"/>
      <c r="D430" s="2"/>
      <c r="E430" s="13"/>
      <c r="F430" s="13"/>
      <c r="G430" s="2"/>
      <c r="H430" s="2"/>
      <c r="I430" s="2"/>
      <c r="J430" s="2"/>
      <c r="K430" s="13"/>
      <c r="L430" s="1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"/>
      <c r="B431" s="2"/>
      <c r="C431" s="4"/>
      <c r="D431" s="2"/>
      <c r="E431" s="13"/>
      <c r="F431" s="13"/>
      <c r="G431" s="2"/>
      <c r="H431" s="2"/>
      <c r="I431" s="2"/>
      <c r="J431" s="2"/>
      <c r="K431" s="13"/>
      <c r="L431" s="1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1"/>
      <c r="B432" s="2"/>
      <c r="C432" s="4"/>
      <c r="D432" s="2"/>
      <c r="E432" s="13"/>
      <c r="F432" s="13"/>
      <c r="G432" s="2"/>
      <c r="H432" s="2"/>
      <c r="I432" s="2"/>
      <c r="J432" s="2"/>
      <c r="K432" s="13"/>
      <c r="L432" s="1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1"/>
      <c r="B433" s="2"/>
      <c r="C433" s="4"/>
      <c r="D433" s="2"/>
      <c r="E433" s="13"/>
      <c r="F433" s="13"/>
      <c r="G433" s="2"/>
      <c r="H433" s="2"/>
      <c r="I433" s="2"/>
      <c r="J433" s="2"/>
      <c r="K433" s="13"/>
      <c r="L433" s="1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"/>
      <c r="B434" s="2"/>
      <c r="C434" s="4"/>
      <c r="D434" s="2"/>
      <c r="E434" s="13"/>
      <c r="F434" s="13"/>
      <c r="G434" s="2"/>
      <c r="H434" s="2"/>
      <c r="I434" s="2"/>
      <c r="J434" s="2"/>
      <c r="K434" s="13"/>
      <c r="L434" s="1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"/>
      <c r="B435" s="2"/>
      <c r="C435" s="4"/>
      <c r="D435" s="2"/>
      <c r="E435" s="13"/>
      <c r="F435" s="13"/>
      <c r="G435" s="2"/>
      <c r="H435" s="2"/>
      <c r="I435" s="2"/>
      <c r="J435" s="2"/>
      <c r="K435" s="13"/>
      <c r="L435" s="1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"/>
      <c r="B436" s="2"/>
      <c r="C436" s="4"/>
      <c r="D436" s="2"/>
      <c r="E436" s="13"/>
      <c r="F436" s="13"/>
      <c r="G436" s="2"/>
      <c r="H436" s="2"/>
      <c r="I436" s="2"/>
      <c r="J436" s="2"/>
      <c r="K436" s="13"/>
      <c r="L436" s="1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"/>
      <c r="B437" s="2"/>
      <c r="C437" s="4"/>
      <c r="D437" s="2"/>
      <c r="E437" s="13"/>
      <c r="F437" s="13"/>
      <c r="G437" s="2"/>
      <c r="H437" s="2"/>
      <c r="I437" s="2"/>
      <c r="J437" s="2"/>
      <c r="K437" s="13"/>
      <c r="L437" s="1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2"/>
      <c r="C438" s="4"/>
      <c r="D438" s="2"/>
      <c r="E438" s="13"/>
      <c r="F438" s="13"/>
      <c r="G438" s="2"/>
      <c r="H438" s="2"/>
      <c r="I438" s="2"/>
      <c r="J438" s="2"/>
      <c r="K438" s="13"/>
      <c r="L438" s="1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"/>
      <c r="B439" s="2"/>
      <c r="C439" s="4"/>
      <c r="D439" s="2"/>
      <c r="E439" s="13"/>
      <c r="F439" s="13"/>
      <c r="G439" s="2"/>
      <c r="H439" s="2"/>
      <c r="I439" s="2"/>
      <c r="J439" s="2"/>
      <c r="K439" s="13"/>
      <c r="L439" s="1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"/>
      <c r="B440" s="2"/>
      <c r="C440" s="4"/>
      <c r="D440" s="2"/>
      <c r="E440" s="13"/>
      <c r="F440" s="13"/>
      <c r="G440" s="2"/>
      <c r="H440" s="2"/>
      <c r="I440" s="2"/>
      <c r="J440" s="2"/>
      <c r="K440" s="13"/>
      <c r="L440" s="1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"/>
      <c r="B441" s="2"/>
      <c r="C441" s="4"/>
      <c r="D441" s="2"/>
      <c r="E441" s="13"/>
      <c r="F441" s="13"/>
      <c r="G441" s="2"/>
      <c r="H441" s="2"/>
      <c r="I441" s="2"/>
      <c r="J441" s="2"/>
      <c r="K441" s="13"/>
      <c r="L441" s="1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"/>
      <c r="B442" s="2"/>
      <c r="C442" s="4"/>
      <c r="D442" s="2"/>
      <c r="E442" s="13"/>
      <c r="F442" s="13"/>
      <c r="G442" s="2"/>
      <c r="H442" s="2"/>
      <c r="I442" s="2"/>
      <c r="J442" s="2"/>
      <c r="K442" s="13"/>
      <c r="L442" s="1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"/>
      <c r="B443" s="2"/>
      <c r="C443" s="4"/>
      <c r="D443" s="2"/>
      <c r="E443" s="13"/>
      <c r="F443" s="13"/>
      <c r="G443" s="2"/>
      <c r="H443" s="2"/>
      <c r="I443" s="2"/>
      <c r="J443" s="2"/>
      <c r="K443" s="13"/>
      <c r="L443" s="1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"/>
      <c r="B444" s="2"/>
      <c r="C444" s="4"/>
      <c r="D444" s="2"/>
      <c r="E444" s="13"/>
      <c r="F444" s="13"/>
      <c r="G444" s="2"/>
      <c r="H444" s="2"/>
      <c r="I444" s="2"/>
      <c r="J444" s="2"/>
      <c r="K444" s="13"/>
      <c r="L444" s="1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"/>
      <c r="B445" s="2"/>
      <c r="C445" s="4"/>
      <c r="D445" s="2"/>
      <c r="E445" s="13"/>
      <c r="F445" s="13"/>
      <c r="G445" s="2"/>
      <c r="H445" s="2"/>
      <c r="I445" s="2"/>
      <c r="J445" s="2"/>
      <c r="K445" s="13"/>
      <c r="L445" s="1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"/>
      <c r="B446" s="2"/>
      <c r="C446" s="4"/>
      <c r="D446" s="2"/>
      <c r="E446" s="13"/>
      <c r="F446" s="13"/>
      <c r="G446" s="2"/>
      <c r="H446" s="2"/>
      <c r="I446" s="2"/>
      <c r="J446" s="2"/>
      <c r="K446" s="13"/>
      <c r="L446" s="1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"/>
      <c r="B447" s="2"/>
      <c r="C447" s="4"/>
      <c r="D447" s="2"/>
      <c r="E447" s="13"/>
      <c r="F447" s="13"/>
      <c r="G447" s="2"/>
      <c r="H447" s="2"/>
      <c r="I447" s="2"/>
      <c r="J447" s="2"/>
      <c r="K447" s="13"/>
      <c r="L447" s="1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"/>
      <c r="B448" s="2"/>
      <c r="C448" s="4"/>
      <c r="D448" s="2"/>
      <c r="E448" s="13"/>
      <c r="F448" s="13"/>
      <c r="G448" s="2"/>
      <c r="H448" s="2"/>
      <c r="I448" s="2"/>
      <c r="J448" s="2"/>
      <c r="K448" s="13"/>
      <c r="L448" s="1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"/>
      <c r="B449" s="2"/>
      <c r="C449" s="4"/>
      <c r="D449" s="2"/>
      <c r="E449" s="13"/>
      <c r="F449" s="13"/>
      <c r="G449" s="2"/>
      <c r="H449" s="2"/>
      <c r="I449" s="2"/>
      <c r="J449" s="2"/>
      <c r="K449" s="13"/>
      <c r="L449" s="1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"/>
      <c r="B450" s="2"/>
      <c r="C450" s="4"/>
      <c r="D450" s="2"/>
      <c r="E450" s="13"/>
      <c r="F450" s="13"/>
      <c r="G450" s="2"/>
      <c r="H450" s="2"/>
      <c r="I450" s="2"/>
      <c r="J450" s="2"/>
      <c r="K450" s="13"/>
      <c r="L450" s="1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"/>
      <c r="B451" s="2"/>
      <c r="C451" s="4"/>
      <c r="D451" s="2"/>
      <c r="E451" s="13"/>
      <c r="F451" s="13"/>
      <c r="G451" s="2"/>
      <c r="H451" s="2"/>
      <c r="I451" s="2"/>
      <c r="J451" s="2"/>
      <c r="K451" s="13"/>
      <c r="L451" s="1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"/>
      <c r="B452" s="2"/>
      <c r="C452" s="4"/>
      <c r="D452" s="2"/>
      <c r="E452" s="13"/>
      <c r="F452" s="13"/>
      <c r="G452" s="2"/>
      <c r="H452" s="2"/>
      <c r="I452" s="2"/>
      <c r="J452" s="2"/>
      <c r="K452" s="13"/>
      <c r="L452" s="1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"/>
      <c r="B453" s="2"/>
      <c r="C453" s="4"/>
      <c r="D453" s="2"/>
      <c r="E453" s="13"/>
      <c r="F453" s="13"/>
      <c r="G453" s="2"/>
      <c r="H453" s="2"/>
      <c r="I453" s="2"/>
      <c r="J453" s="2"/>
      <c r="K453" s="13"/>
      <c r="L453" s="1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"/>
      <c r="B454" s="2"/>
      <c r="C454" s="4"/>
      <c r="D454" s="2"/>
      <c r="E454" s="13"/>
      <c r="F454" s="13"/>
      <c r="G454" s="2"/>
      <c r="H454" s="2"/>
      <c r="I454" s="2"/>
      <c r="J454" s="2"/>
      <c r="K454" s="13"/>
      <c r="L454" s="1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"/>
      <c r="B455" s="2"/>
      <c r="C455" s="4"/>
      <c r="D455" s="2"/>
      <c r="E455" s="13"/>
      <c r="F455" s="13"/>
      <c r="G455" s="2"/>
      <c r="H455" s="2"/>
      <c r="I455" s="2"/>
      <c r="J455" s="2"/>
      <c r="K455" s="13"/>
      <c r="L455" s="1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"/>
      <c r="B456" s="2"/>
      <c r="C456" s="4"/>
      <c r="D456" s="2"/>
      <c r="E456" s="13"/>
      <c r="F456" s="13"/>
      <c r="G456" s="2"/>
      <c r="H456" s="2"/>
      <c r="I456" s="2"/>
      <c r="J456" s="2"/>
      <c r="K456" s="13"/>
      <c r="L456" s="1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"/>
      <c r="B457" s="2"/>
      <c r="C457" s="4"/>
      <c r="D457" s="2"/>
      <c r="E457" s="13"/>
      <c r="F457" s="13"/>
      <c r="G457" s="2"/>
      <c r="H457" s="2"/>
      <c r="I457" s="2"/>
      <c r="J457" s="2"/>
      <c r="K457" s="13"/>
      <c r="L457" s="1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2"/>
      <c r="C458" s="4"/>
      <c r="D458" s="2"/>
      <c r="E458" s="13"/>
      <c r="F458" s="13"/>
      <c r="G458" s="2"/>
      <c r="H458" s="2"/>
      <c r="I458" s="2"/>
      <c r="J458" s="2"/>
      <c r="K458" s="13"/>
      <c r="L458" s="1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2"/>
      <c r="C459" s="4"/>
      <c r="D459" s="2"/>
      <c r="E459" s="13"/>
      <c r="F459" s="13"/>
      <c r="G459" s="2"/>
      <c r="H459" s="2"/>
      <c r="I459" s="2"/>
      <c r="J459" s="2"/>
      <c r="K459" s="13"/>
      <c r="L459" s="1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"/>
      <c r="B460" s="2"/>
      <c r="C460" s="4"/>
      <c r="D460" s="2"/>
      <c r="E460" s="13"/>
      <c r="F460" s="13"/>
      <c r="G460" s="2"/>
      <c r="H460" s="2"/>
      <c r="I460" s="2"/>
      <c r="J460" s="2"/>
      <c r="K460" s="13"/>
      <c r="L460" s="1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2"/>
      <c r="C461" s="4"/>
      <c r="D461" s="2"/>
      <c r="E461" s="13"/>
      <c r="F461" s="13"/>
      <c r="G461" s="2"/>
      <c r="H461" s="2"/>
      <c r="I461" s="2"/>
      <c r="J461" s="2"/>
      <c r="K461" s="13"/>
      <c r="L461" s="1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"/>
      <c r="B462" s="2"/>
      <c r="C462" s="4"/>
      <c r="D462" s="2"/>
      <c r="E462" s="13"/>
      <c r="F462" s="13"/>
      <c r="G462" s="2"/>
      <c r="H462" s="2"/>
      <c r="I462" s="2"/>
      <c r="J462" s="2"/>
      <c r="K462" s="13"/>
      <c r="L462" s="1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"/>
      <c r="B463" s="2"/>
      <c r="C463" s="4"/>
      <c r="D463" s="2"/>
      <c r="E463" s="13"/>
      <c r="F463" s="13"/>
      <c r="G463" s="2"/>
      <c r="H463" s="2"/>
      <c r="I463" s="2"/>
      <c r="J463" s="2"/>
      <c r="K463" s="13"/>
      <c r="L463" s="1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"/>
      <c r="B464" s="2"/>
      <c r="C464" s="4"/>
      <c r="D464" s="2"/>
      <c r="E464" s="13"/>
      <c r="F464" s="13"/>
      <c r="G464" s="2"/>
      <c r="H464" s="2"/>
      <c r="I464" s="2"/>
      <c r="J464" s="2"/>
      <c r="K464" s="13"/>
      <c r="L464" s="1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"/>
      <c r="B465" s="2"/>
      <c r="C465" s="4"/>
      <c r="D465" s="2"/>
      <c r="E465" s="13"/>
      <c r="F465" s="13"/>
      <c r="G465" s="2"/>
      <c r="H465" s="2"/>
      <c r="I465" s="2"/>
      <c r="J465" s="2"/>
      <c r="K465" s="13"/>
      <c r="L465" s="1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"/>
      <c r="B466" s="2"/>
      <c r="C466" s="4"/>
      <c r="D466" s="2"/>
      <c r="E466" s="13"/>
      <c r="F466" s="13"/>
      <c r="G466" s="2"/>
      <c r="H466" s="2"/>
      <c r="I466" s="2"/>
      <c r="J466" s="2"/>
      <c r="K466" s="13"/>
      <c r="L466" s="1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"/>
      <c r="B467" s="2"/>
      <c r="C467" s="4"/>
      <c r="D467" s="2"/>
      <c r="E467" s="13"/>
      <c r="F467" s="13"/>
      <c r="G467" s="2"/>
      <c r="H467" s="2"/>
      <c r="I467" s="2"/>
      <c r="J467" s="2"/>
      <c r="K467" s="13"/>
      <c r="L467" s="1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"/>
      <c r="B468" s="2"/>
      <c r="C468" s="4"/>
      <c r="D468" s="2"/>
      <c r="E468" s="13"/>
      <c r="F468" s="13"/>
      <c r="G468" s="2"/>
      <c r="H468" s="2"/>
      <c r="I468" s="2"/>
      <c r="J468" s="2"/>
      <c r="K468" s="13"/>
      <c r="L468" s="1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"/>
      <c r="B469" s="2"/>
      <c r="C469" s="4"/>
      <c r="D469" s="2"/>
      <c r="E469" s="13"/>
      <c r="F469" s="13"/>
      <c r="G469" s="2"/>
      <c r="H469" s="2"/>
      <c r="I469" s="2"/>
      <c r="J469" s="2"/>
      <c r="K469" s="13"/>
      <c r="L469" s="1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"/>
      <c r="B470" s="2"/>
      <c r="C470" s="4"/>
      <c r="D470" s="2"/>
      <c r="E470" s="13"/>
      <c r="F470" s="13"/>
      <c r="G470" s="2"/>
      <c r="H470" s="2"/>
      <c r="I470" s="2"/>
      <c r="J470" s="2"/>
      <c r="K470" s="13"/>
      <c r="L470" s="1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"/>
      <c r="B471" s="2"/>
      <c r="C471" s="4"/>
      <c r="D471" s="2"/>
      <c r="E471" s="13"/>
      <c r="F471" s="13"/>
      <c r="G471" s="2"/>
      <c r="H471" s="2"/>
      <c r="I471" s="2"/>
      <c r="J471" s="2"/>
      <c r="K471" s="13"/>
      <c r="L471" s="1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"/>
      <c r="B472" s="2"/>
      <c r="C472" s="4"/>
      <c r="D472" s="2"/>
      <c r="E472" s="13"/>
      <c r="F472" s="13"/>
      <c r="G472" s="2"/>
      <c r="H472" s="2"/>
      <c r="I472" s="2"/>
      <c r="J472" s="2"/>
      <c r="K472" s="13"/>
      <c r="L472" s="1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"/>
      <c r="B473" s="2"/>
      <c r="C473" s="4"/>
      <c r="D473" s="2"/>
      <c r="E473" s="13"/>
      <c r="F473" s="13"/>
      <c r="G473" s="2"/>
      <c r="H473" s="2"/>
      <c r="I473" s="2"/>
      <c r="J473" s="2"/>
      <c r="K473" s="13"/>
      <c r="L473" s="1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"/>
      <c r="B474" s="2"/>
      <c r="C474" s="4"/>
      <c r="D474" s="2"/>
      <c r="E474" s="13"/>
      <c r="F474" s="13"/>
      <c r="G474" s="2"/>
      <c r="H474" s="2"/>
      <c r="I474" s="2"/>
      <c r="J474" s="2"/>
      <c r="K474" s="13"/>
      <c r="L474" s="1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"/>
      <c r="B475" s="2"/>
      <c r="C475" s="4"/>
      <c r="D475" s="2"/>
      <c r="E475" s="13"/>
      <c r="F475" s="13"/>
      <c r="G475" s="2"/>
      <c r="H475" s="2"/>
      <c r="I475" s="2"/>
      <c r="J475" s="2"/>
      <c r="K475" s="13"/>
      <c r="L475" s="1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"/>
      <c r="B476" s="2"/>
      <c r="C476" s="4"/>
      <c r="D476" s="2"/>
      <c r="E476" s="13"/>
      <c r="F476" s="13"/>
      <c r="G476" s="2"/>
      <c r="H476" s="2"/>
      <c r="I476" s="2"/>
      <c r="J476" s="2"/>
      <c r="K476" s="13"/>
      <c r="L476" s="1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"/>
      <c r="B477" s="2"/>
      <c r="C477" s="4"/>
      <c r="D477" s="2"/>
      <c r="E477" s="13"/>
      <c r="F477" s="13"/>
      <c r="G477" s="2"/>
      <c r="H477" s="2"/>
      <c r="I477" s="2"/>
      <c r="J477" s="2"/>
      <c r="K477" s="13"/>
      <c r="L477" s="1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"/>
      <c r="B478" s="2"/>
      <c r="C478" s="4"/>
      <c r="D478" s="2"/>
      <c r="E478" s="13"/>
      <c r="F478" s="13"/>
      <c r="G478" s="2"/>
      <c r="H478" s="2"/>
      <c r="I478" s="2"/>
      <c r="J478" s="2"/>
      <c r="K478" s="13"/>
      <c r="L478" s="1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"/>
      <c r="B479" s="2"/>
      <c r="C479" s="4"/>
      <c r="D479" s="2"/>
      <c r="E479" s="13"/>
      <c r="F479" s="13"/>
      <c r="G479" s="2"/>
      <c r="H479" s="2"/>
      <c r="I479" s="2"/>
      <c r="J479" s="2"/>
      <c r="K479" s="13"/>
      <c r="L479" s="1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"/>
      <c r="B480" s="2"/>
      <c r="C480" s="4"/>
      <c r="D480" s="2"/>
      <c r="E480" s="13"/>
      <c r="F480" s="13"/>
      <c r="G480" s="2"/>
      <c r="H480" s="2"/>
      <c r="I480" s="2"/>
      <c r="J480" s="2"/>
      <c r="K480" s="13"/>
      <c r="L480" s="1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2"/>
      <c r="C481" s="4"/>
      <c r="D481" s="2"/>
      <c r="E481" s="13"/>
      <c r="F481" s="13"/>
      <c r="G481" s="2"/>
      <c r="H481" s="2"/>
      <c r="I481" s="2"/>
      <c r="J481" s="2"/>
      <c r="K481" s="13"/>
      <c r="L481" s="14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2"/>
      <c r="C482" s="4"/>
      <c r="D482" s="2"/>
      <c r="E482" s="13"/>
      <c r="F482" s="13"/>
      <c r="G482" s="2"/>
      <c r="H482" s="2"/>
      <c r="I482" s="2"/>
      <c r="J482" s="2"/>
      <c r="K482" s="13"/>
      <c r="L482" s="14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"/>
      <c r="B483" s="2"/>
      <c r="C483" s="4"/>
      <c r="D483" s="2"/>
      <c r="E483" s="13"/>
      <c r="F483" s="13"/>
      <c r="G483" s="2"/>
      <c r="H483" s="2"/>
      <c r="I483" s="2"/>
      <c r="J483" s="2"/>
      <c r="K483" s="13"/>
      <c r="L483" s="14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"/>
      <c r="B484" s="2"/>
      <c r="C484" s="4"/>
      <c r="D484" s="2"/>
      <c r="E484" s="13"/>
      <c r="F484" s="13"/>
      <c r="G484" s="2"/>
      <c r="H484" s="2"/>
      <c r="I484" s="2"/>
      <c r="J484" s="2"/>
      <c r="K484" s="13"/>
      <c r="L484" s="14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"/>
      <c r="B485" s="2"/>
      <c r="C485" s="4"/>
      <c r="D485" s="2"/>
      <c r="E485" s="13"/>
      <c r="F485" s="13"/>
      <c r="G485" s="2"/>
      <c r="H485" s="2"/>
      <c r="I485" s="2"/>
      <c r="J485" s="2"/>
      <c r="K485" s="13"/>
      <c r="L485" s="14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"/>
      <c r="B486" s="2"/>
      <c r="C486" s="4"/>
      <c r="D486" s="2"/>
      <c r="E486" s="13"/>
      <c r="F486" s="13"/>
      <c r="G486" s="2"/>
      <c r="H486" s="2"/>
      <c r="I486" s="2"/>
      <c r="J486" s="2"/>
      <c r="K486" s="13"/>
      <c r="L486" s="14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"/>
      <c r="B487" s="2"/>
      <c r="C487" s="4"/>
      <c r="D487" s="2"/>
      <c r="E487" s="13"/>
      <c r="F487" s="13"/>
      <c r="G487" s="2"/>
      <c r="H487" s="2"/>
      <c r="I487" s="2"/>
      <c r="J487" s="2"/>
      <c r="K487" s="13"/>
      <c r="L487" s="14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"/>
      <c r="B488" s="2"/>
      <c r="C488" s="4"/>
      <c r="D488" s="2"/>
      <c r="E488" s="13"/>
      <c r="F488" s="13"/>
      <c r="G488" s="2"/>
      <c r="H488" s="2"/>
      <c r="I488" s="2"/>
      <c r="J488" s="2"/>
      <c r="K488" s="13"/>
      <c r="L488" s="14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"/>
      <c r="B489" s="2"/>
      <c r="C489" s="4"/>
      <c r="D489" s="2"/>
      <c r="E489" s="13"/>
      <c r="F489" s="13"/>
      <c r="G489" s="2"/>
      <c r="H489" s="2"/>
      <c r="I489" s="2"/>
      <c r="J489" s="2"/>
      <c r="K489" s="13"/>
      <c r="L489" s="14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"/>
      <c r="B490" s="2"/>
      <c r="C490" s="4"/>
      <c r="D490" s="2"/>
      <c r="E490" s="13"/>
      <c r="F490" s="13"/>
      <c r="G490" s="2"/>
      <c r="H490" s="2"/>
      <c r="I490" s="2"/>
      <c r="J490" s="2"/>
      <c r="K490" s="13"/>
      <c r="L490" s="14"/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"/>
      <c r="B491" s="2"/>
      <c r="C491" s="4"/>
      <c r="D491" s="2"/>
      <c r="E491" s="13"/>
      <c r="F491" s="13"/>
      <c r="G491" s="2"/>
      <c r="H491" s="2"/>
      <c r="I491" s="2"/>
      <c r="J491" s="2"/>
      <c r="K491" s="13"/>
      <c r="L491" s="14"/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"/>
      <c r="B492" s="2"/>
      <c r="C492" s="4"/>
      <c r="D492" s="2"/>
      <c r="E492" s="13"/>
      <c r="F492" s="13"/>
      <c r="G492" s="2"/>
      <c r="H492" s="2"/>
      <c r="I492" s="2"/>
      <c r="J492" s="2"/>
      <c r="K492" s="13"/>
      <c r="L492" s="14"/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"/>
      <c r="B493" s="2"/>
      <c r="C493" s="4"/>
      <c r="D493" s="2"/>
      <c r="E493" s="13"/>
      <c r="F493" s="13"/>
      <c r="G493" s="2"/>
      <c r="H493" s="2"/>
      <c r="I493" s="2"/>
      <c r="J493" s="2"/>
      <c r="K493" s="13"/>
      <c r="L493" s="14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"/>
      <c r="B494" s="2"/>
      <c r="C494" s="4"/>
      <c r="D494" s="2"/>
      <c r="E494" s="13"/>
      <c r="F494" s="13"/>
      <c r="G494" s="2"/>
      <c r="H494" s="2"/>
      <c r="I494" s="2"/>
      <c r="J494" s="2"/>
      <c r="K494" s="13"/>
      <c r="L494" s="14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"/>
      <c r="B495" s="2"/>
      <c r="C495" s="4"/>
      <c r="D495" s="2"/>
      <c r="E495" s="13"/>
      <c r="F495" s="13"/>
      <c r="G495" s="2"/>
      <c r="H495" s="2"/>
      <c r="I495" s="2"/>
      <c r="J495" s="2"/>
      <c r="K495" s="13"/>
      <c r="L495" s="14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2"/>
      <c r="C496" s="4"/>
      <c r="D496" s="2"/>
      <c r="E496" s="13"/>
      <c r="F496" s="13"/>
      <c r="G496" s="2"/>
      <c r="H496" s="2"/>
      <c r="I496" s="2"/>
      <c r="J496" s="2"/>
      <c r="K496" s="13"/>
      <c r="L496" s="14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"/>
      <c r="B497" s="2"/>
      <c r="C497" s="4"/>
      <c r="D497" s="2"/>
      <c r="E497" s="13"/>
      <c r="F497" s="13"/>
      <c r="G497" s="2"/>
      <c r="H497" s="2"/>
      <c r="I497" s="2"/>
      <c r="J497" s="2"/>
      <c r="K497" s="13"/>
      <c r="L497" s="14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"/>
      <c r="B498" s="2"/>
      <c r="C498" s="4"/>
      <c r="D498" s="2"/>
      <c r="E498" s="13"/>
      <c r="F498" s="13"/>
      <c r="G498" s="2"/>
      <c r="H498" s="2"/>
      <c r="I498" s="2"/>
      <c r="J498" s="2"/>
      <c r="K498" s="13"/>
      <c r="L498" s="14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"/>
      <c r="B499" s="2"/>
      <c r="C499" s="4"/>
      <c r="D499" s="2"/>
      <c r="E499" s="13"/>
      <c r="F499" s="13"/>
      <c r="G499" s="2"/>
      <c r="H499" s="2"/>
      <c r="I499" s="2"/>
      <c r="J499" s="2"/>
      <c r="K499" s="13"/>
      <c r="L499" s="14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"/>
      <c r="B500" s="2"/>
      <c r="C500" s="4"/>
      <c r="D500" s="2"/>
      <c r="E500" s="13"/>
      <c r="F500" s="13"/>
      <c r="G500" s="2"/>
      <c r="H500" s="2"/>
      <c r="I500" s="2"/>
      <c r="J500" s="2"/>
      <c r="K500" s="13"/>
      <c r="L500" s="14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"/>
      <c r="B501" s="2"/>
      <c r="C501" s="4"/>
      <c r="D501" s="2"/>
      <c r="E501" s="13"/>
      <c r="F501" s="13"/>
      <c r="G501" s="2"/>
      <c r="H501" s="2"/>
      <c r="I501" s="2"/>
      <c r="J501" s="2"/>
      <c r="K501" s="13"/>
      <c r="L501" s="14"/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"/>
      <c r="B502" s="2"/>
      <c r="C502" s="4"/>
      <c r="D502" s="2"/>
      <c r="E502" s="13"/>
      <c r="F502" s="13"/>
      <c r="G502" s="2"/>
      <c r="H502" s="2"/>
      <c r="I502" s="2"/>
      <c r="J502" s="2"/>
      <c r="K502" s="13"/>
      <c r="L502" s="14"/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2"/>
      <c r="C503" s="4"/>
      <c r="D503" s="2"/>
      <c r="E503" s="13"/>
      <c r="F503" s="13"/>
      <c r="G503" s="2"/>
      <c r="H503" s="2"/>
      <c r="I503" s="2"/>
      <c r="J503" s="2"/>
      <c r="K503" s="13"/>
      <c r="L503" s="14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2"/>
      <c r="C504" s="4"/>
      <c r="D504" s="2"/>
      <c r="E504" s="13"/>
      <c r="F504" s="13"/>
      <c r="G504" s="2"/>
      <c r="H504" s="2"/>
      <c r="I504" s="2"/>
      <c r="J504" s="2"/>
      <c r="K504" s="13"/>
      <c r="L504" s="14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2"/>
      <c r="C505" s="4"/>
      <c r="D505" s="2"/>
      <c r="E505" s="13"/>
      <c r="F505" s="13"/>
      <c r="G505" s="2"/>
      <c r="H505" s="2"/>
      <c r="I505" s="2"/>
      <c r="J505" s="2"/>
      <c r="K505" s="13"/>
      <c r="L505" s="14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"/>
      <c r="B506" s="2"/>
      <c r="C506" s="4"/>
      <c r="D506" s="2"/>
      <c r="E506" s="13"/>
      <c r="F506" s="13"/>
      <c r="G506" s="2"/>
      <c r="H506" s="2"/>
      <c r="I506" s="2"/>
      <c r="J506" s="2"/>
      <c r="K506" s="13"/>
      <c r="L506" s="14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"/>
      <c r="B507" s="2"/>
      <c r="C507" s="4"/>
      <c r="D507" s="2"/>
      <c r="E507" s="13"/>
      <c r="F507" s="13"/>
      <c r="G507" s="2"/>
      <c r="H507" s="2"/>
      <c r="I507" s="2"/>
      <c r="J507" s="2"/>
      <c r="K507" s="13"/>
      <c r="L507" s="14"/>
      <c r="M507" s="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"/>
      <c r="B508" s="2"/>
      <c r="C508" s="4"/>
      <c r="D508" s="2"/>
      <c r="E508" s="13"/>
      <c r="F508" s="13"/>
      <c r="G508" s="2"/>
      <c r="H508" s="2"/>
      <c r="I508" s="2"/>
      <c r="J508" s="2"/>
      <c r="K508" s="13"/>
      <c r="L508" s="14"/>
      <c r="M508" s="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"/>
      <c r="B509" s="2"/>
      <c r="C509" s="4"/>
      <c r="D509" s="2"/>
      <c r="E509" s="13"/>
      <c r="F509" s="13"/>
      <c r="G509" s="2"/>
      <c r="H509" s="2"/>
      <c r="I509" s="2"/>
      <c r="J509" s="2"/>
      <c r="K509" s="13"/>
      <c r="L509" s="14"/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"/>
      <c r="B510" s="2"/>
      <c r="C510" s="4"/>
      <c r="D510" s="2"/>
      <c r="E510" s="13"/>
      <c r="F510" s="13"/>
      <c r="G510" s="2"/>
      <c r="H510" s="2"/>
      <c r="I510" s="2"/>
      <c r="J510" s="2"/>
      <c r="K510" s="13"/>
      <c r="L510" s="14"/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"/>
      <c r="B511" s="2"/>
      <c r="C511" s="4"/>
      <c r="D511" s="2"/>
      <c r="E511" s="13"/>
      <c r="F511" s="13"/>
      <c r="G511" s="2"/>
      <c r="H511" s="2"/>
      <c r="I511" s="2"/>
      <c r="J511" s="2"/>
      <c r="K511" s="13"/>
      <c r="L511" s="14"/>
      <c r="M511" s="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"/>
      <c r="B512" s="2"/>
      <c r="C512" s="4"/>
      <c r="D512" s="2"/>
      <c r="E512" s="13"/>
      <c r="F512" s="13"/>
      <c r="G512" s="2"/>
      <c r="H512" s="2"/>
      <c r="I512" s="2"/>
      <c r="J512" s="2"/>
      <c r="K512" s="13"/>
      <c r="L512" s="14"/>
      <c r="M512" s="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"/>
      <c r="B513" s="2"/>
      <c r="C513" s="4"/>
      <c r="D513" s="2"/>
      <c r="E513" s="13"/>
      <c r="F513" s="13"/>
      <c r="G513" s="2"/>
      <c r="H513" s="2"/>
      <c r="I513" s="2"/>
      <c r="J513" s="2"/>
      <c r="K513" s="13"/>
      <c r="L513" s="14"/>
      <c r="M513" s="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"/>
      <c r="B514" s="2"/>
      <c r="C514" s="4"/>
      <c r="D514" s="2"/>
      <c r="E514" s="13"/>
      <c r="F514" s="13"/>
      <c r="G514" s="2"/>
      <c r="H514" s="2"/>
      <c r="I514" s="2"/>
      <c r="J514" s="2"/>
      <c r="K514" s="13"/>
      <c r="L514" s="14"/>
      <c r="M514" s="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2"/>
      <c r="C515" s="4"/>
      <c r="D515" s="2"/>
      <c r="E515" s="13"/>
      <c r="F515" s="13"/>
      <c r="G515" s="2"/>
      <c r="H515" s="2"/>
      <c r="I515" s="2"/>
      <c r="J515" s="2"/>
      <c r="K515" s="13"/>
      <c r="L515" s="14"/>
      <c r="M515" s="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2"/>
      <c r="C516" s="4"/>
      <c r="D516" s="2"/>
      <c r="E516" s="13"/>
      <c r="F516" s="13"/>
      <c r="G516" s="2"/>
      <c r="H516" s="2"/>
      <c r="I516" s="2"/>
      <c r="J516" s="2"/>
      <c r="K516" s="13"/>
      <c r="L516" s="14"/>
      <c r="M516" s="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2"/>
      <c r="C517" s="4"/>
      <c r="D517" s="2"/>
      <c r="E517" s="13"/>
      <c r="F517" s="13"/>
      <c r="G517" s="2"/>
      <c r="H517" s="2"/>
      <c r="I517" s="2"/>
      <c r="J517" s="2"/>
      <c r="K517" s="13"/>
      <c r="L517" s="14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2"/>
      <c r="C518" s="4"/>
      <c r="D518" s="2"/>
      <c r="E518" s="13"/>
      <c r="F518" s="13"/>
      <c r="G518" s="2"/>
      <c r="H518" s="2"/>
      <c r="I518" s="2"/>
      <c r="J518" s="2"/>
      <c r="K518" s="13"/>
      <c r="L518" s="14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"/>
      <c r="B519" s="2"/>
      <c r="C519" s="4"/>
      <c r="D519" s="2"/>
      <c r="E519" s="13"/>
      <c r="F519" s="13"/>
      <c r="G519" s="2"/>
      <c r="H519" s="2"/>
      <c r="I519" s="2"/>
      <c r="J519" s="2"/>
      <c r="K519" s="13"/>
      <c r="L519" s="14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"/>
      <c r="B520" s="2"/>
      <c r="C520" s="4"/>
      <c r="D520" s="2"/>
      <c r="E520" s="13"/>
      <c r="F520" s="13"/>
      <c r="G520" s="2"/>
      <c r="H520" s="2"/>
      <c r="I520" s="2"/>
      <c r="J520" s="2"/>
      <c r="K520" s="13"/>
      <c r="L520" s="14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"/>
      <c r="B521" s="2"/>
      <c r="C521" s="4"/>
      <c r="D521" s="2"/>
      <c r="E521" s="13"/>
      <c r="F521" s="13"/>
      <c r="G521" s="2"/>
      <c r="H521" s="2"/>
      <c r="I521" s="2"/>
      <c r="J521" s="2"/>
      <c r="K521" s="13"/>
      <c r="L521" s="14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"/>
      <c r="B522" s="2"/>
      <c r="C522" s="4"/>
      <c r="D522" s="2"/>
      <c r="E522" s="13"/>
      <c r="F522" s="13"/>
      <c r="G522" s="2"/>
      <c r="H522" s="2"/>
      <c r="I522" s="2"/>
      <c r="J522" s="2"/>
      <c r="K522" s="13"/>
      <c r="L522" s="14"/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"/>
      <c r="B523" s="2"/>
      <c r="C523" s="4"/>
      <c r="D523" s="2"/>
      <c r="E523" s="13"/>
      <c r="F523" s="13"/>
      <c r="G523" s="2"/>
      <c r="H523" s="2"/>
      <c r="I523" s="2"/>
      <c r="J523" s="2"/>
      <c r="K523" s="13"/>
      <c r="L523" s="14"/>
      <c r="M523" s="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"/>
      <c r="B524" s="2"/>
      <c r="C524" s="4"/>
      <c r="D524" s="2"/>
      <c r="E524" s="13"/>
      <c r="F524" s="13"/>
      <c r="G524" s="2"/>
      <c r="H524" s="2"/>
      <c r="I524" s="2"/>
      <c r="J524" s="2"/>
      <c r="K524" s="13"/>
      <c r="L524" s="14"/>
      <c r="M524" s="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"/>
      <c r="B525" s="2"/>
      <c r="C525" s="4"/>
      <c r="D525" s="2"/>
      <c r="E525" s="13"/>
      <c r="F525" s="13"/>
      <c r="G525" s="2"/>
      <c r="H525" s="2"/>
      <c r="I525" s="2"/>
      <c r="J525" s="2"/>
      <c r="K525" s="13"/>
      <c r="L525" s="14"/>
      <c r="M525" s="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"/>
      <c r="B526" s="2"/>
      <c r="C526" s="4"/>
      <c r="D526" s="2"/>
      <c r="E526" s="13"/>
      <c r="F526" s="13"/>
      <c r="G526" s="2"/>
      <c r="H526" s="2"/>
      <c r="I526" s="2"/>
      <c r="J526" s="2"/>
      <c r="K526" s="13"/>
      <c r="L526" s="14"/>
      <c r="M526" s="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"/>
      <c r="B527" s="2"/>
      <c r="C527" s="4"/>
      <c r="D527" s="2"/>
      <c r="E527" s="13"/>
      <c r="F527" s="13"/>
      <c r="G527" s="2"/>
      <c r="H527" s="2"/>
      <c r="I527" s="2"/>
      <c r="J527" s="2"/>
      <c r="K527" s="13"/>
      <c r="L527" s="14"/>
      <c r="M527" s="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"/>
      <c r="B528" s="2"/>
      <c r="C528" s="4"/>
      <c r="D528" s="2"/>
      <c r="E528" s="13"/>
      <c r="F528" s="13"/>
      <c r="G528" s="2"/>
      <c r="H528" s="2"/>
      <c r="I528" s="2"/>
      <c r="J528" s="2"/>
      <c r="K528" s="13"/>
      <c r="L528" s="14"/>
      <c r="M528" s="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"/>
      <c r="B529" s="2"/>
      <c r="C529" s="4"/>
      <c r="D529" s="2"/>
      <c r="E529" s="13"/>
      <c r="F529" s="13"/>
      <c r="G529" s="2"/>
      <c r="H529" s="2"/>
      <c r="I529" s="2"/>
      <c r="J529" s="2"/>
      <c r="K529" s="13"/>
      <c r="L529" s="14"/>
      <c r="M529" s="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"/>
      <c r="B530" s="2"/>
      <c r="C530" s="4"/>
      <c r="D530" s="2"/>
      <c r="E530" s="13"/>
      <c r="F530" s="13"/>
      <c r="G530" s="2"/>
      <c r="H530" s="2"/>
      <c r="I530" s="2"/>
      <c r="J530" s="2"/>
      <c r="K530" s="13"/>
      <c r="L530" s="14"/>
      <c r="M530" s="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"/>
      <c r="B531" s="2"/>
      <c r="C531" s="4"/>
      <c r="D531" s="2"/>
      <c r="E531" s="13"/>
      <c r="F531" s="13"/>
      <c r="G531" s="2"/>
      <c r="H531" s="2"/>
      <c r="I531" s="2"/>
      <c r="J531" s="2"/>
      <c r="K531" s="13"/>
      <c r="L531" s="14"/>
      <c r="M531" s="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"/>
      <c r="B532" s="2"/>
      <c r="C532" s="4"/>
      <c r="D532" s="2"/>
      <c r="E532" s="13"/>
      <c r="F532" s="13"/>
      <c r="G532" s="2"/>
      <c r="H532" s="2"/>
      <c r="I532" s="2"/>
      <c r="J532" s="2"/>
      <c r="K532" s="13"/>
      <c r="L532" s="14"/>
      <c r="M532" s="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"/>
      <c r="B533" s="2"/>
      <c r="C533" s="4"/>
      <c r="D533" s="2"/>
      <c r="E533" s="13"/>
      <c r="F533" s="13"/>
      <c r="G533" s="2"/>
      <c r="H533" s="2"/>
      <c r="I533" s="2"/>
      <c r="J533" s="2"/>
      <c r="K533" s="13"/>
      <c r="L533" s="14"/>
      <c r="M533" s="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"/>
      <c r="B534" s="2"/>
      <c r="C534" s="4"/>
      <c r="D534" s="2"/>
      <c r="E534" s="13"/>
      <c r="F534" s="13"/>
      <c r="G534" s="2"/>
      <c r="H534" s="2"/>
      <c r="I534" s="2"/>
      <c r="J534" s="2"/>
      <c r="K534" s="13"/>
      <c r="L534" s="14"/>
      <c r="M534" s="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"/>
      <c r="B535" s="2"/>
      <c r="C535" s="4"/>
      <c r="D535" s="2"/>
      <c r="E535" s="13"/>
      <c r="F535" s="13"/>
      <c r="G535" s="2"/>
      <c r="H535" s="2"/>
      <c r="I535" s="2"/>
      <c r="J535" s="2"/>
      <c r="K535" s="13"/>
      <c r="L535" s="14"/>
      <c r="M535" s="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"/>
      <c r="B536" s="2"/>
      <c r="C536" s="4"/>
      <c r="D536" s="2"/>
      <c r="E536" s="13"/>
      <c r="F536" s="13"/>
      <c r="G536" s="2"/>
      <c r="H536" s="2"/>
      <c r="I536" s="2"/>
      <c r="J536" s="2"/>
      <c r="K536" s="13"/>
      <c r="L536" s="14"/>
      <c r="M536" s="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"/>
      <c r="B537" s="2"/>
      <c r="C537" s="4"/>
      <c r="D537" s="2"/>
      <c r="E537" s="13"/>
      <c r="F537" s="13"/>
      <c r="G537" s="2"/>
      <c r="H537" s="2"/>
      <c r="I537" s="2"/>
      <c r="J537" s="2"/>
      <c r="K537" s="13"/>
      <c r="L537" s="14"/>
      <c r="M537" s="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2"/>
      <c r="C538" s="4"/>
      <c r="D538" s="2"/>
      <c r="E538" s="13"/>
      <c r="F538" s="13"/>
      <c r="G538" s="2"/>
      <c r="H538" s="2"/>
      <c r="I538" s="2"/>
      <c r="J538" s="2"/>
      <c r="K538" s="13"/>
      <c r="L538" s="14"/>
      <c r="M538" s="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2"/>
      <c r="C539" s="4"/>
      <c r="D539" s="2"/>
      <c r="E539" s="13"/>
      <c r="F539" s="13"/>
      <c r="G539" s="2"/>
      <c r="H539" s="2"/>
      <c r="I539" s="2"/>
      <c r="J539" s="2"/>
      <c r="K539" s="13"/>
      <c r="L539" s="14"/>
      <c r="M539" s="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"/>
      <c r="B540" s="2"/>
      <c r="C540" s="4"/>
      <c r="D540" s="2"/>
      <c r="E540" s="13"/>
      <c r="F540" s="13"/>
      <c r="G540" s="2"/>
      <c r="H540" s="2"/>
      <c r="I540" s="2"/>
      <c r="J540" s="2"/>
      <c r="K540" s="13"/>
      <c r="L540" s="14"/>
      <c r="M540" s="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"/>
      <c r="B541" s="2"/>
      <c r="C541" s="4"/>
      <c r="D541" s="2"/>
      <c r="E541" s="13"/>
      <c r="F541" s="13"/>
      <c r="G541" s="2"/>
      <c r="H541" s="2"/>
      <c r="I541" s="2"/>
      <c r="J541" s="2"/>
      <c r="K541" s="13"/>
      <c r="L541" s="14"/>
      <c r="M541" s="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"/>
      <c r="B542" s="2"/>
      <c r="C542" s="4"/>
      <c r="D542" s="2"/>
      <c r="E542" s="13"/>
      <c r="F542" s="13"/>
      <c r="G542" s="2"/>
      <c r="H542" s="2"/>
      <c r="I542" s="2"/>
      <c r="J542" s="2"/>
      <c r="K542" s="13"/>
      <c r="L542" s="14"/>
      <c r="M542" s="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"/>
      <c r="B543" s="2"/>
      <c r="C543" s="4"/>
      <c r="D543" s="2"/>
      <c r="E543" s="13"/>
      <c r="F543" s="13"/>
      <c r="G543" s="2"/>
      <c r="H543" s="2"/>
      <c r="I543" s="2"/>
      <c r="J543" s="2"/>
      <c r="K543" s="13"/>
      <c r="L543" s="14"/>
      <c r="M543" s="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"/>
      <c r="B544" s="2"/>
      <c r="C544" s="4"/>
      <c r="D544" s="2"/>
      <c r="E544" s="13"/>
      <c r="F544" s="13"/>
      <c r="G544" s="2"/>
      <c r="H544" s="2"/>
      <c r="I544" s="2"/>
      <c r="J544" s="2"/>
      <c r="K544" s="13"/>
      <c r="L544" s="14"/>
      <c r="M544" s="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"/>
      <c r="B545" s="2"/>
      <c r="C545" s="4"/>
      <c r="D545" s="2"/>
      <c r="E545" s="13"/>
      <c r="F545" s="13"/>
      <c r="G545" s="2"/>
      <c r="H545" s="2"/>
      <c r="I545" s="2"/>
      <c r="J545" s="2"/>
      <c r="K545" s="13"/>
      <c r="L545" s="14"/>
      <c r="M545" s="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"/>
      <c r="B546" s="2"/>
      <c r="C546" s="4"/>
      <c r="D546" s="2"/>
      <c r="E546" s="13"/>
      <c r="F546" s="13"/>
      <c r="G546" s="2"/>
      <c r="H546" s="2"/>
      <c r="I546" s="2"/>
      <c r="J546" s="2"/>
      <c r="K546" s="13"/>
      <c r="L546" s="14"/>
      <c r="M546" s="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"/>
      <c r="B547" s="2"/>
      <c r="C547" s="4"/>
      <c r="D547" s="2"/>
      <c r="E547" s="13"/>
      <c r="F547" s="13"/>
      <c r="G547" s="2"/>
      <c r="H547" s="2"/>
      <c r="I547" s="2"/>
      <c r="J547" s="2"/>
      <c r="K547" s="13"/>
      <c r="L547" s="14"/>
      <c r="M547" s="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"/>
      <c r="B548" s="2"/>
      <c r="C548" s="4"/>
      <c r="D548" s="2"/>
      <c r="E548" s="13"/>
      <c r="F548" s="13"/>
      <c r="G548" s="2"/>
      <c r="H548" s="2"/>
      <c r="I548" s="2"/>
      <c r="J548" s="2"/>
      <c r="K548" s="13"/>
      <c r="L548" s="14"/>
      <c r="M548" s="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"/>
      <c r="B549" s="2"/>
      <c r="C549" s="4"/>
      <c r="D549" s="2"/>
      <c r="E549" s="13"/>
      <c r="F549" s="13"/>
      <c r="G549" s="2"/>
      <c r="H549" s="2"/>
      <c r="I549" s="2"/>
      <c r="J549" s="2"/>
      <c r="K549" s="13"/>
      <c r="L549" s="14"/>
      <c r="M549" s="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"/>
      <c r="B550" s="2"/>
      <c r="C550" s="4"/>
      <c r="D550" s="2"/>
      <c r="E550" s="13"/>
      <c r="F550" s="13"/>
      <c r="G550" s="2"/>
      <c r="H550" s="2"/>
      <c r="I550" s="2"/>
      <c r="J550" s="2"/>
      <c r="K550" s="13"/>
      <c r="L550" s="14"/>
      <c r="M550" s="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"/>
      <c r="B551" s="2"/>
      <c r="C551" s="4"/>
      <c r="D551" s="2"/>
      <c r="E551" s="13"/>
      <c r="F551" s="13"/>
      <c r="G551" s="2"/>
      <c r="H551" s="2"/>
      <c r="I551" s="2"/>
      <c r="J551" s="2"/>
      <c r="K551" s="13"/>
      <c r="L551" s="14"/>
      <c r="M551" s="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"/>
      <c r="B552" s="2"/>
      <c r="C552" s="4"/>
      <c r="D552" s="2"/>
      <c r="E552" s="13"/>
      <c r="F552" s="13"/>
      <c r="G552" s="2"/>
      <c r="H552" s="2"/>
      <c r="I552" s="2"/>
      <c r="J552" s="2"/>
      <c r="K552" s="13"/>
      <c r="L552" s="14"/>
      <c r="M552" s="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"/>
      <c r="B553" s="2"/>
      <c r="C553" s="4"/>
      <c r="D553" s="2"/>
      <c r="E553" s="13"/>
      <c r="F553" s="13"/>
      <c r="G553" s="2"/>
      <c r="H553" s="2"/>
      <c r="I553" s="2"/>
      <c r="J553" s="2"/>
      <c r="K553" s="13"/>
      <c r="L553" s="14"/>
      <c r="M553" s="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"/>
      <c r="B554" s="2"/>
      <c r="C554" s="4"/>
      <c r="D554" s="2"/>
      <c r="E554" s="13"/>
      <c r="F554" s="13"/>
      <c r="G554" s="2"/>
      <c r="H554" s="2"/>
      <c r="I554" s="2"/>
      <c r="J554" s="2"/>
      <c r="K554" s="13"/>
      <c r="L554" s="14"/>
      <c r="M554" s="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"/>
      <c r="B555" s="2"/>
      <c r="C555" s="4"/>
      <c r="D555" s="2"/>
      <c r="E555" s="13"/>
      <c r="F555" s="13"/>
      <c r="G555" s="2"/>
      <c r="H555" s="2"/>
      <c r="I555" s="2"/>
      <c r="J555" s="2"/>
      <c r="K555" s="13"/>
      <c r="L555" s="14"/>
      <c r="M555" s="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"/>
      <c r="B556" s="2"/>
      <c r="C556" s="4"/>
      <c r="D556" s="2"/>
      <c r="E556" s="13"/>
      <c r="F556" s="13"/>
      <c r="G556" s="2"/>
      <c r="H556" s="2"/>
      <c r="I556" s="2"/>
      <c r="J556" s="2"/>
      <c r="K556" s="13"/>
      <c r="L556" s="14"/>
      <c r="M556" s="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"/>
      <c r="B557" s="2"/>
      <c r="C557" s="4"/>
      <c r="D557" s="2"/>
      <c r="E557" s="13"/>
      <c r="F557" s="13"/>
      <c r="G557" s="2"/>
      <c r="H557" s="2"/>
      <c r="I557" s="2"/>
      <c r="J557" s="2"/>
      <c r="K557" s="13"/>
      <c r="L557" s="14"/>
      <c r="M557" s="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"/>
      <c r="B558" s="2"/>
      <c r="C558" s="4"/>
      <c r="D558" s="2"/>
      <c r="E558" s="13"/>
      <c r="F558" s="13"/>
      <c r="G558" s="2"/>
      <c r="H558" s="2"/>
      <c r="I558" s="2"/>
      <c r="J558" s="2"/>
      <c r="K558" s="13"/>
      <c r="L558" s="14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2"/>
      <c r="C559" s="4"/>
      <c r="D559" s="2"/>
      <c r="E559" s="13"/>
      <c r="F559" s="13"/>
      <c r="G559" s="2"/>
      <c r="H559" s="2"/>
      <c r="I559" s="2"/>
      <c r="J559" s="2"/>
      <c r="K559" s="13"/>
      <c r="L559" s="14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"/>
      <c r="B560" s="2"/>
      <c r="C560" s="4"/>
      <c r="D560" s="2"/>
      <c r="E560" s="13"/>
      <c r="F560" s="13"/>
      <c r="G560" s="2"/>
      <c r="H560" s="2"/>
      <c r="I560" s="2"/>
      <c r="J560" s="2"/>
      <c r="K560" s="13"/>
      <c r="L560" s="14"/>
      <c r="M560" s="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2"/>
      <c r="C561" s="4"/>
      <c r="D561" s="2"/>
      <c r="E561" s="13"/>
      <c r="F561" s="13"/>
      <c r="G561" s="2"/>
      <c r="H561" s="2"/>
      <c r="I561" s="2"/>
      <c r="J561" s="2"/>
      <c r="K561" s="13"/>
      <c r="L561" s="14"/>
      <c r="M561" s="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1"/>
      <c r="B562" s="2"/>
      <c r="C562" s="4"/>
      <c r="D562" s="2"/>
      <c r="E562" s="13"/>
      <c r="F562" s="13"/>
      <c r="G562" s="2"/>
      <c r="H562" s="2"/>
      <c r="I562" s="2"/>
      <c r="J562" s="2"/>
      <c r="K562" s="13"/>
      <c r="L562" s="14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"/>
      <c r="B563" s="2"/>
      <c r="C563" s="4"/>
      <c r="D563" s="2"/>
      <c r="E563" s="13"/>
      <c r="F563" s="13"/>
      <c r="G563" s="2"/>
      <c r="H563" s="2"/>
      <c r="I563" s="2"/>
      <c r="J563" s="2"/>
      <c r="K563" s="13"/>
      <c r="L563" s="14"/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"/>
      <c r="B564" s="2"/>
      <c r="C564" s="4"/>
      <c r="D564" s="2"/>
      <c r="E564" s="13"/>
      <c r="F564" s="13"/>
      <c r="G564" s="2"/>
      <c r="H564" s="2"/>
      <c r="I564" s="2"/>
      <c r="J564" s="2"/>
      <c r="K564" s="13"/>
      <c r="L564" s="14"/>
      <c r="M564" s="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"/>
      <c r="B565" s="2"/>
      <c r="C565" s="4"/>
      <c r="D565" s="2"/>
      <c r="E565" s="13"/>
      <c r="F565" s="13"/>
      <c r="G565" s="2"/>
      <c r="H565" s="2"/>
      <c r="I565" s="2"/>
      <c r="J565" s="2"/>
      <c r="K565" s="13"/>
      <c r="L565" s="14"/>
      <c r="M565" s="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"/>
      <c r="B566" s="2"/>
      <c r="C566" s="4"/>
      <c r="D566" s="2"/>
      <c r="E566" s="13"/>
      <c r="F566" s="13"/>
      <c r="G566" s="2"/>
      <c r="H566" s="2"/>
      <c r="I566" s="2"/>
      <c r="J566" s="2"/>
      <c r="K566" s="13"/>
      <c r="L566" s="14"/>
      <c r="M566" s="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"/>
      <c r="B567" s="2"/>
      <c r="C567" s="4"/>
      <c r="D567" s="2"/>
      <c r="E567" s="13"/>
      <c r="F567" s="13"/>
      <c r="G567" s="2"/>
      <c r="H567" s="2"/>
      <c r="I567" s="2"/>
      <c r="J567" s="2"/>
      <c r="K567" s="13"/>
      <c r="L567" s="14"/>
      <c r="M567" s="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"/>
      <c r="B568" s="2"/>
      <c r="C568" s="4"/>
      <c r="D568" s="2"/>
      <c r="E568" s="13"/>
      <c r="F568" s="13"/>
      <c r="G568" s="2"/>
      <c r="H568" s="2"/>
      <c r="I568" s="2"/>
      <c r="J568" s="2"/>
      <c r="K568" s="13"/>
      <c r="L568" s="14"/>
      <c r="M568" s="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"/>
      <c r="B569" s="2"/>
      <c r="C569" s="4"/>
      <c r="D569" s="2"/>
      <c r="E569" s="13"/>
      <c r="F569" s="13"/>
      <c r="G569" s="2"/>
      <c r="H569" s="2"/>
      <c r="I569" s="2"/>
      <c r="J569" s="2"/>
      <c r="K569" s="13"/>
      <c r="L569" s="14"/>
      <c r="M569" s="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"/>
      <c r="B570" s="2"/>
      <c r="C570" s="4"/>
      <c r="D570" s="2"/>
      <c r="E570" s="13"/>
      <c r="F570" s="13"/>
      <c r="G570" s="2"/>
      <c r="H570" s="2"/>
      <c r="I570" s="2"/>
      <c r="J570" s="2"/>
      <c r="K570" s="13"/>
      <c r="L570" s="14"/>
      <c r="M570" s="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"/>
      <c r="B571" s="2"/>
      <c r="C571" s="4"/>
      <c r="D571" s="2"/>
      <c r="E571" s="13"/>
      <c r="F571" s="13"/>
      <c r="G571" s="2"/>
      <c r="H571" s="2"/>
      <c r="I571" s="2"/>
      <c r="J571" s="2"/>
      <c r="K571" s="13"/>
      <c r="L571" s="14"/>
      <c r="M571" s="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"/>
      <c r="B572" s="2"/>
      <c r="C572" s="4"/>
      <c r="D572" s="2"/>
      <c r="E572" s="13"/>
      <c r="F572" s="13"/>
      <c r="G572" s="2"/>
      <c r="H572" s="2"/>
      <c r="I572" s="2"/>
      <c r="J572" s="2"/>
      <c r="K572" s="13"/>
      <c r="L572" s="14"/>
      <c r="M572" s="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"/>
      <c r="B573" s="2"/>
      <c r="C573" s="4"/>
      <c r="D573" s="2"/>
      <c r="E573" s="13"/>
      <c r="F573" s="13"/>
      <c r="G573" s="2"/>
      <c r="H573" s="2"/>
      <c r="I573" s="2"/>
      <c r="J573" s="2"/>
      <c r="K573" s="13"/>
      <c r="L573" s="14"/>
      <c r="M573" s="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"/>
      <c r="B574" s="2"/>
      <c r="C574" s="4"/>
      <c r="D574" s="2"/>
      <c r="E574" s="13"/>
      <c r="F574" s="13"/>
      <c r="G574" s="2"/>
      <c r="H574" s="2"/>
      <c r="I574" s="2"/>
      <c r="J574" s="2"/>
      <c r="K574" s="13"/>
      <c r="L574" s="14"/>
      <c r="M574" s="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"/>
      <c r="B575" s="2"/>
      <c r="C575" s="4"/>
      <c r="D575" s="2"/>
      <c r="E575" s="13"/>
      <c r="F575" s="13"/>
      <c r="G575" s="2"/>
      <c r="H575" s="2"/>
      <c r="I575" s="2"/>
      <c r="J575" s="2"/>
      <c r="K575" s="13"/>
      <c r="L575" s="14"/>
      <c r="M575" s="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"/>
      <c r="B576" s="2"/>
      <c r="C576" s="4"/>
      <c r="D576" s="2"/>
      <c r="E576" s="13"/>
      <c r="F576" s="13"/>
      <c r="G576" s="2"/>
      <c r="H576" s="2"/>
      <c r="I576" s="2"/>
      <c r="J576" s="2"/>
      <c r="K576" s="13"/>
      <c r="L576" s="14"/>
      <c r="M576" s="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"/>
      <c r="B577" s="2"/>
      <c r="C577" s="4"/>
      <c r="D577" s="2"/>
      <c r="E577" s="13"/>
      <c r="F577" s="13"/>
      <c r="G577" s="2"/>
      <c r="H577" s="2"/>
      <c r="I577" s="2"/>
      <c r="J577" s="2"/>
      <c r="K577" s="13"/>
      <c r="L577" s="14"/>
      <c r="M577" s="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"/>
      <c r="B578" s="2"/>
      <c r="C578" s="4"/>
      <c r="D578" s="2"/>
      <c r="E578" s="13"/>
      <c r="F578" s="13"/>
      <c r="G578" s="2"/>
      <c r="H578" s="2"/>
      <c r="I578" s="2"/>
      <c r="J578" s="2"/>
      <c r="K578" s="13"/>
      <c r="L578" s="14"/>
      <c r="M578" s="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"/>
      <c r="B579" s="2"/>
      <c r="C579" s="4"/>
      <c r="D579" s="2"/>
      <c r="E579" s="13"/>
      <c r="F579" s="13"/>
      <c r="G579" s="2"/>
      <c r="H579" s="2"/>
      <c r="I579" s="2"/>
      <c r="J579" s="2"/>
      <c r="K579" s="13"/>
      <c r="L579" s="14"/>
      <c r="M579" s="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"/>
      <c r="B580" s="2"/>
      <c r="C580" s="4"/>
      <c r="D580" s="2"/>
      <c r="E580" s="13"/>
      <c r="F580" s="13"/>
      <c r="G580" s="2"/>
      <c r="H580" s="2"/>
      <c r="I580" s="2"/>
      <c r="J580" s="2"/>
      <c r="K580" s="13"/>
      <c r="L580" s="14"/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"/>
      <c r="B581" s="2"/>
      <c r="C581" s="4"/>
      <c r="D581" s="2"/>
      <c r="E581" s="13"/>
      <c r="F581" s="13"/>
      <c r="G581" s="2"/>
      <c r="H581" s="2"/>
      <c r="I581" s="2"/>
      <c r="J581" s="2"/>
      <c r="K581" s="13"/>
      <c r="L581" s="14"/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"/>
      <c r="B582" s="2"/>
      <c r="C582" s="4"/>
      <c r="D582" s="2"/>
      <c r="E582" s="13"/>
      <c r="F582" s="13"/>
      <c r="G582" s="2"/>
      <c r="H582" s="2"/>
      <c r="I582" s="2"/>
      <c r="J582" s="2"/>
      <c r="K582" s="13"/>
      <c r="L582" s="14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"/>
      <c r="B583" s="2"/>
      <c r="C583" s="4"/>
      <c r="D583" s="2"/>
      <c r="E583" s="13"/>
      <c r="F583" s="13"/>
      <c r="G583" s="2"/>
      <c r="H583" s="2"/>
      <c r="I583" s="2"/>
      <c r="J583" s="2"/>
      <c r="K583" s="13"/>
      <c r="L583" s="14"/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"/>
      <c r="B584" s="2"/>
      <c r="C584" s="4"/>
      <c r="D584" s="2"/>
      <c r="E584" s="13"/>
      <c r="F584" s="13"/>
      <c r="G584" s="2"/>
      <c r="H584" s="2"/>
      <c r="I584" s="2"/>
      <c r="J584" s="2"/>
      <c r="K584" s="13"/>
      <c r="L584" s="14"/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"/>
      <c r="B585" s="2"/>
      <c r="C585" s="4"/>
      <c r="D585" s="2"/>
      <c r="E585" s="13"/>
      <c r="F585" s="13"/>
      <c r="G585" s="2"/>
      <c r="H585" s="2"/>
      <c r="I585" s="2"/>
      <c r="J585" s="2"/>
      <c r="K585" s="13"/>
      <c r="L585" s="14"/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"/>
      <c r="B586" s="2"/>
      <c r="C586" s="4"/>
      <c r="D586" s="2"/>
      <c r="E586" s="13"/>
      <c r="F586" s="13"/>
      <c r="G586" s="2"/>
      <c r="H586" s="2"/>
      <c r="I586" s="2"/>
      <c r="J586" s="2"/>
      <c r="K586" s="13"/>
      <c r="L586" s="14"/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"/>
      <c r="B587" s="2"/>
      <c r="C587" s="4"/>
      <c r="D587" s="2"/>
      <c r="E587" s="13"/>
      <c r="F587" s="13"/>
      <c r="G587" s="2"/>
      <c r="H587" s="2"/>
      <c r="I587" s="2"/>
      <c r="J587" s="2"/>
      <c r="K587" s="13"/>
      <c r="L587" s="14"/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"/>
      <c r="B588" s="2"/>
      <c r="C588" s="4"/>
      <c r="D588" s="2"/>
      <c r="E588" s="13"/>
      <c r="F588" s="13"/>
      <c r="G588" s="2"/>
      <c r="H588" s="2"/>
      <c r="I588" s="2"/>
      <c r="J588" s="2"/>
      <c r="K588" s="13"/>
      <c r="L588" s="14"/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"/>
      <c r="B589" s="2"/>
      <c r="C589" s="4"/>
      <c r="D589" s="2"/>
      <c r="E589" s="13"/>
      <c r="F589" s="13"/>
      <c r="G589" s="2"/>
      <c r="H589" s="2"/>
      <c r="I589" s="2"/>
      <c r="J589" s="2"/>
      <c r="K589" s="13"/>
      <c r="L589" s="14"/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"/>
      <c r="B590" s="2"/>
      <c r="C590" s="4"/>
      <c r="D590" s="2"/>
      <c r="E590" s="13"/>
      <c r="F590" s="13"/>
      <c r="G590" s="2"/>
      <c r="H590" s="2"/>
      <c r="I590" s="2"/>
      <c r="J590" s="2"/>
      <c r="K590" s="13"/>
      <c r="L590" s="14"/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"/>
      <c r="B591" s="2"/>
      <c r="C591" s="4"/>
      <c r="D591" s="2"/>
      <c r="E591" s="13"/>
      <c r="F591" s="13"/>
      <c r="G591" s="2"/>
      <c r="H591" s="2"/>
      <c r="I591" s="2"/>
      <c r="J591" s="2"/>
      <c r="K591" s="13"/>
      <c r="L591" s="14"/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"/>
      <c r="B592" s="2"/>
      <c r="C592" s="4"/>
      <c r="D592" s="2"/>
      <c r="E592" s="13"/>
      <c r="F592" s="13"/>
      <c r="G592" s="2"/>
      <c r="H592" s="2"/>
      <c r="I592" s="2"/>
      <c r="J592" s="2"/>
      <c r="K592" s="13"/>
      <c r="L592" s="14"/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"/>
      <c r="B593" s="2"/>
      <c r="C593" s="4"/>
      <c r="D593" s="2"/>
      <c r="E593" s="13"/>
      <c r="F593" s="13"/>
      <c r="G593" s="2"/>
      <c r="H593" s="2"/>
      <c r="I593" s="2"/>
      <c r="J593" s="2"/>
      <c r="K593" s="13"/>
      <c r="L593" s="14"/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"/>
      <c r="B594" s="2"/>
      <c r="C594" s="4"/>
      <c r="D594" s="2"/>
      <c r="E594" s="13"/>
      <c r="F594" s="13"/>
      <c r="G594" s="2"/>
      <c r="H594" s="2"/>
      <c r="I594" s="2"/>
      <c r="J594" s="2"/>
      <c r="K594" s="13"/>
      <c r="L594" s="14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2"/>
      <c r="C595" s="4"/>
      <c r="D595" s="2"/>
      <c r="E595" s="13"/>
      <c r="F595" s="13"/>
      <c r="G595" s="2"/>
      <c r="H595" s="2"/>
      <c r="I595" s="2"/>
      <c r="J595" s="2"/>
      <c r="K595" s="13"/>
      <c r="L595" s="14"/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2"/>
      <c r="C596" s="4"/>
      <c r="D596" s="2"/>
      <c r="E596" s="13"/>
      <c r="F596" s="13"/>
      <c r="G596" s="2"/>
      <c r="H596" s="2"/>
      <c r="I596" s="2"/>
      <c r="J596" s="2"/>
      <c r="K596" s="13"/>
      <c r="L596" s="14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2"/>
      <c r="C597" s="4"/>
      <c r="D597" s="2"/>
      <c r="E597" s="13"/>
      <c r="F597" s="13"/>
      <c r="G597" s="2"/>
      <c r="H597" s="2"/>
      <c r="I597" s="2"/>
      <c r="J597" s="2"/>
      <c r="K597" s="13"/>
      <c r="L597" s="14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"/>
      <c r="B598" s="2"/>
      <c r="C598" s="4"/>
      <c r="D598" s="2"/>
      <c r="E598" s="13"/>
      <c r="F598" s="13"/>
      <c r="G598" s="2"/>
      <c r="H598" s="2"/>
      <c r="I598" s="2"/>
      <c r="J598" s="2"/>
      <c r="K598" s="13"/>
      <c r="L598" s="14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"/>
      <c r="B599" s="2"/>
      <c r="C599" s="4"/>
      <c r="D599" s="2"/>
      <c r="E599" s="13"/>
      <c r="F599" s="13"/>
      <c r="G599" s="2"/>
      <c r="H599" s="2"/>
      <c r="I599" s="2"/>
      <c r="J599" s="2"/>
      <c r="K599" s="13"/>
      <c r="L599" s="14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"/>
      <c r="B600" s="2"/>
      <c r="C600" s="4"/>
      <c r="D600" s="2"/>
      <c r="E600" s="13"/>
      <c r="F600" s="13"/>
      <c r="G600" s="2"/>
      <c r="H600" s="2"/>
      <c r="I600" s="2"/>
      <c r="J600" s="2"/>
      <c r="K600" s="13"/>
      <c r="L600" s="14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"/>
      <c r="B601" s="2"/>
      <c r="C601" s="4"/>
      <c r="D601" s="2"/>
      <c r="E601" s="13"/>
      <c r="F601" s="13"/>
      <c r="G601" s="2"/>
      <c r="H601" s="2"/>
      <c r="I601" s="2"/>
      <c r="J601" s="2"/>
      <c r="K601" s="13"/>
      <c r="L601" s="14"/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"/>
      <c r="B602" s="2"/>
      <c r="C602" s="4"/>
      <c r="D602" s="2"/>
      <c r="E602" s="13"/>
      <c r="F602" s="13"/>
      <c r="G602" s="2"/>
      <c r="H602" s="2"/>
      <c r="I602" s="2"/>
      <c r="J602" s="2"/>
      <c r="K602" s="13"/>
      <c r="L602" s="14"/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"/>
      <c r="B603" s="2"/>
      <c r="C603" s="4"/>
      <c r="D603" s="2"/>
      <c r="E603" s="13"/>
      <c r="F603" s="13"/>
      <c r="G603" s="2"/>
      <c r="H603" s="2"/>
      <c r="I603" s="2"/>
      <c r="J603" s="2"/>
      <c r="K603" s="13"/>
      <c r="L603" s="14"/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"/>
      <c r="B604" s="2"/>
      <c r="C604" s="4"/>
      <c r="D604" s="2"/>
      <c r="E604" s="13"/>
      <c r="F604" s="13"/>
      <c r="G604" s="2"/>
      <c r="H604" s="2"/>
      <c r="I604" s="2"/>
      <c r="J604" s="2"/>
      <c r="K604" s="13"/>
      <c r="L604" s="14"/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"/>
      <c r="B605" s="2"/>
      <c r="C605" s="4"/>
      <c r="D605" s="2"/>
      <c r="E605" s="13"/>
      <c r="F605" s="13"/>
      <c r="G605" s="2"/>
      <c r="H605" s="2"/>
      <c r="I605" s="2"/>
      <c r="J605" s="2"/>
      <c r="K605" s="13"/>
      <c r="L605" s="14"/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"/>
      <c r="B606" s="2"/>
      <c r="C606" s="4"/>
      <c r="D606" s="2"/>
      <c r="E606" s="13"/>
      <c r="F606" s="13"/>
      <c r="G606" s="2"/>
      <c r="H606" s="2"/>
      <c r="I606" s="2"/>
      <c r="J606" s="2"/>
      <c r="K606" s="13"/>
      <c r="L606" s="14"/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"/>
      <c r="B607" s="2"/>
      <c r="C607" s="4"/>
      <c r="D607" s="2"/>
      <c r="E607" s="13"/>
      <c r="F607" s="13"/>
      <c r="G607" s="2"/>
      <c r="H607" s="2"/>
      <c r="I607" s="2"/>
      <c r="J607" s="2"/>
      <c r="K607" s="13"/>
      <c r="L607" s="14"/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"/>
      <c r="B608" s="2"/>
      <c r="C608" s="4"/>
      <c r="D608" s="2"/>
      <c r="E608" s="13"/>
      <c r="F608" s="13"/>
      <c r="G608" s="2"/>
      <c r="H608" s="2"/>
      <c r="I608" s="2"/>
      <c r="J608" s="2"/>
      <c r="K608" s="13"/>
      <c r="L608" s="14"/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"/>
      <c r="B609" s="2"/>
      <c r="C609" s="4"/>
      <c r="D609" s="2"/>
      <c r="E609" s="13"/>
      <c r="F609" s="13"/>
      <c r="G609" s="2"/>
      <c r="H609" s="2"/>
      <c r="I609" s="2"/>
      <c r="J609" s="2"/>
      <c r="K609" s="13"/>
      <c r="L609" s="14"/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"/>
      <c r="B610" s="2"/>
      <c r="C610" s="4"/>
      <c r="D610" s="2"/>
      <c r="E610" s="13"/>
      <c r="F610" s="13"/>
      <c r="G610" s="2"/>
      <c r="H610" s="2"/>
      <c r="I610" s="2"/>
      <c r="J610" s="2"/>
      <c r="K610" s="13"/>
      <c r="L610" s="14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2"/>
      <c r="C611" s="4"/>
      <c r="D611" s="2"/>
      <c r="E611" s="13"/>
      <c r="F611" s="13"/>
      <c r="G611" s="2"/>
      <c r="H611" s="2"/>
      <c r="I611" s="2"/>
      <c r="J611" s="2"/>
      <c r="K611" s="13"/>
      <c r="L611" s="14"/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"/>
      <c r="B612" s="2"/>
      <c r="C612" s="4"/>
      <c r="D612" s="2"/>
      <c r="E612" s="13"/>
      <c r="F612" s="13"/>
      <c r="G612" s="2"/>
      <c r="H612" s="2"/>
      <c r="I612" s="2"/>
      <c r="J612" s="2"/>
      <c r="K612" s="13"/>
      <c r="L612" s="14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"/>
      <c r="B613" s="2"/>
      <c r="C613" s="4"/>
      <c r="D613" s="2"/>
      <c r="E613" s="13"/>
      <c r="F613" s="13"/>
      <c r="G613" s="2"/>
      <c r="H613" s="2"/>
      <c r="I613" s="2"/>
      <c r="J613" s="2"/>
      <c r="K613" s="13"/>
      <c r="L613" s="14"/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"/>
      <c r="B614" s="2"/>
      <c r="C614" s="4"/>
      <c r="D614" s="2"/>
      <c r="E614" s="13"/>
      <c r="F614" s="13"/>
      <c r="G614" s="2"/>
      <c r="H614" s="2"/>
      <c r="I614" s="2"/>
      <c r="J614" s="2"/>
      <c r="K614" s="13"/>
      <c r="L614" s="14"/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"/>
      <c r="B615" s="2"/>
      <c r="C615" s="4"/>
      <c r="D615" s="2"/>
      <c r="E615" s="13"/>
      <c r="F615" s="13"/>
      <c r="G615" s="2"/>
      <c r="H615" s="2"/>
      <c r="I615" s="2"/>
      <c r="J615" s="2"/>
      <c r="K615" s="13"/>
      <c r="L615" s="14"/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"/>
      <c r="B616" s="2"/>
      <c r="C616" s="4"/>
      <c r="D616" s="2"/>
      <c r="E616" s="13"/>
      <c r="F616" s="13"/>
      <c r="G616" s="2"/>
      <c r="H616" s="2"/>
      <c r="I616" s="2"/>
      <c r="J616" s="2"/>
      <c r="K616" s="13"/>
      <c r="L616" s="14"/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"/>
      <c r="B617" s="2"/>
      <c r="C617" s="4"/>
      <c r="D617" s="2"/>
      <c r="E617" s="13"/>
      <c r="F617" s="13"/>
      <c r="G617" s="2"/>
      <c r="H617" s="2"/>
      <c r="I617" s="2"/>
      <c r="J617" s="2"/>
      <c r="K617" s="13"/>
      <c r="L617" s="14"/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"/>
      <c r="B618" s="2"/>
      <c r="C618" s="4"/>
      <c r="D618" s="2"/>
      <c r="E618" s="13"/>
      <c r="F618" s="13"/>
      <c r="G618" s="2"/>
      <c r="H618" s="2"/>
      <c r="I618" s="2"/>
      <c r="J618" s="2"/>
      <c r="K618" s="13"/>
      <c r="L618" s="14"/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"/>
      <c r="B619" s="2"/>
      <c r="C619" s="4"/>
      <c r="D619" s="2"/>
      <c r="E619" s="13"/>
      <c r="F619" s="13"/>
      <c r="G619" s="2"/>
      <c r="H619" s="2"/>
      <c r="I619" s="2"/>
      <c r="J619" s="2"/>
      <c r="K619" s="13"/>
      <c r="L619" s="14"/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"/>
      <c r="B620" s="2"/>
      <c r="C620" s="4"/>
      <c r="D620" s="2"/>
      <c r="E620" s="13"/>
      <c r="F620" s="13"/>
      <c r="G620" s="2"/>
      <c r="H620" s="2"/>
      <c r="I620" s="2"/>
      <c r="J620" s="2"/>
      <c r="K620" s="13"/>
      <c r="L620" s="14"/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"/>
      <c r="B621" s="2"/>
      <c r="C621" s="4"/>
      <c r="D621" s="2"/>
      <c r="E621" s="13"/>
      <c r="F621" s="13"/>
      <c r="G621" s="2"/>
      <c r="H621" s="2"/>
      <c r="I621" s="2"/>
      <c r="J621" s="2"/>
      <c r="K621" s="13"/>
      <c r="L621" s="14"/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2"/>
      <c r="C622" s="4"/>
      <c r="D622" s="2"/>
      <c r="E622" s="13"/>
      <c r="F622" s="13"/>
      <c r="G622" s="2"/>
      <c r="H622" s="2"/>
      <c r="I622" s="2"/>
      <c r="J622" s="2"/>
      <c r="K622" s="13"/>
      <c r="L622" s="14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2"/>
      <c r="C623" s="4"/>
      <c r="D623" s="2"/>
      <c r="E623" s="13"/>
      <c r="F623" s="13"/>
      <c r="G623" s="2"/>
      <c r="H623" s="2"/>
      <c r="I623" s="2"/>
      <c r="J623" s="2"/>
      <c r="K623" s="13"/>
      <c r="L623" s="14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2"/>
      <c r="C624" s="4"/>
      <c r="D624" s="2"/>
      <c r="E624" s="13"/>
      <c r="F624" s="13"/>
      <c r="G624" s="2"/>
      <c r="H624" s="2"/>
      <c r="I624" s="2"/>
      <c r="J624" s="2"/>
      <c r="K624" s="13"/>
      <c r="L624" s="14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"/>
      <c r="B625" s="2"/>
      <c r="C625" s="4"/>
      <c r="D625" s="2"/>
      <c r="E625" s="13"/>
      <c r="F625" s="13"/>
      <c r="G625" s="2"/>
      <c r="H625" s="2"/>
      <c r="I625" s="2"/>
      <c r="J625" s="2"/>
      <c r="K625" s="13"/>
      <c r="L625" s="14"/>
      <c r="M625" s="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"/>
      <c r="B626" s="2"/>
      <c r="C626" s="4"/>
      <c r="D626" s="2"/>
      <c r="E626" s="13"/>
      <c r="F626" s="13"/>
      <c r="G626" s="2"/>
      <c r="H626" s="2"/>
      <c r="I626" s="2"/>
      <c r="J626" s="2"/>
      <c r="K626" s="13"/>
      <c r="L626" s="14"/>
      <c r="M626" s="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"/>
      <c r="B627" s="2"/>
      <c r="C627" s="4"/>
      <c r="D627" s="2"/>
      <c r="E627" s="13"/>
      <c r="F627" s="13"/>
      <c r="G627" s="2"/>
      <c r="H627" s="2"/>
      <c r="I627" s="2"/>
      <c r="J627" s="2"/>
      <c r="K627" s="13"/>
      <c r="L627" s="14"/>
      <c r="M627" s="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"/>
      <c r="B628" s="2"/>
      <c r="C628" s="4"/>
      <c r="D628" s="2"/>
      <c r="E628" s="13"/>
      <c r="F628" s="13"/>
      <c r="G628" s="2"/>
      <c r="H628" s="2"/>
      <c r="I628" s="2"/>
      <c r="J628" s="2"/>
      <c r="K628" s="13"/>
      <c r="L628" s="14"/>
      <c r="M628" s="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"/>
      <c r="B629" s="2"/>
      <c r="C629" s="4"/>
      <c r="D629" s="2"/>
      <c r="E629" s="13"/>
      <c r="F629" s="13"/>
      <c r="G629" s="2"/>
      <c r="H629" s="2"/>
      <c r="I629" s="2"/>
      <c r="J629" s="2"/>
      <c r="K629" s="13"/>
      <c r="L629" s="14"/>
      <c r="M629" s="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"/>
      <c r="B630" s="2"/>
      <c r="C630" s="4"/>
      <c r="D630" s="2"/>
      <c r="E630" s="13"/>
      <c r="F630" s="13"/>
      <c r="G630" s="2"/>
      <c r="H630" s="2"/>
      <c r="I630" s="2"/>
      <c r="J630" s="2"/>
      <c r="K630" s="13"/>
      <c r="L630" s="14"/>
      <c r="M630" s="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"/>
      <c r="B631" s="2"/>
      <c r="C631" s="4"/>
      <c r="D631" s="2"/>
      <c r="E631" s="13"/>
      <c r="F631" s="13"/>
      <c r="G631" s="2"/>
      <c r="H631" s="2"/>
      <c r="I631" s="2"/>
      <c r="J631" s="2"/>
      <c r="K631" s="13"/>
      <c r="L631" s="14"/>
      <c r="M631" s="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"/>
      <c r="B632" s="2"/>
      <c r="C632" s="4"/>
      <c r="D632" s="2"/>
      <c r="E632" s="13"/>
      <c r="F632" s="13"/>
      <c r="G632" s="2"/>
      <c r="H632" s="2"/>
      <c r="I632" s="2"/>
      <c r="J632" s="2"/>
      <c r="K632" s="13"/>
      <c r="L632" s="14"/>
      <c r="M632" s="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"/>
      <c r="B633" s="2"/>
      <c r="C633" s="4"/>
      <c r="D633" s="2"/>
      <c r="E633" s="13"/>
      <c r="F633" s="13"/>
      <c r="G633" s="2"/>
      <c r="H633" s="2"/>
      <c r="I633" s="2"/>
      <c r="J633" s="2"/>
      <c r="K633" s="13"/>
      <c r="L633" s="14"/>
      <c r="M633" s="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"/>
      <c r="B634" s="2"/>
      <c r="C634" s="4"/>
      <c r="D634" s="2"/>
      <c r="E634" s="13"/>
      <c r="F634" s="13"/>
      <c r="G634" s="2"/>
      <c r="H634" s="2"/>
      <c r="I634" s="2"/>
      <c r="J634" s="2"/>
      <c r="K634" s="13"/>
      <c r="L634" s="14"/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"/>
      <c r="B635" s="2"/>
      <c r="C635" s="4"/>
      <c r="D635" s="2"/>
      <c r="E635" s="13"/>
      <c r="F635" s="13"/>
      <c r="G635" s="2"/>
      <c r="H635" s="2"/>
      <c r="I635" s="2"/>
      <c r="J635" s="2"/>
      <c r="K635" s="13"/>
      <c r="L635" s="14"/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"/>
      <c r="B636" s="2"/>
      <c r="C636" s="4"/>
      <c r="D636" s="2"/>
      <c r="E636" s="13"/>
      <c r="F636" s="13"/>
      <c r="G636" s="2"/>
      <c r="H636" s="2"/>
      <c r="I636" s="2"/>
      <c r="J636" s="2"/>
      <c r="K636" s="13"/>
      <c r="L636" s="14"/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"/>
      <c r="B637" s="2"/>
      <c r="C637" s="4"/>
      <c r="D637" s="2"/>
      <c r="E637" s="13"/>
      <c r="F637" s="13"/>
      <c r="G637" s="2"/>
      <c r="H637" s="2"/>
      <c r="I637" s="2"/>
      <c r="J637" s="2"/>
      <c r="K637" s="13"/>
      <c r="L637" s="14"/>
      <c r="M637" s="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2"/>
      <c r="C638" s="4"/>
      <c r="D638" s="2"/>
      <c r="E638" s="13"/>
      <c r="F638" s="13"/>
      <c r="G638" s="2"/>
      <c r="H638" s="2"/>
      <c r="I638" s="2"/>
      <c r="J638" s="2"/>
      <c r="K638" s="13"/>
      <c r="L638" s="14"/>
      <c r="M638" s="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2"/>
      <c r="C639" s="4"/>
      <c r="D639" s="2"/>
      <c r="E639" s="13"/>
      <c r="F639" s="13"/>
      <c r="G639" s="2"/>
      <c r="H639" s="2"/>
      <c r="I639" s="2"/>
      <c r="J639" s="2"/>
      <c r="K639" s="13"/>
      <c r="L639" s="14"/>
      <c r="M639" s="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2"/>
      <c r="C640" s="4"/>
      <c r="D640" s="2"/>
      <c r="E640" s="13"/>
      <c r="F640" s="13"/>
      <c r="G640" s="2"/>
      <c r="H640" s="2"/>
      <c r="I640" s="2"/>
      <c r="J640" s="2"/>
      <c r="K640" s="13"/>
      <c r="L640" s="14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2"/>
      <c r="C641" s="4"/>
      <c r="D641" s="2"/>
      <c r="E641" s="13"/>
      <c r="F641" s="13"/>
      <c r="G641" s="2"/>
      <c r="H641" s="2"/>
      <c r="I641" s="2"/>
      <c r="J641" s="2"/>
      <c r="K641" s="13"/>
      <c r="L641" s="14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2"/>
      <c r="C642" s="4"/>
      <c r="D642" s="2"/>
      <c r="E642" s="13"/>
      <c r="F642" s="13"/>
      <c r="G642" s="2"/>
      <c r="H642" s="2"/>
      <c r="I642" s="2"/>
      <c r="J642" s="2"/>
      <c r="K642" s="13"/>
      <c r="L642" s="14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2"/>
      <c r="C643" s="4"/>
      <c r="D643" s="2"/>
      <c r="E643" s="13"/>
      <c r="F643" s="13"/>
      <c r="G643" s="2"/>
      <c r="H643" s="2"/>
      <c r="I643" s="2"/>
      <c r="J643" s="2"/>
      <c r="K643" s="13"/>
      <c r="L643" s="14"/>
      <c r="M643" s="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1"/>
      <c r="B644" s="2"/>
      <c r="C644" s="4"/>
      <c r="D644" s="2"/>
      <c r="E644" s="13"/>
      <c r="F644" s="13"/>
      <c r="G644" s="2"/>
      <c r="H644" s="2"/>
      <c r="I644" s="2"/>
      <c r="J644" s="2"/>
      <c r="K644" s="13"/>
      <c r="L644" s="14"/>
      <c r="M644" s="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2"/>
      <c r="C645" s="4"/>
      <c r="D645" s="2"/>
      <c r="E645" s="13"/>
      <c r="F645" s="13"/>
      <c r="G645" s="2"/>
      <c r="H645" s="2"/>
      <c r="I645" s="2"/>
      <c r="J645" s="2"/>
      <c r="K645" s="13"/>
      <c r="L645" s="14"/>
      <c r="M645" s="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"/>
      <c r="B646" s="2"/>
      <c r="C646" s="4"/>
      <c r="D646" s="2"/>
      <c r="E646" s="13"/>
      <c r="F646" s="13"/>
      <c r="G646" s="2"/>
      <c r="H646" s="2"/>
      <c r="I646" s="2"/>
      <c r="J646" s="2"/>
      <c r="K646" s="13"/>
      <c r="L646" s="14"/>
      <c r="M646" s="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2"/>
      <c r="C647" s="4"/>
      <c r="D647" s="2"/>
      <c r="E647" s="13"/>
      <c r="F647" s="13"/>
      <c r="G647" s="2"/>
      <c r="H647" s="2"/>
      <c r="I647" s="2"/>
      <c r="J647" s="2"/>
      <c r="K647" s="13"/>
      <c r="L647" s="14"/>
      <c r="M647" s="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2"/>
      <c r="C648" s="4"/>
      <c r="D648" s="2"/>
      <c r="E648" s="13"/>
      <c r="F648" s="13"/>
      <c r="G648" s="2"/>
      <c r="H648" s="2"/>
      <c r="I648" s="2"/>
      <c r="J648" s="2"/>
      <c r="K648" s="13"/>
      <c r="L648" s="14"/>
      <c r="M648" s="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"/>
      <c r="B649" s="2"/>
      <c r="C649" s="4"/>
      <c r="D649" s="2"/>
      <c r="E649" s="13"/>
      <c r="F649" s="13"/>
      <c r="G649" s="2"/>
      <c r="H649" s="2"/>
      <c r="I649" s="2"/>
      <c r="J649" s="2"/>
      <c r="K649" s="13"/>
      <c r="L649" s="14"/>
      <c r="M649" s="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2"/>
      <c r="C650" s="4"/>
      <c r="D650" s="2"/>
      <c r="E650" s="13"/>
      <c r="F650" s="13"/>
      <c r="G650" s="2"/>
      <c r="H650" s="2"/>
      <c r="I650" s="2"/>
      <c r="J650" s="2"/>
      <c r="K650" s="13"/>
      <c r="L650" s="14"/>
      <c r="M650" s="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"/>
      <c r="B651" s="2"/>
      <c r="C651" s="4"/>
      <c r="D651" s="2"/>
      <c r="E651" s="13"/>
      <c r="F651" s="13"/>
      <c r="G651" s="2"/>
      <c r="H651" s="2"/>
      <c r="I651" s="2"/>
      <c r="J651" s="2"/>
      <c r="K651" s="13"/>
      <c r="L651" s="14"/>
      <c r="M651" s="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2"/>
      <c r="C652" s="4"/>
      <c r="D652" s="2"/>
      <c r="E652" s="13"/>
      <c r="F652" s="13"/>
      <c r="G652" s="2"/>
      <c r="H652" s="2"/>
      <c r="I652" s="2"/>
      <c r="J652" s="2"/>
      <c r="K652" s="13"/>
      <c r="L652" s="14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2"/>
      <c r="C653" s="4"/>
      <c r="D653" s="2"/>
      <c r="E653" s="13"/>
      <c r="F653" s="13"/>
      <c r="G653" s="2"/>
      <c r="H653" s="2"/>
      <c r="I653" s="2"/>
      <c r="J653" s="2"/>
      <c r="K653" s="13"/>
      <c r="L653" s="14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2"/>
      <c r="C654" s="4"/>
      <c r="D654" s="2"/>
      <c r="E654" s="13"/>
      <c r="F654" s="13"/>
      <c r="G654" s="2"/>
      <c r="H654" s="2"/>
      <c r="I654" s="2"/>
      <c r="J654" s="2"/>
      <c r="K654" s="13"/>
      <c r="L654" s="14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2"/>
      <c r="C655" s="4"/>
      <c r="D655" s="2"/>
      <c r="E655" s="13"/>
      <c r="F655" s="13"/>
      <c r="G655" s="2"/>
      <c r="H655" s="2"/>
      <c r="I655" s="2"/>
      <c r="J655" s="2"/>
      <c r="K655" s="13"/>
      <c r="L655" s="14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2"/>
      <c r="C656" s="4"/>
      <c r="D656" s="2"/>
      <c r="E656" s="13"/>
      <c r="F656" s="13"/>
      <c r="G656" s="2"/>
      <c r="H656" s="2"/>
      <c r="I656" s="2"/>
      <c r="J656" s="2"/>
      <c r="K656" s="13"/>
      <c r="L656" s="14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2"/>
      <c r="C657" s="4"/>
      <c r="D657" s="2"/>
      <c r="E657" s="13"/>
      <c r="F657" s="13"/>
      <c r="G657" s="2"/>
      <c r="H657" s="2"/>
      <c r="I657" s="2"/>
      <c r="J657" s="2"/>
      <c r="K657" s="13"/>
      <c r="L657" s="14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2"/>
      <c r="C658" s="4"/>
      <c r="D658" s="2"/>
      <c r="E658" s="13"/>
      <c r="F658" s="13"/>
      <c r="G658" s="2"/>
      <c r="H658" s="2"/>
      <c r="I658" s="2"/>
      <c r="J658" s="2"/>
      <c r="K658" s="13"/>
      <c r="L658" s="14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2"/>
      <c r="C659" s="4"/>
      <c r="D659" s="2"/>
      <c r="E659" s="13"/>
      <c r="F659" s="13"/>
      <c r="G659" s="2"/>
      <c r="H659" s="2"/>
      <c r="I659" s="2"/>
      <c r="J659" s="2"/>
      <c r="K659" s="13"/>
      <c r="L659" s="14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2"/>
      <c r="C660" s="4"/>
      <c r="D660" s="2"/>
      <c r="E660" s="13"/>
      <c r="F660" s="13"/>
      <c r="G660" s="2"/>
      <c r="H660" s="2"/>
      <c r="I660" s="2"/>
      <c r="J660" s="2"/>
      <c r="K660" s="13"/>
      <c r="L660" s="14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2"/>
      <c r="C661" s="4"/>
      <c r="D661" s="2"/>
      <c r="E661" s="13"/>
      <c r="F661" s="13"/>
      <c r="G661" s="2"/>
      <c r="H661" s="2"/>
      <c r="I661" s="2"/>
      <c r="J661" s="2"/>
      <c r="K661" s="13"/>
      <c r="L661" s="14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2"/>
      <c r="C662" s="4"/>
      <c r="D662" s="2"/>
      <c r="E662" s="13"/>
      <c r="F662" s="13"/>
      <c r="G662" s="2"/>
      <c r="H662" s="2"/>
      <c r="I662" s="2"/>
      <c r="J662" s="2"/>
      <c r="K662" s="13"/>
      <c r="L662" s="14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2"/>
      <c r="C663" s="4"/>
      <c r="D663" s="2"/>
      <c r="E663" s="13"/>
      <c r="F663" s="13"/>
      <c r="G663" s="2"/>
      <c r="H663" s="2"/>
      <c r="I663" s="2"/>
      <c r="J663" s="2"/>
      <c r="K663" s="13"/>
      <c r="L663" s="14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2"/>
      <c r="C664" s="4"/>
      <c r="D664" s="2"/>
      <c r="E664" s="13"/>
      <c r="F664" s="13"/>
      <c r="G664" s="2"/>
      <c r="H664" s="2"/>
      <c r="I664" s="2"/>
      <c r="J664" s="2"/>
      <c r="K664" s="13"/>
      <c r="L664" s="14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2"/>
      <c r="C665" s="4"/>
      <c r="D665" s="2"/>
      <c r="E665" s="13"/>
      <c r="F665" s="13"/>
      <c r="G665" s="2"/>
      <c r="H665" s="2"/>
      <c r="I665" s="2"/>
      <c r="J665" s="2"/>
      <c r="K665" s="13"/>
      <c r="L665" s="14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2"/>
      <c r="C666" s="4"/>
      <c r="D666" s="2"/>
      <c r="E666" s="13"/>
      <c r="F666" s="13"/>
      <c r="G666" s="2"/>
      <c r="H666" s="2"/>
      <c r="I666" s="2"/>
      <c r="J666" s="2"/>
      <c r="K666" s="13"/>
      <c r="L666" s="14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2"/>
      <c r="C667" s="4"/>
      <c r="D667" s="2"/>
      <c r="E667" s="13"/>
      <c r="F667" s="13"/>
      <c r="G667" s="2"/>
      <c r="H667" s="2"/>
      <c r="I667" s="2"/>
      <c r="J667" s="2"/>
      <c r="K667" s="13"/>
      <c r="L667" s="14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2"/>
      <c r="C668" s="4"/>
      <c r="D668" s="2"/>
      <c r="E668" s="13"/>
      <c r="F668" s="13"/>
      <c r="G668" s="2"/>
      <c r="H668" s="2"/>
      <c r="I668" s="2"/>
      <c r="J668" s="2"/>
      <c r="K668" s="13"/>
      <c r="L668" s="14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2"/>
      <c r="C669" s="4"/>
      <c r="D669" s="2"/>
      <c r="E669" s="13"/>
      <c r="F669" s="13"/>
      <c r="G669" s="2"/>
      <c r="H669" s="2"/>
      <c r="I669" s="2"/>
      <c r="J669" s="2"/>
      <c r="K669" s="13"/>
      <c r="L669" s="14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2"/>
      <c r="C670" s="4"/>
      <c r="D670" s="2"/>
      <c r="E670" s="13"/>
      <c r="F670" s="13"/>
      <c r="G670" s="2"/>
      <c r="H670" s="2"/>
      <c r="I670" s="2"/>
      <c r="J670" s="2"/>
      <c r="K670" s="13"/>
      <c r="L670" s="14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2"/>
      <c r="C671" s="4"/>
      <c r="D671" s="2"/>
      <c r="E671" s="13"/>
      <c r="F671" s="13"/>
      <c r="G671" s="2"/>
      <c r="H671" s="2"/>
      <c r="I671" s="2"/>
      <c r="J671" s="2"/>
      <c r="K671" s="13"/>
      <c r="L671" s="14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2"/>
      <c r="C672" s="4"/>
      <c r="D672" s="2"/>
      <c r="E672" s="13"/>
      <c r="F672" s="13"/>
      <c r="G672" s="2"/>
      <c r="H672" s="2"/>
      <c r="I672" s="2"/>
      <c r="J672" s="2"/>
      <c r="K672" s="13"/>
      <c r="L672" s="14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2"/>
      <c r="C673" s="4"/>
      <c r="D673" s="2"/>
      <c r="E673" s="13"/>
      <c r="F673" s="13"/>
      <c r="G673" s="2"/>
      <c r="H673" s="2"/>
      <c r="I673" s="2"/>
      <c r="J673" s="2"/>
      <c r="K673" s="13"/>
      <c r="L673" s="14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2"/>
      <c r="C674" s="4"/>
      <c r="D674" s="2"/>
      <c r="E674" s="13"/>
      <c r="F674" s="13"/>
      <c r="G674" s="2"/>
      <c r="H674" s="2"/>
      <c r="I674" s="2"/>
      <c r="J674" s="2"/>
      <c r="K674" s="13"/>
      <c r="L674" s="14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2"/>
      <c r="C675" s="4"/>
      <c r="D675" s="2"/>
      <c r="E675" s="13"/>
      <c r="F675" s="13"/>
      <c r="G675" s="2"/>
      <c r="H675" s="2"/>
      <c r="I675" s="2"/>
      <c r="J675" s="2"/>
      <c r="K675" s="13"/>
      <c r="L675" s="14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2"/>
      <c r="C676" s="4"/>
      <c r="D676" s="2"/>
      <c r="E676" s="13"/>
      <c r="F676" s="13"/>
      <c r="G676" s="2"/>
      <c r="H676" s="2"/>
      <c r="I676" s="2"/>
      <c r="J676" s="2"/>
      <c r="K676" s="13"/>
      <c r="L676" s="14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2"/>
      <c r="C677" s="4"/>
      <c r="D677" s="2"/>
      <c r="E677" s="13"/>
      <c r="F677" s="13"/>
      <c r="G677" s="2"/>
      <c r="H677" s="2"/>
      <c r="I677" s="2"/>
      <c r="J677" s="2"/>
      <c r="K677" s="13"/>
      <c r="L677" s="14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2"/>
      <c r="C678" s="4"/>
      <c r="D678" s="2"/>
      <c r="E678" s="13"/>
      <c r="F678" s="13"/>
      <c r="G678" s="2"/>
      <c r="H678" s="2"/>
      <c r="I678" s="2"/>
      <c r="J678" s="2"/>
      <c r="K678" s="13"/>
      <c r="L678" s="14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2"/>
      <c r="C679" s="4"/>
      <c r="D679" s="2"/>
      <c r="E679" s="13"/>
      <c r="F679" s="13"/>
      <c r="G679" s="2"/>
      <c r="H679" s="2"/>
      <c r="I679" s="2"/>
      <c r="J679" s="2"/>
      <c r="K679" s="13"/>
      <c r="L679" s="14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2"/>
      <c r="C680" s="4"/>
      <c r="D680" s="2"/>
      <c r="E680" s="13"/>
      <c r="F680" s="13"/>
      <c r="G680" s="2"/>
      <c r="H680" s="2"/>
      <c r="I680" s="2"/>
      <c r="J680" s="2"/>
      <c r="K680" s="13"/>
      <c r="L680" s="14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2"/>
      <c r="C681" s="4"/>
      <c r="D681" s="2"/>
      <c r="E681" s="13"/>
      <c r="F681" s="13"/>
      <c r="G681" s="2"/>
      <c r="H681" s="2"/>
      <c r="I681" s="2"/>
      <c r="J681" s="2"/>
      <c r="K681" s="13"/>
      <c r="L681" s="14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2"/>
      <c r="C682" s="4"/>
      <c r="D682" s="2"/>
      <c r="E682" s="13"/>
      <c r="F682" s="13"/>
      <c r="G682" s="2"/>
      <c r="H682" s="2"/>
      <c r="I682" s="2"/>
      <c r="J682" s="2"/>
      <c r="K682" s="13"/>
      <c r="L682" s="14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2"/>
      <c r="C683" s="4"/>
      <c r="D683" s="2"/>
      <c r="E683" s="13"/>
      <c r="F683" s="13"/>
      <c r="G683" s="2"/>
      <c r="H683" s="2"/>
      <c r="I683" s="2"/>
      <c r="J683" s="2"/>
      <c r="K683" s="13"/>
      <c r="L683" s="14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2"/>
      <c r="C684" s="4"/>
      <c r="D684" s="2"/>
      <c r="E684" s="13"/>
      <c r="F684" s="13"/>
      <c r="G684" s="2"/>
      <c r="H684" s="2"/>
      <c r="I684" s="2"/>
      <c r="J684" s="2"/>
      <c r="K684" s="13"/>
      <c r="L684" s="14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2"/>
      <c r="C685" s="4"/>
      <c r="D685" s="2"/>
      <c r="E685" s="13"/>
      <c r="F685" s="13"/>
      <c r="G685" s="2"/>
      <c r="H685" s="2"/>
      <c r="I685" s="2"/>
      <c r="J685" s="2"/>
      <c r="K685" s="13"/>
      <c r="L685" s="14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2"/>
      <c r="C686" s="4"/>
      <c r="D686" s="2"/>
      <c r="E686" s="13"/>
      <c r="F686" s="13"/>
      <c r="G686" s="2"/>
      <c r="H686" s="2"/>
      <c r="I686" s="2"/>
      <c r="J686" s="2"/>
      <c r="K686" s="13"/>
      <c r="L686" s="14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2"/>
      <c r="C687" s="4"/>
      <c r="D687" s="2"/>
      <c r="E687" s="13"/>
      <c r="F687" s="13"/>
      <c r="G687" s="2"/>
      <c r="H687" s="2"/>
      <c r="I687" s="2"/>
      <c r="J687" s="2"/>
      <c r="K687" s="13"/>
      <c r="L687" s="14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2"/>
      <c r="C688" s="4"/>
      <c r="D688" s="2"/>
      <c r="E688" s="13"/>
      <c r="F688" s="13"/>
      <c r="G688" s="2"/>
      <c r="H688" s="2"/>
      <c r="I688" s="2"/>
      <c r="J688" s="2"/>
      <c r="K688" s="13"/>
      <c r="L688" s="14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2"/>
      <c r="C689" s="4"/>
      <c r="D689" s="2"/>
      <c r="E689" s="13"/>
      <c r="F689" s="13"/>
      <c r="G689" s="2"/>
      <c r="H689" s="2"/>
      <c r="I689" s="2"/>
      <c r="J689" s="2"/>
      <c r="K689" s="13"/>
      <c r="L689" s="14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2"/>
      <c r="C690" s="4"/>
      <c r="D690" s="2"/>
      <c r="E690" s="13"/>
      <c r="F690" s="13"/>
      <c r="G690" s="2"/>
      <c r="H690" s="2"/>
      <c r="I690" s="2"/>
      <c r="J690" s="2"/>
      <c r="K690" s="13"/>
      <c r="L690" s="14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2"/>
      <c r="C691" s="4"/>
      <c r="D691" s="2"/>
      <c r="E691" s="13"/>
      <c r="F691" s="13"/>
      <c r="G691" s="2"/>
      <c r="H691" s="2"/>
      <c r="I691" s="2"/>
      <c r="J691" s="2"/>
      <c r="K691" s="13"/>
      <c r="L691" s="14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2"/>
      <c r="C692" s="4"/>
      <c r="D692" s="2"/>
      <c r="E692" s="13"/>
      <c r="F692" s="13"/>
      <c r="G692" s="2"/>
      <c r="H692" s="2"/>
      <c r="I692" s="2"/>
      <c r="J692" s="2"/>
      <c r="K692" s="13"/>
      <c r="L692" s="14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2"/>
      <c r="C693" s="4"/>
      <c r="D693" s="2"/>
      <c r="E693" s="13"/>
      <c r="F693" s="13"/>
      <c r="G693" s="2"/>
      <c r="H693" s="2"/>
      <c r="I693" s="2"/>
      <c r="J693" s="2"/>
      <c r="K693" s="13"/>
      <c r="L693" s="14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2"/>
      <c r="C694" s="4"/>
      <c r="D694" s="2"/>
      <c r="E694" s="13"/>
      <c r="F694" s="13"/>
      <c r="G694" s="2"/>
      <c r="H694" s="2"/>
      <c r="I694" s="2"/>
      <c r="J694" s="2"/>
      <c r="K694" s="13"/>
      <c r="L694" s="14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2"/>
      <c r="C695" s="4"/>
      <c r="D695" s="2"/>
      <c r="E695" s="13"/>
      <c r="F695" s="13"/>
      <c r="G695" s="2"/>
      <c r="H695" s="2"/>
      <c r="I695" s="2"/>
      <c r="J695" s="2"/>
      <c r="K695" s="13"/>
      <c r="L695" s="14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2"/>
      <c r="C696" s="4"/>
      <c r="D696" s="2"/>
      <c r="E696" s="13"/>
      <c r="F696" s="13"/>
      <c r="G696" s="2"/>
      <c r="H696" s="2"/>
      <c r="I696" s="2"/>
      <c r="J696" s="2"/>
      <c r="K696" s="13"/>
      <c r="L696" s="14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2"/>
      <c r="C697" s="4"/>
      <c r="D697" s="2"/>
      <c r="E697" s="13"/>
      <c r="F697" s="13"/>
      <c r="G697" s="2"/>
      <c r="H697" s="2"/>
      <c r="I697" s="2"/>
      <c r="J697" s="2"/>
      <c r="K697" s="13"/>
      <c r="L697" s="14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2"/>
      <c r="C698" s="4"/>
      <c r="D698" s="2"/>
      <c r="E698" s="13"/>
      <c r="F698" s="13"/>
      <c r="G698" s="2"/>
      <c r="H698" s="2"/>
      <c r="I698" s="2"/>
      <c r="J698" s="2"/>
      <c r="K698" s="13"/>
      <c r="L698" s="14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2"/>
      <c r="C699" s="4"/>
      <c r="D699" s="2"/>
      <c r="E699" s="13"/>
      <c r="F699" s="13"/>
      <c r="G699" s="2"/>
      <c r="H699" s="2"/>
      <c r="I699" s="2"/>
      <c r="J699" s="2"/>
      <c r="K699" s="13"/>
      <c r="L699" s="14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2"/>
      <c r="C700" s="4"/>
      <c r="D700" s="2"/>
      <c r="E700" s="13"/>
      <c r="F700" s="13"/>
      <c r="G700" s="2"/>
      <c r="H700" s="2"/>
      <c r="I700" s="2"/>
      <c r="J700" s="2"/>
      <c r="K700" s="13"/>
      <c r="L700" s="14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2"/>
      <c r="C701" s="4"/>
      <c r="D701" s="2"/>
      <c r="E701" s="13"/>
      <c r="F701" s="13"/>
      <c r="G701" s="2"/>
      <c r="H701" s="2"/>
      <c r="I701" s="2"/>
      <c r="J701" s="2"/>
      <c r="K701" s="13"/>
      <c r="L701" s="14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2"/>
      <c r="C702" s="4"/>
      <c r="D702" s="2"/>
      <c r="E702" s="13"/>
      <c r="F702" s="13"/>
      <c r="G702" s="2"/>
      <c r="H702" s="2"/>
      <c r="I702" s="2"/>
      <c r="J702" s="2"/>
      <c r="K702" s="13"/>
      <c r="L702" s="14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2"/>
      <c r="C703" s="4"/>
      <c r="D703" s="2"/>
      <c r="E703" s="13"/>
      <c r="F703" s="13"/>
      <c r="G703" s="2"/>
      <c r="H703" s="2"/>
      <c r="I703" s="2"/>
      <c r="J703" s="2"/>
      <c r="K703" s="13"/>
      <c r="L703" s="14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2"/>
      <c r="C704" s="4"/>
      <c r="D704" s="2"/>
      <c r="E704" s="13"/>
      <c r="F704" s="13"/>
      <c r="G704" s="2"/>
      <c r="H704" s="2"/>
      <c r="I704" s="2"/>
      <c r="J704" s="2"/>
      <c r="K704" s="13"/>
      <c r="L704" s="14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2"/>
      <c r="C705" s="4"/>
      <c r="D705" s="2"/>
      <c r="E705" s="13"/>
      <c r="F705" s="13"/>
      <c r="G705" s="2"/>
      <c r="H705" s="2"/>
      <c r="I705" s="2"/>
      <c r="J705" s="2"/>
      <c r="K705" s="13"/>
      <c r="L705" s="14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2"/>
      <c r="C706" s="4"/>
      <c r="D706" s="2"/>
      <c r="E706" s="13"/>
      <c r="F706" s="13"/>
      <c r="G706" s="2"/>
      <c r="H706" s="2"/>
      <c r="I706" s="2"/>
      <c r="J706" s="2"/>
      <c r="K706" s="13"/>
      <c r="L706" s="14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2"/>
      <c r="C707" s="4"/>
      <c r="D707" s="2"/>
      <c r="E707" s="13"/>
      <c r="F707" s="13"/>
      <c r="G707" s="2"/>
      <c r="H707" s="2"/>
      <c r="I707" s="2"/>
      <c r="J707" s="2"/>
      <c r="K707" s="13"/>
      <c r="L707" s="14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2"/>
      <c r="C708" s="4"/>
      <c r="D708" s="2"/>
      <c r="E708" s="13"/>
      <c r="F708" s="13"/>
      <c r="G708" s="2"/>
      <c r="H708" s="2"/>
      <c r="I708" s="2"/>
      <c r="J708" s="2"/>
      <c r="K708" s="13"/>
      <c r="L708" s="14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2"/>
      <c r="C709" s="4"/>
      <c r="D709" s="2"/>
      <c r="E709" s="13"/>
      <c r="F709" s="13"/>
      <c r="G709" s="2"/>
      <c r="H709" s="2"/>
      <c r="I709" s="2"/>
      <c r="J709" s="2"/>
      <c r="K709" s="13"/>
      <c r="L709" s="14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2"/>
      <c r="C710" s="4"/>
      <c r="D710" s="2"/>
      <c r="E710" s="13"/>
      <c r="F710" s="13"/>
      <c r="G710" s="2"/>
      <c r="H710" s="2"/>
      <c r="I710" s="2"/>
      <c r="J710" s="2"/>
      <c r="K710" s="13"/>
      <c r="L710" s="14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2"/>
      <c r="C711" s="4"/>
      <c r="D711" s="2"/>
      <c r="E711" s="13"/>
      <c r="F711" s="13"/>
      <c r="G711" s="2"/>
      <c r="H711" s="2"/>
      <c r="I711" s="2"/>
      <c r="J711" s="2"/>
      <c r="K711" s="13"/>
      <c r="L711" s="14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2"/>
      <c r="C712" s="4"/>
      <c r="D712" s="2"/>
      <c r="E712" s="13"/>
      <c r="F712" s="13"/>
      <c r="G712" s="2"/>
      <c r="H712" s="2"/>
      <c r="I712" s="2"/>
      <c r="J712" s="2"/>
      <c r="K712" s="13"/>
      <c r="L712" s="14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2"/>
      <c r="C713" s="4"/>
      <c r="D713" s="2"/>
      <c r="E713" s="13"/>
      <c r="F713" s="13"/>
      <c r="G713" s="2"/>
      <c r="H713" s="2"/>
      <c r="I713" s="2"/>
      <c r="J713" s="2"/>
      <c r="K713" s="13"/>
      <c r="L713" s="14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2"/>
      <c r="C714" s="4"/>
      <c r="D714" s="2"/>
      <c r="E714" s="13"/>
      <c r="F714" s="13"/>
      <c r="G714" s="2"/>
      <c r="H714" s="2"/>
      <c r="I714" s="2"/>
      <c r="J714" s="2"/>
      <c r="K714" s="13"/>
      <c r="L714" s="14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2"/>
      <c r="C715" s="4"/>
      <c r="D715" s="2"/>
      <c r="E715" s="13"/>
      <c r="F715" s="13"/>
      <c r="G715" s="2"/>
      <c r="H715" s="2"/>
      <c r="I715" s="2"/>
      <c r="J715" s="2"/>
      <c r="K715" s="13"/>
      <c r="L715" s="14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2"/>
      <c r="C716" s="4"/>
      <c r="D716" s="2"/>
      <c r="E716" s="13"/>
      <c r="F716" s="13"/>
      <c r="G716" s="2"/>
      <c r="H716" s="2"/>
      <c r="I716" s="2"/>
      <c r="J716" s="2"/>
      <c r="K716" s="13"/>
      <c r="L716" s="14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2"/>
      <c r="C717" s="4"/>
      <c r="D717" s="2"/>
      <c r="E717" s="13"/>
      <c r="F717" s="13"/>
      <c r="G717" s="2"/>
      <c r="H717" s="2"/>
      <c r="I717" s="2"/>
      <c r="J717" s="2"/>
      <c r="K717" s="13"/>
      <c r="L717" s="14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2"/>
      <c r="C718" s="4"/>
      <c r="D718" s="2"/>
      <c r="E718" s="13"/>
      <c r="F718" s="13"/>
      <c r="G718" s="2"/>
      <c r="H718" s="2"/>
      <c r="I718" s="2"/>
      <c r="J718" s="2"/>
      <c r="K718" s="13"/>
      <c r="L718" s="14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2"/>
      <c r="C719" s="4"/>
      <c r="D719" s="2"/>
      <c r="E719" s="13"/>
      <c r="F719" s="13"/>
      <c r="G719" s="2"/>
      <c r="H719" s="2"/>
      <c r="I719" s="2"/>
      <c r="J719" s="2"/>
      <c r="K719" s="13"/>
      <c r="L719" s="14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2"/>
      <c r="C720" s="4"/>
      <c r="D720" s="2"/>
      <c r="E720" s="13"/>
      <c r="F720" s="13"/>
      <c r="G720" s="2"/>
      <c r="H720" s="2"/>
      <c r="I720" s="2"/>
      <c r="J720" s="2"/>
      <c r="K720" s="13"/>
      <c r="L720" s="14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2"/>
      <c r="C721" s="4"/>
      <c r="D721" s="2"/>
      <c r="E721" s="13"/>
      <c r="F721" s="13"/>
      <c r="G721" s="2"/>
      <c r="H721" s="2"/>
      <c r="I721" s="2"/>
      <c r="J721" s="2"/>
      <c r="K721" s="13"/>
      <c r="L721" s="14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2"/>
      <c r="C722" s="4"/>
      <c r="D722" s="2"/>
      <c r="E722" s="13"/>
      <c r="F722" s="13"/>
      <c r="G722" s="2"/>
      <c r="H722" s="2"/>
      <c r="I722" s="2"/>
      <c r="J722" s="2"/>
      <c r="K722" s="13"/>
      <c r="L722" s="14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2"/>
      <c r="C723" s="4"/>
      <c r="D723" s="2"/>
      <c r="E723" s="13"/>
      <c r="F723" s="13"/>
      <c r="G723" s="2"/>
      <c r="H723" s="2"/>
      <c r="I723" s="2"/>
      <c r="J723" s="2"/>
      <c r="K723" s="13"/>
      <c r="L723" s="14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2"/>
      <c r="C724" s="4"/>
      <c r="D724" s="2"/>
      <c r="E724" s="13"/>
      <c r="F724" s="13"/>
      <c r="G724" s="2"/>
      <c r="H724" s="2"/>
      <c r="I724" s="2"/>
      <c r="J724" s="2"/>
      <c r="K724" s="13"/>
      <c r="L724" s="14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2"/>
      <c r="C725" s="4"/>
      <c r="D725" s="2"/>
      <c r="E725" s="13"/>
      <c r="F725" s="13"/>
      <c r="G725" s="2"/>
      <c r="H725" s="2"/>
      <c r="I725" s="2"/>
      <c r="J725" s="2"/>
      <c r="K725" s="13"/>
      <c r="L725" s="14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2"/>
      <c r="C726" s="4"/>
      <c r="D726" s="2"/>
      <c r="E726" s="13"/>
      <c r="F726" s="13"/>
      <c r="G726" s="2"/>
      <c r="H726" s="2"/>
      <c r="I726" s="2"/>
      <c r="J726" s="2"/>
      <c r="K726" s="13"/>
      <c r="L726" s="14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2"/>
      <c r="C727" s="4"/>
      <c r="D727" s="2"/>
      <c r="E727" s="13"/>
      <c r="F727" s="13"/>
      <c r="G727" s="2"/>
      <c r="H727" s="2"/>
      <c r="I727" s="2"/>
      <c r="J727" s="2"/>
      <c r="K727" s="13"/>
      <c r="L727" s="14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2"/>
      <c r="C728" s="4"/>
      <c r="D728" s="2"/>
      <c r="E728" s="13"/>
      <c r="F728" s="13"/>
      <c r="G728" s="2"/>
      <c r="H728" s="2"/>
      <c r="I728" s="2"/>
      <c r="J728" s="2"/>
      <c r="K728" s="13"/>
      <c r="L728" s="14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2"/>
      <c r="C729" s="4"/>
      <c r="D729" s="2"/>
      <c r="E729" s="13"/>
      <c r="F729" s="13"/>
      <c r="G729" s="2"/>
      <c r="H729" s="2"/>
      <c r="I729" s="2"/>
      <c r="J729" s="2"/>
      <c r="K729" s="13"/>
      <c r="L729" s="14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2"/>
      <c r="C730" s="4"/>
      <c r="D730" s="2"/>
      <c r="E730" s="13"/>
      <c r="F730" s="13"/>
      <c r="G730" s="2"/>
      <c r="H730" s="2"/>
      <c r="I730" s="2"/>
      <c r="J730" s="2"/>
      <c r="K730" s="13"/>
      <c r="L730" s="14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2"/>
      <c r="C731" s="4"/>
      <c r="D731" s="2"/>
      <c r="E731" s="13"/>
      <c r="F731" s="13"/>
      <c r="G731" s="2"/>
      <c r="H731" s="2"/>
      <c r="I731" s="2"/>
      <c r="J731" s="2"/>
      <c r="K731" s="13"/>
      <c r="L731" s="14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2"/>
      <c r="C732" s="4"/>
      <c r="D732" s="2"/>
      <c r="E732" s="13"/>
      <c r="F732" s="13"/>
      <c r="G732" s="2"/>
      <c r="H732" s="2"/>
      <c r="I732" s="2"/>
      <c r="J732" s="2"/>
      <c r="K732" s="13"/>
      <c r="L732" s="14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2"/>
      <c r="C733" s="4"/>
      <c r="D733" s="2"/>
      <c r="E733" s="13"/>
      <c r="F733" s="13"/>
      <c r="G733" s="2"/>
      <c r="H733" s="2"/>
      <c r="I733" s="2"/>
      <c r="J733" s="2"/>
      <c r="K733" s="13"/>
      <c r="L733" s="14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2"/>
      <c r="C734" s="4"/>
      <c r="D734" s="2"/>
      <c r="E734" s="13"/>
      <c r="F734" s="13"/>
      <c r="G734" s="2"/>
      <c r="H734" s="2"/>
      <c r="I734" s="2"/>
      <c r="J734" s="2"/>
      <c r="K734" s="13"/>
      <c r="L734" s="14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2"/>
      <c r="C735" s="4"/>
      <c r="D735" s="2"/>
      <c r="E735" s="13"/>
      <c r="F735" s="13"/>
      <c r="G735" s="2"/>
      <c r="H735" s="2"/>
      <c r="I735" s="2"/>
      <c r="J735" s="2"/>
      <c r="K735" s="13"/>
      <c r="L735" s="14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2"/>
      <c r="C736" s="4"/>
      <c r="D736" s="2"/>
      <c r="E736" s="13"/>
      <c r="F736" s="13"/>
      <c r="G736" s="2"/>
      <c r="H736" s="2"/>
      <c r="I736" s="2"/>
      <c r="J736" s="2"/>
      <c r="K736" s="13"/>
      <c r="L736" s="14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2"/>
      <c r="C737" s="4"/>
      <c r="D737" s="2"/>
      <c r="E737" s="13"/>
      <c r="F737" s="13"/>
      <c r="G737" s="2"/>
      <c r="H737" s="2"/>
      <c r="I737" s="2"/>
      <c r="J737" s="2"/>
      <c r="K737" s="13"/>
      <c r="L737" s="14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2"/>
      <c r="C738" s="4"/>
      <c r="D738" s="2"/>
      <c r="E738" s="13"/>
      <c r="F738" s="13"/>
      <c r="G738" s="2"/>
      <c r="H738" s="2"/>
      <c r="I738" s="2"/>
      <c r="J738" s="2"/>
      <c r="K738" s="13"/>
      <c r="L738" s="14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2"/>
      <c r="C739" s="4"/>
      <c r="D739" s="2"/>
      <c r="E739" s="13"/>
      <c r="F739" s="13"/>
      <c r="G739" s="2"/>
      <c r="H739" s="2"/>
      <c r="I739" s="2"/>
      <c r="J739" s="2"/>
      <c r="K739" s="13"/>
      <c r="L739" s="14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2"/>
      <c r="C740" s="4"/>
      <c r="D740" s="2"/>
      <c r="E740" s="13"/>
      <c r="F740" s="13"/>
      <c r="G740" s="2"/>
      <c r="H740" s="2"/>
      <c r="I740" s="2"/>
      <c r="J740" s="2"/>
      <c r="K740" s="13"/>
      <c r="L740" s="14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2"/>
      <c r="C741" s="4"/>
      <c r="D741" s="2"/>
      <c r="E741" s="13"/>
      <c r="F741" s="13"/>
      <c r="G741" s="2"/>
      <c r="H741" s="2"/>
      <c r="I741" s="2"/>
      <c r="J741" s="2"/>
      <c r="K741" s="13"/>
      <c r="L741" s="14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2"/>
      <c r="C742" s="4"/>
      <c r="D742" s="2"/>
      <c r="E742" s="13"/>
      <c r="F742" s="13"/>
      <c r="G742" s="2"/>
      <c r="H742" s="2"/>
      <c r="I742" s="2"/>
      <c r="J742" s="2"/>
      <c r="K742" s="13"/>
      <c r="L742" s="14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2"/>
      <c r="C743" s="4"/>
      <c r="D743" s="2"/>
      <c r="E743" s="13"/>
      <c r="F743" s="13"/>
      <c r="G743" s="2"/>
      <c r="H743" s="2"/>
      <c r="I743" s="2"/>
      <c r="J743" s="2"/>
      <c r="K743" s="13"/>
      <c r="L743" s="14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2"/>
      <c r="C744" s="4"/>
      <c r="D744" s="2"/>
      <c r="E744" s="13"/>
      <c r="F744" s="13"/>
      <c r="G744" s="2"/>
      <c r="H744" s="2"/>
      <c r="I744" s="2"/>
      <c r="J744" s="2"/>
      <c r="K744" s="13"/>
      <c r="L744" s="14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2"/>
      <c r="C745" s="4"/>
      <c r="D745" s="2"/>
      <c r="E745" s="13"/>
      <c r="F745" s="13"/>
      <c r="G745" s="2"/>
      <c r="H745" s="2"/>
      <c r="I745" s="2"/>
      <c r="J745" s="2"/>
      <c r="K745" s="13"/>
      <c r="L745" s="14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2"/>
      <c r="C746" s="4"/>
      <c r="D746" s="2"/>
      <c r="E746" s="13"/>
      <c r="F746" s="13"/>
      <c r="G746" s="2"/>
      <c r="H746" s="2"/>
      <c r="I746" s="2"/>
      <c r="J746" s="2"/>
      <c r="K746" s="13"/>
      <c r="L746" s="14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2"/>
      <c r="C747" s="4"/>
      <c r="D747" s="2"/>
      <c r="E747" s="13"/>
      <c r="F747" s="13"/>
      <c r="G747" s="2"/>
      <c r="H747" s="2"/>
      <c r="I747" s="2"/>
      <c r="J747" s="2"/>
      <c r="K747" s="13"/>
      <c r="L747" s="14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2"/>
      <c r="C748" s="4"/>
      <c r="D748" s="2"/>
      <c r="E748" s="13"/>
      <c r="F748" s="13"/>
      <c r="G748" s="2"/>
      <c r="H748" s="2"/>
      <c r="I748" s="2"/>
      <c r="J748" s="2"/>
      <c r="K748" s="13"/>
      <c r="L748" s="14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2"/>
      <c r="C749" s="4"/>
      <c r="D749" s="2"/>
      <c r="E749" s="13"/>
      <c r="F749" s="13"/>
      <c r="G749" s="2"/>
      <c r="H749" s="2"/>
      <c r="I749" s="2"/>
      <c r="J749" s="2"/>
      <c r="K749" s="13"/>
      <c r="L749" s="14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2"/>
      <c r="C750" s="4"/>
      <c r="D750" s="2"/>
      <c r="E750" s="13"/>
      <c r="F750" s="13"/>
      <c r="G750" s="2"/>
      <c r="H750" s="2"/>
      <c r="I750" s="2"/>
      <c r="J750" s="2"/>
      <c r="K750" s="13"/>
      <c r="L750" s="14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2"/>
      <c r="C751" s="4"/>
      <c r="D751" s="2"/>
      <c r="E751" s="13"/>
      <c r="F751" s="13"/>
      <c r="G751" s="2"/>
      <c r="H751" s="2"/>
      <c r="I751" s="2"/>
      <c r="J751" s="2"/>
      <c r="K751" s="13"/>
      <c r="L751" s="14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2"/>
      <c r="C752" s="4"/>
      <c r="D752" s="2"/>
      <c r="E752" s="13"/>
      <c r="F752" s="13"/>
      <c r="G752" s="2"/>
      <c r="H752" s="2"/>
      <c r="I752" s="2"/>
      <c r="J752" s="2"/>
      <c r="K752" s="13"/>
      <c r="L752" s="14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2"/>
      <c r="C753" s="4"/>
      <c r="D753" s="2"/>
      <c r="E753" s="13"/>
      <c r="F753" s="13"/>
      <c r="G753" s="2"/>
      <c r="H753" s="2"/>
      <c r="I753" s="2"/>
      <c r="J753" s="2"/>
      <c r="K753" s="13"/>
      <c r="L753" s="14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2"/>
      <c r="C754" s="4"/>
      <c r="D754" s="2"/>
      <c r="E754" s="13"/>
      <c r="F754" s="13"/>
      <c r="G754" s="2"/>
      <c r="H754" s="2"/>
      <c r="I754" s="2"/>
      <c r="J754" s="2"/>
      <c r="K754" s="13"/>
      <c r="L754" s="14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2"/>
      <c r="C755" s="4"/>
      <c r="D755" s="2"/>
      <c r="E755" s="13"/>
      <c r="F755" s="13"/>
      <c r="G755" s="2"/>
      <c r="H755" s="2"/>
      <c r="I755" s="2"/>
      <c r="J755" s="2"/>
      <c r="K755" s="13"/>
      <c r="L755" s="14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2"/>
      <c r="C756" s="4"/>
      <c r="D756" s="2"/>
      <c r="E756" s="13"/>
      <c r="F756" s="13"/>
      <c r="G756" s="2"/>
      <c r="H756" s="2"/>
      <c r="I756" s="2"/>
      <c r="J756" s="2"/>
      <c r="K756" s="13"/>
      <c r="L756" s="14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2"/>
      <c r="C757" s="4"/>
      <c r="D757" s="2"/>
      <c r="E757" s="13"/>
      <c r="F757" s="13"/>
      <c r="G757" s="2"/>
      <c r="H757" s="2"/>
      <c r="I757" s="2"/>
      <c r="J757" s="2"/>
      <c r="K757" s="13"/>
      <c r="L757" s="14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2"/>
      <c r="C758" s="4"/>
      <c r="D758" s="2"/>
      <c r="E758" s="13"/>
      <c r="F758" s="13"/>
      <c r="G758" s="2"/>
      <c r="H758" s="2"/>
      <c r="I758" s="2"/>
      <c r="J758" s="2"/>
      <c r="K758" s="13"/>
      <c r="L758" s="14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2"/>
      <c r="C759" s="4"/>
      <c r="D759" s="2"/>
      <c r="E759" s="13"/>
      <c r="F759" s="13"/>
      <c r="G759" s="2"/>
      <c r="H759" s="2"/>
      <c r="I759" s="2"/>
      <c r="J759" s="2"/>
      <c r="K759" s="13"/>
      <c r="L759" s="14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2"/>
      <c r="C760" s="4"/>
      <c r="D760" s="2"/>
      <c r="E760" s="13"/>
      <c r="F760" s="13"/>
      <c r="G760" s="2"/>
      <c r="H760" s="2"/>
      <c r="I760" s="2"/>
      <c r="J760" s="2"/>
      <c r="K760" s="13"/>
      <c r="L760" s="14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2"/>
      <c r="C761" s="4"/>
      <c r="D761" s="2"/>
      <c r="E761" s="13"/>
      <c r="F761" s="13"/>
      <c r="G761" s="2"/>
      <c r="H761" s="2"/>
      <c r="I761" s="2"/>
      <c r="J761" s="2"/>
      <c r="K761" s="13"/>
      <c r="L761" s="14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2"/>
      <c r="C762" s="4"/>
      <c r="D762" s="2"/>
      <c r="E762" s="13"/>
      <c r="F762" s="13"/>
      <c r="G762" s="2"/>
      <c r="H762" s="2"/>
      <c r="I762" s="2"/>
      <c r="J762" s="2"/>
      <c r="K762" s="13"/>
      <c r="L762" s="14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2"/>
      <c r="C763" s="4"/>
      <c r="D763" s="2"/>
      <c r="E763" s="13"/>
      <c r="F763" s="13"/>
      <c r="G763" s="2"/>
      <c r="H763" s="2"/>
      <c r="I763" s="2"/>
      <c r="J763" s="2"/>
      <c r="K763" s="13"/>
      <c r="L763" s="14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2"/>
      <c r="C764" s="4"/>
      <c r="D764" s="2"/>
      <c r="E764" s="13"/>
      <c r="F764" s="13"/>
      <c r="G764" s="2"/>
      <c r="H764" s="2"/>
      <c r="I764" s="2"/>
      <c r="J764" s="2"/>
      <c r="K764" s="13"/>
      <c r="L764" s="14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2"/>
      <c r="C765" s="4"/>
      <c r="D765" s="2"/>
      <c r="E765" s="13"/>
      <c r="F765" s="13"/>
      <c r="G765" s="2"/>
      <c r="H765" s="2"/>
      <c r="I765" s="2"/>
      <c r="J765" s="2"/>
      <c r="K765" s="13"/>
      <c r="L765" s="14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2"/>
      <c r="C766" s="4"/>
      <c r="D766" s="2"/>
      <c r="E766" s="13"/>
      <c r="F766" s="13"/>
      <c r="G766" s="2"/>
      <c r="H766" s="2"/>
      <c r="I766" s="2"/>
      <c r="J766" s="2"/>
      <c r="K766" s="13"/>
      <c r="L766" s="14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2"/>
      <c r="C767" s="4"/>
      <c r="D767" s="2"/>
      <c r="E767" s="13"/>
      <c r="F767" s="13"/>
      <c r="G767" s="2"/>
      <c r="H767" s="2"/>
      <c r="I767" s="2"/>
      <c r="J767" s="2"/>
      <c r="K767" s="13"/>
      <c r="L767" s="14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2"/>
      <c r="C768" s="4"/>
      <c r="D768" s="2"/>
      <c r="E768" s="13"/>
      <c r="F768" s="13"/>
      <c r="G768" s="2"/>
      <c r="H768" s="2"/>
      <c r="I768" s="2"/>
      <c r="J768" s="2"/>
      <c r="K768" s="13"/>
      <c r="L768" s="14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2"/>
      <c r="C769" s="4"/>
      <c r="D769" s="2"/>
      <c r="E769" s="13"/>
      <c r="F769" s="13"/>
      <c r="G769" s="2"/>
      <c r="H769" s="2"/>
      <c r="I769" s="2"/>
      <c r="J769" s="2"/>
      <c r="K769" s="13"/>
      <c r="L769" s="14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2"/>
      <c r="C770" s="4"/>
      <c r="D770" s="2"/>
      <c r="E770" s="13"/>
      <c r="F770" s="13"/>
      <c r="G770" s="2"/>
      <c r="H770" s="2"/>
      <c r="I770" s="2"/>
      <c r="J770" s="2"/>
      <c r="K770" s="13"/>
      <c r="L770" s="14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2"/>
      <c r="C771" s="4"/>
      <c r="D771" s="2"/>
      <c r="E771" s="13"/>
      <c r="F771" s="13"/>
      <c r="G771" s="2"/>
      <c r="H771" s="2"/>
      <c r="I771" s="2"/>
      <c r="J771" s="2"/>
      <c r="K771" s="13"/>
      <c r="L771" s="14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2"/>
      <c r="C772" s="4"/>
      <c r="D772" s="2"/>
      <c r="E772" s="13"/>
      <c r="F772" s="13"/>
      <c r="G772" s="2"/>
      <c r="H772" s="2"/>
      <c r="I772" s="2"/>
      <c r="J772" s="2"/>
      <c r="K772" s="13"/>
      <c r="L772" s="14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2"/>
      <c r="C773" s="4"/>
      <c r="D773" s="2"/>
      <c r="E773" s="13"/>
      <c r="F773" s="13"/>
      <c r="G773" s="2"/>
      <c r="H773" s="2"/>
      <c r="I773" s="2"/>
      <c r="J773" s="2"/>
      <c r="K773" s="13"/>
      <c r="L773" s="14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2"/>
      <c r="C774" s="4"/>
      <c r="D774" s="2"/>
      <c r="E774" s="13"/>
      <c r="F774" s="13"/>
      <c r="G774" s="2"/>
      <c r="H774" s="2"/>
      <c r="I774" s="2"/>
      <c r="J774" s="2"/>
      <c r="K774" s="13"/>
      <c r="L774" s="14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2"/>
      <c r="C775" s="4"/>
      <c r="D775" s="2"/>
      <c r="E775" s="13"/>
      <c r="F775" s="13"/>
      <c r="G775" s="2"/>
      <c r="H775" s="2"/>
      <c r="I775" s="2"/>
      <c r="J775" s="2"/>
      <c r="K775" s="13"/>
      <c r="L775" s="14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2"/>
      <c r="C776" s="4"/>
      <c r="D776" s="2"/>
      <c r="E776" s="13"/>
      <c r="F776" s="13"/>
      <c r="G776" s="2"/>
      <c r="H776" s="2"/>
      <c r="I776" s="2"/>
      <c r="J776" s="2"/>
      <c r="K776" s="13"/>
      <c r="L776" s="14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2"/>
      <c r="C777" s="4"/>
      <c r="D777" s="2"/>
      <c r="E777" s="13"/>
      <c r="F777" s="13"/>
      <c r="G777" s="2"/>
      <c r="H777" s="2"/>
      <c r="I777" s="2"/>
      <c r="J777" s="2"/>
      <c r="K777" s="13"/>
      <c r="L777" s="14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2"/>
      <c r="C778" s="4"/>
      <c r="D778" s="2"/>
      <c r="E778" s="13"/>
      <c r="F778" s="13"/>
      <c r="G778" s="2"/>
      <c r="H778" s="2"/>
      <c r="I778" s="2"/>
      <c r="J778" s="2"/>
      <c r="K778" s="13"/>
      <c r="L778" s="14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2"/>
      <c r="C779" s="4"/>
      <c r="D779" s="2"/>
      <c r="E779" s="13"/>
      <c r="F779" s="13"/>
      <c r="G779" s="2"/>
      <c r="H779" s="2"/>
      <c r="I779" s="2"/>
      <c r="J779" s="2"/>
      <c r="K779" s="13"/>
      <c r="L779" s="14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2"/>
      <c r="C780" s="4"/>
      <c r="D780" s="2"/>
      <c r="E780" s="13"/>
      <c r="F780" s="13"/>
      <c r="G780" s="2"/>
      <c r="H780" s="2"/>
      <c r="I780" s="2"/>
      <c r="J780" s="2"/>
      <c r="K780" s="13"/>
      <c r="L780" s="14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2"/>
      <c r="C781" s="4"/>
      <c r="D781" s="2"/>
      <c r="E781" s="13"/>
      <c r="F781" s="13"/>
      <c r="G781" s="2"/>
      <c r="H781" s="2"/>
      <c r="I781" s="2"/>
      <c r="J781" s="2"/>
      <c r="K781" s="13"/>
      <c r="L781" s="14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"/>
      <c r="B782" s="2"/>
      <c r="C782" s="4"/>
      <c r="D782" s="2"/>
      <c r="E782" s="13"/>
      <c r="F782" s="13"/>
      <c r="G782" s="2"/>
      <c r="H782" s="2"/>
      <c r="I782" s="2"/>
      <c r="J782" s="2"/>
      <c r="K782" s="13"/>
      <c r="L782" s="14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"/>
      <c r="B783" s="2"/>
      <c r="C783" s="4"/>
      <c r="D783" s="2"/>
      <c r="E783" s="13"/>
      <c r="F783" s="13"/>
      <c r="G783" s="2"/>
      <c r="H783" s="2"/>
      <c r="I783" s="2"/>
      <c r="J783" s="2"/>
      <c r="K783" s="13"/>
      <c r="L783" s="14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"/>
      <c r="B784" s="2"/>
      <c r="C784" s="4"/>
      <c r="D784" s="2"/>
      <c r="E784" s="13"/>
      <c r="F784" s="13"/>
      <c r="G784" s="2"/>
      <c r="H784" s="2"/>
      <c r="I784" s="2"/>
      <c r="J784" s="2"/>
      <c r="K784" s="13"/>
      <c r="L784" s="14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"/>
      <c r="B785" s="2"/>
      <c r="C785" s="4"/>
      <c r="D785" s="2"/>
      <c r="E785" s="13"/>
      <c r="F785" s="13"/>
      <c r="G785" s="2"/>
      <c r="H785" s="2"/>
      <c r="I785" s="2"/>
      <c r="J785" s="2"/>
      <c r="K785" s="13"/>
      <c r="L785" s="14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"/>
      <c r="B786" s="2"/>
      <c r="C786" s="4"/>
      <c r="D786" s="2"/>
      <c r="E786" s="13"/>
      <c r="F786" s="13"/>
      <c r="G786" s="2"/>
      <c r="H786" s="2"/>
      <c r="I786" s="2"/>
      <c r="J786" s="2"/>
      <c r="K786" s="13"/>
      <c r="L786" s="14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"/>
      <c r="B787" s="2"/>
      <c r="C787" s="4"/>
      <c r="D787" s="2"/>
      <c r="E787" s="13"/>
      <c r="F787" s="13"/>
      <c r="G787" s="2"/>
      <c r="H787" s="2"/>
      <c r="I787" s="2"/>
      <c r="J787" s="2"/>
      <c r="K787" s="13"/>
      <c r="L787" s="14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"/>
      <c r="B788" s="2"/>
      <c r="C788" s="4"/>
      <c r="D788" s="2"/>
      <c r="E788" s="13"/>
      <c r="F788" s="13"/>
      <c r="G788" s="2"/>
      <c r="H788" s="2"/>
      <c r="I788" s="2"/>
      <c r="J788" s="2"/>
      <c r="K788" s="13"/>
      <c r="L788" s="14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"/>
      <c r="B789" s="2"/>
      <c r="C789" s="4"/>
      <c r="D789" s="2"/>
      <c r="E789" s="13"/>
      <c r="F789" s="13"/>
      <c r="G789" s="2"/>
      <c r="H789" s="2"/>
      <c r="I789" s="2"/>
      <c r="J789" s="2"/>
      <c r="K789" s="13"/>
      <c r="L789" s="14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"/>
      <c r="B790" s="2"/>
      <c r="C790" s="4"/>
      <c r="D790" s="2"/>
      <c r="E790" s="13"/>
      <c r="F790" s="13"/>
      <c r="G790" s="2"/>
      <c r="H790" s="2"/>
      <c r="I790" s="2"/>
      <c r="J790" s="2"/>
      <c r="K790" s="13"/>
      <c r="L790" s="14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"/>
      <c r="B791" s="2"/>
      <c r="C791" s="4"/>
      <c r="D791" s="2"/>
      <c r="E791" s="13"/>
      <c r="F791" s="13"/>
      <c r="G791" s="2"/>
      <c r="H791" s="2"/>
      <c r="I791" s="2"/>
      <c r="J791" s="2"/>
      <c r="K791" s="13"/>
      <c r="L791" s="14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"/>
      <c r="B792" s="2"/>
      <c r="C792" s="4"/>
      <c r="D792" s="2"/>
      <c r="E792" s="13"/>
      <c r="F792" s="13"/>
      <c r="G792" s="2"/>
      <c r="H792" s="2"/>
      <c r="I792" s="2"/>
      <c r="J792" s="2"/>
      <c r="K792" s="13"/>
      <c r="L792" s="14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"/>
      <c r="B793" s="2"/>
      <c r="C793" s="4"/>
      <c r="D793" s="2"/>
      <c r="E793" s="13"/>
      <c r="F793" s="13"/>
      <c r="G793" s="2"/>
      <c r="H793" s="2"/>
      <c r="I793" s="2"/>
      <c r="J793" s="2"/>
      <c r="K793" s="13"/>
      <c r="L793" s="14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"/>
      <c r="B794" s="2"/>
      <c r="C794" s="4"/>
      <c r="D794" s="2"/>
      <c r="E794" s="13"/>
      <c r="F794" s="13"/>
      <c r="G794" s="2"/>
      <c r="H794" s="2"/>
      <c r="I794" s="2"/>
      <c r="J794" s="2"/>
      <c r="K794" s="13"/>
      <c r="L794" s="14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"/>
      <c r="B795" s="2"/>
      <c r="C795" s="4"/>
      <c r="D795" s="2"/>
      <c r="E795" s="13"/>
      <c r="F795" s="13"/>
      <c r="G795" s="2"/>
      <c r="H795" s="2"/>
      <c r="I795" s="2"/>
      <c r="J795" s="2"/>
      <c r="K795" s="13"/>
      <c r="L795" s="14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"/>
      <c r="B796" s="2"/>
      <c r="C796" s="4"/>
      <c r="D796" s="2"/>
      <c r="E796" s="13"/>
      <c r="F796" s="13"/>
      <c r="G796" s="2"/>
      <c r="H796" s="2"/>
      <c r="I796" s="2"/>
      <c r="J796" s="2"/>
      <c r="K796" s="13"/>
      <c r="L796" s="14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"/>
      <c r="B797" s="2"/>
      <c r="C797" s="4"/>
      <c r="D797" s="2"/>
      <c r="E797" s="13"/>
      <c r="F797" s="13"/>
      <c r="G797" s="2"/>
      <c r="H797" s="2"/>
      <c r="I797" s="2"/>
      <c r="J797" s="2"/>
      <c r="K797" s="13"/>
      <c r="L797" s="14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"/>
      <c r="B798" s="2"/>
      <c r="C798" s="4"/>
      <c r="D798" s="2"/>
      <c r="E798" s="13"/>
      <c r="F798" s="13"/>
      <c r="G798" s="2"/>
      <c r="H798" s="2"/>
      <c r="I798" s="2"/>
      <c r="J798" s="2"/>
      <c r="K798" s="13"/>
      <c r="L798" s="14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"/>
      <c r="B799" s="2"/>
      <c r="C799" s="4"/>
      <c r="D799" s="2"/>
      <c r="E799" s="13"/>
      <c r="F799" s="13"/>
      <c r="G799" s="2"/>
      <c r="H799" s="2"/>
      <c r="I799" s="2"/>
      <c r="J799" s="2"/>
      <c r="K799" s="13"/>
      <c r="L799" s="14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"/>
      <c r="B800" s="2"/>
      <c r="C800" s="4"/>
      <c r="D800" s="2"/>
      <c r="E800" s="13"/>
      <c r="F800" s="13"/>
      <c r="G800" s="2"/>
      <c r="H800" s="2"/>
      <c r="I800" s="2"/>
      <c r="J800" s="2"/>
      <c r="K800" s="13"/>
      <c r="L800" s="14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"/>
      <c r="B801" s="2"/>
      <c r="C801" s="4"/>
      <c r="D801" s="2"/>
      <c r="E801" s="13"/>
      <c r="F801" s="13"/>
      <c r="G801" s="2"/>
      <c r="H801" s="2"/>
      <c r="I801" s="2"/>
      <c r="J801" s="2"/>
      <c r="K801" s="13"/>
      <c r="L801" s="14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"/>
      <c r="B802" s="2"/>
      <c r="C802" s="4"/>
      <c r="D802" s="2"/>
      <c r="E802" s="13"/>
      <c r="F802" s="13"/>
      <c r="G802" s="2"/>
      <c r="H802" s="2"/>
      <c r="I802" s="2"/>
      <c r="J802" s="2"/>
      <c r="K802" s="13"/>
      <c r="L802" s="14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"/>
      <c r="B803" s="2"/>
      <c r="C803" s="4"/>
      <c r="D803" s="2"/>
      <c r="E803" s="13"/>
      <c r="F803" s="13"/>
      <c r="G803" s="2"/>
      <c r="H803" s="2"/>
      <c r="I803" s="2"/>
      <c r="J803" s="2"/>
      <c r="K803" s="13"/>
      <c r="L803" s="14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"/>
      <c r="B804" s="2"/>
      <c r="C804" s="4"/>
      <c r="D804" s="2"/>
      <c r="E804" s="13"/>
      <c r="F804" s="13"/>
      <c r="G804" s="2"/>
      <c r="H804" s="2"/>
      <c r="I804" s="2"/>
      <c r="J804" s="2"/>
      <c r="K804" s="13"/>
      <c r="L804" s="14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"/>
      <c r="B805" s="2"/>
      <c r="C805" s="4"/>
      <c r="D805" s="2"/>
      <c r="E805" s="13"/>
      <c r="F805" s="13"/>
      <c r="G805" s="2"/>
      <c r="H805" s="2"/>
      <c r="I805" s="2"/>
      <c r="J805" s="2"/>
      <c r="K805" s="13"/>
      <c r="L805" s="14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"/>
      <c r="B806" s="2"/>
      <c r="C806" s="4"/>
      <c r="D806" s="2"/>
      <c r="E806" s="13"/>
      <c r="F806" s="13"/>
      <c r="G806" s="2"/>
      <c r="H806" s="2"/>
      <c r="I806" s="2"/>
      <c r="J806" s="2"/>
      <c r="K806" s="13"/>
      <c r="L806" s="14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"/>
      <c r="B807" s="2"/>
      <c r="C807" s="4"/>
      <c r="D807" s="2"/>
      <c r="E807" s="13"/>
      <c r="F807" s="13"/>
      <c r="G807" s="2"/>
      <c r="H807" s="2"/>
      <c r="I807" s="2"/>
      <c r="J807" s="2"/>
      <c r="K807" s="13"/>
      <c r="L807" s="14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"/>
      <c r="B808" s="2"/>
      <c r="C808" s="4"/>
      <c r="D808" s="2"/>
      <c r="E808" s="13"/>
      <c r="F808" s="13"/>
      <c r="G808" s="2"/>
      <c r="H808" s="2"/>
      <c r="I808" s="2"/>
      <c r="J808" s="2"/>
      <c r="K808" s="13"/>
      <c r="L808" s="14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"/>
      <c r="B809" s="2"/>
      <c r="C809" s="4"/>
      <c r="D809" s="2"/>
      <c r="E809" s="13"/>
      <c r="F809" s="13"/>
      <c r="G809" s="2"/>
      <c r="H809" s="2"/>
      <c r="I809" s="2"/>
      <c r="J809" s="2"/>
      <c r="K809" s="13"/>
      <c r="L809" s="14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"/>
      <c r="B810" s="2"/>
      <c r="C810" s="4"/>
      <c r="D810" s="2"/>
      <c r="E810" s="13"/>
      <c r="F810" s="13"/>
      <c r="G810" s="2"/>
      <c r="H810" s="2"/>
      <c r="I810" s="2"/>
      <c r="J810" s="2"/>
      <c r="K810" s="13"/>
      <c r="L810" s="14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"/>
      <c r="B811" s="2"/>
      <c r="C811" s="4"/>
      <c r="D811" s="2"/>
      <c r="E811" s="13"/>
      <c r="F811" s="13"/>
      <c r="G811" s="2"/>
      <c r="H811" s="2"/>
      <c r="I811" s="2"/>
      <c r="J811" s="2"/>
      <c r="K811" s="13"/>
      <c r="L811" s="14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"/>
      <c r="B812" s="2"/>
      <c r="C812" s="4"/>
      <c r="D812" s="2"/>
      <c r="E812" s="13"/>
      <c r="F812" s="13"/>
      <c r="G812" s="2"/>
      <c r="H812" s="2"/>
      <c r="I812" s="2"/>
      <c r="J812" s="2"/>
      <c r="K812" s="13"/>
      <c r="L812" s="14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"/>
      <c r="B813" s="2"/>
      <c r="C813" s="4"/>
      <c r="D813" s="2"/>
      <c r="E813" s="13"/>
      <c r="F813" s="13"/>
      <c r="G813" s="2"/>
      <c r="H813" s="2"/>
      <c r="I813" s="2"/>
      <c r="J813" s="2"/>
      <c r="K813" s="13"/>
      <c r="L813" s="14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"/>
      <c r="B814" s="2"/>
      <c r="C814" s="4"/>
      <c r="D814" s="2"/>
      <c r="E814" s="13"/>
      <c r="F814" s="13"/>
      <c r="G814" s="2"/>
      <c r="H814" s="2"/>
      <c r="I814" s="2"/>
      <c r="J814" s="2"/>
      <c r="K814" s="13"/>
      <c r="L814" s="14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"/>
      <c r="B815" s="2"/>
      <c r="C815" s="4"/>
      <c r="D815" s="2"/>
      <c r="E815" s="13"/>
      <c r="F815" s="13"/>
      <c r="G815" s="2"/>
      <c r="H815" s="2"/>
      <c r="I815" s="2"/>
      <c r="J815" s="2"/>
      <c r="K815" s="13"/>
      <c r="L815" s="14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"/>
      <c r="B816" s="2"/>
      <c r="C816" s="4"/>
      <c r="D816" s="2"/>
      <c r="E816" s="13"/>
      <c r="F816" s="13"/>
      <c r="G816" s="2"/>
      <c r="H816" s="2"/>
      <c r="I816" s="2"/>
      <c r="J816" s="2"/>
      <c r="K816" s="13"/>
      <c r="L816" s="14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"/>
      <c r="B817" s="2"/>
      <c r="C817" s="4"/>
      <c r="D817" s="2"/>
      <c r="E817" s="13"/>
      <c r="F817" s="13"/>
      <c r="G817" s="2"/>
      <c r="H817" s="2"/>
      <c r="I817" s="2"/>
      <c r="J817" s="2"/>
      <c r="K817" s="13"/>
      <c r="L817" s="14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"/>
      <c r="B818" s="2"/>
      <c r="C818" s="4"/>
      <c r="D818" s="2"/>
      <c r="E818" s="13"/>
      <c r="F818" s="13"/>
      <c r="G818" s="2"/>
      <c r="H818" s="2"/>
      <c r="I818" s="2"/>
      <c r="J818" s="2"/>
      <c r="K818" s="13"/>
      <c r="L818" s="14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"/>
      <c r="B819" s="2"/>
      <c r="C819" s="4"/>
      <c r="D819" s="2"/>
      <c r="E819" s="13"/>
      <c r="F819" s="13"/>
      <c r="G819" s="2"/>
      <c r="H819" s="2"/>
      <c r="I819" s="2"/>
      <c r="J819" s="2"/>
      <c r="K819" s="13"/>
      <c r="L819" s="14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"/>
      <c r="B820" s="2"/>
      <c r="C820" s="4"/>
      <c r="D820" s="2"/>
      <c r="E820" s="13"/>
      <c r="F820" s="13"/>
      <c r="G820" s="2"/>
      <c r="H820" s="2"/>
      <c r="I820" s="2"/>
      <c r="J820" s="2"/>
      <c r="K820" s="13"/>
      <c r="L820" s="14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"/>
      <c r="B821" s="2"/>
      <c r="C821" s="4"/>
      <c r="D821" s="2"/>
      <c r="E821" s="13"/>
      <c r="F821" s="13"/>
      <c r="G821" s="2"/>
      <c r="H821" s="2"/>
      <c r="I821" s="2"/>
      <c r="J821" s="2"/>
      <c r="K821" s="13"/>
      <c r="L821" s="14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"/>
      <c r="B822" s="2"/>
      <c r="C822" s="4"/>
      <c r="D822" s="2"/>
      <c r="E822" s="13"/>
      <c r="F822" s="13"/>
      <c r="G822" s="2"/>
      <c r="H822" s="2"/>
      <c r="I822" s="2"/>
      <c r="J822" s="2"/>
      <c r="K822" s="13"/>
      <c r="L822" s="14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"/>
      <c r="B823" s="2"/>
      <c r="C823" s="4"/>
      <c r="D823" s="2"/>
      <c r="E823" s="13"/>
      <c r="F823" s="13"/>
      <c r="G823" s="2"/>
      <c r="H823" s="2"/>
      <c r="I823" s="2"/>
      <c r="J823" s="2"/>
      <c r="K823" s="13"/>
      <c r="L823" s="14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"/>
      <c r="B824" s="2"/>
      <c r="C824" s="4"/>
      <c r="D824" s="2"/>
      <c r="E824" s="13"/>
      <c r="F824" s="13"/>
      <c r="G824" s="2"/>
      <c r="H824" s="2"/>
      <c r="I824" s="2"/>
      <c r="J824" s="2"/>
      <c r="K824" s="13"/>
      <c r="L824" s="14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"/>
      <c r="B825" s="2"/>
      <c r="C825" s="4"/>
      <c r="D825" s="2"/>
      <c r="E825" s="13"/>
      <c r="F825" s="13"/>
      <c r="G825" s="2"/>
      <c r="H825" s="2"/>
      <c r="I825" s="2"/>
      <c r="J825" s="2"/>
      <c r="K825" s="13"/>
      <c r="L825" s="14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"/>
      <c r="B826" s="2"/>
      <c r="C826" s="4"/>
      <c r="D826" s="2"/>
      <c r="E826" s="13"/>
      <c r="F826" s="13"/>
      <c r="G826" s="2"/>
      <c r="H826" s="2"/>
      <c r="I826" s="2"/>
      <c r="J826" s="2"/>
      <c r="K826" s="13"/>
      <c r="L826" s="14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"/>
      <c r="B827" s="2"/>
      <c r="C827" s="4"/>
      <c r="D827" s="2"/>
      <c r="E827" s="13"/>
      <c r="F827" s="13"/>
      <c r="G827" s="2"/>
      <c r="H827" s="2"/>
      <c r="I827" s="2"/>
      <c r="J827" s="2"/>
      <c r="K827" s="13"/>
      <c r="L827" s="14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1"/>
      <c r="B828" s="2"/>
      <c r="C828" s="4"/>
      <c r="D828" s="2"/>
      <c r="E828" s="13"/>
      <c r="F828" s="13"/>
      <c r="G828" s="2"/>
      <c r="H828" s="2"/>
      <c r="I828" s="2"/>
      <c r="J828" s="2"/>
      <c r="K828" s="13"/>
      <c r="L828" s="14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"/>
      <c r="B829" s="2"/>
      <c r="C829" s="4"/>
      <c r="D829" s="2"/>
      <c r="E829" s="13"/>
      <c r="F829" s="13"/>
      <c r="G829" s="2"/>
      <c r="H829" s="2"/>
      <c r="I829" s="2"/>
      <c r="J829" s="2"/>
      <c r="K829" s="13"/>
      <c r="L829" s="14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"/>
      <c r="B830" s="2"/>
      <c r="C830" s="4"/>
      <c r="D830" s="2"/>
      <c r="E830" s="13"/>
      <c r="F830" s="13"/>
      <c r="G830" s="2"/>
      <c r="H830" s="2"/>
      <c r="I830" s="2"/>
      <c r="J830" s="2"/>
      <c r="K830" s="13"/>
      <c r="L830" s="14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1"/>
      <c r="B831" s="2"/>
      <c r="C831" s="4"/>
      <c r="D831" s="2"/>
      <c r="E831" s="13"/>
      <c r="F831" s="13"/>
      <c r="G831" s="2"/>
      <c r="H831" s="2"/>
      <c r="I831" s="2"/>
      <c r="J831" s="2"/>
      <c r="K831" s="13"/>
      <c r="L831" s="14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"/>
      <c r="B832" s="2"/>
      <c r="C832" s="4"/>
      <c r="D832" s="2"/>
      <c r="E832" s="13"/>
      <c r="F832" s="13"/>
      <c r="G832" s="2"/>
      <c r="H832" s="2"/>
      <c r="I832" s="2"/>
      <c r="J832" s="2"/>
      <c r="K832" s="13"/>
      <c r="L832" s="14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"/>
      <c r="B833" s="2"/>
      <c r="C833" s="4"/>
      <c r="D833" s="2"/>
      <c r="E833" s="13"/>
      <c r="F833" s="13"/>
      <c r="G833" s="2"/>
      <c r="H833" s="2"/>
      <c r="I833" s="2"/>
      <c r="J833" s="2"/>
      <c r="K833" s="13"/>
      <c r="L833" s="14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"/>
      <c r="B834" s="2"/>
      <c r="C834" s="4"/>
      <c r="D834" s="2"/>
      <c r="E834" s="13"/>
      <c r="F834" s="13"/>
      <c r="G834" s="2"/>
      <c r="H834" s="2"/>
      <c r="I834" s="2"/>
      <c r="J834" s="2"/>
      <c r="K834" s="13"/>
      <c r="L834" s="14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"/>
      <c r="B835" s="2"/>
      <c r="C835" s="4"/>
      <c r="D835" s="2"/>
      <c r="E835" s="13"/>
      <c r="F835" s="13"/>
      <c r="G835" s="2"/>
      <c r="H835" s="2"/>
      <c r="I835" s="2"/>
      <c r="J835" s="2"/>
      <c r="K835" s="13"/>
      <c r="L835" s="14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"/>
      <c r="B836" s="2"/>
      <c r="C836" s="4"/>
      <c r="D836" s="2"/>
      <c r="E836" s="13"/>
      <c r="F836" s="13"/>
      <c r="G836" s="2"/>
      <c r="H836" s="2"/>
      <c r="I836" s="2"/>
      <c r="J836" s="2"/>
      <c r="K836" s="13"/>
      <c r="L836" s="14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"/>
      <c r="B837" s="2"/>
      <c r="C837" s="4"/>
      <c r="D837" s="2"/>
      <c r="E837" s="13"/>
      <c r="F837" s="13"/>
      <c r="G837" s="2"/>
      <c r="H837" s="2"/>
      <c r="I837" s="2"/>
      <c r="J837" s="2"/>
      <c r="K837" s="13"/>
      <c r="L837" s="14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1"/>
      <c r="B838" s="2"/>
      <c r="C838" s="4"/>
      <c r="D838" s="2"/>
      <c r="E838" s="13"/>
      <c r="F838" s="13"/>
      <c r="G838" s="2"/>
      <c r="H838" s="2"/>
      <c r="I838" s="2"/>
      <c r="J838" s="2"/>
      <c r="K838" s="13"/>
      <c r="L838" s="14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"/>
      <c r="B839" s="2"/>
      <c r="C839" s="4"/>
      <c r="D839" s="2"/>
      <c r="E839" s="13"/>
      <c r="F839" s="13"/>
      <c r="G839" s="2"/>
      <c r="H839" s="2"/>
      <c r="I839" s="2"/>
      <c r="J839" s="2"/>
      <c r="K839" s="13"/>
      <c r="L839" s="14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"/>
      <c r="B840" s="2"/>
      <c r="C840" s="4"/>
      <c r="D840" s="2"/>
      <c r="E840" s="13"/>
      <c r="F840" s="13"/>
      <c r="G840" s="2"/>
      <c r="H840" s="2"/>
      <c r="I840" s="2"/>
      <c r="J840" s="2"/>
      <c r="K840" s="13"/>
      <c r="L840" s="14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1"/>
      <c r="B841" s="2"/>
      <c r="C841" s="4"/>
      <c r="D841" s="2"/>
      <c r="E841" s="13"/>
      <c r="F841" s="13"/>
      <c r="G841" s="2"/>
      <c r="H841" s="2"/>
      <c r="I841" s="2"/>
      <c r="J841" s="2"/>
      <c r="K841" s="13"/>
      <c r="L841" s="14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"/>
      <c r="B842" s="2"/>
      <c r="C842" s="4"/>
      <c r="D842" s="2"/>
      <c r="E842" s="13"/>
      <c r="F842" s="13"/>
      <c r="G842" s="2"/>
      <c r="H842" s="2"/>
      <c r="I842" s="2"/>
      <c r="J842" s="2"/>
      <c r="K842" s="13"/>
      <c r="L842" s="14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"/>
      <c r="B843" s="2"/>
      <c r="C843" s="4"/>
      <c r="D843" s="2"/>
      <c r="E843" s="13"/>
      <c r="F843" s="13"/>
      <c r="G843" s="2"/>
      <c r="H843" s="2"/>
      <c r="I843" s="2"/>
      <c r="J843" s="2"/>
      <c r="K843" s="13"/>
      <c r="L843" s="14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"/>
      <c r="B844" s="2"/>
      <c r="C844" s="4"/>
      <c r="D844" s="2"/>
      <c r="E844" s="13"/>
      <c r="F844" s="13"/>
      <c r="G844" s="2"/>
      <c r="H844" s="2"/>
      <c r="I844" s="2"/>
      <c r="J844" s="2"/>
      <c r="K844" s="13"/>
      <c r="L844" s="14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"/>
      <c r="B845" s="2"/>
      <c r="C845" s="4"/>
      <c r="D845" s="2"/>
      <c r="E845" s="13"/>
      <c r="F845" s="13"/>
      <c r="G845" s="2"/>
      <c r="H845" s="2"/>
      <c r="I845" s="2"/>
      <c r="J845" s="2"/>
      <c r="K845" s="13"/>
      <c r="L845" s="14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"/>
      <c r="B846" s="2"/>
      <c r="C846" s="4"/>
      <c r="D846" s="2"/>
      <c r="E846" s="13"/>
      <c r="F846" s="13"/>
      <c r="G846" s="2"/>
      <c r="H846" s="2"/>
      <c r="I846" s="2"/>
      <c r="J846" s="2"/>
      <c r="K846" s="13"/>
      <c r="L846" s="14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"/>
      <c r="B847" s="2"/>
      <c r="C847" s="4"/>
      <c r="D847" s="2"/>
      <c r="E847" s="13"/>
      <c r="F847" s="13"/>
      <c r="G847" s="2"/>
      <c r="H847" s="2"/>
      <c r="I847" s="2"/>
      <c r="J847" s="2"/>
      <c r="K847" s="13"/>
      <c r="L847" s="14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1"/>
      <c r="B848" s="2"/>
      <c r="C848" s="4"/>
      <c r="D848" s="2"/>
      <c r="E848" s="13"/>
      <c r="F848" s="13"/>
      <c r="G848" s="2"/>
      <c r="H848" s="2"/>
      <c r="I848" s="2"/>
      <c r="J848" s="2"/>
      <c r="K848" s="13"/>
      <c r="L848" s="14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"/>
      <c r="B849" s="2"/>
      <c r="C849" s="4"/>
      <c r="D849" s="2"/>
      <c r="E849" s="13"/>
      <c r="F849" s="13"/>
      <c r="G849" s="2"/>
      <c r="H849" s="2"/>
      <c r="I849" s="2"/>
      <c r="J849" s="2"/>
      <c r="K849" s="13"/>
      <c r="L849" s="14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"/>
      <c r="B850" s="2"/>
      <c r="C850" s="4"/>
      <c r="D850" s="2"/>
      <c r="E850" s="13"/>
      <c r="F850" s="13"/>
      <c r="G850" s="2"/>
      <c r="H850" s="2"/>
      <c r="I850" s="2"/>
      <c r="J850" s="2"/>
      <c r="K850" s="13"/>
      <c r="L850" s="14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1"/>
      <c r="B851" s="2"/>
      <c r="C851" s="4"/>
      <c r="D851" s="2"/>
      <c r="E851" s="13"/>
      <c r="F851" s="13"/>
      <c r="G851" s="2"/>
      <c r="H851" s="2"/>
      <c r="I851" s="2"/>
      <c r="J851" s="2"/>
      <c r="K851" s="13"/>
      <c r="L851" s="14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"/>
      <c r="B852" s="2"/>
      <c r="C852" s="4"/>
      <c r="D852" s="2"/>
      <c r="E852" s="13"/>
      <c r="F852" s="13"/>
      <c r="G852" s="2"/>
      <c r="H852" s="2"/>
      <c r="I852" s="2"/>
      <c r="J852" s="2"/>
      <c r="K852" s="13"/>
      <c r="L852" s="14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"/>
      <c r="B853" s="2"/>
      <c r="C853" s="4"/>
      <c r="D853" s="2"/>
      <c r="E853" s="13"/>
      <c r="F853" s="13"/>
      <c r="G853" s="2"/>
      <c r="H853" s="2"/>
      <c r="I853" s="2"/>
      <c r="J853" s="2"/>
      <c r="K853" s="13"/>
      <c r="L853" s="14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"/>
      <c r="B854" s="2"/>
      <c r="C854" s="4"/>
      <c r="D854" s="2"/>
      <c r="E854" s="13"/>
      <c r="F854" s="13"/>
      <c r="G854" s="2"/>
      <c r="H854" s="2"/>
      <c r="I854" s="2"/>
      <c r="J854" s="2"/>
      <c r="K854" s="13"/>
      <c r="L854" s="14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"/>
      <c r="B855" s="2"/>
      <c r="C855" s="4"/>
      <c r="D855" s="2"/>
      <c r="E855" s="13"/>
      <c r="F855" s="13"/>
      <c r="G855" s="2"/>
      <c r="H855" s="2"/>
      <c r="I855" s="2"/>
      <c r="J855" s="2"/>
      <c r="K855" s="13"/>
      <c r="L855" s="14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"/>
      <c r="B856" s="2"/>
      <c r="C856" s="4"/>
      <c r="D856" s="2"/>
      <c r="E856" s="13"/>
      <c r="F856" s="13"/>
      <c r="G856" s="2"/>
      <c r="H856" s="2"/>
      <c r="I856" s="2"/>
      <c r="J856" s="2"/>
      <c r="K856" s="13"/>
      <c r="L856" s="14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"/>
      <c r="B857" s="2"/>
      <c r="C857" s="4"/>
      <c r="D857" s="2"/>
      <c r="E857" s="13"/>
      <c r="F857" s="13"/>
      <c r="G857" s="2"/>
      <c r="H857" s="2"/>
      <c r="I857" s="2"/>
      <c r="J857" s="2"/>
      <c r="K857" s="13"/>
      <c r="L857" s="14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"/>
      <c r="B858" s="2"/>
      <c r="C858" s="4"/>
      <c r="D858" s="2"/>
      <c r="E858" s="13"/>
      <c r="F858" s="13"/>
      <c r="G858" s="2"/>
      <c r="H858" s="2"/>
      <c r="I858" s="2"/>
      <c r="J858" s="2"/>
      <c r="K858" s="13"/>
      <c r="L858" s="14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"/>
      <c r="B859" s="2"/>
      <c r="C859" s="4"/>
      <c r="D859" s="2"/>
      <c r="E859" s="13"/>
      <c r="F859" s="13"/>
      <c r="G859" s="2"/>
      <c r="H859" s="2"/>
      <c r="I859" s="2"/>
      <c r="J859" s="2"/>
      <c r="K859" s="13"/>
      <c r="L859" s="14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"/>
      <c r="B860" s="2"/>
      <c r="C860" s="4"/>
      <c r="D860" s="2"/>
      <c r="E860" s="13"/>
      <c r="F860" s="13"/>
      <c r="G860" s="2"/>
      <c r="H860" s="2"/>
      <c r="I860" s="2"/>
      <c r="J860" s="2"/>
      <c r="K860" s="13"/>
      <c r="L860" s="14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"/>
      <c r="B861" s="2"/>
      <c r="C861" s="4"/>
      <c r="D861" s="2"/>
      <c r="E861" s="13"/>
      <c r="F861" s="13"/>
      <c r="G861" s="2"/>
      <c r="H861" s="2"/>
      <c r="I861" s="2"/>
      <c r="J861" s="2"/>
      <c r="K861" s="13"/>
      <c r="L861" s="14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"/>
      <c r="B862" s="2"/>
      <c r="C862" s="4"/>
      <c r="D862" s="2"/>
      <c r="E862" s="13"/>
      <c r="F862" s="13"/>
      <c r="G862" s="2"/>
      <c r="H862" s="2"/>
      <c r="I862" s="2"/>
      <c r="J862" s="2"/>
      <c r="K862" s="13"/>
      <c r="L862" s="14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"/>
      <c r="B863" s="2"/>
      <c r="C863" s="4"/>
      <c r="D863" s="2"/>
      <c r="E863" s="13"/>
      <c r="F863" s="13"/>
      <c r="G863" s="2"/>
      <c r="H863" s="2"/>
      <c r="I863" s="2"/>
      <c r="J863" s="2"/>
      <c r="K863" s="13"/>
      <c r="L863" s="14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"/>
      <c r="B864" s="2"/>
      <c r="C864" s="4"/>
      <c r="D864" s="2"/>
      <c r="E864" s="13"/>
      <c r="F864" s="13"/>
      <c r="G864" s="2"/>
      <c r="H864" s="2"/>
      <c r="I864" s="2"/>
      <c r="J864" s="2"/>
      <c r="K864" s="13"/>
      <c r="L864" s="14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"/>
      <c r="B865" s="2"/>
      <c r="C865" s="4"/>
      <c r="D865" s="2"/>
      <c r="E865" s="13"/>
      <c r="F865" s="13"/>
      <c r="G865" s="2"/>
      <c r="H865" s="2"/>
      <c r="I865" s="2"/>
      <c r="J865" s="2"/>
      <c r="K865" s="13"/>
      <c r="L865" s="14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"/>
      <c r="B866" s="2"/>
      <c r="C866" s="4"/>
      <c r="D866" s="2"/>
      <c r="E866" s="13"/>
      <c r="F866" s="13"/>
      <c r="G866" s="2"/>
      <c r="H866" s="2"/>
      <c r="I866" s="2"/>
      <c r="J866" s="2"/>
      <c r="K866" s="13"/>
      <c r="L866" s="14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"/>
      <c r="B867" s="2"/>
      <c r="C867" s="4"/>
      <c r="D867" s="2"/>
      <c r="E867" s="13"/>
      <c r="F867" s="13"/>
      <c r="G867" s="2"/>
      <c r="H867" s="2"/>
      <c r="I867" s="2"/>
      <c r="J867" s="2"/>
      <c r="K867" s="13"/>
      <c r="L867" s="14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"/>
      <c r="B868" s="2"/>
      <c r="C868" s="4"/>
      <c r="D868" s="2"/>
      <c r="E868" s="13"/>
      <c r="F868" s="13"/>
      <c r="G868" s="2"/>
      <c r="H868" s="2"/>
      <c r="I868" s="2"/>
      <c r="J868" s="2"/>
      <c r="K868" s="13"/>
      <c r="L868" s="14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"/>
      <c r="B869" s="2"/>
      <c r="C869" s="4"/>
      <c r="D869" s="2"/>
      <c r="E869" s="13"/>
      <c r="F869" s="13"/>
      <c r="G869" s="2"/>
      <c r="H869" s="2"/>
      <c r="I869" s="2"/>
      <c r="J869" s="2"/>
      <c r="K869" s="13"/>
      <c r="L869" s="14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"/>
      <c r="B870" s="2"/>
      <c r="C870" s="4"/>
      <c r="D870" s="2"/>
      <c r="E870" s="13"/>
      <c r="F870" s="13"/>
      <c r="G870" s="2"/>
      <c r="H870" s="2"/>
      <c r="I870" s="2"/>
      <c r="J870" s="2"/>
      <c r="K870" s="13"/>
      <c r="L870" s="14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"/>
      <c r="B871" s="2"/>
      <c r="C871" s="4"/>
      <c r="D871" s="2"/>
      <c r="E871" s="13"/>
      <c r="F871" s="13"/>
      <c r="G871" s="2"/>
      <c r="H871" s="2"/>
      <c r="I871" s="2"/>
      <c r="J871" s="2"/>
      <c r="K871" s="13"/>
      <c r="L871" s="14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"/>
      <c r="B872" s="2"/>
      <c r="C872" s="4"/>
      <c r="D872" s="2"/>
      <c r="E872" s="13"/>
      <c r="F872" s="13"/>
      <c r="G872" s="2"/>
      <c r="H872" s="2"/>
      <c r="I872" s="2"/>
      <c r="J872" s="2"/>
      <c r="K872" s="13"/>
      <c r="L872" s="14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"/>
      <c r="B873" s="2"/>
      <c r="C873" s="4"/>
      <c r="D873" s="2"/>
      <c r="E873" s="13"/>
      <c r="F873" s="13"/>
      <c r="G873" s="2"/>
      <c r="H873" s="2"/>
      <c r="I873" s="2"/>
      <c r="J873" s="2"/>
      <c r="K873" s="13"/>
      <c r="L873" s="14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"/>
      <c r="B874" s="2"/>
      <c r="C874" s="4"/>
      <c r="D874" s="2"/>
      <c r="E874" s="13"/>
      <c r="F874" s="13"/>
      <c r="G874" s="2"/>
      <c r="H874" s="2"/>
      <c r="I874" s="2"/>
      <c r="J874" s="2"/>
      <c r="K874" s="13"/>
      <c r="L874" s="14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"/>
      <c r="B875" s="2"/>
      <c r="C875" s="4"/>
      <c r="D875" s="2"/>
      <c r="E875" s="13"/>
      <c r="F875" s="13"/>
      <c r="G875" s="2"/>
      <c r="H875" s="2"/>
      <c r="I875" s="2"/>
      <c r="J875" s="2"/>
      <c r="K875" s="13"/>
      <c r="L875" s="14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"/>
      <c r="B876" s="2"/>
      <c r="C876" s="4"/>
      <c r="D876" s="2"/>
      <c r="E876" s="13"/>
      <c r="F876" s="13"/>
      <c r="G876" s="2"/>
      <c r="H876" s="2"/>
      <c r="I876" s="2"/>
      <c r="J876" s="2"/>
      <c r="K876" s="13"/>
      <c r="L876" s="14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"/>
      <c r="B877" s="2"/>
      <c r="C877" s="4"/>
      <c r="D877" s="2"/>
      <c r="E877" s="13"/>
      <c r="F877" s="13"/>
      <c r="G877" s="2"/>
      <c r="H877" s="2"/>
      <c r="I877" s="2"/>
      <c r="J877" s="2"/>
      <c r="K877" s="13"/>
      <c r="L877" s="14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"/>
      <c r="B878" s="2"/>
      <c r="C878" s="4"/>
      <c r="D878" s="2"/>
      <c r="E878" s="13"/>
      <c r="F878" s="13"/>
      <c r="G878" s="2"/>
      <c r="H878" s="2"/>
      <c r="I878" s="2"/>
      <c r="J878" s="2"/>
      <c r="K878" s="13"/>
      <c r="L878" s="14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"/>
      <c r="B879" s="2"/>
      <c r="C879" s="4"/>
      <c r="D879" s="2"/>
      <c r="E879" s="13"/>
      <c r="F879" s="13"/>
      <c r="G879" s="2"/>
      <c r="H879" s="2"/>
      <c r="I879" s="2"/>
      <c r="J879" s="2"/>
      <c r="K879" s="13"/>
      <c r="L879" s="14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"/>
      <c r="B880" s="2"/>
      <c r="C880" s="4"/>
      <c r="D880" s="2"/>
      <c r="E880" s="13"/>
      <c r="F880" s="13"/>
      <c r="G880" s="2"/>
      <c r="H880" s="2"/>
      <c r="I880" s="2"/>
      <c r="J880" s="2"/>
      <c r="K880" s="13"/>
      <c r="L880" s="14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"/>
      <c r="B881" s="2"/>
      <c r="C881" s="4"/>
      <c r="D881" s="2"/>
      <c r="E881" s="13"/>
      <c r="F881" s="13"/>
      <c r="G881" s="2"/>
      <c r="H881" s="2"/>
      <c r="I881" s="2"/>
      <c r="J881" s="2"/>
      <c r="K881" s="13"/>
      <c r="L881" s="14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"/>
      <c r="B882" s="2"/>
      <c r="C882" s="4"/>
      <c r="D882" s="2"/>
      <c r="E882" s="13"/>
      <c r="F882" s="13"/>
      <c r="G882" s="2"/>
      <c r="H882" s="2"/>
      <c r="I882" s="2"/>
      <c r="J882" s="2"/>
      <c r="K882" s="13"/>
      <c r="L882" s="14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"/>
      <c r="B883" s="2"/>
      <c r="C883" s="4"/>
      <c r="D883" s="2"/>
      <c r="E883" s="13"/>
      <c r="F883" s="13"/>
      <c r="G883" s="2"/>
      <c r="H883" s="2"/>
      <c r="I883" s="2"/>
      <c r="J883" s="2"/>
      <c r="K883" s="13"/>
      <c r="L883" s="14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"/>
      <c r="B884" s="2"/>
      <c r="C884" s="4"/>
      <c r="D884" s="2"/>
      <c r="E884" s="13"/>
      <c r="F884" s="13"/>
      <c r="G884" s="2"/>
      <c r="H884" s="2"/>
      <c r="I884" s="2"/>
      <c r="J884" s="2"/>
      <c r="K884" s="13"/>
      <c r="L884" s="14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"/>
      <c r="B885" s="2"/>
      <c r="C885" s="4"/>
      <c r="D885" s="2"/>
      <c r="E885" s="13"/>
      <c r="F885" s="13"/>
      <c r="G885" s="2"/>
      <c r="H885" s="2"/>
      <c r="I885" s="2"/>
      <c r="J885" s="2"/>
      <c r="K885" s="13"/>
      <c r="L885" s="14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"/>
      <c r="B886" s="2"/>
      <c r="C886" s="4"/>
      <c r="D886" s="2"/>
      <c r="E886" s="13"/>
      <c r="F886" s="13"/>
      <c r="G886" s="2"/>
      <c r="H886" s="2"/>
      <c r="I886" s="2"/>
      <c r="J886" s="2"/>
      <c r="K886" s="13"/>
      <c r="L886" s="14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"/>
      <c r="B887" s="2"/>
      <c r="C887" s="4"/>
      <c r="D887" s="2"/>
      <c r="E887" s="13"/>
      <c r="F887" s="13"/>
      <c r="G887" s="2"/>
      <c r="H887" s="2"/>
      <c r="I887" s="2"/>
      <c r="J887" s="2"/>
      <c r="K887" s="13"/>
      <c r="L887" s="14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"/>
      <c r="B888" s="2"/>
      <c r="C888" s="4"/>
      <c r="D888" s="2"/>
      <c r="E888" s="13"/>
      <c r="F888" s="13"/>
      <c r="G888" s="2"/>
      <c r="H888" s="2"/>
      <c r="I888" s="2"/>
      <c r="J888" s="2"/>
      <c r="K888" s="13"/>
      <c r="L888" s="14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"/>
      <c r="B889" s="2"/>
      <c r="C889" s="4"/>
      <c r="D889" s="2"/>
      <c r="E889" s="13"/>
      <c r="F889" s="13"/>
      <c r="G889" s="2"/>
      <c r="H889" s="2"/>
      <c r="I889" s="2"/>
      <c r="J889" s="2"/>
      <c r="K889" s="13"/>
      <c r="L889" s="14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"/>
      <c r="B890" s="2"/>
      <c r="C890" s="4"/>
      <c r="D890" s="2"/>
      <c r="E890" s="13"/>
      <c r="F890" s="13"/>
      <c r="G890" s="2"/>
      <c r="H890" s="2"/>
      <c r="I890" s="2"/>
      <c r="J890" s="2"/>
      <c r="K890" s="13"/>
      <c r="L890" s="14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"/>
      <c r="B891" s="2"/>
      <c r="C891" s="4"/>
      <c r="D891" s="2"/>
      <c r="E891" s="13"/>
      <c r="F891" s="13"/>
      <c r="G891" s="2"/>
      <c r="H891" s="2"/>
      <c r="I891" s="2"/>
      <c r="J891" s="2"/>
      <c r="K891" s="13"/>
      <c r="L891" s="14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"/>
      <c r="B892" s="2"/>
      <c r="C892" s="4"/>
      <c r="D892" s="2"/>
      <c r="E892" s="13"/>
      <c r="F892" s="13"/>
      <c r="G892" s="2"/>
      <c r="H892" s="2"/>
      <c r="I892" s="2"/>
      <c r="J892" s="2"/>
      <c r="K892" s="13"/>
      <c r="L892" s="14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"/>
      <c r="B893" s="2"/>
      <c r="C893" s="4"/>
      <c r="D893" s="2"/>
      <c r="E893" s="13"/>
      <c r="F893" s="13"/>
      <c r="G893" s="2"/>
      <c r="H893" s="2"/>
      <c r="I893" s="2"/>
      <c r="J893" s="2"/>
      <c r="K893" s="13"/>
      <c r="L893" s="14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"/>
      <c r="B894" s="2"/>
      <c r="C894" s="4"/>
      <c r="D894" s="2"/>
      <c r="E894" s="13"/>
      <c r="F894" s="13"/>
      <c r="G894" s="2"/>
      <c r="H894" s="2"/>
      <c r="I894" s="2"/>
      <c r="J894" s="2"/>
      <c r="K894" s="13"/>
      <c r="L894" s="14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"/>
      <c r="B895" s="2"/>
      <c r="C895" s="4"/>
      <c r="D895" s="2"/>
      <c r="E895" s="13"/>
      <c r="F895" s="13"/>
      <c r="G895" s="2"/>
      <c r="H895" s="2"/>
      <c r="I895" s="2"/>
      <c r="J895" s="2"/>
      <c r="K895" s="13"/>
      <c r="L895" s="14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"/>
      <c r="B896" s="2"/>
      <c r="C896" s="4"/>
      <c r="D896" s="2"/>
      <c r="E896" s="13"/>
      <c r="F896" s="13"/>
      <c r="G896" s="2"/>
      <c r="H896" s="2"/>
      <c r="I896" s="2"/>
      <c r="J896" s="2"/>
      <c r="K896" s="13"/>
      <c r="L896" s="14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"/>
      <c r="B897" s="2"/>
      <c r="C897" s="4"/>
      <c r="D897" s="2"/>
      <c r="E897" s="13"/>
      <c r="F897" s="13"/>
      <c r="G897" s="2"/>
      <c r="H897" s="2"/>
      <c r="I897" s="2"/>
      <c r="J897" s="2"/>
      <c r="K897" s="13"/>
      <c r="L897" s="14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"/>
      <c r="B898" s="2"/>
      <c r="C898" s="4"/>
      <c r="D898" s="2"/>
      <c r="E898" s="13"/>
      <c r="F898" s="13"/>
      <c r="G898" s="2"/>
      <c r="H898" s="2"/>
      <c r="I898" s="2"/>
      <c r="J898" s="2"/>
      <c r="K898" s="13"/>
      <c r="L898" s="14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"/>
      <c r="B899" s="2"/>
      <c r="C899" s="4"/>
      <c r="D899" s="2"/>
      <c r="E899" s="13"/>
      <c r="F899" s="13"/>
      <c r="G899" s="2"/>
      <c r="H899" s="2"/>
      <c r="I899" s="2"/>
      <c r="J899" s="2"/>
      <c r="K899" s="13"/>
      <c r="L899" s="14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"/>
      <c r="B900" s="2"/>
      <c r="C900" s="4"/>
      <c r="D900" s="2"/>
      <c r="E900" s="13"/>
      <c r="F900" s="13"/>
      <c r="G900" s="2"/>
      <c r="H900" s="2"/>
      <c r="I900" s="2"/>
      <c r="J900" s="2"/>
      <c r="K900" s="13"/>
      <c r="L900" s="14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"/>
      <c r="B901" s="2"/>
      <c r="C901" s="4"/>
      <c r="D901" s="2"/>
      <c r="E901" s="13"/>
      <c r="F901" s="13"/>
      <c r="G901" s="2"/>
      <c r="H901" s="2"/>
      <c r="I901" s="2"/>
      <c r="J901" s="2"/>
      <c r="K901" s="13"/>
      <c r="L901" s="14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"/>
      <c r="B902" s="2"/>
      <c r="C902" s="4"/>
      <c r="D902" s="2"/>
      <c r="E902" s="13"/>
      <c r="F902" s="13"/>
      <c r="G902" s="2"/>
      <c r="H902" s="2"/>
      <c r="I902" s="2"/>
      <c r="J902" s="2"/>
      <c r="K902" s="13"/>
      <c r="L902" s="14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"/>
      <c r="B903" s="2"/>
      <c r="C903" s="4"/>
      <c r="D903" s="2"/>
      <c r="E903" s="13"/>
      <c r="F903" s="13"/>
      <c r="G903" s="2"/>
      <c r="H903" s="2"/>
      <c r="I903" s="2"/>
      <c r="J903" s="2"/>
      <c r="K903" s="13"/>
      <c r="L903" s="14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"/>
      <c r="B904" s="2"/>
      <c r="C904" s="4"/>
      <c r="D904" s="2"/>
      <c r="E904" s="13"/>
      <c r="F904" s="13"/>
      <c r="G904" s="2"/>
      <c r="H904" s="2"/>
      <c r="I904" s="2"/>
      <c r="J904" s="2"/>
      <c r="K904" s="13"/>
      <c r="L904" s="14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"/>
      <c r="B905" s="2"/>
      <c r="C905" s="4"/>
      <c r="D905" s="2"/>
      <c r="E905" s="13"/>
      <c r="F905" s="13"/>
      <c r="G905" s="2"/>
      <c r="H905" s="2"/>
      <c r="I905" s="2"/>
      <c r="J905" s="2"/>
      <c r="K905" s="13"/>
      <c r="L905" s="14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"/>
      <c r="B906" s="2"/>
      <c r="C906" s="4"/>
      <c r="D906" s="2"/>
      <c r="E906" s="13"/>
      <c r="F906" s="13"/>
      <c r="G906" s="2"/>
      <c r="H906" s="2"/>
      <c r="I906" s="2"/>
      <c r="J906" s="2"/>
      <c r="K906" s="13"/>
      <c r="L906" s="14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"/>
      <c r="B907" s="2"/>
      <c r="C907" s="4"/>
      <c r="D907" s="2"/>
      <c r="E907" s="13"/>
      <c r="F907" s="13"/>
      <c r="G907" s="2"/>
      <c r="H907" s="2"/>
      <c r="I907" s="2"/>
      <c r="J907" s="2"/>
      <c r="K907" s="13"/>
      <c r="L907" s="14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"/>
      <c r="B908" s="2"/>
      <c r="C908" s="4"/>
      <c r="D908" s="2"/>
      <c r="E908" s="13"/>
      <c r="F908" s="13"/>
      <c r="G908" s="2"/>
      <c r="H908" s="2"/>
      <c r="I908" s="2"/>
      <c r="J908" s="2"/>
      <c r="K908" s="13"/>
      <c r="L908" s="14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"/>
      <c r="B909" s="2"/>
      <c r="C909" s="4"/>
      <c r="D909" s="2"/>
      <c r="E909" s="13"/>
      <c r="F909" s="13"/>
      <c r="G909" s="2"/>
      <c r="H909" s="2"/>
      <c r="I909" s="2"/>
      <c r="J909" s="2"/>
      <c r="K909" s="13"/>
      <c r="L909" s="14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"/>
      <c r="B910" s="2"/>
      <c r="C910" s="4"/>
      <c r="D910" s="2"/>
      <c r="E910" s="13"/>
      <c r="F910" s="13"/>
      <c r="G910" s="2"/>
      <c r="H910" s="2"/>
      <c r="I910" s="2"/>
      <c r="J910" s="2"/>
      <c r="K910" s="13"/>
      <c r="L910" s="14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"/>
      <c r="B911" s="2"/>
      <c r="C911" s="4"/>
      <c r="D911" s="2"/>
      <c r="E911" s="13"/>
      <c r="F911" s="13"/>
      <c r="G911" s="2"/>
      <c r="H911" s="2"/>
      <c r="I911" s="2"/>
      <c r="J911" s="2"/>
      <c r="K911" s="13"/>
      <c r="L911" s="14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"/>
      <c r="B912" s="2"/>
      <c r="C912" s="4"/>
      <c r="D912" s="2"/>
      <c r="E912" s="13"/>
      <c r="F912" s="13"/>
      <c r="G912" s="2"/>
      <c r="H912" s="2"/>
      <c r="I912" s="2"/>
      <c r="J912" s="2"/>
      <c r="K912" s="13"/>
      <c r="L912" s="14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"/>
      <c r="B913" s="2"/>
      <c r="C913" s="4"/>
      <c r="D913" s="2"/>
      <c r="E913" s="13"/>
      <c r="F913" s="13"/>
      <c r="G913" s="2"/>
      <c r="H913" s="2"/>
      <c r="I913" s="2"/>
      <c r="J913" s="2"/>
      <c r="K913" s="13"/>
      <c r="L913" s="14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"/>
      <c r="B914" s="2"/>
      <c r="C914" s="4"/>
      <c r="D914" s="2"/>
      <c r="E914" s="13"/>
      <c r="F914" s="13"/>
      <c r="G914" s="2"/>
      <c r="H914" s="2"/>
      <c r="I914" s="2"/>
      <c r="J914" s="2"/>
      <c r="K914" s="13"/>
      <c r="L914" s="14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"/>
      <c r="B915" s="2"/>
      <c r="C915" s="4"/>
      <c r="D915" s="2"/>
      <c r="E915" s="13"/>
      <c r="F915" s="13"/>
      <c r="G915" s="2"/>
      <c r="H915" s="2"/>
      <c r="I915" s="2"/>
      <c r="J915" s="2"/>
      <c r="K915" s="13"/>
      <c r="L915" s="14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"/>
      <c r="B916" s="2"/>
      <c r="C916" s="4"/>
      <c r="D916" s="2"/>
      <c r="E916" s="13"/>
      <c r="F916" s="13"/>
      <c r="G916" s="2"/>
      <c r="H916" s="2"/>
      <c r="I916" s="2"/>
      <c r="J916" s="2"/>
      <c r="K916" s="13"/>
      <c r="L916" s="14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"/>
      <c r="B917" s="2"/>
      <c r="C917" s="4"/>
      <c r="D917" s="2"/>
      <c r="E917" s="13"/>
      <c r="F917" s="13"/>
      <c r="G917" s="2"/>
      <c r="H917" s="2"/>
      <c r="I917" s="2"/>
      <c r="J917" s="2"/>
      <c r="K917" s="13"/>
      <c r="L917" s="14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"/>
      <c r="B918" s="2"/>
      <c r="C918" s="4"/>
      <c r="D918" s="2"/>
      <c r="E918" s="13"/>
      <c r="F918" s="13"/>
      <c r="G918" s="2"/>
      <c r="H918" s="2"/>
      <c r="I918" s="2"/>
      <c r="J918" s="2"/>
      <c r="K918" s="13"/>
      <c r="L918" s="14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"/>
      <c r="B919" s="2"/>
      <c r="C919" s="4"/>
      <c r="D919" s="2"/>
      <c r="E919" s="13"/>
      <c r="F919" s="13"/>
      <c r="G919" s="2"/>
      <c r="H919" s="2"/>
      <c r="I919" s="2"/>
      <c r="J919" s="2"/>
      <c r="K919" s="13"/>
      <c r="L919" s="14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"/>
      <c r="B920" s="2"/>
      <c r="C920" s="4"/>
      <c r="D920" s="2"/>
      <c r="E920" s="13"/>
      <c r="F920" s="13"/>
      <c r="G920" s="2"/>
      <c r="H920" s="2"/>
      <c r="I920" s="2"/>
      <c r="J920" s="2"/>
      <c r="K920" s="13"/>
      <c r="L920" s="14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"/>
      <c r="B921" s="2"/>
      <c r="C921" s="4"/>
      <c r="D921" s="2"/>
      <c r="E921" s="13"/>
      <c r="F921" s="13"/>
      <c r="G921" s="2"/>
      <c r="H921" s="2"/>
      <c r="I921" s="2"/>
      <c r="J921" s="2"/>
      <c r="K921" s="13"/>
      <c r="L921" s="14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"/>
      <c r="B922" s="2"/>
      <c r="C922" s="4"/>
      <c r="D922" s="2"/>
      <c r="E922" s="13"/>
      <c r="F922" s="13"/>
      <c r="G922" s="2"/>
      <c r="H922" s="2"/>
      <c r="I922" s="2"/>
      <c r="J922" s="2"/>
      <c r="K922" s="13"/>
      <c r="L922" s="14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"/>
      <c r="B923" s="2"/>
      <c r="C923" s="4"/>
      <c r="D923" s="2"/>
      <c r="E923" s="13"/>
      <c r="F923" s="13"/>
      <c r="G923" s="2"/>
      <c r="H923" s="2"/>
      <c r="I923" s="2"/>
      <c r="J923" s="2"/>
      <c r="K923" s="13"/>
      <c r="L923" s="14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"/>
      <c r="B924" s="2"/>
      <c r="C924" s="4"/>
      <c r="D924" s="2"/>
      <c r="E924" s="13"/>
      <c r="F924" s="13"/>
      <c r="G924" s="2"/>
      <c r="H924" s="2"/>
      <c r="I924" s="2"/>
      <c r="J924" s="2"/>
      <c r="K924" s="13"/>
      <c r="L924" s="14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"/>
      <c r="B925" s="2"/>
      <c r="C925" s="4"/>
      <c r="D925" s="2"/>
      <c r="E925" s="13"/>
      <c r="F925" s="13"/>
      <c r="G925" s="2"/>
      <c r="H925" s="2"/>
      <c r="I925" s="2"/>
      <c r="J925" s="2"/>
      <c r="K925" s="13"/>
      <c r="L925" s="14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"/>
      <c r="B926" s="2"/>
      <c r="C926" s="4"/>
      <c r="D926" s="2"/>
      <c r="E926" s="13"/>
      <c r="F926" s="13"/>
      <c r="G926" s="2"/>
      <c r="H926" s="2"/>
      <c r="I926" s="2"/>
      <c r="J926" s="2"/>
      <c r="K926" s="13"/>
      <c r="L926" s="14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"/>
      <c r="B927" s="2"/>
      <c r="C927" s="4"/>
      <c r="D927" s="2"/>
      <c r="E927" s="13"/>
      <c r="F927" s="13"/>
      <c r="G927" s="2"/>
      <c r="H927" s="2"/>
      <c r="I927" s="2"/>
      <c r="J927" s="2"/>
      <c r="K927" s="13"/>
      <c r="L927" s="14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"/>
      <c r="B928" s="2"/>
      <c r="C928" s="4"/>
      <c r="D928" s="2"/>
      <c r="E928" s="13"/>
      <c r="F928" s="13"/>
      <c r="G928" s="2"/>
      <c r="H928" s="2"/>
      <c r="I928" s="2"/>
      <c r="J928" s="2"/>
      <c r="K928" s="13"/>
      <c r="L928" s="14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"/>
      <c r="B929" s="2"/>
      <c r="C929" s="4"/>
      <c r="D929" s="2"/>
      <c r="E929" s="13"/>
      <c r="F929" s="13"/>
      <c r="G929" s="2"/>
      <c r="H929" s="2"/>
      <c r="I929" s="2"/>
      <c r="J929" s="2"/>
      <c r="K929" s="13"/>
      <c r="L929" s="14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"/>
      <c r="B930" s="2"/>
      <c r="C930" s="4"/>
      <c r="D930" s="2"/>
      <c r="E930" s="13"/>
      <c r="F930" s="13"/>
      <c r="G930" s="2"/>
      <c r="H930" s="2"/>
      <c r="I930" s="2"/>
      <c r="J930" s="2"/>
      <c r="K930" s="13"/>
      <c r="L930" s="14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"/>
      <c r="B931" s="2"/>
      <c r="C931" s="4"/>
      <c r="D931" s="2"/>
      <c r="E931" s="13"/>
      <c r="F931" s="13"/>
      <c r="G931" s="2"/>
      <c r="H931" s="2"/>
      <c r="I931" s="2"/>
      <c r="J931" s="2"/>
      <c r="K931" s="13"/>
      <c r="L931" s="14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"/>
      <c r="B932" s="2"/>
      <c r="C932" s="4"/>
      <c r="D932" s="2"/>
      <c r="E932" s="13"/>
      <c r="F932" s="13"/>
      <c r="G932" s="2"/>
      <c r="H932" s="2"/>
      <c r="I932" s="2"/>
      <c r="J932" s="2"/>
      <c r="K932" s="13"/>
      <c r="L932" s="14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"/>
      <c r="B933" s="2"/>
      <c r="C933" s="4"/>
      <c r="D933" s="2"/>
      <c r="E933" s="13"/>
      <c r="F933" s="13"/>
      <c r="G933" s="2"/>
      <c r="H933" s="2"/>
      <c r="I933" s="2"/>
      <c r="J933" s="2"/>
      <c r="K933" s="13"/>
      <c r="L933" s="14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"/>
      <c r="B934" s="2"/>
      <c r="C934" s="4"/>
      <c r="D934" s="2"/>
      <c r="E934" s="13"/>
      <c r="F934" s="13"/>
      <c r="G934" s="2"/>
      <c r="H934" s="2"/>
      <c r="I934" s="2"/>
      <c r="J934" s="2"/>
      <c r="K934" s="13"/>
      <c r="L934" s="14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"/>
      <c r="B935" s="2"/>
      <c r="C935" s="4"/>
      <c r="D935" s="2"/>
      <c r="E935" s="13"/>
      <c r="F935" s="13"/>
      <c r="G935" s="2"/>
      <c r="H935" s="2"/>
      <c r="I935" s="2"/>
      <c r="J935" s="2"/>
      <c r="K935" s="13"/>
      <c r="L935" s="14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1"/>
      <c r="B936" s="2"/>
      <c r="C936" s="4"/>
      <c r="D936" s="2"/>
      <c r="E936" s="13"/>
      <c r="F936" s="13"/>
      <c r="G936" s="2"/>
      <c r="H936" s="2"/>
      <c r="I936" s="2"/>
      <c r="J936" s="2"/>
      <c r="K936" s="13"/>
      <c r="L936" s="14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1"/>
      <c r="B937" s="2"/>
      <c r="C937" s="4"/>
      <c r="D937" s="2"/>
      <c r="E937" s="13"/>
      <c r="F937" s="13"/>
      <c r="G937" s="2"/>
      <c r="H937" s="2"/>
      <c r="I937" s="2"/>
      <c r="J937" s="2"/>
      <c r="K937" s="13"/>
      <c r="L937" s="14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"/>
      <c r="B938" s="2"/>
      <c r="C938" s="4"/>
      <c r="D938" s="2"/>
      <c r="E938" s="13"/>
      <c r="F938" s="13"/>
      <c r="G938" s="2"/>
      <c r="H938" s="2"/>
      <c r="I938" s="2"/>
      <c r="J938" s="2"/>
      <c r="K938" s="13"/>
      <c r="L938" s="14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"/>
      <c r="B939" s="2"/>
      <c r="C939" s="4"/>
      <c r="D939" s="2"/>
      <c r="E939" s="13"/>
      <c r="F939" s="13"/>
      <c r="G939" s="2"/>
      <c r="H939" s="2"/>
      <c r="I939" s="2"/>
      <c r="J939" s="2"/>
      <c r="K939" s="13"/>
      <c r="L939" s="14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"/>
      <c r="B940" s="2"/>
      <c r="C940" s="4"/>
      <c r="D940" s="2"/>
      <c r="E940" s="13"/>
      <c r="F940" s="13"/>
      <c r="G940" s="2"/>
      <c r="H940" s="2"/>
      <c r="I940" s="2"/>
      <c r="J940" s="2"/>
      <c r="K940" s="13"/>
      <c r="L940" s="14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"/>
      <c r="B941" s="2"/>
      <c r="C941" s="4"/>
      <c r="D941" s="2"/>
      <c r="E941" s="13"/>
      <c r="F941" s="13"/>
      <c r="G941" s="2"/>
      <c r="H941" s="2"/>
      <c r="I941" s="2"/>
      <c r="J941" s="2"/>
      <c r="K941" s="13"/>
      <c r="L941" s="14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"/>
      <c r="B942" s="2"/>
      <c r="C942" s="4"/>
      <c r="D942" s="2"/>
      <c r="E942" s="13"/>
      <c r="F942" s="13"/>
      <c r="G942" s="2"/>
      <c r="H942" s="2"/>
      <c r="I942" s="2"/>
      <c r="J942" s="2"/>
      <c r="K942" s="13"/>
      <c r="L942" s="14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"/>
      <c r="B943" s="2"/>
      <c r="C943" s="4"/>
      <c r="D943" s="2"/>
      <c r="E943" s="13"/>
      <c r="F943" s="13"/>
      <c r="G943" s="2"/>
      <c r="H943" s="2"/>
      <c r="I943" s="2"/>
      <c r="J943" s="2"/>
      <c r="K943" s="13"/>
      <c r="L943" s="14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"/>
      <c r="B944" s="2"/>
      <c r="C944" s="4"/>
      <c r="D944" s="2"/>
      <c r="E944" s="13"/>
      <c r="F944" s="13"/>
      <c r="G944" s="2"/>
      <c r="H944" s="2"/>
      <c r="I944" s="2"/>
      <c r="J944" s="2"/>
      <c r="K944" s="13"/>
      <c r="L944" s="14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"/>
      <c r="B945" s="2"/>
      <c r="C945" s="4"/>
      <c r="D945" s="2"/>
      <c r="E945" s="13"/>
      <c r="F945" s="13"/>
      <c r="G945" s="2"/>
      <c r="H945" s="2"/>
      <c r="I945" s="2"/>
      <c r="J945" s="2"/>
      <c r="K945" s="13"/>
      <c r="L945" s="14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"/>
      <c r="B946" s="2"/>
      <c r="C946" s="4"/>
      <c r="D946" s="2"/>
      <c r="E946" s="13"/>
      <c r="F946" s="13"/>
      <c r="G946" s="2"/>
      <c r="H946" s="2"/>
      <c r="I946" s="2"/>
      <c r="J946" s="2"/>
      <c r="K946" s="13"/>
      <c r="L946" s="14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"/>
      <c r="B947" s="2"/>
      <c r="C947" s="4"/>
      <c r="D947" s="2"/>
      <c r="E947" s="13"/>
      <c r="F947" s="13"/>
      <c r="G947" s="2"/>
      <c r="H947" s="2"/>
      <c r="I947" s="2"/>
      <c r="J947" s="2"/>
      <c r="K947" s="13"/>
      <c r="L947" s="14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"/>
      <c r="B948" s="2"/>
      <c r="C948" s="4"/>
      <c r="D948" s="2"/>
      <c r="E948" s="13"/>
      <c r="F948" s="13"/>
      <c r="G948" s="2"/>
      <c r="H948" s="2"/>
      <c r="I948" s="2"/>
      <c r="J948" s="2"/>
      <c r="K948" s="13"/>
      <c r="L948" s="14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"/>
      <c r="B949" s="2"/>
      <c r="C949" s="4"/>
      <c r="D949" s="2"/>
      <c r="E949" s="13"/>
      <c r="F949" s="13"/>
      <c r="G949" s="2"/>
      <c r="H949" s="2"/>
      <c r="I949" s="2"/>
      <c r="J949" s="2"/>
      <c r="K949" s="13"/>
      <c r="L949" s="14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"/>
      <c r="B950" s="2"/>
      <c r="C950" s="4"/>
      <c r="D950" s="2"/>
      <c r="E950" s="13"/>
      <c r="F950" s="13"/>
      <c r="G950" s="2"/>
      <c r="H950" s="2"/>
      <c r="I950" s="2"/>
      <c r="J950" s="2"/>
      <c r="K950" s="13"/>
      <c r="L950" s="14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"/>
      <c r="B951" s="2"/>
      <c r="C951" s="4"/>
      <c r="D951" s="2"/>
      <c r="E951" s="13"/>
      <c r="F951" s="13"/>
      <c r="G951" s="2"/>
      <c r="H951" s="2"/>
      <c r="I951" s="2"/>
      <c r="J951" s="2"/>
      <c r="K951" s="13"/>
      <c r="L951" s="14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"/>
      <c r="B952" s="2"/>
      <c r="C952" s="4"/>
      <c r="D952" s="2"/>
      <c r="E952" s="13"/>
      <c r="F952" s="13"/>
      <c r="G952" s="2"/>
      <c r="H952" s="2"/>
      <c r="I952" s="2"/>
      <c r="J952" s="2"/>
      <c r="K952" s="13"/>
      <c r="L952" s="14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"/>
      <c r="B953" s="2"/>
      <c r="C953" s="4"/>
      <c r="D953" s="2"/>
      <c r="E953" s="13"/>
      <c r="F953" s="13"/>
      <c r="G953" s="2"/>
      <c r="H953" s="2"/>
      <c r="I953" s="2"/>
      <c r="J953" s="2"/>
      <c r="K953" s="13"/>
      <c r="L953" s="14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"/>
      <c r="B954" s="2"/>
      <c r="C954" s="4"/>
      <c r="D954" s="2"/>
      <c r="E954" s="13"/>
      <c r="F954" s="13"/>
      <c r="G954" s="2"/>
      <c r="H954" s="2"/>
      <c r="I954" s="2"/>
      <c r="J954" s="2"/>
      <c r="K954" s="13"/>
      <c r="L954" s="14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"/>
      <c r="B955" s="2"/>
      <c r="C955" s="4"/>
      <c r="D955" s="2"/>
      <c r="E955" s="13"/>
      <c r="F955" s="13"/>
      <c r="G955" s="2"/>
      <c r="H955" s="2"/>
      <c r="I955" s="2"/>
      <c r="J955" s="2"/>
      <c r="K955" s="13"/>
      <c r="L955" s="14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"/>
      <c r="B956" s="2"/>
      <c r="C956" s="4"/>
      <c r="D956" s="2"/>
      <c r="E956" s="13"/>
      <c r="F956" s="13"/>
      <c r="G956" s="2"/>
      <c r="H956" s="2"/>
      <c r="I956" s="2"/>
      <c r="J956" s="2"/>
      <c r="K956" s="13"/>
      <c r="L956" s="14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"/>
      <c r="B957" s="2"/>
      <c r="C957" s="4"/>
      <c r="D957" s="2"/>
      <c r="E957" s="13"/>
      <c r="F957" s="13"/>
      <c r="G957" s="2"/>
      <c r="H957" s="2"/>
      <c r="I957" s="2"/>
      <c r="J957" s="2"/>
      <c r="K957" s="13"/>
      <c r="L957" s="14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"/>
      <c r="B958" s="2"/>
      <c r="C958" s="4"/>
      <c r="D958" s="2"/>
      <c r="E958" s="13"/>
      <c r="F958" s="13"/>
      <c r="G958" s="2"/>
      <c r="H958" s="2"/>
      <c r="I958" s="2"/>
      <c r="J958" s="2"/>
      <c r="K958" s="13"/>
      <c r="L958" s="14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"/>
      <c r="B959" s="2"/>
      <c r="C959" s="4"/>
      <c r="D959" s="2"/>
      <c r="E959" s="13"/>
      <c r="F959" s="13"/>
      <c r="G959" s="2"/>
      <c r="H959" s="2"/>
      <c r="I959" s="2"/>
      <c r="J959" s="2"/>
      <c r="K959" s="13"/>
      <c r="L959" s="14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"/>
      <c r="B960" s="2"/>
      <c r="C960" s="4"/>
      <c r="D960" s="2"/>
      <c r="E960" s="13"/>
      <c r="F960" s="13"/>
      <c r="G960" s="2"/>
      <c r="H960" s="2"/>
      <c r="I960" s="2"/>
      <c r="J960" s="2"/>
      <c r="K960" s="13"/>
      <c r="L960" s="14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"/>
      <c r="B961" s="2"/>
      <c r="C961" s="4"/>
      <c r="D961" s="2"/>
      <c r="E961" s="13"/>
      <c r="F961" s="13"/>
      <c r="G961" s="2"/>
      <c r="H961" s="2"/>
      <c r="I961" s="2"/>
      <c r="J961" s="2"/>
      <c r="K961" s="13"/>
      <c r="L961" s="14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"/>
      <c r="B962" s="2"/>
      <c r="C962" s="4"/>
      <c r="D962" s="2"/>
      <c r="E962" s="13"/>
      <c r="F962" s="13"/>
      <c r="G962" s="2"/>
      <c r="H962" s="2"/>
      <c r="I962" s="2"/>
      <c r="J962" s="2"/>
      <c r="K962" s="13"/>
      <c r="L962" s="14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"/>
      <c r="B963" s="2"/>
      <c r="C963" s="4"/>
      <c r="D963" s="2"/>
      <c r="E963" s="13"/>
      <c r="F963" s="13"/>
      <c r="G963" s="2"/>
      <c r="H963" s="2"/>
      <c r="I963" s="2"/>
      <c r="J963" s="2"/>
      <c r="K963" s="13"/>
      <c r="L963" s="14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"/>
      <c r="B964" s="2"/>
      <c r="C964" s="4"/>
      <c r="D964" s="2"/>
      <c r="E964" s="13"/>
      <c r="F964" s="13"/>
      <c r="G964" s="2"/>
      <c r="H964" s="2"/>
      <c r="I964" s="2"/>
      <c r="J964" s="2"/>
      <c r="K964" s="13"/>
      <c r="L964" s="14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"/>
      <c r="B965" s="2"/>
      <c r="C965" s="4"/>
      <c r="D965" s="2"/>
      <c r="E965" s="13"/>
      <c r="F965" s="13"/>
      <c r="G965" s="2"/>
      <c r="H965" s="2"/>
      <c r="I965" s="2"/>
      <c r="J965" s="2"/>
      <c r="K965" s="13"/>
      <c r="L965" s="14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"/>
      <c r="B966" s="2"/>
      <c r="C966" s="4"/>
      <c r="D966" s="2"/>
      <c r="E966" s="13"/>
      <c r="F966" s="13"/>
      <c r="G966" s="2"/>
      <c r="H966" s="2"/>
      <c r="I966" s="2"/>
      <c r="J966" s="2"/>
      <c r="K966" s="13"/>
      <c r="L966" s="14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"/>
      <c r="B967" s="2"/>
      <c r="C967" s="4"/>
      <c r="D967" s="2"/>
      <c r="E967" s="13"/>
      <c r="F967" s="13"/>
      <c r="G967" s="2"/>
      <c r="H967" s="2"/>
      <c r="I967" s="2"/>
      <c r="J967" s="2"/>
      <c r="K967" s="13"/>
      <c r="L967" s="14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"/>
      <c r="B968" s="2"/>
      <c r="C968" s="4"/>
      <c r="D968" s="2"/>
      <c r="E968" s="13"/>
      <c r="F968" s="13"/>
      <c r="G968" s="2"/>
      <c r="H968" s="2"/>
      <c r="I968" s="2"/>
      <c r="J968" s="2"/>
      <c r="K968" s="13"/>
      <c r="L968" s="14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"/>
      <c r="B969" s="2"/>
      <c r="C969" s="4"/>
      <c r="D969" s="2"/>
      <c r="E969" s="13"/>
      <c r="F969" s="13"/>
      <c r="G969" s="2"/>
      <c r="H969" s="2"/>
      <c r="I969" s="2"/>
      <c r="J969" s="2"/>
      <c r="K969" s="13"/>
      <c r="L969" s="14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"/>
      <c r="B970" s="2"/>
      <c r="C970" s="4"/>
      <c r="D970" s="2"/>
      <c r="E970" s="13"/>
      <c r="F970" s="13"/>
      <c r="G970" s="2"/>
      <c r="H970" s="2"/>
      <c r="I970" s="2"/>
      <c r="J970" s="2"/>
      <c r="K970" s="13"/>
      <c r="L970" s="14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"/>
      <c r="B971" s="2"/>
      <c r="C971" s="4"/>
      <c r="D971" s="2"/>
      <c r="E971" s="13"/>
      <c r="F971" s="13"/>
      <c r="G971" s="2"/>
      <c r="H971" s="2"/>
      <c r="I971" s="2"/>
      <c r="J971" s="2"/>
      <c r="K971" s="13"/>
      <c r="L971" s="14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"/>
      <c r="B972" s="2"/>
      <c r="C972" s="4"/>
      <c r="D972" s="2"/>
      <c r="E972" s="13"/>
      <c r="F972" s="13"/>
      <c r="G972" s="2"/>
      <c r="H972" s="2"/>
      <c r="I972" s="2"/>
      <c r="J972" s="2"/>
      <c r="K972" s="13"/>
      <c r="L972" s="14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"/>
      <c r="B973" s="2"/>
      <c r="C973" s="4"/>
      <c r="D973" s="2"/>
      <c r="E973" s="13"/>
      <c r="F973" s="13"/>
      <c r="G973" s="2"/>
      <c r="H973" s="2"/>
      <c r="I973" s="2"/>
      <c r="J973" s="2"/>
      <c r="K973" s="13"/>
      <c r="L973" s="14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"/>
      <c r="B974" s="2"/>
      <c r="C974" s="4"/>
      <c r="D974" s="2"/>
      <c r="E974" s="13"/>
      <c r="F974" s="13"/>
      <c r="G974" s="2"/>
      <c r="H974" s="2"/>
      <c r="I974" s="2"/>
      <c r="J974" s="2"/>
      <c r="K974" s="13"/>
      <c r="L974" s="14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"/>
      <c r="B975" s="2"/>
      <c r="C975" s="4"/>
      <c r="D975" s="2"/>
      <c r="E975" s="13"/>
      <c r="F975" s="13"/>
      <c r="G975" s="2"/>
      <c r="H975" s="2"/>
      <c r="I975" s="2"/>
      <c r="J975" s="2"/>
      <c r="K975" s="13"/>
      <c r="L975" s="14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"/>
      <c r="B976" s="2"/>
      <c r="C976" s="4"/>
      <c r="D976" s="2"/>
      <c r="E976" s="13"/>
      <c r="F976" s="13"/>
      <c r="G976" s="2"/>
      <c r="H976" s="2"/>
      <c r="I976" s="2"/>
      <c r="J976" s="2"/>
      <c r="K976" s="13"/>
      <c r="L976" s="14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"/>
      <c r="B977" s="2"/>
      <c r="C977" s="4"/>
      <c r="D977" s="2"/>
      <c r="E977" s="13"/>
      <c r="F977" s="13"/>
      <c r="G977" s="2"/>
      <c r="H977" s="2"/>
      <c r="I977" s="2"/>
      <c r="J977" s="2"/>
      <c r="K977" s="13"/>
      <c r="L977" s="14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"/>
      <c r="B978" s="2"/>
      <c r="C978" s="4"/>
      <c r="D978" s="2"/>
      <c r="E978" s="13"/>
      <c r="F978" s="13"/>
      <c r="G978" s="2"/>
      <c r="H978" s="2"/>
      <c r="I978" s="2"/>
      <c r="J978" s="2"/>
      <c r="K978" s="13"/>
      <c r="L978" s="14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"/>
      <c r="B979" s="2"/>
      <c r="C979" s="4"/>
      <c r="D979" s="2"/>
      <c r="E979" s="13"/>
      <c r="F979" s="13"/>
      <c r="G979" s="2"/>
      <c r="H979" s="2"/>
      <c r="I979" s="2"/>
      <c r="J979" s="2"/>
      <c r="K979" s="13"/>
      <c r="L979" s="14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"/>
      <c r="B980" s="2"/>
      <c r="C980" s="4"/>
      <c r="D980" s="2"/>
      <c r="E980" s="13"/>
      <c r="F980" s="13"/>
      <c r="G980" s="2"/>
      <c r="H980" s="2"/>
      <c r="I980" s="2"/>
      <c r="J980" s="2"/>
      <c r="K980" s="13"/>
      <c r="L980" s="14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"/>
      <c r="B981" s="2"/>
      <c r="C981" s="4"/>
      <c r="D981" s="2"/>
      <c r="E981" s="13"/>
      <c r="F981" s="13"/>
      <c r="G981" s="2"/>
      <c r="H981" s="2"/>
      <c r="I981" s="2"/>
      <c r="J981" s="2"/>
      <c r="K981" s="13"/>
      <c r="L981" s="14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"/>
      <c r="B982" s="2"/>
      <c r="C982" s="4"/>
      <c r="D982" s="2"/>
      <c r="E982" s="13"/>
      <c r="F982" s="13"/>
      <c r="G982" s="2"/>
      <c r="H982" s="2"/>
      <c r="I982" s="2"/>
      <c r="J982" s="2"/>
      <c r="K982" s="13"/>
      <c r="L982" s="14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"/>
      <c r="B983" s="2"/>
      <c r="C983" s="4"/>
      <c r="D983" s="2"/>
      <c r="E983" s="13"/>
      <c r="F983" s="13"/>
      <c r="G983" s="2"/>
      <c r="H983" s="2"/>
      <c r="I983" s="2"/>
      <c r="J983" s="2"/>
      <c r="K983" s="13"/>
      <c r="L983" s="14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"/>
      <c r="B984" s="2"/>
      <c r="C984" s="4"/>
      <c r="D984" s="2"/>
      <c r="E984" s="13"/>
      <c r="F984" s="13"/>
      <c r="G984" s="2"/>
      <c r="H984" s="2"/>
      <c r="I984" s="2"/>
      <c r="J984" s="2"/>
      <c r="K984" s="13"/>
      <c r="L984" s="14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"/>
      <c r="B985" s="2"/>
      <c r="C985" s="4"/>
      <c r="D985" s="2"/>
      <c r="E985" s="13"/>
      <c r="F985" s="13"/>
      <c r="G985" s="2"/>
      <c r="H985" s="2"/>
      <c r="I985" s="2"/>
      <c r="J985" s="2"/>
      <c r="K985" s="13"/>
      <c r="L985" s="14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"/>
      <c r="B986" s="2"/>
      <c r="C986" s="4"/>
      <c r="D986" s="2"/>
      <c r="E986" s="13"/>
      <c r="F986" s="13"/>
      <c r="G986" s="2"/>
      <c r="H986" s="2"/>
      <c r="I986" s="2"/>
      <c r="J986" s="2"/>
      <c r="K986" s="13"/>
      <c r="L986" s="14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"/>
      <c r="B987" s="2"/>
      <c r="C987" s="4"/>
      <c r="D987" s="2"/>
      <c r="E987" s="13"/>
      <c r="F987" s="13"/>
      <c r="G987" s="2"/>
      <c r="H987" s="2"/>
      <c r="I987" s="2"/>
      <c r="J987" s="2"/>
      <c r="K987" s="13"/>
      <c r="L987" s="14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1"/>
      <c r="B988" s="2"/>
      <c r="C988" s="4"/>
      <c r="D988" s="2"/>
      <c r="E988" s="13"/>
      <c r="F988" s="13"/>
      <c r="G988" s="2"/>
      <c r="H988" s="2"/>
      <c r="I988" s="2"/>
      <c r="J988" s="2"/>
      <c r="K988" s="13"/>
      <c r="L988" s="14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1"/>
      <c r="B989" s="2"/>
      <c r="C989" s="4"/>
      <c r="D989" s="2"/>
      <c r="E989" s="13"/>
      <c r="F989" s="13"/>
      <c r="G989" s="2"/>
      <c r="H989" s="2"/>
      <c r="I989" s="2"/>
      <c r="J989" s="2"/>
      <c r="K989" s="13"/>
      <c r="L989" s="14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"/>
      <c r="B990" s="2"/>
      <c r="C990" s="4"/>
      <c r="D990" s="2"/>
      <c r="E990" s="13"/>
      <c r="F990" s="13"/>
      <c r="G990" s="2"/>
      <c r="H990" s="2"/>
      <c r="I990" s="2"/>
      <c r="J990" s="2"/>
      <c r="K990" s="13"/>
      <c r="L990" s="14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"/>
      <c r="B991" s="2"/>
      <c r="C991" s="4"/>
      <c r="D991" s="2"/>
      <c r="E991" s="13"/>
      <c r="F991" s="13"/>
      <c r="G991" s="2"/>
      <c r="H991" s="2"/>
      <c r="I991" s="2"/>
      <c r="J991" s="2"/>
      <c r="K991" s="13"/>
      <c r="L991" s="14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"/>
      <c r="B992" s="2"/>
      <c r="C992" s="4"/>
      <c r="D992" s="2"/>
      <c r="E992" s="13"/>
      <c r="F992" s="13"/>
      <c r="G992" s="2"/>
      <c r="H992" s="2"/>
      <c r="I992" s="2"/>
      <c r="J992" s="2"/>
      <c r="K992" s="13"/>
      <c r="L992" s="14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"/>
      <c r="B993" s="2"/>
      <c r="C993" s="4"/>
      <c r="D993" s="2"/>
      <c r="E993" s="13"/>
      <c r="F993" s="13"/>
      <c r="G993" s="2"/>
      <c r="H993" s="2"/>
      <c r="I993" s="2"/>
      <c r="J993" s="2"/>
      <c r="K993" s="13"/>
      <c r="L993" s="14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"/>
      <c r="B994" s="2"/>
      <c r="C994" s="4"/>
      <c r="D994" s="2"/>
      <c r="E994" s="13"/>
      <c r="F994" s="13"/>
      <c r="G994" s="2"/>
      <c r="H994" s="2"/>
      <c r="I994" s="2"/>
      <c r="J994" s="2"/>
      <c r="K994" s="13"/>
      <c r="L994" s="14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"/>
      <c r="B995" s="2"/>
      <c r="C995" s="4"/>
      <c r="D995" s="2"/>
      <c r="E995" s="13"/>
      <c r="F995" s="13"/>
      <c r="G995" s="2"/>
      <c r="H995" s="2"/>
      <c r="I995" s="2"/>
      <c r="J995" s="2"/>
      <c r="K995" s="13"/>
      <c r="L995" s="14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"/>
      <c r="B996" s="2"/>
      <c r="C996" s="4"/>
      <c r="D996" s="2"/>
      <c r="E996" s="13"/>
      <c r="F996" s="13"/>
      <c r="G996" s="2"/>
      <c r="H996" s="2"/>
      <c r="I996" s="2"/>
      <c r="J996" s="2"/>
      <c r="K996" s="13"/>
      <c r="L996" s="14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"/>
      <c r="B997" s="2"/>
      <c r="C997" s="4"/>
      <c r="D997" s="2"/>
      <c r="E997" s="13"/>
      <c r="F997" s="13"/>
      <c r="G997" s="2"/>
      <c r="H997" s="2"/>
      <c r="I997" s="2"/>
      <c r="J997" s="2"/>
      <c r="K997" s="13"/>
      <c r="L997" s="14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"/>
      <c r="B998" s="2"/>
      <c r="C998" s="4"/>
      <c r="D998" s="2"/>
      <c r="E998" s="13"/>
      <c r="F998" s="13"/>
      <c r="G998" s="2"/>
      <c r="H998" s="2"/>
      <c r="I998" s="2"/>
      <c r="J998" s="2"/>
      <c r="K998" s="13"/>
      <c r="L998" s="14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"/>
      <c r="B999" s="2"/>
      <c r="C999" s="4"/>
      <c r="D999" s="2"/>
      <c r="E999" s="13"/>
      <c r="F999" s="13"/>
      <c r="G999" s="2"/>
      <c r="H999" s="2"/>
      <c r="I999" s="2"/>
      <c r="J999" s="2"/>
      <c r="K999" s="13"/>
      <c r="L999" s="14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"/>
      <c r="B1000" s="2"/>
      <c r="C1000" s="4"/>
      <c r="D1000" s="2"/>
      <c r="E1000" s="13"/>
      <c r="F1000" s="13"/>
      <c r="G1000" s="2"/>
      <c r="H1000" s="2"/>
      <c r="I1000" s="2"/>
      <c r="J1000" s="2"/>
      <c r="K1000" s="13"/>
      <c r="L1000" s="14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"/>
      <c r="B1001" s="2"/>
      <c r="C1001" s="4"/>
      <c r="D1001" s="2"/>
      <c r="E1001" s="13"/>
      <c r="F1001" s="13"/>
      <c r="G1001" s="2"/>
      <c r="H1001" s="2"/>
      <c r="I1001" s="2"/>
      <c r="J1001" s="2"/>
      <c r="K1001" s="13"/>
      <c r="L1001" s="14"/>
      <c r="M1001" s="1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1"/>
      <c r="B1002" s="2"/>
      <c r="C1002" s="4"/>
      <c r="D1002" s="2"/>
      <c r="E1002" s="13"/>
      <c r="F1002" s="13"/>
      <c r="G1002" s="2"/>
      <c r="H1002" s="2"/>
      <c r="I1002" s="2"/>
      <c r="J1002" s="2"/>
      <c r="K1002" s="13"/>
      <c r="L1002" s="14"/>
      <c r="M1002" s="1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1"/>
      <c r="B1003" s="2"/>
      <c r="C1003" s="4"/>
      <c r="D1003" s="2"/>
      <c r="E1003" s="13"/>
      <c r="F1003" s="13"/>
      <c r="G1003" s="2"/>
      <c r="H1003" s="2"/>
      <c r="I1003" s="2"/>
      <c r="J1003" s="2"/>
      <c r="K1003" s="13"/>
      <c r="L1003" s="14"/>
      <c r="M1003" s="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"/>
      <c r="B1004" s="2"/>
      <c r="C1004" s="4"/>
      <c r="D1004" s="2"/>
      <c r="E1004" s="13"/>
      <c r="F1004" s="13"/>
      <c r="G1004" s="2"/>
      <c r="H1004" s="2"/>
      <c r="I1004" s="2"/>
      <c r="J1004" s="2"/>
      <c r="K1004" s="13"/>
      <c r="L1004" s="14"/>
      <c r="M1004" s="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"/>
      <c r="B1005" s="2"/>
      <c r="C1005" s="4"/>
      <c r="D1005" s="2"/>
      <c r="E1005" s="13"/>
      <c r="F1005" s="13"/>
      <c r="G1005" s="2"/>
      <c r="H1005" s="2"/>
      <c r="I1005" s="2"/>
      <c r="J1005" s="2"/>
      <c r="K1005" s="13"/>
      <c r="L1005" s="14"/>
      <c r="M1005" s="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"/>
      <c r="B1006" s="2"/>
      <c r="C1006" s="4"/>
      <c r="D1006" s="2"/>
      <c r="E1006" s="13"/>
      <c r="F1006" s="13"/>
      <c r="G1006" s="2"/>
      <c r="H1006" s="2"/>
      <c r="I1006" s="2"/>
      <c r="J1006" s="2"/>
      <c r="K1006" s="13"/>
      <c r="L1006" s="14"/>
      <c r="M1006" s="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"/>
      <c r="B1007" s="2"/>
      <c r="C1007" s="4"/>
      <c r="D1007" s="2"/>
      <c r="E1007" s="13"/>
      <c r="F1007" s="13"/>
      <c r="G1007" s="2"/>
      <c r="H1007" s="2"/>
      <c r="I1007" s="2"/>
      <c r="J1007" s="2"/>
      <c r="K1007" s="13"/>
      <c r="L1007" s="14"/>
      <c r="M1007" s="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"/>
      <c r="B1008" s="2"/>
      <c r="C1008" s="4"/>
      <c r="D1008" s="2"/>
      <c r="E1008" s="13"/>
      <c r="F1008" s="13"/>
      <c r="G1008" s="2"/>
      <c r="H1008" s="2"/>
      <c r="I1008" s="2"/>
      <c r="J1008" s="2"/>
      <c r="K1008" s="13"/>
      <c r="L1008" s="14"/>
      <c r="M1008" s="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1"/>
      <c r="B1009" s="2"/>
      <c r="C1009" s="4"/>
      <c r="D1009" s="2"/>
      <c r="E1009" s="13"/>
      <c r="F1009" s="13"/>
      <c r="G1009" s="2"/>
      <c r="H1009" s="2"/>
      <c r="I1009" s="2"/>
      <c r="J1009" s="2"/>
      <c r="K1009" s="13"/>
      <c r="L1009" s="14"/>
      <c r="M1009" s="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1"/>
      <c r="B1010" s="2"/>
      <c r="C1010" s="4"/>
      <c r="D1010" s="2"/>
      <c r="E1010" s="13"/>
      <c r="F1010" s="13"/>
      <c r="G1010" s="2"/>
      <c r="H1010" s="2"/>
      <c r="I1010" s="2"/>
      <c r="J1010" s="2"/>
      <c r="K1010" s="13"/>
      <c r="L1010" s="14"/>
      <c r="M1010" s="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"/>
      <c r="B1011" s="2"/>
      <c r="C1011" s="4"/>
      <c r="D1011" s="2"/>
      <c r="E1011" s="13"/>
      <c r="F1011" s="13"/>
      <c r="G1011" s="2"/>
      <c r="H1011" s="2"/>
      <c r="I1011" s="2"/>
      <c r="J1011" s="2"/>
      <c r="K1011" s="13"/>
      <c r="L1011" s="14"/>
      <c r="M1011" s="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"/>
      <c r="B1012" s="2"/>
      <c r="C1012" s="4"/>
      <c r="D1012" s="2"/>
      <c r="E1012" s="13"/>
      <c r="F1012" s="13"/>
      <c r="G1012" s="2"/>
      <c r="H1012" s="2"/>
      <c r="I1012" s="2"/>
      <c r="J1012" s="2"/>
      <c r="K1012" s="13"/>
      <c r="L1012" s="14"/>
      <c r="M1012" s="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"/>
      <c r="B1013" s="2"/>
      <c r="C1013" s="4"/>
      <c r="D1013" s="2"/>
      <c r="E1013" s="13"/>
      <c r="F1013" s="13"/>
      <c r="G1013" s="2"/>
      <c r="H1013" s="2"/>
      <c r="I1013" s="2"/>
      <c r="J1013" s="2"/>
      <c r="K1013" s="13"/>
      <c r="L1013" s="14"/>
      <c r="M1013" s="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"/>
      <c r="B1014" s="2"/>
      <c r="C1014" s="4"/>
      <c r="D1014" s="2"/>
      <c r="E1014" s="13"/>
      <c r="F1014" s="13"/>
      <c r="G1014" s="2"/>
      <c r="H1014" s="2"/>
      <c r="I1014" s="2"/>
      <c r="J1014" s="2"/>
      <c r="K1014" s="13"/>
      <c r="L1014" s="14"/>
      <c r="M1014" s="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"/>
      <c r="B1015" s="2"/>
      <c r="C1015" s="4"/>
      <c r="D1015" s="2"/>
      <c r="E1015" s="13"/>
      <c r="F1015" s="13"/>
      <c r="G1015" s="2"/>
      <c r="H1015" s="2"/>
      <c r="I1015" s="2"/>
      <c r="J1015" s="2"/>
      <c r="K1015" s="13"/>
      <c r="L1015" s="14"/>
      <c r="M1015" s="1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"/>
      <c r="B1016" s="2"/>
      <c r="C1016" s="4"/>
      <c r="D1016" s="2"/>
      <c r="E1016" s="13"/>
      <c r="F1016" s="13"/>
      <c r="G1016" s="2"/>
      <c r="H1016" s="2"/>
      <c r="I1016" s="2"/>
      <c r="J1016" s="2"/>
      <c r="K1016" s="13"/>
      <c r="L1016" s="14"/>
      <c r="M1016" s="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"/>
      <c r="B1017" s="2"/>
      <c r="C1017" s="4"/>
      <c r="D1017" s="2"/>
      <c r="E1017" s="13"/>
      <c r="F1017" s="13"/>
      <c r="G1017" s="2"/>
      <c r="H1017" s="2"/>
      <c r="I1017" s="2"/>
      <c r="J1017" s="2"/>
      <c r="K1017" s="13"/>
      <c r="L1017" s="14"/>
      <c r="M1017" s="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"/>
      <c r="B1018" s="2"/>
      <c r="C1018" s="4"/>
      <c r="D1018" s="2"/>
      <c r="E1018" s="13"/>
      <c r="F1018" s="13"/>
      <c r="G1018" s="2"/>
      <c r="H1018" s="2"/>
      <c r="I1018" s="2"/>
      <c r="J1018" s="2"/>
      <c r="K1018" s="13"/>
      <c r="L1018" s="14"/>
      <c r="M1018" s="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1"/>
      <c r="B1019" s="2"/>
      <c r="C1019" s="4"/>
      <c r="D1019" s="2"/>
      <c r="E1019" s="13"/>
      <c r="F1019" s="13"/>
      <c r="G1019" s="2"/>
      <c r="H1019" s="2"/>
      <c r="I1019" s="2"/>
      <c r="J1019" s="2"/>
      <c r="K1019" s="13"/>
      <c r="L1019" s="14"/>
      <c r="M1019" s="1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1"/>
      <c r="B1020" s="2"/>
      <c r="C1020" s="4"/>
      <c r="D1020" s="2"/>
      <c r="E1020" s="13"/>
      <c r="F1020" s="13"/>
      <c r="G1020" s="2"/>
      <c r="H1020" s="2"/>
      <c r="I1020" s="2"/>
      <c r="J1020" s="2"/>
      <c r="K1020" s="13"/>
      <c r="L1020" s="14"/>
      <c r="M1020" s="1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"/>
      <c r="B1021" s="2"/>
      <c r="C1021" s="4"/>
      <c r="D1021" s="2"/>
      <c r="E1021" s="13"/>
      <c r="F1021" s="13"/>
      <c r="G1021" s="2"/>
      <c r="H1021" s="2"/>
      <c r="I1021" s="2"/>
      <c r="J1021" s="2"/>
      <c r="K1021" s="13"/>
      <c r="L1021" s="14"/>
      <c r="M1021" s="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"/>
      <c r="B1022" s="2"/>
      <c r="C1022" s="4"/>
      <c r="D1022" s="2"/>
      <c r="E1022" s="13"/>
      <c r="F1022" s="13"/>
      <c r="G1022" s="2"/>
      <c r="H1022" s="2"/>
      <c r="I1022" s="2"/>
      <c r="J1022" s="2"/>
      <c r="K1022" s="13"/>
      <c r="L1022" s="14"/>
      <c r="M1022" s="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"/>
      <c r="B1023" s="2"/>
      <c r="C1023" s="4"/>
      <c r="D1023" s="2"/>
      <c r="E1023" s="13"/>
      <c r="F1023" s="13"/>
      <c r="G1023" s="2"/>
      <c r="H1023" s="2"/>
      <c r="I1023" s="2"/>
      <c r="J1023" s="2"/>
      <c r="K1023" s="13"/>
      <c r="L1023" s="14"/>
      <c r="M1023" s="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"/>
      <c r="B1024" s="2"/>
      <c r="C1024" s="4"/>
      <c r="D1024" s="2"/>
      <c r="E1024" s="13"/>
      <c r="F1024" s="13"/>
      <c r="G1024" s="2"/>
      <c r="H1024" s="2"/>
      <c r="I1024" s="2"/>
      <c r="J1024" s="2"/>
      <c r="K1024" s="13"/>
      <c r="L1024" s="14"/>
      <c r="M1024" s="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"/>
      <c r="B1025" s="2"/>
      <c r="C1025" s="4"/>
      <c r="D1025" s="2"/>
      <c r="E1025" s="13"/>
      <c r="F1025" s="13"/>
      <c r="G1025" s="2"/>
      <c r="H1025" s="2"/>
      <c r="I1025" s="2"/>
      <c r="J1025" s="2"/>
      <c r="K1025" s="13"/>
      <c r="L1025" s="14"/>
      <c r="M1025" s="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"/>
      <c r="B1026" s="2"/>
      <c r="C1026" s="4"/>
      <c r="D1026" s="2"/>
      <c r="E1026" s="13"/>
      <c r="F1026" s="13"/>
      <c r="G1026" s="2"/>
      <c r="H1026" s="2"/>
      <c r="I1026" s="2"/>
      <c r="J1026" s="2"/>
      <c r="K1026" s="13"/>
      <c r="L1026" s="14"/>
      <c r="M1026" s="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1"/>
      <c r="B1027" s="2"/>
      <c r="C1027" s="4"/>
      <c r="D1027" s="2"/>
      <c r="E1027" s="13"/>
      <c r="F1027" s="13"/>
      <c r="G1027" s="2"/>
      <c r="H1027" s="2"/>
      <c r="I1027" s="2"/>
      <c r="J1027" s="2"/>
      <c r="K1027" s="13"/>
      <c r="L1027" s="14"/>
      <c r="M1027" s="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1"/>
      <c r="B1028" s="2"/>
      <c r="C1028" s="4"/>
      <c r="D1028" s="2"/>
      <c r="E1028" s="13"/>
      <c r="F1028" s="13"/>
      <c r="G1028" s="2"/>
      <c r="H1028" s="2"/>
      <c r="I1028" s="2"/>
      <c r="J1028" s="2"/>
      <c r="K1028" s="13"/>
      <c r="L1028" s="14"/>
      <c r="M1028" s="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"/>
      <c r="B1029" s="2"/>
      <c r="C1029" s="4"/>
      <c r="D1029" s="2"/>
      <c r="E1029" s="13"/>
      <c r="F1029" s="13"/>
      <c r="G1029" s="2"/>
      <c r="H1029" s="2"/>
      <c r="I1029" s="2"/>
      <c r="J1029" s="2"/>
      <c r="K1029" s="13"/>
      <c r="L1029" s="14"/>
      <c r="M1029" s="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"/>
      <c r="B1030" s="2"/>
      <c r="C1030" s="4"/>
      <c r="D1030" s="2"/>
      <c r="E1030" s="13"/>
      <c r="F1030" s="13"/>
      <c r="G1030" s="2"/>
      <c r="H1030" s="2"/>
      <c r="I1030" s="2"/>
      <c r="J1030" s="2"/>
      <c r="K1030" s="13"/>
      <c r="L1030" s="14"/>
      <c r="M1030" s="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"/>
      <c r="B1031" s="2"/>
      <c r="C1031" s="4"/>
      <c r="D1031" s="2"/>
      <c r="E1031" s="13"/>
      <c r="F1031" s="13"/>
      <c r="G1031" s="2"/>
      <c r="H1031" s="2"/>
      <c r="I1031" s="2"/>
      <c r="J1031" s="2"/>
      <c r="K1031" s="13"/>
      <c r="L1031" s="14"/>
      <c r="M1031" s="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"/>
      <c r="B1032" s="2"/>
      <c r="C1032" s="4"/>
      <c r="D1032" s="2"/>
      <c r="E1032" s="13"/>
      <c r="F1032" s="13"/>
      <c r="G1032" s="2"/>
      <c r="H1032" s="2"/>
      <c r="I1032" s="2"/>
      <c r="J1032" s="2"/>
      <c r="K1032" s="13"/>
      <c r="L1032" s="14"/>
      <c r="M1032" s="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"/>
      <c r="B1033" s="2"/>
      <c r="C1033" s="4"/>
      <c r="D1033" s="2"/>
      <c r="E1033" s="13"/>
      <c r="F1033" s="13"/>
      <c r="G1033" s="2"/>
      <c r="H1033" s="2"/>
      <c r="I1033" s="2"/>
      <c r="J1033" s="2"/>
      <c r="K1033" s="13"/>
      <c r="L1033" s="14"/>
      <c r="M1033" s="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"/>
      <c r="B1034" s="2"/>
      <c r="C1034" s="4"/>
      <c r="D1034" s="2"/>
      <c r="E1034" s="13"/>
      <c r="F1034" s="13"/>
      <c r="G1034" s="2"/>
      <c r="H1034" s="2"/>
      <c r="I1034" s="2"/>
      <c r="J1034" s="2"/>
      <c r="K1034" s="13"/>
      <c r="L1034" s="14"/>
      <c r="M1034" s="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"/>
      <c r="B1035" s="2"/>
      <c r="C1035" s="4"/>
      <c r="D1035" s="2"/>
      <c r="E1035" s="13"/>
      <c r="F1035" s="13"/>
      <c r="G1035" s="2"/>
      <c r="H1035" s="2"/>
      <c r="I1035" s="2"/>
      <c r="J1035" s="2"/>
      <c r="K1035" s="13"/>
      <c r="L1035" s="14"/>
      <c r="M1035" s="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"/>
      <c r="B1036" s="2"/>
      <c r="C1036" s="4"/>
      <c r="D1036" s="2"/>
      <c r="E1036" s="13"/>
      <c r="F1036" s="13"/>
      <c r="G1036" s="2"/>
      <c r="H1036" s="2"/>
      <c r="I1036" s="2"/>
      <c r="J1036" s="2"/>
      <c r="K1036" s="13"/>
      <c r="L1036" s="14"/>
      <c r="M1036" s="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"/>
      <c r="B1037" s="2"/>
      <c r="C1037" s="4"/>
      <c r="D1037" s="2"/>
      <c r="E1037" s="13"/>
      <c r="F1037" s="13"/>
      <c r="G1037" s="2"/>
      <c r="H1037" s="2"/>
      <c r="I1037" s="2"/>
      <c r="J1037" s="2"/>
      <c r="K1037" s="13"/>
      <c r="L1037" s="14"/>
      <c r="M1037" s="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"/>
      <c r="B1038" s="2"/>
      <c r="C1038" s="4"/>
      <c r="D1038" s="2"/>
      <c r="E1038" s="13"/>
      <c r="F1038" s="13"/>
      <c r="G1038" s="2"/>
      <c r="H1038" s="2"/>
      <c r="I1038" s="2"/>
      <c r="J1038" s="2"/>
      <c r="K1038" s="13"/>
      <c r="L1038" s="14"/>
      <c r="M1038" s="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"/>
      <c r="B1039" s="2"/>
      <c r="C1039" s="4"/>
      <c r="D1039" s="2"/>
      <c r="E1039" s="13"/>
      <c r="F1039" s="13"/>
      <c r="G1039" s="2"/>
      <c r="H1039" s="2"/>
      <c r="I1039" s="2"/>
      <c r="J1039" s="2"/>
      <c r="K1039" s="13"/>
      <c r="L1039" s="14"/>
      <c r="M1039" s="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"/>
      <c r="B1040" s="2"/>
      <c r="C1040" s="4"/>
      <c r="D1040" s="2"/>
      <c r="E1040" s="13"/>
      <c r="F1040" s="13"/>
      <c r="G1040" s="2"/>
      <c r="H1040" s="2"/>
      <c r="I1040" s="2"/>
      <c r="J1040" s="2"/>
      <c r="K1040" s="13"/>
      <c r="L1040" s="14"/>
      <c r="M1040" s="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"/>
      <c r="B1041" s="2"/>
      <c r="C1041" s="4"/>
      <c r="D1041" s="2"/>
      <c r="E1041" s="13"/>
      <c r="F1041" s="13"/>
      <c r="G1041" s="2"/>
      <c r="H1041" s="2"/>
      <c r="I1041" s="2"/>
      <c r="J1041" s="2"/>
      <c r="K1041" s="13"/>
      <c r="L1041" s="14"/>
      <c r="M1041" s="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"/>
      <c r="B1042" s="2"/>
      <c r="C1042" s="4"/>
      <c r="D1042" s="2"/>
      <c r="E1042" s="13"/>
      <c r="F1042" s="13"/>
      <c r="G1042" s="2"/>
      <c r="H1042" s="2"/>
      <c r="I1042" s="2"/>
      <c r="J1042" s="2"/>
      <c r="K1042" s="13"/>
      <c r="L1042" s="14"/>
      <c r="M1042" s="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"/>
      <c r="B1043" s="2"/>
      <c r="C1043" s="4"/>
      <c r="D1043" s="2"/>
      <c r="E1043" s="13"/>
      <c r="F1043" s="13"/>
      <c r="G1043" s="2"/>
      <c r="H1043" s="2"/>
      <c r="I1043" s="2"/>
      <c r="J1043" s="2"/>
      <c r="K1043" s="13"/>
      <c r="L1043" s="14"/>
      <c r="M1043" s="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"/>
      <c r="B1044" s="2"/>
      <c r="C1044" s="4"/>
      <c r="D1044" s="2"/>
      <c r="E1044" s="13"/>
      <c r="F1044" s="13"/>
      <c r="G1044" s="2"/>
      <c r="H1044" s="2"/>
      <c r="I1044" s="2"/>
      <c r="J1044" s="2"/>
      <c r="K1044" s="13"/>
      <c r="L1044" s="14"/>
      <c r="M1044" s="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"/>
      <c r="B1045" s="2"/>
      <c r="C1045" s="4"/>
      <c r="D1045" s="2"/>
      <c r="E1045" s="13"/>
      <c r="F1045" s="13"/>
      <c r="G1045" s="2"/>
      <c r="H1045" s="2"/>
      <c r="I1045" s="2"/>
      <c r="J1045" s="2"/>
      <c r="K1045" s="13"/>
      <c r="L1045" s="14"/>
      <c r="M1045" s="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"/>
      <c r="B1046" s="2"/>
      <c r="C1046" s="4"/>
      <c r="D1046" s="2"/>
      <c r="E1046" s="13"/>
      <c r="F1046" s="13"/>
      <c r="G1046" s="2"/>
      <c r="H1046" s="2"/>
      <c r="I1046" s="2"/>
      <c r="J1046" s="2"/>
      <c r="K1046" s="13"/>
      <c r="L1046" s="14"/>
      <c r="M1046" s="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"/>
      <c r="B1047" s="2"/>
      <c r="C1047" s="4"/>
      <c r="D1047" s="2"/>
      <c r="E1047" s="13"/>
      <c r="F1047" s="13"/>
      <c r="G1047" s="2"/>
      <c r="H1047" s="2"/>
      <c r="I1047" s="2"/>
      <c r="J1047" s="2"/>
      <c r="K1047" s="13"/>
      <c r="L1047" s="14"/>
      <c r="M1047" s="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"/>
      <c r="B1048" s="2"/>
      <c r="C1048" s="4"/>
      <c r="D1048" s="2"/>
      <c r="E1048" s="13"/>
      <c r="F1048" s="13"/>
      <c r="G1048" s="2"/>
      <c r="H1048" s="2"/>
      <c r="I1048" s="2"/>
      <c r="J1048" s="2"/>
      <c r="K1048" s="13"/>
      <c r="L1048" s="14"/>
      <c r="M1048" s="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"/>
      <c r="B1049" s="2"/>
      <c r="C1049" s="4"/>
      <c r="D1049" s="2"/>
      <c r="E1049" s="13"/>
      <c r="F1049" s="13"/>
      <c r="G1049" s="2"/>
      <c r="H1049" s="2"/>
      <c r="I1049" s="2"/>
      <c r="J1049" s="2"/>
      <c r="K1049" s="13"/>
      <c r="L1049" s="14"/>
      <c r="M1049" s="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"/>
      <c r="B1050" s="2"/>
      <c r="C1050" s="4"/>
      <c r="D1050" s="2"/>
      <c r="E1050" s="13"/>
      <c r="F1050" s="13"/>
      <c r="G1050" s="2"/>
      <c r="H1050" s="2"/>
      <c r="I1050" s="2"/>
      <c r="J1050" s="2"/>
      <c r="K1050" s="13"/>
      <c r="L1050" s="14"/>
      <c r="M1050" s="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"/>
      <c r="B1051" s="2"/>
      <c r="C1051" s="4"/>
      <c r="D1051" s="2"/>
      <c r="E1051" s="13"/>
      <c r="F1051" s="13"/>
      <c r="G1051" s="2"/>
      <c r="H1051" s="2"/>
      <c r="I1051" s="2"/>
      <c r="J1051" s="2"/>
      <c r="K1051" s="13"/>
      <c r="L1051" s="14"/>
      <c r="M1051" s="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"/>
      <c r="B1052" s="2"/>
      <c r="C1052" s="4"/>
      <c r="D1052" s="2"/>
      <c r="E1052" s="13"/>
      <c r="F1052" s="13"/>
      <c r="G1052" s="2"/>
      <c r="H1052" s="2"/>
      <c r="I1052" s="2"/>
      <c r="J1052" s="2"/>
      <c r="K1052" s="13"/>
      <c r="L1052" s="14"/>
      <c r="M1052" s="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"/>
      <c r="B1053" s="2"/>
      <c r="C1053" s="4"/>
      <c r="D1053" s="2"/>
      <c r="E1053" s="13"/>
      <c r="F1053" s="13"/>
      <c r="G1053" s="2"/>
      <c r="H1053" s="2"/>
      <c r="I1053" s="2"/>
      <c r="J1053" s="2"/>
      <c r="K1053" s="13"/>
      <c r="L1053" s="14"/>
      <c r="M1053" s="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"/>
      <c r="B1054" s="2"/>
      <c r="C1054" s="4"/>
      <c r="D1054" s="2"/>
      <c r="E1054" s="13"/>
      <c r="F1054" s="13"/>
      <c r="G1054" s="2"/>
      <c r="H1054" s="2"/>
      <c r="I1054" s="2"/>
      <c r="J1054" s="2"/>
      <c r="K1054" s="13"/>
      <c r="L1054" s="14"/>
      <c r="M1054" s="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"/>
      <c r="B1055" s="2"/>
      <c r="C1055" s="4"/>
      <c r="D1055" s="2"/>
      <c r="E1055" s="13"/>
      <c r="F1055" s="13"/>
      <c r="G1055" s="2"/>
      <c r="H1055" s="2"/>
      <c r="I1055" s="2"/>
      <c r="J1055" s="2"/>
      <c r="K1055" s="13"/>
      <c r="L1055" s="14"/>
      <c r="M1055" s="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"/>
      <c r="B1056" s="2"/>
      <c r="C1056" s="4"/>
      <c r="D1056" s="2"/>
      <c r="E1056" s="13"/>
      <c r="F1056" s="13"/>
      <c r="G1056" s="2"/>
      <c r="H1056" s="2"/>
      <c r="I1056" s="2"/>
      <c r="J1056" s="2"/>
      <c r="K1056" s="13"/>
      <c r="L1056" s="14"/>
      <c r="M1056" s="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"/>
      <c r="B1057" s="2"/>
      <c r="C1057" s="4"/>
      <c r="D1057" s="2"/>
      <c r="E1057" s="13"/>
      <c r="F1057" s="13"/>
      <c r="G1057" s="2"/>
      <c r="H1057" s="2"/>
      <c r="I1057" s="2"/>
      <c r="J1057" s="2"/>
      <c r="K1057" s="13"/>
      <c r="L1057" s="14"/>
      <c r="M1057" s="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"/>
      <c r="B1058" s="2"/>
      <c r="C1058" s="4"/>
      <c r="D1058" s="2"/>
      <c r="E1058" s="13"/>
      <c r="F1058" s="13"/>
      <c r="G1058" s="2"/>
      <c r="H1058" s="2"/>
      <c r="I1058" s="2"/>
      <c r="J1058" s="2"/>
      <c r="K1058" s="13"/>
      <c r="L1058" s="14"/>
      <c r="M1058" s="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"/>
      <c r="B1059" s="2"/>
      <c r="C1059" s="4"/>
      <c r="D1059" s="2"/>
      <c r="E1059" s="13"/>
      <c r="F1059" s="13"/>
      <c r="G1059" s="2"/>
      <c r="H1059" s="2"/>
      <c r="I1059" s="2"/>
      <c r="J1059" s="2"/>
      <c r="K1059" s="13"/>
      <c r="L1059" s="14"/>
      <c r="M1059" s="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"/>
      <c r="B1060" s="2"/>
      <c r="C1060" s="4"/>
      <c r="D1060" s="2"/>
      <c r="E1060" s="13"/>
      <c r="F1060" s="13"/>
      <c r="G1060" s="2"/>
      <c r="H1060" s="2"/>
      <c r="I1060" s="2"/>
      <c r="J1060" s="2"/>
      <c r="K1060" s="13"/>
      <c r="L1060" s="14"/>
      <c r="M1060" s="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"/>
      <c r="B1061" s="2"/>
      <c r="C1061" s="4"/>
      <c r="D1061" s="2"/>
      <c r="E1061" s="13"/>
      <c r="F1061" s="13"/>
      <c r="G1061" s="2"/>
      <c r="H1061" s="2"/>
      <c r="I1061" s="2"/>
      <c r="J1061" s="2"/>
      <c r="K1061" s="13"/>
      <c r="L1061" s="14"/>
      <c r="M1061" s="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1"/>
      <c r="B1062" s="2"/>
      <c r="C1062" s="4"/>
      <c r="D1062" s="2"/>
      <c r="E1062" s="13"/>
      <c r="F1062" s="13"/>
      <c r="G1062" s="2"/>
      <c r="H1062" s="2"/>
      <c r="I1062" s="2"/>
      <c r="J1062" s="2"/>
      <c r="K1062" s="13"/>
      <c r="L1062" s="14"/>
      <c r="M1062" s="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">
      <c r="A1063" s="1"/>
      <c r="B1063" s="2"/>
      <c r="C1063" s="4"/>
      <c r="D1063" s="2"/>
      <c r="E1063" s="13"/>
      <c r="F1063" s="13"/>
      <c r="G1063" s="2"/>
      <c r="H1063" s="2"/>
      <c r="I1063" s="2"/>
      <c r="J1063" s="2"/>
      <c r="K1063" s="13"/>
      <c r="L1063" s="14"/>
      <c r="M1063" s="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"/>
      <c r="B1064" s="2"/>
      <c r="C1064" s="4"/>
      <c r="D1064" s="2"/>
      <c r="E1064" s="13"/>
      <c r="F1064" s="13"/>
      <c r="G1064" s="2"/>
      <c r="H1064" s="2"/>
      <c r="I1064" s="2"/>
      <c r="J1064" s="2"/>
      <c r="K1064" s="13"/>
      <c r="L1064" s="14"/>
      <c r="M1064" s="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"/>
      <c r="B1065" s="2"/>
      <c r="C1065" s="4"/>
      <c r="D1065" s="2"/>
      <c r="E1065" s="13"/>
      <c r="F1065" s="13"/>
      <c r="G1065" s="2"/>
      <c r="H1065" s="2"/>
      <c r="I1065" s="2"/>
      <c r="J1065" s="2"/>
      <c r="K1065" s="13"/>
      <c r="L1065" s="14"/>
      <c r="M1065" s="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"/>
      <c r="B1066" s="2"/>
      <c r="C1066" s="4"/>
      <c r="D1066" s="2"/>
      <c r="E1066" s="13"/>
      <c r="F1066" s="13"/>
      <c r="G1066" s="2"/>
      <c r="H1066" s="2"/>
      <c r="I1066" s="2"/>
      <c r="J1066" s="2"/>
      <c r="K1066" s="13"/>
      <c r="L1066" s="14"/>
      <c r="M1066" s="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"/>
      <c r="B1067" s="2"/>
      <c r="C1067" s="4"/>
      <c r="D1067" s="2"/>
      <c r="E1067" s="13"/>
      <c r="F1067" s="13"/>
      <c r="G1067" s="2"/>
      <c r="H1067" s="2"/>
      <c r="I1067" s="2"/>
      <c r="J1067" s="2"/>
      <c r="K1067" s="13"/>
      <c r="L1067" s="14"/>
      <c r="M1067" s="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"/>
      <c r="B1068" s="2"/>
      <c r="C1068" s="4"/>
      <c r="D1068" s="2"/>
      <c r="E1068" s="13"/>
      <c r="F1068" s="13"/>
      <c r="G1068" s="2"/>
      <c r="H1068" s="2"/>
      <c r="I1068" s="2"/>
      <c r="J1068" s="2"/>
      <c r="K1068" s="13"/>
      <c r="L1068" s="14"/>
      <c r="M1068" s="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"/>
      <c r="B1069" s="2"/>
      <c r="C1069" s="4"/>
      <c r="D1069" s="2"/>
      <c r="E1069" s="13"/>
      <c r="F1069" s="13"/>
      <c r="G1069" s="2"/>
      <c r="H1069" s="2"/>
      <c r="I1069" s="2"/>
      <c r="J1069" s="2"/>
      <c r="K1069" s="13"/>
      <c r="L1069" s="14"/>
      <c r="M1069" s="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"/>
      <c r="B1070" s="2"/>
      <c r="C1070" s="4"/>
      <c r="D1070" s="2"/>
      <c r="E1070" s="13"/>
      <c r="F1070" s="13"/>
      <c r="G1070" s="2"/>
      <c r="H1070" s="2"/>
      <c r="I1070" s="2"/>
      <c r="J1070" s="2"/>
      <c r="K1070" s="13"/>
      <c r="L1070" s="14"/>
      <c r="M1070" s="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"/>
      <c r="B1071" s="2"/>
      <c r="C1071" s="4"/>
      <c r="D1071" s="2"/>
      <c r="E1071" s="13"/>
      <c r="F1071" s="13"/>
      <c r="G1071" s="2"/>
      <c r="H1071" s="2"/>
      <c r="I1071" s="2"/>
      <c r="J1071" s="2"/>
      <c r="K1071" s="13"/>
      <c r="L1071" s="14"/>
      <c r="M1071" s="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"/>
      <c r="B1072" s="2"/>
      <c r="C1072" s="4"/>
      <c r="D1072" s="2"/>
      <c r="E1072" s="13"/>
      <c r="F1072" s="13"/>
      <c r="G1072" s="2"/>
      <c r="H1072" s="2"/>
      <c r="I1072" s="2"/>
      <c r="J1072" s="2"/>
      <c r="K1072" s="13"/>
      <c r="L1072" s="14"/>
      <c r="M1072" s="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"/>
      <c r="B1073" s="2"/>
      <c r="C1073" s="4"/>
      <c r="D1073" s="2"/>
      <c r="E1073" s="13"/>
      <c r="F1073" s="13"/>
      <c r="G1073" s="2"/>
      <c r="H1073" s="2"/>
      <c r="I1073" s="2"/>
      <c r="J1073" s="2"/>
      <c r="K1073" s="13"/>
      <c r="L1073" s="14"/>
      <c r="M1073" s="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"/>
      <c r="B1074" s="2"/>
      <c r="C1074" s="4"/>
      <c r="D1074" s="2"/>
      <c r="E1074" s="13"/>
      <c r="F1074" s="13"/>
      <c r="G1074" s="2"/>
      <c r="H1074" s="2"/>
      <c r="I1074" s="2"/>
      <c r="J1074" s="2"/>
      <c r="K1074" s="13"/>
      <c r="L1074" s="14"/>
      <c r="M1074" s="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"/>
      <c r="B1075" s="2"/>
      <c r="C1075" s="4"/>
      <c r="D1075" s="2"/>
      <c r="E1075" s="13"/>
      <c r="F1075" s="13"/>
      <c r="G1075" s="2"/>
      <c r="H1075" s="2"/>
      <c r="I1075" s="2"/>
      <c r="J1075" s="2"/>
      <c r="K1075" s="13"/>
      <c r="L1075" s="14"/>
      <c r="M1075" s="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"/>
      <c r="B1076" s="2"/>
      <c r="C1076" s="4"/>
      <c r="D1076" s="2"/>
      <c r="E1076" s="13"/>
      <c r="F1076" s="13"/>
      <c r="G1076" s="2"/>
      <c r="H1076" s="2"/>
      <c r="I1076" s="2"/>
      <c r="J1076" s="2"/>
      <c r="K1076" s="13"/>
      <c r="L1076" s="14"/>
      <c r="M1076" s="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"/>
      <c r="B1077" s="2"/>
      <c r="C1077" s="4"/>
      <c r="D1077" s="2"/>
      <c r="E1077" s="13"/>
      <c r="F1077" s="13"/>
      <c r="G1077" s="2"/>
      <c r="H1077" s="2"/>
      <c r="I1077" s="2"/>
      <c r="J1077" s="2"/>
      <c r="K1077" s="13"/>
      <c r="L1077" s="14"/>
      <c r="M1077" s="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"/>
      <c r="B1078" s="2"/>
      <c r="C1078" s="4"/>
      <c r="D1078" s="2"/>
      <c r="E1078" s="13"/>
      <c r="F1078" s="13"/>
      <c r="G1078" s="2"/>
      <c r="H1078" s="2"/>
      <c r="I1078" s="2"/>
      <c r="J1078" s="2"/>
      <c r="K1078" s="13"/>
      <c r="L1078" s="14"/>
      <c r="M1078" s="1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"/>
      <c r="B1079" s="2"/>
      <c r="C1079" s="4"/>
      <c r="D1079" s="2"/>
      <c r="E1079" s="13"/>
      <c r="F1079" s="13"/>
      <c r="G1079" s="2"/>
      <c r="H1079" s="2"/>
      <c r="I1079" s="2"/>
      <c r="J1079" s="2"/>
      <c r="K1079" s="13"/>
      <c r="L1079" s="14"/>
      <c r="M1079" s="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"/>
      <c r="B1080" s="2"/>
      <c r="C1080" s="4"/>
      <c r="D1080" s="2"/>
      <c r="E1080" s="13"/>
      <c r="F1080" s="13"/>
      <c r="G1080" s="2"/>
      <c r="H1080" s="2"/>
      <c r="I1080" s="2"/>
      <c r="J1080" s="2"/>
      <c r="K1080" s="13"/>
      <c r="L1080" s="14"/>
      <c r="M1080" s="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"/>
      <c r="B1081" s="2"/>
      <c r="C1081" s="4"/>
      <c r="D1081" s="2"/>
      <c r="E1081" s="13"/>
      <c r="F1081" s="13"/>
      <c r="G1081" s="2"/>
      <c r="H1081" s="2"/>
      <c r="I1081" s="2"/>
      <c r="J1081" s="2"/>
      <c r="K1081" s="13"/>
      <c r="L1081" s="14"/>
      <c r="M1081" s="1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1"/>
      <c r="B1082" s="2"/>
      <c r="C1082" s="4"/>
      <c r="D1082" s="2"/>
      <c r="E1082" s="13"/>
      <c r="F1082" s="13"/>
      <c r="G1082" s="2"/>
      <c r="H1082" s="2"/>
      <c r="I1082" s="2"/>
      <c r="J1082" s="2"/>
      <c r="K1082" s="13"/>
      <c r="L1082" s="14"/>
      <c r="M1082" s="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1"/>
      <c r="B1083" s="2"/>
      <c r="C1083" s="4"/>
      <c r="D1083" s="2"/>
      <c r="E1083" s="13"/>
      <c r="F1083" s="13"/>
      <c r="G1083" s="2"/>
      <c r="H1083" s="2"/>
      <c r="I1083" s="2"/>
      <c r="J1083" s="2"/>
      <c r="K1083" s="13"/>
      <c r="L1083" s="14"/>
      <c r="M1083" s="1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"/>
      <c r="B1084" s="2"/>
      <c r="C1084" s="4"/>
      <c r="D1084" s="2"/>
      <c r="E1084" s="13"/>
      <c r="F1084" s="13"/>
      <c r="G1084" s="2"/>
      <c r="H1084" s="2"/>
      <c r="I1084" s="2"/>
      <c r="J1084" s="2"/>
      <c r="K1084" s="13"/>
      <c r="L1084" s="14"/>
      <c r="M1084" s="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"/>
      <c r="B1085" s="2"/>
      <c r="C1085" s="4"/>
      <c r="D1085" s="2"/>
      <c r="E1085" s="13"/>
      <c r="F1085" s="13"/>
      <c r="G1085" s="2"/>
      <c r="H1085" s="2"/>
      <c r="I1085" s="2"/>
      <c r="J1085" s="2"/>
      <c r="K1085" s="13"/>
      <c r="L1085" s="14"/>
      <c r="M1085" s="1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"/>
      <c r="B1086" s="2"/>
      <c r="C1086" s="4"/>
      <c r="D1086" s="2"/>
      <c r="E1086" s="13"/>
      <c r="F1086" s="13"/>
      <c r="G1086" s="2"/>
      <c r="H1086" s="2"/>
      <c r="I1086" s="2"/>
      <c r="J1086" s="2"/>
      <c r="K1086" s="13"/>
      <c r="L1086" s="14"/>
      <c r="M1086" s="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"/>
      <c r="B1087" s="2"/>
      <c r="C1087" s="4"/>
      <c r="D1087" s="2"/>
      <c r="E1087" s="13"/>
      <c r="F1087" s="13"/>
      <c r="G1087" s="2"/>
      <c r="H1087" s="2"/>
      <c r="I1087" s="2"/>
      <c r="J1087" s="2"/>
      <c r="K1087" s="13"/>
      <c r="L1087" s="14"/>
      <c r="M1087" s="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"/>
      <c r="B1088" s="2"/>
      <c r="C1088" s="4"/>
      <c r="D1088" s="2"/>
      <c r="E1088" s="13"/>
      <c r="F1088" s="13"/>
      <c r="G1088" s="2"/>
      <c r="H1088" s="2"/>
      <c r="I1088" s="2"/>
      <c r="J1088" s="2"/>
      <c r="K1088" s="13"/>
      <c r="L1088" s="14"/>
      <c r="M1088" s="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"/>
      <c r="B1089" s="2"/>
      <c r="C1089" s="4"/>
      <c r="D1089" s="2"/>
      <c r="E1089" s="13"/>
      <c r="F1089" s="13"/>
      <c r="G1089" s="2"/>
      <c r="H1089" s="2"/>
      <c r="I1089" s="2"/>
      <c r="J1089" s="2"/>
      <c r="K1089" s="13"/>
      <c r="L1089" s="14"/>
      <c r="M1089" s="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"/>
      <c r="B1090" s="2"/>
      <c r="C1090" s="4"/>
      <c r="D1090" s="2"/>
      <c r="E1090" s="13"/>
      <c r="F1090" s="13"/>
      <c r="G1090" s="2"/>
      <c r="H1090" s="2"/>
      <c r="I1090" s="2"/>
      <c r="J1090" s="2"/>
      <c r="K1090" s="13"/>
      <c r="L1090" s="14"/>
      <c r="M1090" s="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"/>
      <c r="B1091" s="2"/>
      <c r="C1091" s="4"/>
      <c r="D1091" s="2"/>
      <c r="E1091" s="13"/>
      <c r="F1091" s="13"/>
      <c r="G1091" s="2"/>
      <c r="H1091" s="2"/>
      <c r="I1091" s="2"/>
      <c r="J1091" s="2"/>
      <c r="K1091" s="13"/>
      <c r="L1091" s="14"/>
      <c r="M1091" s="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"/>
      <c r="B1092" s="2"/>
      <c r="C1092" s="4"/>
      <c r="D1092" s="2"/>
      <c r="E1092" s="13"/>
      <c r="F1092" s="13"/>
      <c r="G1092" s="2"/>
      <c r="H1092" s="2"/>
      <c r="I1092" s="2"/>
      <c r="J1092" s="2"/>
      <c r="K1092" s="13"/>
      <c r="L1092" s="14"/>
      <c r="M1092" s="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"/>
      <c r="B1093" s="2"/>
      <c r="C1093" s="4"/>
      <c r="D1093" s="2"/>
      <c r="E1093" s="13"/>
      <c r="F1093" s="13"/>
      <c r="G1093" s="2"/>
      <c r="H1093" s="2"/>
      <c r="I1093" s="2"/>
      <c r="J1093" s="2"/>
      <c r="K1093" s="13"/>
      <c r="L1093" s="14"/>
      <c r="M1093" s="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"/>
      <c r="B1094" s="2"/>
      <c r="C1094" s="4"/>
      <c r="D1094" s="2"/>
      <c r="E1094" s="13"/>
      <c r="F1094" s="13"/>
      <c r="G1094" s="2"/>
      <c r="H1094" s="2"/>
      <c r="I1094" s="2"/>
      <c r="J1094" s="2"/>
      <c r="K1094" s="13"/>
      <c r="L1094" s="14"/>
      <c r="M1094" s="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"/>
      <c r="B1095" s="2"/>
      <c r="C1095" s="4"/>
      <c r="D1095" s="2"/>
      <c r="E1095" s="13"/>
      <c r="F1095" s="13"/>
      <c r="G1095" s="2"/>
      <c r="H1095" s="2"/>
      <c r="I1095" s="2"/>
      <c r="J1095" s="2"/>
      <c r="K1095" s="13"/>
      <c r="L1095" s="14"/>
      <c r="M1095" s="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"/>
      <c r="B1096" s="2"/>
      <c r="C1096" s="4"/>
      <c r="D1096" s="2"/>
      <c r="E1096" s="13"/>
      <c r="F1096" s="13"/>
      <c r="G1096" s="2"/>
      <c r="H1096" s="2"/>
      <c r="I1096" s="2"/>
      <c r="J1096" s="2"/>
      <c r="K1096" s="13"/>
      <c r="L1096" s="14"/>
      <c r="M1096" s="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"/>
      <c r="B1097" s="2"/>
      <c r="C1097" s="4"/>
      <c r="D1097" s="2"/>
      <c r="E1097" s="13"/>
      <c r="F1097" s="13"/>
      <c r="G1097" s="2"/>
      <c r="H1097" s="2"/>
      <c r="I1097" s="2"/>
      <c r="J1097" s="2"/>
      <c r="K1097" s="13"/>
      <c r="L1097" s="14"/>
      <c r="M1097" s="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1"/>
      <c r="B1098" s="2"/>
      <c r="C1098" s="4"/>
      <c r="D1098" s="2"/>
      <c r="E1098" s="13"/>
      <c r="F1098" s="13"/>
      <c r="G1098" s="2"/>
      <c r="H1098" s="2"/>
      <c r="I1098" s="2"/>
      <c r="J1098" s="2"/>
      <c r="K1098" s="13"/>
      <c r="L1098" s="14"/>
      <c r="M1098" s="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1"/>
      <c r="B1099" s="2"/>
      <c r="C1099" s="4"/>
      <c r="D1099" s="2"/>
      <c r="E1099" s="13"/>
      <c r="F1099" s="13"/>
      <c r="G1099" s="2"/>
      <c r="H1099" s="2"/>
      <c r="I1099" s="2"/>
      <c r="J1099" s="2"/>
      <c r="K1099" s="13"/>
      <c r="L1099" s="14"/>
      <c r="M1099" s="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"/>
      <c r="B1100" s="2"/>
      <c r="C1100" s="4"/>
      <c r="D1100" s="2"/>
      <c r="E1100" s="13"/>
      <c r="F1100" s="13"/>
      <c r="G1100" s="2"/>
      <c r="H1100" s="2"/>
      <c r="I1100" s="2"/>
      <c r="J1100" s="2"/>
      <c r="K1100" s="13"/>
      <c r="L1100" s="14"/>
      <c r="M1100" s="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"/>
      <c r="B1101" s="2"/>
      <c r="C1101" s="4"/>
      <c r="D1101" s="2"/>
      <c r="E1101" s="13"/>
      <c r="F1101" s="13"/>
      <c r="G1101" s="2"/>
      <c r="H1101" s="2"/>
      <c r="I1101" s="2"/>
      <c r="J1101" s="2"/>
      <c r="K1101" s="13"/>
      <c r="L1101" s="14"/>
      <c r="M1101" s="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"/>
      <c r="B1102" s="2"/>
      <c r="C1102" s="4"/>
      <c r="D1102" s="2"/>
      <c r="E1102" s="13"/>
      <c r="F1102" s="13"/>
      <c r="G1102" s="2"/>
      <c r="H1102" s="2"/>
      <c r="I1102" s="2"/>
      <c r="J1102" s="2"/>
      <c r="K1102" s="13"/>
      <c r="L1102" s="14"/>
      <c r="M1102" s="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"/>
      <c r="B1103" s="2"/>
      <c r="C1103" s="4"/>
      <c r="D1103" s="2"/>
      <c r="E1103" s="13"/>
      <c r="F1103" s="13"/>
      <c r="G1103" s="2"/>
      <c r="H1103" s="2"/>
      <c r="I1103" s="2"/>
      <c r="J1103" s="2"/>
      <c r="K1103" s="13"/>
      <c r="L1103" s="14"/>
      <c r="M1103" s="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"/>
      <c r="B1104" s="2"/>
      <c r="C1104" s="4"/>
      <c r="D1104" s="2"/>
      <c r="E1104" s="13"/>
      <c r="F1104" s="13"/>
      <c r="G1104" s="2"/>
      <c r="H1104" s="2"/>
      <c r="I1104" s="2"/>
      <c r="J1104" s="2"/>
      <c r="K1104" s="13"/>
      <c r="L1104" s="14"/>
      <c r="M1104" s="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"/>
      <c r="B1105" s="2"/>
      <c r="C1105" s="4"/>
      <c r="D1105" s="2"/>
      <c r="E1105" s="13"/>
      <c r="F1105" s="13"/>
      <c r="G1105" s="2"/>
      <c r="H1105" s="2"/>
      <c r="I1105" s="2"/>
      <c r="J1105" s="2"/>
      <c r="K1105" s="13"/>
      <c r="L1105" s="14"/>
      <c r="M1105" s="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"/>
      <c r="B1106" s="2"/>
      <c r="C1106" s="4"/>
      <c r="D1106" s="2"/>
      <c r="E1106" s="13"/>
      <c r="F1106" s="13"/>
      <c r="G1106" s="2"/>
      <c r="H1106" s="2"/>
      <c r="I1106" s="2"/>
      <c r="J1106" s="2"/>
      <c r="K1106" s="13"/>
      <c r="L1106" s="14"/>
      <c r="M1106" s="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1"/>
      <c r="B1107" s="2"/>
      <c r="C1107" s="4"/>
      <c r="D1107" s="2"/>
      <c r="E1107" s="13"/>
      <c r="F1107" s="13"/>
      <c r="G1107" s="2"/>
      <c r="H1107" s="2"/>
      <c r="I1107" s="2"/>
      <c r="J1107" s="2"/>
      <c r="K1107" s="13"/>
      <c r="L1107" s="14"/>
      <c r="M1107" s="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1"/>
      <c r="B1108" s="2"/>
      <c r="C1108" s="4"/>
      <c r="D1108" s="2"/>
      <c r="E1108" s="13"/>
      <c r="F1108" s="13"/>
      <c r="G1108" s="2"/>
      <c r="H1108" s="2"/>
      <c r="I1108" s="2"/>
      <c r="J1108" s="2"/>
      <c r="K1108" s="13"/>
      <c r="L1108" s="14"/>
      <c r="M1108" s="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"/>
      <c r="B1109" s="2"/>
      <c r="C1109" s="4"/>
      <c r="D1109" s="2"/>
      <c r="E1109" s="13"/>
      <c r="F1109" s="13"/>
      <c r="G1109" s="2"/>
      <c r="H1109" s="2"/>
      <c r="I1109" s="2"/>
      <c r="J1109" s="2"/>
      <c r="K1109" s="13"/>
      <c r="L1109" s="14"/>
      <c r="M1109" s="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"/>
      <c r="B1110" s="2"/>
      <c r="C1110" s="4"/>
      <c r="D1110" s="2"/>
      <c r="E1110" s="13"/>
      <c r="F1110" s="13"/>
      <c r="G1110" s="2"/>
      <c r="H1110" s="2"/>
      <c r="I1110" s="2"/>
      <c r="J1110" s="2"/>
      <c r="K1110" s="13"/>
      <c r="L1110" s="14"/>
      <c r="M1110" s="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"/>
      <c r="B1111" s="2"/>
      <c r="C1111" s="4"/>
      <c r="D1111" s="2"/>
      <c r="E1111" s="13"/>
      <c r="F1111" s="13"/>
      <c r="G1111" s="2"/>
      <c r="H1111" s="2"/>
      <c r="I1111" s="2"/>
      <c r="J1111" s="2"/>
      <c r="K1111" s="13"/>
      <c r="L1111" s="14"/>
      <c r="M1111" s="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"/>
      <c r="B1112" s="2"/>
      <c r="C1112" s="4"/>
      <c r="D1112" s="2"/>
      <c r="E1112" s="13"/>
      <c r="F1112" s="13"/>
      <c r="G1112" s="2"/>
      <c r="H1112" s="2"/>
      <c r="I1112" s="2"/>
      <c r="J1112" s="2"/>
      <c r="K1112" s="13"/>
      <c r="L1112" s="14"/>
      <c r="M1112" s="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"/>
      <c r="B1113" s="2"/>
      <c r="C1113" s="4"/>
      <c r="D1113" s="2"/>
      <c r="E1113" s="13"/>
      <c r="F1113" s="13"/>
      <c r="G1113" s="2"/>
      <c r="H1113" s="2"/>
      <c r="I1113" s="2"/>
      <c r="J1113" s="2"/>
      <c r="K1113" s="13"/>
      <c r="L1113" s="14"/>
      <c r="M1113" s="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"/>
      <c r="B1114" s="2"/>
      <c r="C1114" s="4"/>
      <c r="D1114" s="2"/>
      <c r="E1114" s="13"/>
      <c r="F1114" s="13"/>
      <c r="G1114" s="2"/>
      <c r="H1114" s="2"/>
      <c r="I1114" s="2"/>
      <c r="J1114" s="2"/>
      <c r="K1114" s="13"/>
      <c r="L1114" s="14"/>
      <c r="M1114" s="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"/>
      <c r="B1115" s="2"/>
      <c r="C1115" s="4"/>
      <c r="D1115" s="2"/>
      <c r="E1115" s="13"/>
      <c r="F1115" s="13"/>
      <c r="G1115" s="2"/>
      <c r="H1115" s="2"/>
      <c r="I1115" s="2"/>
      <c r="J1115" s="2"/>
      <c r="K1115" s="13"/>
      <c r="L1115" s="14"/>
      <c r="M1115" s="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"/>
      <c r="B1116" s="2"/>
      <c r="C1116" s="4"/>
      <c r="D1116" s="2"/>
      <c r="E1116" s="13"/>
      <c r="F1116" s="13"/>
      <c r="G1116" s="2"/>
      <c r="H1116" s="2"/>
      <c r="I1116" s="2"/>
      <c r="J1116" s="2"/>
      <c r="K1116" s="13"/>
      <c r="L1116" s="14"/>
      <c r="M1116" s="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"/>
      <c r="B1117" s="2"/>
      <c r="C1117" s="4"/>
      <c r="D1117" s="2"/>
      <c r="E1117" s="13"/>
      <c r="F1117" s="13"/>
      <c r="G1117" s="2"/>
      <c r="H1117" s="2"/>
      <c r="I1117" s="2"/>
      <c r="J1117" s="2"/>
      <c r="K1117" s="13"/>
      <c r="L1117" s="14"/>
      <c r="M1117" s="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"/>
      <c r="B1118" s="2"/>
      <c r="C1118" s="4"/>
      <c r="D1118" s="2"/>
      <c r="E1118" s="13"/>
      <c r="F1118" s="13"/>
      <c r="G1118" s="2"/>
      <c r="H1118" s="2"/>
      <c r="I1118" s="2"/>
      <c r="J1118" s="2"/>
      <c r="K1118" s="13"/>
      <c r="L1118" s="14"/>
      <c r="M1118" s="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"/>
      <c r="B1119" s="2"/>
      <c r="C1119" s="4"/>
      <c r="D1119" s="2"/>
      <c r="E1119" s="13"/>
      <c r="F1119" s="13"/>
      <c r="G1119" s="2"/>
      <c r="H1119" s="2"/>
      <c r="I1119" s="2"/>
      <c r="J1119" s="2"/>
      <c r="K1119" s="13"/>
      <c r="L1119" s="14"/>
      <c r="M1119" s="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"/>
      <c r="B1120" s="2"/>
      <c r="C1120" s="4"/>
      <c r="D1120" s="2"/>
      <c r="E1120" s="13"/>
      <c r="F1120" s="13"/>
      <c r="G1120" s="2"/>
      <c r="H1120" s="2"/>
      <c r="I1120" s="2"/>
      <c r="J1120" s="2"/>
      <c r="K1120" s="13"/>
      <c r="L1120" s="14"/>
      <c r="M1120" s="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"/>
      <c r="B1121" s="2"/>
      <c r="C1121" s="4"/>
      <c r="D1121" s="2"/>
      <c r="E1121" s="13"/>
      <c r="F1121" s="13"/>
      <c r="G1121" s="2"/>
      <c r="H1121" s="2"/>
      <c r="I1121" s="2"/>
      <c r="J1121" s="2"/>
      <c r="K1121" s="13"/>
      <c r="L1121" s="14"/>
      <c r="M1121" s="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1"/>
      <c r="B1122" s="2"/>
      <c r="C1122" s="4"/>
      <c r="D1122" s="2"/>
      <c r="E1122" s="13"/>
      <c r="F1122" s="13"/>
      <c r="G1122" s="2"/>
      <c r="H1122" s="2"/>
      <c r="I1122" s="2"/>
      <c r="J1122" s="2"/>
      <c r="K1122" s="13"/>
      <c r="L1122" s="14"/>
      <c r="M1122" s="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1"/>
      <c r="B1123" s="2"/>
      <c r="C1123" s="4"/>
      <c r="D1123" s="2"/>
      <c r="E1123" s="13"/>
      <c r="F1123" s="13"/>
      <c r="G1123" s="2"/>
      <c r="H1123" s="2"/>
      <c r="I1123" s="2"/>
      <c r="J1123" s="2"/>
      <c r="K1123" s="13"/>
      <c r="L1123" s="14"/>
      <c r="M1123" s="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"/>
      <c r="B1124" s="2"/>
      <c r="C1124" s="4"/>
      <c r="D1124" s="2"/>
      <c r="E1124" s="13"/>
      <c r="F1124" s="13"/>
      <c r="G1124" s="2"/>
      <c r="H1124" s="2"/>
      <c r="I1124" s="2"/>
      <c r="J1124" s="2"/>
      <c r="K1124" s="13"/>
      <c r="L1124" s="14"/>
      <c r="M1124" s="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"/>
      <c r="B1125" s="2"/>
      <c r="C1125" s="4"/>
      <c r="D1125" s="2"/>
      <c r="E1125" s="13"/>
      <c r="F1125" s="13"/>
      <c r="G1125" s="2"/>
      <c r="H1125" s="2"/>
      <c r="I1125" s="2"/>
      <c r="J1125" s="2"/>
      <c r="K1125" s="13"/>
      <c r="L1125" s="14"/>
      <c r="M1125" s="1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"/>
      <c r="B1126" s="2"/>
      <c r="C1126" s="4"/>
      <c r="D1126" s="2"/>
      <c r="E1126" s="13"/>
      <c r="F1126" s="13"/>
      <c r="G1126" s="2"/>
      <c r="H1126" s="2"/>
      <c r="I1126" s="2"/>
      <c r="J1126" s="2"/>
      <c r="K1126" s="13"/>
      <c r="L1126" s="14"/>
      <c r="M1126" s="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1"/>
      <c r="B1127" s="2"/>
      <c r="C1127" s="4"/>
      <c r="D1127" s="2"/>
      <c r="E1127" s="13"/>
      <c r="F1127" s="13"/>
      <c r="G1127" s="2"/>
      <c r="H1127" s="2"/>
      <c r="I1127" s="2"/>
      <c r="J1127" s="2"/>
      <c r="K1127" s="13"/>
      <c r="L1127" s="14"/>
      <c r="M1127" s="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1"/>
      <c r="B1128" s="2"/>
      <c r="C1128" s="4"/>
      <c r="D1128" s="2"/>
      <c r="E1128" s="13"/>
      <c r="F1128" s="13"/>
      <c r="G1128" s="2"/>
      <c r="H1128" s="2"/>
      <c r="I1128" s="2"/>
      <c r="J1128" s="2"/>
      <c r="K1128" s="13"/>
      <c r="L1128" s="14"/>
      <c r="M1128" s="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"/>
      <c r="B1129" s="2"/>
      <c r="C1129" s="4"/>
      <c r="D1129" s="2"/>
      <c r="E1129" s="13"/>
      <c r="F1129" s="13"/>
      <c r="G1129" s="2"/>
      <c r="H1129" s="2"/>
      <c r="I1129" s="2"/>
      <c r="J1129" s="2"/>
      <c r="K1129" s="13"/>
      <c r="L1129" s="14"/>
      <c r="M1129" s="1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1"/>
      <c r="B1130" s="2"/>
      <c r="C1130" s="4"/>
      <c r="D1130" s="2"/>
      <c r="E1130" s="13"/>
      <c r="F1130" s="13"/>
      <c r="G1130" s="2"/>
      <c r="H1130" s="2"/>
      <c r="I1130" s="2"/>
      <c r="J1130" s="2"/>
      <c r="K1130" s="13"/>
      <c r="L1130" s="14"/>
      <c r="M1130" s="1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1"/>
      <c r="B1131" s="2"/>
      <c r="C1131" s="4"/>
      <c r="D1131" s="2"/>
      <c r="E1131" s="13"/>
      <c r="F1131" s="13"/>
      <c r="G1131" s="2"/>
      <c r="H1131" s="2"/>
      <c r="I1131" s="2"/>
      <c r="J1131" s="2"/>
      <c r="K1131" s="13"/>
      <c r="L1131" s="14"/>
      <c r="M1131" s="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"/>
      <c r="B1132" s="2"/>
      <c r="C1132" s="4"/>
      <c r="D1132" s="2"/>
      <c r="E1132" s="13"/>
      <c r="F1132" s="13"/>
      <c r="G1132" s="2"/>
      <c r="H1132" s="2"/>
      <c r="I1132" s="2"/>
      <c r="J1132" s="2"/>
      <c r="K1132" s="13"/>
      <c r="L1132" s="14"/>
      <c r="M1132" s="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"/>
      <c r="B1133" s="2"/>
      <c r="C1133" s="4"/>
      <c r="D1133" s="2"/>
      <c r="E1133" s="13"/>
      <c r="F1133" s="13"/>
      <c r="G1133" s="2"/>
      <c r="H1133" s="2"/>
      <c r="I1133" s="2"/>
      <c r="J1133" s="2"/>
      <c r="K1133" s="13"/>
      <c r="L1133" s="14"/>
      <c r="M1133" s="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"/>
      <c r="B1134" s="2"/>
      <c r="C1134" s="4"/>
      <c r="D1134" s="2"/>
      <c r="E1134" s="13"/>
      <c r="F1134" s="13"/>
      <c r="G1134" s="2"/>
      <c r="H1134" s="2"/>
      <c r="I1134" s="2"/>
      <c r="J1134" s="2"/>
      <c r="K1134" s="13"/>
      <c r="L1134" s="14"/>
      <c r="M1134" s="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"/>
      <c r="B1135" s="2"/>
      <c r="C1135" s="4"/>
      <c r="D1135" s="2"/>
      <c r="E1135" s="13"/>
      <c r="F1135" s="13"/>
      <c r="G1135" s="2"/>
      <c r="H1135" s="2"/>
      <c r="I1135" s="2"/>
      <c r="J1135" s="2"/>
      <c r="K1135" s="13"/>
      <c r="L1135" s="14"/>
      <c r="M1135" s="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"/>
      <c r="B1136" s="2"/>
      <c r="C1136" s="4"/>
      <c r="D1136" s="2"/>
      <c r="E1136" s="13"/>
      <c r="F1136" s="13"/>
      <c r="G1136" s="2"/>
      <c r="H1136" s="2"/>
      <c r="I1136" s="2"/>
      <c r="J1136" s="2"/>
      <c r="K1136" s="13"/>
      <c r="L1136" s="14"/>
      <c r="M1136" s="1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"/>
      <c r="B1137" s="2"/>
      <c r="C1137" s="4"/>
      <c r="D1137" s="2"/>
      <c r="E1137" s="13"/>
      <c r="F1137" s="13"/>
      <c r="G1137" s="2"/>
      <c r="H1137" s="2"/>
      <c r="I1137" s="2"/>
      <c r="J1137" s="2"/>
      <c r="K1137" s="13"/>
      <c r="L1137" s="14"/>
      <c r="M1137" s="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1"/>
      <c r="B1138" s="2"/>
      <c r="C1138" s="4"/>
      <c r="D1138" s="2"/>
      <c r="E1138" s="13"/>
      <c r="F1138" s="13"/>
      <c r="G1138" s="2"/>
      <c r="H1138" s="2"/>
      <c r="I1138" s="2"/>
      <c r="J1138" s="2"/>
      <c r="K1138" s="13"/>
      <c r="L1138" s="14"/>
      <c r="M1138" s="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1"/>
      <c r="B1139" s="2"/>
      <c r="C1139" s="4"/>
      <c r="D1139" s="2"/>
      <c r="E1139" s="13"/>
      <c r="F1139" s="13"/>
      <c r="G1139" s="2"/>
      <c r="H1139" s="2"/>
      <c r="I1139" s="2"/>
      <c r="J1139" s="2"/>
      <c r="K1139" s="13"/>
      <c r="L1139" s="14"/>
      <c r="M1139" s="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"/>
      <c r="B1140" s="2"/>
      <c r="C1140" s="4"/>
      <c r="D1140" s="2"/>
      <c r="E1140" s="13"/>
      <c r="F1140" s="13"/>
      <c r="G1140" s="2"/>
      <c r="H1140" s="2"/>
      <c r="I1140" s="2"/>
      <c r="J1140" s="2"/>
      <c r="K1140" s="13"/>
      <c r="L1140" s="14"/>
      <c r="M1140" s="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"/>
      <c r="B1141" s="2"/>
      <c r="C1141" s="4"/>
      <c r="D1141" s="2"/>
      <c r="E1141" s="13"/>
      <c r="F1141" s="13"/>
      <c r="G1141" s="2"/>
      <c r="H1141" s="2"/>
      <c r="I1141" s="2"/>
      <c r="J1141" s="2"/>
      <c r="K1141" s="13"/>
      <c r="L1141" s="14"/>
      <c r="M1141" s="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"/>
      <c r="B1142" s="2"/>
      <c r="C1142" s="4"/>
      <c r="D1142" s="2"/>
      <c r="E1142" s="13"/>
      <c r="F1142" s="13"/>
      <c r="G1142" s="2"/>
      <c r="H1142" s="2"/>
      <c r="I1142" s="2"/>
      <c r="J1142" s="2"/>
      <c r="K1142" s="13"/>
      <c r="L1142" s="14"/>
      <c r="M1142" s="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"/>
      <c r="B1143" s="2"/>
      <c r="C1143" s="4"/>
      <c r="D1143" s="2"/>
      <c r="E1143" s="13"/>
      <c r="F1143" s="13"/>
      <c r="G1143" s="2"/>
      <c r="H1143" s="2"/>
      <c r="I1143" s="2"/>
      <c r="J1143" s="2"/>
      <c r="K1143" s="13"/>
      <c r="L1143" s="14"/>
      <c r="M1143" s="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"/>
      <c r="B1144" s="2"/>
      <c r="C1144" s="4"/>
      <c r="D1144" s="2"/>
      <c r="E1144" s="13"/>
      <c r="F1144" s="13"/>
      <c r="G1144" s="2"/>
      <c r="H1144" s="2"/>
      <c r="I1144" s="2"/>
      <c r="J1144" s="2"/>
      <c r="K1144" s="13"/>
      <c r="L1144" s="14"/>
      <c r="M1144" s="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"/>
      <c r="B1145" s="2"/>
      <c r="C1145" s="4"/>
      <c r="D1145" s="2"/>
      <c r="E1145" s="13"/>
      <c r="F1145" s="13"/>
      <c r="G1145" s="2"/>
      <c r="H1145" s="2"/>
      <c r="I1145" s="2"/>
      <c r="J1145" s="2"/>
      <c r="K1145" s="13"/>
      <c r="L1145" s="14"/>
      <c r="M1145" s="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"/>
      <c r="B1146" s="2"/>
      <c r="C1146" s="4"/>
      <c r="D1146" s="2"/>
      <c r="E1146" s="13"/>
      <c r="F1146" s="13"/>
      <c r="G1146" s="2"/>
      <c r="H1146" s="2"/>
      <c r="I1146" s="2"/>
      <c r="J1146" s="2"/>
      <c r="K1146" s="13"/>
      <c r="L1146" s="14"/>
      <c r="M1146" s="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"/>
      <c r="B1147" s="2"/>
      <c r="C1147" s="4"/>
      <c r="D1147" s="2"/>
      <c r="E1147" s="13"/>
      <c r="F1147" s="13"/>
      <c r="G1147" s="2"/>
      <c r="H1147" s="2"/>
      <c r="I1147" s="2"/>
      <c r="J1147" s="2"/>
      <c r="K1147" s="13"/>
      <c r="L1147" s="14"/>
      <c r="M1147" s="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"/>
      <c r="B1148" s="2"/>
      <c r="C1148" s="4"/>
      <c r="D1148" s="2"/>
      <c r="E1148" s="13"/>
      <c r="F1148" s="13"/>
      <c r="G1148" s="2"/>
      <c r="H1148" s="2"/>
      <c r="I1148" s="2"/>
      <c r="J1148" s="2"/>
      <c r="K1148" s="13"/>
      <c r="L1148" s="14"/>
      <c r="M1148" s="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"/>
      <c r="B1149" s="2"/>
      <c r="C1149" s="4"/>
      <c r="D1149" s="2"/>
      <c r="E1149" s="13"/>
      <c r="F1149" s="13"/>
      <c r="G1149" s="2"/>
      <c r="H1149" s="2"/>
      <c r="I1149" s="2"/>
      <c r="J1149" s="2"/>
      <c r="K1149" s="13"/>
      <c r="L1149" s="14"/>
      <c r="M1149" s="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1"/>
      <c r="B1150" s="2"/>
      <c r="C1150" s="4"/>
      <c r="D1150" s="2"/>
      <c r="E1150" s="13"/>
      <c r="F1150" s="13"/>
      <c r="G1150" s="2"/>
      <c r="H1150" s="2"/>
      <c r="I1150" s="2"/>
      <c r="J1150" s="2"/>
      <c r="K1150" s="13"/>
      <c r="L1150" s="14"/>
      <c r="M1150" s="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1"/>
      <c r="B1151" s="2"/>
      <c r="C1151" s="4"/>
      <c r="D1151" s="2"/>
      <c r="E1151" s="13"/>
      <c r="F1151" s="13"/>
      <c r="G1151" s="2"/>
      <c r="H1151" s="2"/>
      <c r="I1151" s="2"/>
      <c r="J1151" s="2"/>
      <c r="K1151" s="13"/>
      <c r="L1151" s="14"/>
      <c r="M1151" s="1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"/>
      <c r="B1152" s="2"/>
      <c r="C1152" s="4"/>
      <c r="D1152" s="2"/>
      <c r="E1152" s="13"/>
      <c r="F1152" s="13"/>
      <c r="G1152" s="2"/>
      <c r="H1152" s="2"/>
      <c r="I1152" s="2"/>
      <c r="J1152" s="2"/>
      <c r="K1152" s="13"/>
      <c r="L1152" s="14"/>
      <c r="M1152" s="1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"/>
      <c r="B1153" s="2"/>
      <c r="C1153" s="4"/>
      <c r="D1153" s="2"/>
      <c r="E1153" s="13"/>
      <c r="F1153" s="13"/>
      <c r="G1153" s="2"/>
      <c r="H1153" s="2"/>
      <c r="I1153" s="2"/>
      <c r="J1153" s="2"/>
      <c r="K1153" s="13"/>
      <c r="L1153" s="14"/>
      <c r="M1153" s="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"/>
      <c r="B1154" s="2"/>
      <c r="C1154" s="4"/>
      <c r="D1154" s="2"/>
      <c r="E1154" s="13"/>
      <c r="F1154" s="13"/>
      <c r="G1154" s="2"/>
      <c r="H1154" s="2"/>
      <c r="I1154" s="2"/>
      <c r="J1154" s="2"/>
      <c r="K1154" s="13"/>
      <c r="L1154" s="14"/>
      <c r="M1154" s="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"/>
      <c r="B1155" s="2"/>
      <c r="C1155" s="4"/>
      <c r="D1155" s="2"/>
      <c r="E1155" s="13"/>
      <c r="F1155" s="13"/>
      <c r="G1155" s="2"/>
      <c r="H1155" s="2"/>
      <c r="I1155" s="2"/>
      <c r="J1155" s="2"/>
      <c r="K1155" s="13"/>
      <c r="L1155" s="14"/>
      <c r="M1155" s="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"/>
      <c r="B1156" s="2"/>
      <c r="C1156" s="4"/>
      <c r="D1156" s="2"/>
      <c r="E1156" s="13"/>
      <c r="F1156" s="13"/>
      <c r="G1156" s="2"/>
      <c r="H1156" s="2"/>
      <c r="I1156" s="2"/>
      <c r="J1156" s="2"/>
      <c r="K1156" s="13"/>
      <c r="L1156" s="14"/>
      <c r="M1156" s="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"/>
      <c r="B1157" s="2"/>
      <c r="C1157" s="4"/>
      <c r="D1157" s="2"/>
      <c r="E1157" s="13"/>
      <c r="F1157" s="13"/>
      <c r="G1157" s="2"/>
      <c r="H1157" s="2"/>
      <c r="I1157" s="2"/>
      <c r="J1157" s="2"/>
      <c r="K1157" s="13"/>
      <c r="L1157" s="14"/>
      <c r="M1157" s="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"/>
      <c r="B1158" s="2"/>
      <c r="C1158" s="4"/>
      <c r="D1158" s="2"/>
      <c r="E1158" s="13"/>
      <c r="F1158" s="13"/>
      <c r="G1158" s="2"/>
      <c r="H1158" s="2"/>
      <c r="I1158" s="2"/>
      <c r="J1158" s="2"/>
      <c r="K1158" s="13"/>
      <c r="L1158" s="14"/>
      <c r="M1158" s="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"/>
      <c r="B1159" s="2"/>
      <c r="C1159" s="4"/>
      <c r="D1159" s="2"/>
      <c r="E1159" s="13"/>
      <c r="F1159" s="13"/>
      <c r="G1159" s="2"/>
      <c r="H1159" s="2"/>
      <c r="I1159" s="2"/>
      <c r="J1159" s="2"/>
      <c r="K1159" s="13"/>
      <c r="L1159" s="14"/>
      <c r="M1159" s="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"/>
      <c r="B1160" s="2"/>
      <c r="C1160" s="4"/>
      <c r="D1160" s="2"/>
      <c r="E1160" s="13"/>
      <c r="F1160" s="13"/>
      <c r="G1160" s="2"/>
      <c r="H1160" s="2"/>
      <c r="I1160" s="2"/>
      <c r="J1160" s="2"/>
      <c r="K1160" s="13"/>
      <c r="L1160" s="14"/>
      <c r="M1160" s="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"/>
      <c r="B1161" s="2"/>
      <c r="C1161" s="4"/>
      <c r="D1161" s="2"/>
      <c r="E1161" s="13"/>
      <c r="F1161" s="13"/>
      <c r="G1161" s="2"/>
      <c r="H1161" s="2"/>
      <c r="I1161" s="2"/>
      <c r="J1161" s="2"/>
      <c r="K1161" s="13"/>
      <c r="L1161" s="14"/>
      <c r="M1161" s="1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1"/>
      <c r="B1162" s="2"/>
      <c r="C1162" s="4"/>
      <c r="D1162" s="2"/>
      <c r="E1162" s="13"/>
      <c r="F1162" s="13"/>
      <c r="G1162" s="2"/>
      <c r="H1162" s="2"/>
      <c r="I1162" s="2"/>
      <c r="J1162" s="2"/>
      <c r="K1162" s="13"/>
      <c r="L1162" s="14"/>
      <c r="M1162" s="1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1"/>
      <c r="B1163" s="2"/>
      <c r="C1163" s="4"/>
      <c r="D1163" s="2"/>
      <c r="E1163" s="13"/>
      <c r="F1163" s="13"/>
      <c r="G1163" s="2"/>
      <c r="H1163" s="2"/>
      <c r="I1163" s="2"/>
      <c r="J1163" s="2"/>
      <c r="K1163" s="13"/>
      <c r="L1163" s="14"/>
      <c r="M1163" s="1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"/>
      <c r="B1164" s="2"/>
      <c r="C1164" s="4"/>
      <c r="D1164" s="2"/>
      <c r="E1164" s="13"/>
      <c r="F1164" s="13"/>
      <c r="G1164" s="2"/>
      <c r="H1164" s="2"/>
      <c r="I1164" s="2"/>
      <c r="J1164" s="2"/>
      <c r="K1164" s="13"/>
      <c r="L1164" s="14"/>
      <c r="M1164" s="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"/>
      <c r="B1165" s="2"/>
      <c r="C1165" s="4"/>
      <c r="D1165" s="2"/>
      <c r="E1165" s="13"/>
      <c r="F1165" s="13"/>
      <c r="G1165" s="2"/>
      <c r="H1165" s="2"/>
      <c r="I1165" s="2"/>
      <c r="J1165" s="2"/>
      <c r="K1165" s="13"/>
      <c r="L1165" s="14"/>
      <c r="M1165" s="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"/>
      <c r="B1166" s="2"/>
      <c r="C1166" s="4"/>
      <c r="D1166" s="2"/>
      <c r="E1166" s="13"/>
      <c r="F1166" s="13"/>
      <c r="G1166" s="2"/>
      <c r="H1166" s="2"/>
      <c r="I1166" s="2"/>
      <c r="J1166" s="2"/>
      <c r="K1166" s="13"/>
      <c r="L1166" s="14"/>
      <c r="M1166" s="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"/>
      <c r="B1167" s="2"/>
      <c r="C1167" s="4"/>
      <c r="D1167" s="2"/>
      <c r="E1167" s="13"/>
      <c r="F1167" s="13"/>
      <c r="G1167" s="2"/>
      <c r="H1167" s="2"/>
      <c r="I1167" s="2"/>
      <c r="J1167" s="2"/>
      <c r="K1167" s="13"/>
      <c r="L1167" s="14"/>
      <c r="M1167" s="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"/>
      <c r="B1168" s="2"/>
      <c r="C1168" s="4"/>
      <c r="D1168" s="2"/>
      <c r="E1168" s="13"/>
      <c r="F1168" s="13"/>
      <c r="G1168" s="2"/>
      <c r="H1168" s="2"/>
      <c r="I1168" s="2"/>
      <c r="J1168" s="2"/>
      <c r="K1168" s="13"/>
      <c r="L1168" s="14"/>
      <c r="M1168" s="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1"/>
      <c r="B1169" s="2"/>
      <c r="C1169" s="4"/>
      <c r="D1169" s="2"/>
      <c r="E1169" s="13"/>
      <c r="F1169" s="13"/>
      <c r="G1169" s="2"/>
      <c r="H1169" s="2"/>
      <c r="I1169" s="2"/>
      <c r="J1169" s="2"/>
      <c r="K1169" s="13"/>
      <c r="L1169" s="14"/>
      <c r="M1169" s="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1"/>
      <c r="B1170" s="2"/>
      <c r="C1170" s="4"/>
      <c r="D1170" s="2"/>
      <c r="E1170" s="13"/>
      <c r="F1170" s="13"/>
      <c r="G1170" s="2"/>
      <c r="H1170" s="2"/>
      <c r="I1170" s="2"/>
      <c r="J1170" s="2"/>
      <c r="K1170" s="13"/>
      <c r="L1170" s="14"/>
      <c r="M1170" s="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"/>
      <c r="B1171" s="2"/>
      <c r="C1171" s="4"/>
      <c r="D1171" s="2"/>
      <c r="E1171" s="13"/>
      <c r="F1171" s="13"/>
      <c r="G1171" s="2"/>
      <c r="H1171" s="2"/>
      <c r="I1171" s="2"/>
      <c r="J1171" s="2"/>
      <c r="K1171" s="13"/>
      <c r="L1171" s="14"/>
      <c r="M1171" s="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"/>
      <c r="B1172" s="2"/>
      <c r="C1172" s="4"/>
      <c r="D1172" s="2"/>
      <c r="E1172" s="13"/>
      <c r="F1172" s="13"/>
      <c r="G1172" s="2"/>
      <c r="H1172" s="2"/>
      <c r="I1172" s="2"/>
      <c r="J1172" s="2"/>
      <c r="K1172" s="13"/>
      <c r="L1172" s="14"/>
      <c r="M1172" s="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"/>
      <c r="B1173" s="2"/>
      <c r="C1173" s="4"/>
      <c r="D1173" s="2"/>
      <c r="E1173" s="13"/>
      <c r="F1173" s="13"/>
      <c r="G1173" s="2"/>
      <c r="H1173" s="2"/>
      <c r="I1173" s="2"/>
      <c r="J1173" s="2"/>
      <c r="K1173" s="13"/>
      <c r="L1173" s="14"/>
      <c r="M1173" s="1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"/>
      <c r="B1174" s="2"/>
      <c r="C1174" s="4"/>
      <c r="D1174" s="2"/>
      <c r="E1174" s="13"/>
      <c r="F1174" s="13"/>
      <c r="G1174" s="2"/>
      <c r="H1174" s="2"/>
      <c r="I1174" s="2"/>
      <c r="J1174" s="2"/>
      <c r="K1174" s="13"/>
      <c r="L1174" s="14"/>
      <c r="M1174" s="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"/>
      <c r="B1175" s="2"/>
      <c r="C1175" s="4"/>
      <c r="D1175" s="2"/>
      <c r="E1175" s="13"/>
      <c r="F1175" s="13"/>
      <c r="G1175" s="2"/>
      <c r="H1175" s="2"/>
      <c r="I1175" s="2"/>
      <c r="J1175" s="2"/>
      <c r="K1175" s="13"/>
      <c r="L1175" s="14"/>
      <c r="M1175" s="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"/>
      <c r="B1176" s="2"/>
      <c r="C1176" s="4"/>
      <c r="D1176" s="2"/>
      <c r="E1176" s="13"/>
      <c r="F1176" s="13"/>
      <c r="G1176" s="2"/>
      <c r="H1176" s="2"/>
      <c r="I1176" s="2"/>
      <c r="J1176" s="2"/>
      <c r="K1176" s="13"/>
      <c r="L1176" s="14"/>
      <c r="M1176" s="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">
      <c r="A1177" s="1"/>
      <c r="B1177" s="2"/>
      <c r="C1177" s="4"/>
      <c r="D1177" s="2"/>
      <c r="E1177" s="13"/>
      <c r="F1177" s="13"/>
      <c r="G1177" s="2"/>
      <c r="H1177" s="2"/>
      <c r="I1177" s="2"/>
      <c r="J1177" s="2"/>
      <c r="K1177" s="13"/>
      <c r="L1177" s="14"/>
      <c r="M1177" s="1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"/>
      <c r="B1178" s="2"/>
      <c r="C1178" s="4"/>
      <c r="D1178" s="2"/>
      <c r="E1178" s="13"/>
      <c r="F1178" s="13"/>
      <c r="G1178" s="2"/>
      <c r="H1178" s="2"/>
      <c r="I1178" s="2"/>
      <c r="J1178" s="2"/>
      <c r="K1178" s="13"/>
      <c r="L1178" s="14"/>
      <c r="M1178" s="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"/>
      <c r="B1179" s="2"/>
      <c r="C1179" s="4"/>
      <c r="D1179" s="2"/>
      <c r="E1179" s="13"/>
      <c r="F1179" s="13"/>
      <c r="G1179" s="2"/>
      <c r="H1179" s="2"/>
      <c r="I1179" s="2"/>
      <c r="J1179" s="2"/>
      <c r="K1179" s="13"/>
      <c r="L1179" s="14"/>
      <c r="M1179" s="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"/>
      <c r="B1180" s="2"/>
      <c r="C1180" s="4"/>
      <c r="D1180" s="2"/>
      <c r="E1180" s="13"/>
      <c r="F1180" s="13"/>
      <c r="G1180" s="2"/>
      <c r="H1180" s="2"/>
      <c r="I1180" s="2"/>
      <c r="J1180" s="2"/>
      <c r="K1180" s="13"/>
      <c r="L1180" s="14"/>
      <c r="M1180" s="1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"/>
      <c r="B1181" s="2"/>
      <c r="C1181" s="4"/>
      <c r="D1181" s="2"/>
      <c r="E1181" s="13"/>
      <c r="F1181" s="13"/>
      <c r="G1181" s="2"/>
      <c r="H1181" s="2"/>
      <c r="I1181" s="2"/>
      <c r="J1181" s="2"/>
      <c r="K1181" s="13"/>
      <c r="L1181" s="14"/>
      <c r="M1181" s="1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"/>
      <c r="B1182" s="2"/>
      <c r="C1182" s="4"/>
      <c r="D1182" s="2"/>
      <c r="E1182" s="13"/>
      <c r="F1182" s="13"/>
      <c r="G1182" s="2"/>
      <c r="H1182" s="2"/>
      <c r="I1182" s="2"/>
      <c r="J1182" s="2"/>
      <c r="K1182" s="13"/>
      <c r="L1182" s="14"/>
      <c r="M1182" s="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"/>
      <c r="B1183" s="2"/>
      <c r="C1183" s="4"/>
      <c r="D1183" s="2"/>
      <c r="E1183" s="13"/>
      <c r="F1183" s="13"/>
      <c r="G1183" s="2"/>
      <c r="H1183" s="2"/>
      <c r="I1183" s="2"/>
      <c r="J1183" s="2"/>
      <c r="K1183" s="13"/>
      <c r="L1183" s="14"/>
      <c r="M1183" s="1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"/>
      <c r="B1184" s="2"/>
      <c r="C1184" s="4"/>
      <c r="D1184" s="2"/>
      <c r="E1184" s="13"/>
      <c r="F1184" s="13"/>
      <c r="G1184" s="2"/>
      <c r="H1184" s="2"/>
      <c r="I1184" s="2"/>
      <c r="J1184" s="2"/>
      <c r="K1184" s="13"/>
      <c r="L1184" s="14"/>
      <c r="M1184" s="1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"/>
      <c r="B1185" s="2"/>
      <c r="C1185" s="4"/>
      <c r="D1185" s="2"/>
      <c r="E1185" s="13"/>
      <c r="F1185" s="13"/>
      <c r="G1185" s="2"/>
      <c r="H1185" s="2"/>
      <c r="I1185" s="2"/>
      <c r="J1185" s="2"/>
      <c r="K1185" s="13"/>
      <c r="L1185" s="14"/>
      <c r="M1185" s="1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"/>
      <c r="B1186" s="2"/>
      <c r="C1186" s="4"/>
      <c r="D1186" s="2"/>
      <c r="E1186" s="13"/>
      <c r="F1186" s="13"/>
      <c r="G1186" s="2"/>
      <c r="H1186" s="2"/>
      <c r="I1186" s="2"/>
      <c r="J1186" s="2"/>
      <c r="K1186" s="13"/>
      <c r="L1186" s="14"/>
      <c r="M1186" s="1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"/>
      <c r="B1187" s="2"/>
      <c r="C1187" s="4"/>
      <c r="D1187" s="2"/>
      <c r="E1187" s="13"/>
      <c r="F1187" s="13"/>
      <c r="G1187" s="2"/>
      <c r="H1187" s="2"/>
      <c r="I1187" s="2"/>
      <c r="J1187" s="2"/>
      <c r="K1187" s="13"/>
      <c r="L1187" s="14"/>
      <c r="M1187" s="1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"/>
      <c r="B1188" s="2"/>
      <c r="C1188" s="4"/>
      <c r="D1188" s="2"/>
      <c r="E1188" s="13"/>
      <c r="F1188" s="13"/>
      <c r="G1188" s="2"/>
      <c r="H1188" s="2"/>
      <c r="I1188" s="2"/>
      <c r="J1188" s="2"/>
      <c r="K1188" s="13"/>
      <c r="L1188" s="14"/>
      <c r="M1188" s="1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"/>
      <c r="B1189" s="2"/>
      <c r="C1189" s="4"/>
      <c r="D1189" s="2"/>
      <c r="E1189" s="13"/>
      <c r="F1189" s="13"/>
      <c r="G1189" s="2"/>
      <c r="H1189" s="2"/>
      <c r="I1189" s="2"/>
      <c r="J1189" s="2"/>
      <c r="K1189" s="13"/>
      <c r="L1189" s="14"/>
      <c r="M1189" s="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"/>
      <c r="B1190" s="2"/>
      <c r="C1190" s="4"/>
      <c r="D1190" s="2"/>
      <c r="E1190" s="13"/>
      <c r="F1190" s="13"/>
      <c r="G1190" s="2"/>
      <c r="H1190" s="2"/>
      <c r="I1190" s="2"/>
      <c r="J1190" s="2"/>
      <c r="K1190" s="13"/>
      <c r="L1190" s="14"/>
      <c r="M1190" s="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"/>
      <c r="B1191" s="2"/>
      <c r="C1191" s="4"/>
      <c r="D1191" s="2"/>
      <c r="E1191" s="13"/>
      <c r="F1191" s="13"/>
      <c r="G1191" s="2"/>
      <c r="H1191" s="2"/>
      <c r="I1191" s="2"/>
      <c r="J1191" s="2"/>
      <c r="K1191" s="13"/>
      <c r="L1191" s="14"/>
      <c r="M1191" s="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"/>
      <c r="B1192" s="2"/>
      <c r="C1192" s="4"/>
      <c r="D1192" s="2"/>
      <c r="E1192" s="13"/>
      <c r="F1192" s="13"/>
      <c r="G1192" s="2"/>
      <c r="H1192" s="2"/>
      <c r="I1192" s="2"/>
      <c r="J1192" s="2"/>
      <c r="K1192" s="13"/>
      <c r="L1192" s="14"/>
      <c r="M1192" s="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"/>
      <c r="B1193" s="2"/>
      <c r="C1193" s="4"/>
      <c r="D1193" s="2"/>
      <c r="E1193" s="13"/>
      <c r="F1193" s="13"/>
      <c r="G1193" s="2"/>
      <c r="H1193" s="2"/>
      <c r="I1193" s="2"/>
      <c r="J1193" s="2"/>
      <c r="K1193" s="13"/>
      <c r="L1193" s="14"/>
      <c r="M1193" s="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"/>
      <c r="B1194" s="2"/>
      <c r="C1194" s="4"/>
      <c r="D1194" s="2"/>
      <c r="E1194" s="13"/>
      <c r="F1194" s="13"/>
      <c r="G1194" s="2"/>
      <c r="H1194" s="2"/>
      <c r="I1194" s="2"/>
      <c r="J1194" s="2"/>
      <c r="K1194" s="13"/>
      <c r="L1194" s="14"/>
      <c r="M1194" s="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"/>
      <c r="B1195" s="2"/>
      <c r="C1195" s="4"/>
      <c r="D1195" s="2"/>
      <c r="E1195" s="13"/>
      <c r="F1195" s="13"/>
      <c r="G1195" s="2"/>
      <c r="H1195" s="2"/>
      <c r="I1195" s="2"/>
      <c r="J1195" s="2"/>
      <c r="K1195" s="13"/>
      <c r="L1195" s="14"/>
      <c r="M1195" s="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"/>
      <c r="B1196" s="2"/>
      <c r="C1196" s="4"/>
      <c r="D1196" s="2"/>
      <c r="E1196" s="13"/>
      <c r="F1196" s="13"/>
      <c r="G1196" s="2"/>
      <c r="H1196" s="2"/>
      <c r="I1196" s="2"/>
      <c r="J1196" s="2"/>
      <c r="K1196" s="13"/>
      <c r="L1196" s="14"/>
      <c r="M1196" s="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"/>
      <c r="B1197" s="2"/>
      <c r="C1197" s="4"/>
      <c r="D1197" s="2"/>
      <c r="E1197" s="13"/>
      <c r="F1197" s="13"/>
      <c r="G1197" s="2"/>
      <c r="H1197" s="2"/>
      <c r="I1197" s="2"/>
      <c r="J1197" s="2"/>
      <c r="K1197" s="13"/>
      <c r="L1197" s="14"/>
      <c r="M1197" s="1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"/>
      <c r="B1198" s="2"/>
      <c r="C1198" s="4"/>
      <c r="D1198" s="2"/>
      <c r="E1198" s="13"/>
      <c r="F1198" s="13"/>
      <c r="G1198" s="2"/>
      <c r="H1198" s="2"/>
      <c r="I1198" s="2"/>
      <c r="J1198" s="2"/>
      <c r="K1198" s="13"/>
      <c r="L1198" s="14"/>
      <c r="M1198" s="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"/>
      <c r="B1199" s="2"/>
      <c r="C1199" s="4"/>
      <c r="D1199" s="2"/>
      <c r="E1199" s="13"/>
      <c r="F1199" s="13"/>
      <c r="G1199" s="2"/>
      <c r="H1199" s="2"/>
      <c r="I1199" s="2"/>
      <c r="J1199" s="2"/>
      <c r="K1199" s="13"/>
      <c r="L1199" s="14"/>
      <c r="M1199" s="1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"/>
      <c r="B1200" s="2"/>
      <c r="C1200" s="4"/>
      <c r="D1200" s="2"/>
      <c r="E1200" s="13"/>
      <c r="F1200" s="13"/>
      <c r="G1200" s="2"/>
      <c r="H1200" s="2"/>
      <c r="I1200" s="2"/>
      <c r="J1200" s="2"/>
      <c r="K1200" s="13"/>
      <c r="L1200" s="14"/>
      <c r="M1200" s="1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"/>
      <c r="B1201" s="2"/>
      <c r="C1201" s="4"/>
      <c r="D1201" s="2"/>
      <c r="E1201" s="13"/>
      <c r="F1201" s="13"/>
      <c r="G1201" s="2"/>
      <c r="H1201" s="2"/>
      <c r="I1201" s="2"/>
      <c r="J1201" s="2"/>
      <c r="K1201" s="13"/>
      <c r="L1201" s="14"/>
      <c r="M1201" s="1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"/>
      <c r="B1202" s="2"/>
      <c r="C1202" s="4"/>
      <c r="D1202" s="2"/>
      <c r="E1202" s="13"/>
      <c r="F1202" s="13"/>
      <c r="G1202" s="2"/>
      <c r="H1202" s="2"/>
      <c r="I1202" s="2"/>
      <c r="J1202" s="2"/>
      <c r="K1202" s="13"/>
      <c r="L1202" s="14"/>
      <c r="M1202" s="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"/>
      <c r="B1203" s="2"/>
      <c r="C1203" s="4"/>
      <c r="D1203" s="2"/>
      <c r="E1203" s="13"/>
      <c r="F1203" s="13"/>
      <c r="G1203" s="2"/>
      <c r="H1203" s="2"/>
      <c r="I1203" s="2"/>
      <c r="J1203" s="2"/>
      <c r="K1203" s="13"/>
      <c r="L1203" s="14"/>
      <c r="M1203" s="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"/>
      <c r="B1204" s="2"/>
      <c r="C1204" s="4"/>
      <c r="D1204" s="2"/>
      <c r="E1204" s="13"/>
      <c r="F1204" s="13"/>
      <c r="G1204" s="2"/>
      <c r="H1204" s="2"/>
      <c r="I1204" s="2"/>
      <c r="J1204" s="2"/>
      <c r="K1204" s="13"/>
      <c r="L1204" s="14"/>
      <c r="M1204" s="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"/>
      <c r="B1205" s="2"/>
      <c r="C1205" s="4"/>
      <c r="D1205" s="2"/>
      <c r="E1205" s="13"/>
      <c r="F1205" s="13"/>
      <c r="G1205" s="2"/>
      <c r="H1205" s="2"/>
      <c r="I1205" s="2"/>
      <c r="J1205" s="2"/>
      <c r="K1205" s="13"/>
      <c r="L1205" s="14"/>
      <c r="M1205" s="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"/>
      <c r="B1206" s="2"/>
      <c r="C1206" s="4"/>
      <c r="D1206" s="2"/>
      <c r="E1206" s="13"/>
      <c r="F1206" s="13"/>
      <c r="G1206" s="2"/>
      <c r="H1206" s="2"/>
      <c r="I1206" s="2"/>
      <c r="J1206" s="2"/>
      <c r="K1206" s="13"/>
      <c r="L1206" s="14"/>
      <c r="M1206" s="1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"/>
      <c r="B1207" s="2"/>
      <c r="C1207" s="4"/>
      <c r="D1207" s="2"/>
      <c r="E1207" s="13"/>
      <c r="F1207" s="13"/>
      <c r="G1207" s="2"/>
      <c r="H1207" s="2"/>
      <c r="I1207" s="2"/>
      <c r="J1207" s="2"/>
      <c r="K1207" s="13"/>
      <c r="L1207" s="14"/>
      <c r="M1207" s="1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"/>
      <c r="B1208" s="2"/>
      <c r="C1208" s="4"/>
      <c r="D1208" s="2"/>
      <c r="E1208" s="13"/>
      <c r="F1208" s="13"/>
      <c r="G1208" s="2"/>
      <c r="H1208" s="2"/>
      <c r="I1208" s="2"/>
      <c r="J1208" s="2"/>
      <c r="K1208" s="13"/>
      <c r="L1208" s="14"/>
      <c r="M1208" s="1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"/>
      <c r="B1209" s="2"/>
      <c r="C1209" s="4"/>
      <c r="D1209" s="2"/>
      <c r="E1209" s="13"/>
      <c r="F1209" s="13"/>
      <c r="G1209" s="2"/>
      <c r="H1209" s="2"/>
      <c r="I1209" s="2"/>
      <c r="J1209" s="2"/>
      <c r="K1209" s="13"/>
      <c r="L1209" s="14"/>
      <c r="M1209" s="1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"/>
      <c r="B1210" s="2"/>
      <c r="C1210" s="4"/>
      <c r="D1210" s="2"/>
      <c r="E1210" s="13"/>
      <c r="F1210" s="13"/>
      <c r="G1210" s="2"/>
      <c r="H1210" s="2"/>
      <c r="I1210" s="2"/>
      <c r="J1210" s="2"/>
      <c r="K1210" s="13"/>
      <c r="L1210" s="14"/>
      <c r="M1210" s="1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"/>
      <c r="B1211" s="2"/>
      <c r="C1211" s="4"/>
      <c r="D1211" s="2"/>
      <c r="E1211" s="13"/>
      <c r="F1211" s="13"/>
      <c r="G1211" s="2"/>
      <c r="H1211" s="2"/>
      <c r="I1211" s="2"/>
      <c r="J1211" s="2"/>
      <c r="K1211" s="13"/>
      <c r="L1211" s="14"/>
      <c r="M1211" s="1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"/>
      <c r="B1212" s="2"/>
      <c r="C1212" s="4"/>
      <c r="D1212" s="2"/>
      <c r="E1212" s="13"/>
      <c r="F1212" s="13"/>
      <c r="G1212" s="2"/>
      <c r="H1212" s="2"/>
      <c r="I1212" s="2"/>
      <c r="J1212" s="2"/>
      <c r="K1212" s="13"/>
      <c r="L1212" s="14"/>
      <c r="M1212" s="1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">
      <c r="A1213" s="1"/>
      <c r="B1213" s="2"/>
      <c r="C1213" s="4"/>
      <c r="D1213" s="2"/>
      <c r="E1213" s="13"/>
      <c r="F1213" s="13"/>
      <c r="G1213" s="2"/>
      <c r="H1213" s="2"/>
      <c r="I1213" s="2"/>
      <c r="J1213" s="2"/>
      <c r="K1213" s="13"/>
      <c r="L1213" s="14"/>
      <c r="M1213" s="1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"/>
      <c r="B1214" s="2"/>
      <c r="C1214" s="4"/>
      <c r="D1214" s="2"/>
      <c r="E1214" s="13"/>
      <c r="F1214" s="13"/>
      <c r="G1214" s="2"/>
      <c r="H1214" s="2"/>
      <c r="I1214" s="2"/>
      <c r="J1214" s="2"/>
      <c r="K1214" s="13"/>
      <c r="L1214" s="14"/>
      <c r="M1214" s="1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"/>
      <c r="B1215" s="2"/>
      <c r="C1215" s="4"/>
      <c r="D1215" s="2"/>
      <c r="E1215" s="13"/>
      <c r="F1215" s="13"/>
      <c r="G1215" s="2"/>
      <c r="H1215" s="2"/>
      <c r="I1215" s="2"/>
      <c r="J1215" s="2"/>
      <c r="K1215" s="13"/>
      <c r="L1215" s="14"/>
      <c r="M1215" s="1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"/>
      <c r="B1216" s="2"/>
      <c r="C1216" s="4"/>
      <c r="D1216" s="2"/>
      <c r="E1216" s="13"/>
      <c r="F1216" s="13"/>
      <c r="G1216" s="2"/>
      <c r="H1216" s="2"/>
      <c r="I1216" s="2"/>
      <c r="J1216" s="2"/>
      <c r="K1216" s="13"/>
      <c r="L1216" s="14"/>
      <c r="M1216" s="1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"/>
      <c r="B1217" s="2"/>
      <c r="C1217" s="4"/>
      <c r="D1217" s="2"/>
      <c r="E1217" s="13"/>
      <c r="F1217" s="13"/>
      <c r="G1217" s="2"/>
      <c r="H1217" s="2"/>
      <c r="I1217" s="2"/>
      <c r="J1217" s="2"/>
      <c r="K1217" s="13"/>
      <c r="L1217" s="14"/>
      <c r="M1217" s="1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"/>
      <c r="B1218" s="2"/>
      <c r="C1218" s="4"/>
      <c r="D1218" s="2"/>
      <c r="E1218" s="13"/>
      <c r="F1218" s="13"/>
      <c r="G1218" s="2"/>
      <c r="H1218" s="2"/>
      <c r="I1218" s="2"/>
      <c r="J1218" s="2"/>
      <c r="K1218" s="13"/>
      <c r="L1218" s="14"/>
      <c r="M1218" s="1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"/>
      <c r="B1219" s="2"/>
      <c r="C1219" s="4"/>
      <c r="D1219" s="2"/>
      <c r="E1219" s="13"/>
      <c r="F1219" s="13"/>
      <c r="G1219" s="2"/>
      <c r="H1219" s="2"/>
      <c r="I1219" s="2"/>
      <c r="J1219" s="2"/>
      <c r="K1219" s="13"/>
      <c r="L1219" s="14"/>
      <c r="M1219" s="1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"/>
      <c r="B1220" s="2"/>
      <c r="C1220" s="4"/>
      <c r="D1220" s="2"/>
      <c r="E1220" s="13"/>
      <c r="F1220" s="13"/>
      <c r="G1220" s="2"/>
      <c r="H1220" s="2"/>
      <c r="I1220" s="2"/>
      <c r="J1220" s="2"/>
      <c r="K1220" s="13"/>
      <c r="L1220" s="14"/>
      <c r="M1220" s="1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"/>
      <c r="B1221" s="2"/>
      <c r="C1221" s="4"/>
      <c r="D1221" s="2"/>
      <c r="E1221" s="13"/>
      <c r="F1221" s="13"/>
      <c r="G1221" s="2"/>
      <c r="H1221" s="2"/>
      <c r="I1221" s="2"/>
      <c r="J1221" s="2"/>
      <c r="K1221" s="13"/>
      <c r="L1221" s="14"/>
      <c r="M1221" s="1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"/>
      <c r="B1222" s="2"/>
      <c r="C1222" s="4"/>
      <c r="D1222" s="2"/>
      <c r="E1222" s="13"/>
      <c r="F1222" s="13"/>
      <c r="G1222" s="2"/>
      <c r="H1222" s="2"/>
      <c r="I1222" s="2"/>
      <c r="J1222" s="2"/>
      <c r="K1222" s="13"/>
      <c r="L1222" s="14"/>
      <c r="M1222" s="1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"/>
      <c r="B1223" s="2"/>
      <c r="C1223" s="4"/>
      <c r="D1223" s="2"/>
      <c r="E1223" s="13"/>
      <c r="F1223" s="13"/>
      <c r="G1223" s="2"/>
      <c r="H1223" s="2"/>
      <c r="I1223" s="2"/>
      <c r="J1223" s="2"/>
      <c r="K1223" s="13"/>
      <c r="L1223" s="14"/>
      <c r="M1223" s="1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"/>
      <c r="B1224" s="2"/>
      <c r="C1224" s="4"/>
      <c r="D1224" s="2"/>
      <c r="E1224" s="13"/>
      <c r="F1224" s="13"/>
      <c r="G1224" s="2"/>
      <c r="H1224" s="2"/>
      <c r="I1224" s="2"/>
      <c r="J1224" s="2"/>
      <c r="K1224" s="13"/>
      <c r="L1224" s="14"/>
      <c r="M1224" s="1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">
      <c r="A1225" s="1"/>
      <c r="B1225" s="2"/>
      <c r="C1225" s="4"/>
      <c r="D1225" s="2"/>
      <c r="E1225" s="13"/>
      <c r="F1225" s="13"/>
      <c r="G1225" s="2"/>
      <c r="H1225" s="2"/>
      <c r="I1225" s="2"/>
      <c r="J1225" s="2"/>
      <c r="K1225" s="13"/>
      <c r="L1225" s="14"/>
      <c r="M1225" s="1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"/>
      <c r="B1226" s="2"/>
      <c r="C1226" s="4"/>
      <c r="D1226" s="2"/>
      <c r="E1226" s="13"/>
      <c r="F1226" s="13"/>
      <c r="G1226" s="2"/>
      <c r="H1226" s="2"/>
      <c r="I1226" s="2"/>
      <c r="J1226" s="2"/>
      <c r="K1226" s="13"/>
      <c r="L1226" s="14"/>
      <c r="M1226" s="1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"/>
      <c r="B1227" s="2"/>
      <c r="C1227" s="4"/>
      <c r="D1227" s="2"/>
      <c r="E1227" s="13"/>
      <c r="F1227" s="13"/>
      <c r="G1227" s="2"/>
      <c r="H1227" s="2"/>
      <c r="I1227" s="2"/>
      <c r="J1227" s="2"/>
      <c r="K1227" s="13"/>
      <c r="L1227" s="14"/>
      <c r="M1227" s="1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"/>
      <c r="B1228" s="2"/>
      <c r="C1228" s="4"/>
      <c r="D1228" s="2"/>
      <c r="E1228" s="13"/>
      <c r="F1228" s="13"/>
      <c r="G1228" s="2"/>
      <c r="H1228" s="2"/>
      <c r="I1228" s="2"/>
      <c r="J1228" s="2"/>
      <c r="K1228" s="13"/>
      <c r="L1228" s="14"/>
      <c r="M1228" s="1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"/>
      <c r="B1229" s="2"/>
      <c r="C1229" s="4"/>
      <c r="D1229" s="2"/>
      <c r="E1229" s="13"/>
      <c r="F1229" s="13"/>
      <c r="G1229" s="2"/>
      <c r="H1229" s="2"/>
      <c r="I1229" s="2"/>
      <c r="J1229" s="2"/>
      <c r="K1229" s="13"/>
      <c r="L1229" s="14"/>
      <c r="M1229" s="1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"/>
      <c r="B1230" s="2"/>
      <c r="C1230" s="4"/>
      <c r="D1230" s="2"/>
      <c r="E1230" s="13"/>
      <c r="F1230" s="13"/>
      <c r="G1230" s="2"/>
      <c r="H1230" s="2"/>
      <c r="I1230" s="2"/>
      <c r="J1230" s="2"/>
      <c r="K1230" s="13"/>
      <c r="L1230" s="14"/>
      <c r="M1230" s="1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"/>
      <c r="B1231" s="2"/>
      <c r="C1231" s="4"/>
      <c r="D1231" s="2"/>
      <c r="E1231" s="13"/>
      <c r="F1231" s="13"/>
      <c r="G1231" s="2"/>
      <c r="H1231" s="2"/>
      <c r="I1231" s="2"/>
      <c r="J1231" s="2"/>
      <c r="K1231" s="13"/>
      <c r="L1231" s="14"/>
      <c r="M1231" s="1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"/>
      <c r="B1232" s="2"/>
      <c r="C1232" s="4"/>
      <c r="D1232" s="2"/>
      <c r="E1232" s="13"/>
      <c r="F1232" s="13"/>
      <c r="G1232" s="2"/>
      <c r="H1232" s="2"/>
      <c r="I1232" s="2"/>
      <c r="J1232" s="2"/>
      <c r="K1232" s="13"/>
      <c r="L1232" s="14"/>
      <c r="M1232" s="1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"/>
      <c r="B1233" s="2"/>
      <c r="C1233" s="4"/>
      <c r="D1233" s="2"/>
      <c r="E1233" s="13"/>
      <c r="F1233" s="13"/>
      <c r="G1233" s="2"/>
      <c r="H1233" s="2"/>
      <c r="I1233" s="2"/>
      <c r="J1233" s="2"/>
      <c r="K1233" s="13"/>
      <c r="L1233" s="14"/>
      <c r="M1233" s="1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"/>
      <c r="B1234" s="2"/>
      <c r="C1234" s="4"/>
      <c r="D1234" s="2"/>
      <c r="E1234" s="13"/>
      <c r="F1234" s="13"/>
      <c r="G1234" s="2"/>
      <c r="H1234" s="2"/>
      <c r="I1234" s="2"/>
      <c r="J1234" s="2"/>
      <c r="K1234" s="13"/>
      <c r="L1234" s="14"/>
      <c r="M1234" s="1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"/>
      <c r="B1235" s="2"/>
      <c r="C1235" s="4"/>
      <c r="D1235" s="2"/>
      <c r="E1235" s="13"/>
      <c r="F1235" s="13"/>
      <c r="G1235" s="2"/>
      <c r="H1235" s="2"/>
      <c r="I1235" s="2"/>
      <c r="J1235" s="2"/>
      <c r="K1235" s="13"/>
      <c r="L1235" s="14"/>
      <c r="M1235" s="1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"/>
      <c r="B1236" s="2"/>
      <c r="C1236" s="4"/>
      <c r="D1236" s="2"/>
      <c r="E1236" s="13"/>
      <c r="F1236" s="13"/>
      <c r="G1236" s="2"/>
      <c r="H1236" s="2"/>
      <c r="I1236" s="2"/>
      <c r="J1236" s="2"/>
      <c r="K1236" s="13"/>
      <c r="L1236" s="14"/>
      <c r="M1236" s="1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"/>
      <c r="B1237" s="2"/>
      <c r="C1237" s="4"/>
      <c r="D1237" s="2"/>
      <c r="E1237" s="13"/>
      <c r="F1237" s="13"/>
      <c r="G1237" s="2"/>
      <c r="H1237" s="2"/>
      <c r="I1237" s="2"/>
      <c r="J1237" s="2"/>
      <c r="K1237" s="13"/>
      <c r="L1237" s="14"/>
      <c r="M1237" s="1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"/>
      <c r="B1238" s="2"/>
      <c r="C1238" s="4"/>
      <c r="D1238" s="2"/>
      <c r="E1238" s="13"/>
      <c r="F1238" s="13"/>
      <c r="G1238" s="2"/>
      <c r="H1238" s="2"/>
      <c r="I1238" s="2"/>
      <c r="J1238" s="2"/>
      <c r="K1238" s="13"/>
      <c r="L1238" s="14"/>
      <c r="M1238" s="1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"/>
      <c r="B1239" s="2"/>
      <c r="C1239" s="4"/>
      <c r="D1239" s="2"/>
      <c r="E1239" s="13"/>
      <c r="F1239" s="13"/>
      <c r="G1239" s="2"/>
      <c r="H1239" s="2"/>
      <c r="I1239" s="2"/>
      <c r="J1239" s="2"/>
      <c r="K1239" s="13"/>
      <c r="L1239" s="14"/>
      <c r="M1239" s="1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"/>
      <c r="B1240" s="2"/>
      <c r="C1240" s="4"/>
      <c r="D1240" s="2"/>
      <c r="E1240" s="13"/>
      <c r="F1240" s="13"/>
      <c r="G1240" s="2"/>
      <c r="H1240" s="2"/>
      <c r="I1240" s="2"/>
      <c r="J1240" s="2"/>
      <c r="K1240" s="13"/>
      <c r="L1240" s="14"/>
      <c r="M1240" s="1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"/>
      <c r="B1241" s="2"/>
      <c r="C1241" s="4"/>
      <c r="D1241" s="2"/>
      <c r="E1241" s="13"/>
      <c r="F1241" s="13"/>
      <c r="G1241" s="2"/>
      <c r="H1241" s="2"/>
      <c r="I1241" s="2"/>
      <c r="J1241" s="2"/>
      <c r="K1241" s="13"/>
      <c r="L1241" s="14"/>
      <c r="M1241" s="1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"/>
      <c r="B1242" s="2"/>
      <c r="C1242" s="4"/>
      <c r="D1242" s="2"/>
      <c r="E1242" s="13"/>
      <c r="F1242" s="13"/>
      <c r="G1242" s="2"/>
      <c r="H1242" s="2"/>
      <c r="I1242" s="2"/>
      <c r="J1242" s="2"/>
      <c r="K1242" s="13"/>
      <c r="L1242" s="14"/>
      <c r="M1242" s="1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"/>
      <c r="B1243" s="2"/>
      <c r="C1243" s="4"/>
      <c r="D1243" s="2"/>
      <c r="E1243" s="13"/>
      <c r="F1243" s="13"/>
      <c r="G1243" s="2"/>
      <c r="H1243" s="2"/>
      <c r="I1243" s="2"/>
      <c r="J1243" s="2"/>
      <c r="K1243" s="13"/>
      <c r="L1243" s="14"/>
      <c r="M1243" s="1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"/>
      <c r="B1244" s="2"/>
      <c r="C1244" s="4"/>
      <c r="D1244" s="2"/>
      <c r="E1244" s="13"/>
      <c r="F1244" s="13"/>
      <c r="G1244" s="2"/>
      <c r="H1244" s="2"/>
      <c r="I1244" s="2"/>
      <c r="J1244" s="2"/>
      <c r="K1244" s="13"/>
      <c r="L1244" s="14"/>
      <c r="M1244" s="1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"/>
      <c r="B1245" s="2"/>
      <c r="C1245" s="4"/>
      <c r="D1245" s="2"/>
      <c r="E1245" s="13"/>
      <c r="F1245" s="13"/>
      <c r="G1245" s="2"/>
      <c r="H1245" s="2"/>
      <c r="I1245" s="2"/>
      <c r="J1245" s="2"/>
      <c r="K1245" s="13"/>
      <c r="L1245" s="14"/>
      <c r="M1245" s="1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"/>
      <c r="B1246" s="2"/>
      <c r="C1246" s="4"/>
      <c r="D1246" s="2"/>
      <c r="E1246" s="13"/>
      <c r="F1246" s="13"/>
      <c r="G1246" s="2"/>
      <c r="H1246" s="2"/>
      <c r="I1246" s="2"/>
      <c r="J1246" s="2"/>
      <c r="K1246" s="13"/>
      <c r="L1246" s="14"/>
      <c r="M1246" s="1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"/>
      <c r="B1247" s="2"/>
      <c r="C1247" s="4"/>
      <c r="D1247" s="2"/>
      <c r="E1247" s="13"/>
      <c r="F1247" s="13"/>
      <c r="G1247" s="2"/>
      <c r="H1247" s="2"/>
      <c r="I1247" s="2"/>
      <c r="J1247" s="2"/>
      <c r="K1247" s="13"/>
      <c r="L1247" s="14"/>
      <c r="M1247" s="1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"/>
      <c r="B1248" s="2"/>
      <c r="C1248" s="4"/>
      <c r="D1248" s="2"/>
      <c r="E1248" s="13"/>
      <c r="F1248" s="13"/>
      <c r="G1248" s="2"/>
      <c r="H1248" s="2"/>
      <c r="I1248" s="2"/>
      <c r="J1248" s="2"/>
      <c r="K1248" s="13"/>
      <c r="L1248" s="14"/>
      <c r="M1248" s="1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"/>
      <c r="B1249" s="2"/>
      <c r="C1249" s="4"/>
      <c r="D1249" s="2"/>
      <c r="E1249" s="13"/>
      <c r="F1249" s="13"/>
      <c r="G1249" s="2"/>
      <c r="H1249" s="2"/>
      <c r="I1249" s="2"/>
      <c r="J1249" s="2"/>
      <c r="K1249" s="13"/>
      <c r="L1249" s="14"/>
      <c r="M1249" s="1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"/>
      <c r="B1250" s="2"/>
      <c r="C1250" s="4"/>
      <c r="D1250" s="2"/>
      <c r="E1250" s="13"/>
      <c r="F1250" s="13"/>
      <c r="G1250" s="2"/>
      <c r="H1250" s="2"/>
      <c r="I1250" s="2"/>
      <c r="J1250" s="2"/>
      <c r="K1250" s="13"/>
      <c r="L1250" s="14"/>
      <c r="M1250" s="1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"/>
      <c r="B1251" s="2"/>
      <c r="C1251" s="4"/>
      <c r="D1251" s="2"/>
      <c r="E1251" s="13"/>
      <c r="F1251" s="13"/>
      <c r="G1251" s="2"/>
      <c r="H1251" s="2"/>
      <c r="I1251" s="2"/>
      <c r="J1251" s="2"/>
      <c r="K1251" s="13"/>
      <c r="L1251" s="14"/>
      <c r="M1251" s="1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">
      <c r="A1252" s="1"/>
      <c r="B1252" s="2"/>
      <c r="C1252" s="4"/>
      <c r="D1252" s="2"/>
      <c r="E1252" s="13"/>
      <c r="F1252" s="13"/>
      <c r="G1252" s="2"/>
      <c r="H1252" s="2"/>
      <c r="I1252" s="2"/>
      <c r="J1252" s="2"/>
      <c r="K1252" s="13"/>
      <c r="L1252" s="14"/>
      <c r="M1252" s="1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"/>
      <c r="B1253" s="2"/>
      <c r="C1253" s="4"/>
      <c r="D1253" s="2"/>
      <c r="E1253" s="13"/>
      <c r="F1253" s="13"/>
      <c r="G1253" s="2"/>
      <c r="H1253" s="2"/>
      <c r="I1253" s="2"/>
      <c r="J1253" s="2"/>
      <c r="K1253" s="13"/>
      <c r="L1253" s="14"/>
      <c r="M1253" s="1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"/>
      <c r="B1254" s="2"/>
      <c r="C1254" s="4"/>
      <c r="D1254" s="2"/>
      <c r="E1254" s="13"/>
      <c r="F1254" s="13"/>
      <c r="G1254" s="2"/>
      <c r="H1254" s="2"/>
      <c r="I1254" s="2"/>
      <c r="J1254" s="2"/>
      <c r="K1254" s="13"/>
      <c r="L1254" s="14"/>
      <c r="M1254" s="1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"/>
      <c r="B1255" s="2"/>
      <c r="C1255" s="4"/>
      <c r="D1255" s="2"/>
      <c r="E1255" s="13"/>
      <c r="F1255" s="13"/>
      <c r="G1255" s="2"/>
      <c r="H1255" s="2"/>
      <c r="I1255" s="2"/>
      <c r="J1255" s="2"/>
      <c r="K1255" s="13"/>
      <c r="L1255" s="14"/>
      <c r="M1255" s="1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"/>
      <c r="B1256" s="2"/>
      <c r="C1256" s="4"/>
      <c r="D1256" s="2"/>
      <c r="E1256" s="13"/>
      <c r="F1256" s="13"/>
      <c r="G1256" s="2"/>
      <c r="H1256" s="2"/>
      <c r="I1256" s="2"/>
      <c r="J1256" s="2"/>
      <c r="K1256" s="13"/>
      <c r="L1256" s="14"/>
      <c r="M1256" s="1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"/>
      <c r="B1257" s="2"/>
      <c r="C1257" s="4"/>
      <c r="D1257" s="2"/>
      <c r="E1257" s="13"/>
      <c r="F1257" s="13"/>
      <c r="G1257" s="2"/>
      <c r="H1257" s="2"/>
      <c r="I1257" s="2"/>
      <c r="J1257" s="2"/>
      <c r="K1257" s="13"/>
      <c r="L1257" s="14"/>
      <c r="M1257" s="1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"/>
      <c r="B1258" s="2"/>
      <c r="C1258" s="4"/>
      <c r="D1258" s="2"/>
      <c r="E1258" s="13"/>
      <c r="F1258" s="13"/>
      <c r="G1258" s="2"/>
      <c r="H1258" s="2"/>
      <c r="I1258" s="2"/>
      <c r="J1258" s="2"/>
      <c r="K1258" s="13"/>
      <c r="L1258" s="14"/>
      <c r="M1258" s="1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"/>
      <c r="B1259" s="2"/>
      <c r="C1259" s="4"/>
      <c r="D1259" s="2"/>
      <c r="E1259" s="13"/>
      <c r="F1259" s="13"/>
      <c r="G1259" s="2"/>
      <c r="H1259" s="2"/>
      <c r="I1259" s="2"/>
      <c r="J1259" s="2"/>
      <c r="K1259" s="13"/>
      <c r="L1259" s="14"/>
      <c r="M1259" s="1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"/>
      <c r="B1260" s="2"/>
      <c r="C1260" s="4"/>
      <c r="D1260" s="2"/>
      <c r="E1260" s="13"/>
      <c r="F1260" s="13"/>
      <c r="G1260" s="2"/>
      <c r="H1260" s="2"/>
      <c r="I1260" s="2"/>
      <c r="J1260" s="2"/>
      <c r="K1260" s="13"/>
      <c r="L1260" s="14"/>
      <c r="M1260" s="1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"/>
      <c r="B1261" s="2"/>
      <c r="C1261" s="4"/>
      <c r="D1261" s="2"/>
      <c r="E1261" s="13"/>
      <c r="F1261" s="13"/>
      <c r="G1261" s="2"/>
      <c r="H1261" s="2"/>
      <c r="I1261" s="2"/>
      <c r="J1261" s="2"/>
      <c r="K1261" s="13"/>
      <c r="L1261" s="14"/>
      <c r="M1261" s="1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"/>
      <c r="B1262" s="2"/>
      <c r="C1262" s="4"/>
      <c r="D1262" s="2"/>
      <c r="E1262" s="13"/>
      <c r="F1262" s="13"/>
      <c r="G1262" s="2"/>
      <c r="H1262" s="2"/>
      <c r="I1262" s="2"/>
      <c r="J1262" s="2"/>
      <c r="K1262" s="13"/>
      <c r="L1262" s="14"/>
      <c r="M1262" s="1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"/>
      <c r="B1263" s="2"/>
      <c r="C1263" s="4"/>
      <c r="D1263" s="2"/>
      <c r="E1263" s="13"/>
      <c r="F1263" s="13"/>
      <c r="G1263" s="2"/>
      <c r="H1263" s="2"/>
      <c r="I1263" s="2"/>
      <c r="J1263" s="2"/>
      <c r="K1263" s="13"/>
      <c r="L1263" s="14"/>
      <c r="M1263" s="1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"/>
      <c r="B1264" s="2"/>
      <c r="C1264" s="4"/>
      <c r="D1264" s="2"/>
      <c r="E1264" s="13"/>
      <c r="F1264" s="13"/>
      <c r="G1264" s="2"/>
      <c r="H1264" s="2"/>
      <c r="I1264" s="2"/>
      <c r="J1264" s="2"/>
      <c r="K1264" s="13"/>
      <c r="L1264" s="14"/>
      <c r="M1264" s="1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"/>
      <c r="B1265" s="2"/>
      <c r="C1265" s="4"/>
      <c r="D1265" s="2"/>
      <c r="E1265" s="13"/>
      <c r="F1265" s="13"/>
      <c r="G1265" s="2"/>
      <c r="H1265" s="2"/>
      <c r="I1265" s="2"/>
      <c r="J1265" s="2"/>
      <c r="K1265" s="13"/>
      <c r="L1265" s="14"/>
      <c r="M1265" s="1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"/>
      <c r="B1266" s="2"/>
      <c r="C1266" s="4"/>
      <c r="D1266" s="2"/>
      <c r="E1266" s="13"/>
      <c r="F1266" s="13"/>
      <c r="G1266" s="2"/>
      <c r="H1266" s="2"/>
      <c r="I1266" s="2"/>
      <c r="J1266" s="2"/>
      <c r="K1266" s="13"/>
      <c r="L1266" s="14"/>
      <c r="M1266" s="1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"/>
      <c r="B1267" s="2"/>
      <c r="C1267" s="4"/>
      <c r="D1267" s="2"/>
      <c r="E1267" s="13"/>
      <c r="F1267" s="13"/>
      <c r="G1267" s="2"/>
      <c r="H1267" s="2"/>
      <c r="I1267" s="2"/>
      <c r="J1267" s="2"/>
      <c r="K1267" s="13"/>
      <c r="L1267" s="14"/>
      <c r="M1267" s="1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"/>
      <c r="B1268" s="2"/>
      <c r="C1268" s="4"/>
      <c r="D1268" s="2"/>
      <c r="E1268" s="13"/>
      <c r="F1268" s="13"/>
      <c r="G1268" s="2"/>
      <c r="H1268" s="2"/>
      <c r="I1268" s="2"/>
      <c r="J1268" s="2"/>
      <c r="K1268" s="13"/>
      <c r="L1268" s="14"/>
      <c r="M1268" s="1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"/>
      <c r="B1269" s="2"/>
      <c r="C1269" s="4"/>
      <c r="D1269" s="2"/>
      <c r="E1269" s="13"/>
      <c r="F1269" s="13"/>
      <c r="G1269" s="2"/>
      <c r="H1269" s="2"/>
      <c r="I1269" s="2"/>
      <c r="J1269" s="2"/>
      <c r="K1269" s="13"/>
      <c r="L1269" s="14"/>
      <c r="M1269" s="1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"/>
      <c r="B1270" s="2"/>
      <c r="C1270" s="4"/>
      <c r="D1270" s="2"/>
      <c r="E1270" s="13"/>
      <c r="F1270" s="13"/>
      <c r="G1270" s="2"/>
      <c r="H1270" s="2"/>
      <c r="I1270" s="2"/>
      <c r="J1270" s="2"/>
      <c r="K1270" s="13"/>
      <c r="L1270" s="14"/>
      <c r="M1270" s="1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"/>
      <c r="B1271" s="2"/>
      <c r="C1271" s="4"/>
      <c r="D1271" s="2"/>
      <c r="E1271" s="13"/>
      <c r="F1271" s="13"/>
      <c r="G1271" s="2"/>
      <c r="H1271" s="2"/>
      <c r="I1271" s="2"/>
      <c r="J1271" s="2"/>
      <c r="K1271" s="13"/>
      <c r="L1271" s="14"/>
      <c r="M1271" s="1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"/>
      <c r="B1272" s="2"/>
      <c r="C1272" s="4"/>
      <c r="D1272" s="2"/>
      <c r="E1272" s="13"/>
      <c r="F1272" s="13"/>
      <c r="G1272" s="2"/>
      <c r="H1272" s="2"/>
      <c r="I1272" s="2"/>
      <c r="J1272" s="2"/>
      <c r="K1272" s="13"/>
      <c r="L1272" s="14"/>
      <c r="M1272" s="1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"/>
      <c r="B1273" s="2"/>
      <c r="C1273" s="4"/>
      <c r="D1273" s="2"/>
      <c r="E1273" s="13"/>
      <c r="F1273" s="13"/>
      <c r="G1273" s="2"/>
      <c r="H1273" s="2"/>
      <c r="I1273" s="2"/>
      <c r="J1273" s="2"/>
      <c r="K1273" s="13"/>
      <c r="L1273" s="14"/>
      <c r="M1273" s="1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"/>
      <c r="B1274" s="2"/>
      <c r="C1274" s="4"/>
      <c r="D1274" s="2"/>
      <c r="E1274" s="13"/>
      <c r="F1274" s="13"/>
      <c r="G1274" s="2"/>
      <c r="H1274" s="2"/>
      <c r="I1274" s="2"/>
      <c r="J1274" s="2"/>
      <c r="K1274" s="13"/>
      <c r="L1274" s="14"/>
      <c r="M1274" s="1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"/>
      <c r="B1275" s="2"/>
      <c r="C1275" s="4"/>
      <c r="D1275" s="2"/>
      <c r="E1275" s="13"/>
      <c r="F1275" s="13"/>
      <c r="G1275" s="2"/>
      <c r="H1275" s="2"/>
      <c r="I1275" s="2"/>
      <c r="J1275" s="2"/>
      <c r="K1275" s="13"/>
      <c r="L1275" s="14"/>
      <c r="M1275" s="1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"/>
      <c r="B1276" s="2"/>
      <c r="C1276" s="4"/>
      <c r="D1276" s="2"/>
      <c r="E1276" s="13"/>
      <c r="F1276" s="13"/>
      <c r="G1276" s="2"/>
      <c r="H1276" s="2"/>
      <c r="I1276" s="2"/>
      <c r="J1276" s="2"/>
      <c r="K1276" s="13"/>
      <c r="L1276" s="14"/>
      <c r="M1276" s="1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"/>
      <c r="B1277" s="2"/>
      <c r="C1277" s="4"/>
      <c r="D1277" s="2"/>
      <c r="E1277" s="13"/>
      <c r="F1277" s="13"/>
      <c r="G1277" s="2"/>
      <c r="H1277" s="2"/>
      <c r="I1277" s="2"/>
      <c r="J1277" s="2"/>
      <c r="K1277" s="13"/>
      <c r="L1277" s="14"/>
      <c r="M1277" s="1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"/>
      <c r="B1278" s="2"/>
      <c r="C1278" s="4"/>
      <c r="D1278" s="2"/>
      <c r="E1278" s="13"/>
      <c r="F1278" s="13"/>
      <c r="G1278" s="2"/>
      <c r="H1278" s="2"/>
      <c r="I1278" s="2"/>
      <c r="J1278" s="2"/>
      <c r="K1278" s="13"/>
      <c r="L1278" s="14"/>
      <c r="M1278" s="1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"/>
      <c r="B1279" s="2"/>
      <c r="C1279" s="4"/>
      <c r="D1279" s="2"/>
      <c r="E1279" s="13"/>
      <c r="F1279" s="13"/>
      <c r="G1279" s="2"/>
      <c r="H1279" s="2"/>
      <c r="I1279" s="2"/>
      <c r="J1279" s="2"/>
      <c r="K1279" s="13"/>
      <c r="L1279" s="14"/>
      <c r="M1279" s="1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"/>
      <c r="B1280" s="2"/>
      <c r="C1280" s="4"/>
      <c r="D1280" s="2"/>
      <c r="E1280" s="13"/>
      <c r="F1280" s="13"/>
      <c r="G1280" s="2"/>
      <c r="H1280" s="2"/>
      <c r="I1280" s="2"/>
      <c r="J1280" s="2"/>
      <c r="K1280" s="13"/>
      <c r="L1280" s="14"/>
      <c r="M1280" s="1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"/>
      <c r="B1281" s="2"/>
      <c r="C1281" s="4"/>
      <c r="D1281" s="2"/>
      <c r="E1281" s="13"/>
      <c r="F1281" s="13"/>
      <c r="G1281" s="2"/>
      <c r="H1281" s="2"/>
      <c r="I1281" s="2"/>
      <c r="J1281" s="2"/>
      <c r="K1281" s="13"/>
      <c r="L1281" s="14"/>
      <c r="M1281" s="1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"/>
      <c r="B1282" s="2"/>
      <c r="C1282" s="4"/>
      <c r="D1282" s="2"/>
      <c r="E1282" s="13"/>
      <c r="F1282" s="13"/>
      <c r="G1282" s="2"/>
      <c r="H1282" s="2"/>
      <c r="I1282" s="2"/>
      <c r="J1282" s="2"/>
      <c r="K1282" s="13"/>
      <c r="L1282" s="14"/>
      <c r="M1282" s="1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"/>
      <c r="B1283" s="2"/>
      <c r="C1283" s="4"/>
      <c r="D1283" s="2"/>
      <c r="E1283" s="13"/>
      <c r="F1283" s="13"/>
      <c r="G1283" s="2"/>
      <c r="H1283" s="2"/>
      <c r="I1283" s="2"/>
      <c r="J1283" s="2"/>
      <c r="K1283" s="13"/>
      <c r="L1283" s="14"/>
      <c r="M1283" s="1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"/>
      <c r="B1284" s="2"/>
      <c r="C1284" s="4"/>
      <c r="D1284" s="2"/>
      <c r="E1284" s="13"/>
      <c r="F1284" s="13"/>
      <c r="G1284" s="2"/>
      <c r="H1284" s="2"/>
      <c r="I1284" s="2"/>
      <c r="J1284" s="2"/>
      <c r="K1284" s="13"/>
      <c r="L1284" s="14"/>
      <c r="M1284" s="1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"/>
      <c r="B1285" s="2"/>
      <c r="C1285" s="4"/>
      <c r="D1285" s="2"/>
      <c r="E1285" s="13"/>
      <c r="F1285" s="13"/>
      <c r="G1285" s="2"/>
      <c r="H1285" s="2"/>
      <c r="I1285" s="2"/>
      <c r="J1285" s="2"/>
      <c r="K1285" s="13"/>
      <c r="L1285" s="14"/>
      <c r="M1285" s="1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"/>
      <c r="B1286" s="2"/>
      <c r="C1286" s="4"/>
      <c r="D1286" s="2"/>
      <c r="E1286" s="13"/>
      <c r="F1286" s="13"/>
      <c r="G1286" s="2"/>
      <c r="H1286" s="2"/>
      <c r="I1286" s="2"/>
      <c r="J1286" s="2"/>
      <c r="K1286" s="13"/>
      <c r="L1286" s="14"/>
      <c r="M1286" s="1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"/>
      <c r="B1287" s="2"/>
      <c r="C1287" s="4"/>
      <c r="D1287" s="2"/>
      <c r="E1287" s="13"/>
      <c r="F1287" s="13"/>
      <c r="G1287" s="2"/>
      <c r="H1287" s="2"/>
      <c r="I1287" s="2"/>
      <c r="J1287" s="2"/>
      <c r="K1287" s="13"/>
      <c r="L1287" s="14"/>
      <c r="M1287" s="1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"/>
      <c r="B1288" s="2"/>
      <c r="C1288" s="4"/>
      <c r="D1288" s="2"/>
      <c r="E1288" s="13"/>
      <c r="F1288" s="13"/>
      <c r="G1288" s="2"/>
      <c r="H1288" s="2"/>
      <c r="I1288" s="2"/>
      <c r="J1288" s="2"/>
      <c r="K1288" s="13"/>
      <c r="L1288" s="14"/>
      <c r="M1288" s="1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"/>
      <c r="B1289" s="2"/>
      <c r="C1289" s="4"/>
      <c r="D1289" s="2"/>
      <c r="E1289" s="13"/>
      <c r="F1289" s="13"/>
      <c r="G1289" s="2"/>
      <c r="H1289" s="2"/>
      <c r="I1289" s="2"/>
      <c r="J1289" s="2"/>
      <c r="K1289" s="13"/>
      <c r="L1289" s="14"/>
      <c r="M1289" s="1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"/>
      <c r="B1290" s="2"/>
      <c r="C1290" s="4"/>
      <c r="D1290" s="2"/>
      <c r="E1290" s="13"/>
      <c r="F1290" s="13"/>
      <c r="G1290" s="2"/>
      <c r="H1290" s="2"/>
      <c r="I1290" s="2"/>
      <c r="J1290" s="2"/>
      <c r="K1290" s="13"/>
      <c r="L1290" s="14"/>
      <c r="M1290" s="1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"/>
      <c r="B1291" s="2"/>
      <c r="C1291" s="4"/>
      <c r="D1291" s="2"/>
      <c r="E1291" s="13"/>
      <c r="F1291" s="13"/>
      <c r="G1291" s="2"/>
      <c r="H1291" s="2"/>
      <c r="I1291" s="2"/>
      <c r="J1291" s="2"/>
      <c r="K1291" s="13"/>
      <c r="L1291" s="14"/>
      <c r="M1291" s="1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"/>
      <c r="B1292" s="2"/>
      <c r="C1292" s="4"/>
      <c r="D1292" s="2"/>
      <c r="E1292" s="13"/>
      <c r="F1292" s="13"/>
      <c r="G1292" s="2"/>
      <c r="H1292" s="2"/>
      <c r="I1292" s="2"/>
      <c r="J1292" s="2"/>
      <c r="K1292" s="13"/>
      <c r="L1292" s="14"/>
      <c r="M1292" s="1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"/>
      <c r="B1293" s="2"/>
      <c r="C1293" s="4"/>
      <c r="D1293" s="2"/>
      <c r="E1293" s="13"/>
      <c r="F1293" s="13"/>
      <c r="G1293" s="2"/>
      <c r="H1293" s="2"/>
      <c r="I1293" s="2"/>
      <c r="J1293" s="2"/>
      <c r="K1293" s="13"/>
      <c r="L1293" s="14"/>
      <c r="M1293" s="1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"/>
      <c r="B1294" s="2"/>
      <c r="C1294" s="4"/>
      <c r="D1294" s="2"/>
      <c r="E1294" s="13"/>
      <c r="F1294" s="13"/>
      <c r="G1294" s="2"/>
      <c r="H1294" s="2"/>
      <c r="I1294" s="2"/>
      <c r="J1294" s="2"/>
      <c r="K1294" s="13"/>
      <c r="L1294" s="14"/>
      <c r="M1294" s="1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"/>
      <c r="B1295" s="2"/>
      <c r="C1295" s="4"/>
      <c r="D1295" s="2"/>
      <c r="E1295" s="13"/>
      <c r="F1295" s="13"/>
      <c r="G1295" s="2"/>
      <c r="H1295" s="2"/>
      <c r="I1295" s="2"/>
      <c r="J1295" s="2"/>
      <c r="K1295" s="13"/>
      <c r="L1295" s="14"/>
      <c r="M1295" s="1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"/>
      <c r="B1296" s="2"/>
      <c r="C1296" s="4"/>
      <c r="D1296" s="2"/>
      <c r="E1296" s="13"/>
      <c r="F1296" s="13"/>
      <c r="G1296" s="2"/>
      <c r="H1296" s="2"/>
      <c r="I1296" s="2"/>
      <c r="J1296" s="2"/>
      <c r="K1296" s="13"/>
      <c r="L1296" s="14"/>
      <c r="M1296" s="1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"/>
      <c r="B1297" s="2"/>
      <c r="C1297" s="4"/>
      <c r="D1297" s="2"/>
      <c r="E1297" s="13"/>
      <c r="F1297" s="13"/>
      <c r="G1297" s="2"/>
      <c r="H1297" s="2"/>
      <c r="I1297" s="2"/>
      <c r="J1297" s="2"/>
      <c r="K1297" s="13"/>
      <c r="L1297" s="14"/>
      <c r="M1297" s="1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"/>
      <c r="B1298" s="2"/>
      <c r="C1298" s="4"/>
      <c r="D1298" s="2"/>
      <c r="E1298" s="13"/>
      <c r="F1298" s="13"/>
      <c r="G1298" s="2"/>
      <c r="H1298" s="2"/>
      <c r="I1298" s="2"/>
      <c r="J1298" s="2"/>
      <c r="K1298" s="13"/>
      <c r="L1298" s="14"/>
      <c r="M1298" s="1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"/>
      <c r="B1299" s="2"/>
      <c r="C1299" s="4"/>
      <c r="D1299" s="2"/>
      <c r="E1299" s="13"/>
      <c r="F1299" s="13"/>
      <c r="G1299" s="2"/>
      <c r="H1299" s="2"/>
      <c r="I1299" s="2"/>
      <c r="J1299" s="2"/>
      <c r="K1299" s="13"/>
      <c r="L1299" s="14"/>
      <c r="M1299" s="1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"/>
      <c r="B1300" s="2"/>
      <c r="C1300" s="4"/>
      <c r="D1300" s="2"/>
      <c r="E1300" s="13"/>
      <c r="F1300" s="13"/>
      <c r="G1300" s="2"/>
      <c r="H1300" s="2"/>
      <c r="I1300" s="2"/>
      <c r="J1300" s="2"/>
      <c r="K1300" s="13"/>
      <c r="L1300" s="14"/>
      <c r="M1300" s="1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"/>
      <c r="B1301" s="2"/>
      <c r="C1301" s="4"/>
      <c r="D1301" s="2"/>
      <c r="E1301" s="13"/>
      <c r="F1301" s="13"/>
      <c r="G1301" s="2"/>
      <c r="H1301" s="2"/>
      <c r="I1301" s="2"/>
      <c r="J1301" s="2"/>
      <c r="K1301" s="13"/>
      <c r="L1301" s="14"/>
      <c r="M1301" s="1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">
      <c r="A1302" s="1"/>
      <c r="B1302" s="2"/>
      <c r="C1302" s="4"/>
      <c r="D1302" s="2"/>
      <c r="E1302" s="13"/>
      <c r="F1302" s="13"/>
      <c r="G1302" s="2"/>
      <c r="H1302" s="2"/>
      <c r="I1302" s="2"/>
      <c r="J1302" s="2"/>
      <c r="K1302" s="13"/>
      <c r="L1302" s="14"/>
      <c r="M1302" s="1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"/>
      <c r="B1303" s="2"/>
      <c r="C1303" s="4"/>
      <c r="D1303" s="2"/>
      <c r="E1303" s="13"/>
      <c r="F1303" s="13"/>
      <c r="G1303" s="2"/>
      <c r="H1303" s="2"/>
      <c r="I1303" s="2"/>
      <c r="J1303" s="2"/>
      <c r="K1303" s="13"/>
      <c r="L1303" s="14"/>
      <c r="M1303" s="1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"/>
      <c r="B1304" s="2"/>
      <c r="C1304" s="4"/>
      <c r="D1304" s="2"/>
      <c r="E1304" s="13"/>
      <c r="F1304" s="13"/>
      <c r="G1304" s="2"/>
      <c r="H1304" s="2"/>
      <c r="I1304" s="2"/>
      <c r="J1304" s="2"/>
      <c r="K1304" s="13"/>
      <c r="L1304" s="14"/>
      <c r="M1304" s="1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"/>
      <c r="B1305" s="2"/>
      <c r="C1305" s="4"/>
      <c r="D1305" s="2"/>
      <c r="E1305" s="13"/>
      <c r="F1305" s="13"/>
      <c r="G1305" s="2"/>
      <c r="H1305" s="2"/>
      <c r="I1305" s="2"/>
      <c r="J1305" s="2"/>
      <c r="K1305" s="13"/>
      <c r="L1305" s="14"/>
      <c r="M1305" s="1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"/>
      <c r="B1306" s="2"/>
      <c r="C1306" s="4"/>
      <c r="D1306" s="2"/>
      <c r="E1306" s="13"/>
      <c r="F1306" s="13"/>
      <c r="G1306" s="2"/>
      <c r="H1306" s="2"/>
      <c r="I1306" s="2"/>
      <c r="J1306" s="2"/>
      <c r="K1306" s="13"/>
      <c r="L1306" s="14"/>
      <c r="M1306" s="1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</sheetData>
  <mergeCells count="13">
    <mergeCell ref="A316:B316"/>
    <mergeCell ref="A3:C3"/>
    <mergeCell ref="I3:K3"/>
    <mergeCell ref="A43:C43"/>
    <mergeCell ref="A44:C44"/>
    <mergeCell ref="I44:K44"/>
    <mergeCell ref="A84:C84"/>
    <mergeCell ref="I84:K84"/>
    <mergeCell ref="A123:C123"/>
    <mergeCell ref="I123:K123"/>
    <mergeCell ref="A217:C217"/>
    <mergeCell ref="A231:C231"/>
    <mergeCell ref="A271:C271"/>
  </mergeCells>
  <conditionalFormatting sqref="L1:L1306">
    <cfRule type="cellIs" dxfId="41" priority="2" operator="greaterThanOrEqual">
      <formula>"30%"</formula>
    </cfRule>
    <cfRule type="cellIs" dxfId="40" priority="3" operator="between">
      <formula>"25%"</formula>
      <formula>"30%"</formula>
    </cfRule>
    <cfRule type="cellIs" dxfId="39" priority="4" operator="lessThan">
      <formula>"25%"</formula>
    </cfRule>
  </conditionalFormatting>
  <conditionalFormatting sqref="L217:L226 L309:L316">
    <cfRule type="cellIs" dxfId="38" priority="1" operator="greaterThanOrEqual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C35E-1881-774F-9A54-1623AF36282D}">
  <sheetPr>
    <outlinePr summaryBelow="0" summaryRight="0"/>
  </sheetPr>
  <dimension ref="A1:Z1287"/>
  <sheetViews>
    <sheetView topLeftCell="A278"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53</v>
      </c>
      <c r="B3" s="89"/>
      <c r="C3" s="89"/>
      <c r="D3" s="2"/>
      <c r="E3" s="7" t="s">
        <v>143</v>
      </c>
      <c r="F3" s="8">
        <v>46134</v>
      </c>
      <c r="G3" s="7"/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7" t="s">
        <v>1122</v>
      </c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1</v>
      </c>
      <c r="B6" s="10" t="s">
        <v>23</v>
      </c>
      <c r="C6" s="11" t="s">
        <v>46</v>
      </c>
      <c r="D6" s="13">
        <v>13000</v>
      </c>
      <c r="E6" s="13">
        <f t="shared" ref="E6:E24" si="0">A6*D6</f>
        <v>13000</v>
      </c>
      <c r="F6" s="13">
        <f t="shared" ref="F6:F24" si="1">E6*1.105</f>
        <v>14365</v>
      </c>
      <c r="G6" s="2"/>
      <c r="H6" s="2"/>
      <c r="I6" s="13">
        <v>7000</v>
      </c>
      <c r="J6" s="13">
        <f t="shared" ref="J6:J24" si="2">I6*A6</f>
        <v>7000</v>
      </c>
      <c r="K6" s="13">
        <f t="shared" ref="K6:K24" si="3">F6-J6</f>
        <v>7365</v>
      </c>
      <c r="L6" s="14">
        <f t="shared" ref="L6:L24" si="4">IFERROR(K6/E6, 0)</f>
        <v>0.56653846153846155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2</v>
      </c>
      <c r="B7" s="10" t="s">
        <v>15</v>
      </c>
      <c r="C7" s="11" t="s">
        <v>27</v>
      </c>
      <c r="D7" s="13">
        <v>25000</v>
      </c>
      <c r="E7" s="13">
        <f t="shared" si="0"/>
        <v>50000</v>
      </c>
      <c r="F7" s="13">
        <f t="shared" si="1"/>
        <v>55250</v>
      </c>
      <c r="G7" s="2"/>
      <c r="H7" s="2"/>
      <c r="I7" s="13">
        <v>18000</v>
      </c>
      <c r="J7" s="13">
        <f t="shared" si="2"/>
        <v>36000</v>
      </c>
      <c r="K7" s="13">
        <f t="shared" si="3"/>
        <v>19250</v>
      </c>
      <c r="L7" s="14">
        <f t="shared" si="4"/>
        <v>0.38500000000000001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5.0999999999999996</v>
      </c>
      <c r="B8" s="10" t="s">
        <v>17</v>
      </c>
      <c r="C8" s="11" t="s">
        <v>36</v>
      </c>
      <c r="D8" s="13">
        <v>1800</v>
      </c>
      <c r="E8" s="13">
        <f t="shared" si="0"/>
        <v>9180</v>
      </c>
      <c r="F8" s="13">
        <f t="shared" si="1"/>
        <v>10143.9</v>
      </c>
      <c r="G8" s="2"/>
      <c r="H8" s="2"/>
      <c r="I8" s="13">
        <v>800</v>
      </c>
      <c r="J8" s="13">
        <f t="shared" si="2"/>
        <v>4079.9999999999995</v>
      </c>
      <c r="K8" s="13">
        <f t="shared" si="3"/>
        <v>6063.9</v>
      </c>
      <c r="L8" s="14">
        <f t="shared" si="4"/>
        <v>0.66055555555555556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3.3</v>
      </c>
      <c r="B9" s="10" t="s">
        <v>17</v>
      </c>
      <c r="C9" s="11" t="s">
        <v>38</v>
      </c>
      <c r="D9" s="13">
        <v>1800</v>
      </c>
      <c r="E9" s="13">
        <f t="shared" si="0"/>
        <v>5940</v>
      </c>
      <c r="F9" s="13">
        <f t="shared" si="1"/>
        <v>6563.7</v>
      </c>
      <c r="G9" s="2"/>
      <c r="H9" s="2"/>
      <c r="I9" s="13">
        <v>800</v>
      </c>
      <c r="J9" s="13">
        <f t="shared" si="2"/>
        <v>2640</v>
      </c>
      <c r="K9" s="13">
        <f t="shared" si="3"/>
        <v>3923.7</v>
      </c>
      <c r="L9" s="14">
        <f t="shared" si="4"/>
        <v>0.66055555555555556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5</v>
      </c>
      <c r="B10" s="10" t="s">
        <v>17</v>
      </c>
      <c r="C10" s="11" t="s">
        <v>82</v>
      </c>
      <c r="D10" s="13">
        <v>2200</v>
      </c>
      <c r="E10" s="13">
        <f t="shared" si="0"/>
        <v>11000</v>
      </c>
      <c r="F10" s="13">
        <f t="shared" si="1"/>
        <v>12155</v>
      </c>
      <c r="G10" s="2"/>
      <c r="H10" s="2"/>
      <c r="I10" s="13">
        <f>25000/14</f>
        <v>1785.7142857142858</v>
      </c>
      <c r="J10" s="13">
        <f t="shared" si="2"/>
        <v>8928.5714285714294</v>
      </c>
      <c r="K10" s="13">
        <f t="shared" si="3"/>
        <v>3226.4285714285706</v>
      </c>
      <c r="L10" s="14">
        <f t="shared" si="4"/>
        <v>0.29331168831168825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1</v>
      </c>
      <c r="B11" s="10" t="s">
        <v>17</v>
      </c>
      <c r="C11" s="11" t="s">
        <v>31</v>
      </c>
      <c r="D11" s="13">
        <v>3200</v>
      </c>
      <c r="E11" s="13">
        <f t="shared" si="0"/>
        <v>3200</v>
      </c>
      <c r="F11" s="13">
        <f t="shared" si="1"/>
        <v>3536</v>
      </c>
      <c r="G11" s="2"/>
      <c r="H11" s="2"/>
      <c r="I11" s="13">
        <f>15000/8</f>
        <v>1875</v>
      </c>
      <c r="J11" s="13">
        <f t="shared" si="2"/>
        <v>1875</v>
      </c>
      <c r="K11" s="13">
        <f t="shared" si="3"/>
        <v>1661</v>
      </c>
      <c r="L11" s="14">
        <f t="shared" si="4"/>
        <v>0.51906249999999998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1</v>
      </c>
      <c r="B12" s="10" t="s">
        <v>4</v>
      </c>
      <c r="C12" s="11" t="s">
        <v>14</v>
      </c>
      <c r="D12" s="13">
        <v>3200</v>
      </c>
      <c r="E12" s="13">
        <f t="shared" si="0"/>
        <v>3200</v>
      </c>
      <c r="F12" s="13">
        <f t="shared" si="1"/>
        <v>3536</v>
      </c>
      <c r="G12" s="2"/>
      <c r="H12" s="7" t="s">
        <v>107</v>
      </c>
      <c r="I12" s="13"/>
      <c r="J12" s="13">
        <f t="shared" si="2"/>
        <v>0</v>
      </c>
      <c r="K12" s="13">
        <f t="shared" si="3"/>
        <v>3536</v>
      </c>
      <c r="L12" s="14">
        <f t="shared" si="4"/>
        <v>1.105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</v>
      </c>
      <c r="B13" s="10" t="s">
        <v>21</v>
      </c>
      <c r="C13" s="11" t="s">
        <v>133</v>
      </c>
      <c r="D13" s="13">
        <v>3000</v>
      </c>
      <c r="E13" s="13">
        <f t="shared" si="0"/>
        <v>3000</v>
      </c>
      <c r="F13" s="13">
        <f t="shared" si="1"/>
        <v>3315</v>
      </c>
      <c r="G13" s="2"/>
      <c r="H13" s="2"/>
      <c r="I13" s="13">
        <f>5000/6</f>
        <v>833.33333333333337</v>
      </c>
      <c r="J13" s="13">
        <f t="shared" si="2"/>
        <v>833.33333333333337</v>
      </c>
      <c r="K13" s="13">
        <f t="shared" si="3"/>
        <v>2481.6666666666665</v>
      </c>
      <c r="L13" s="14">
        <f t="shared" si="4"/>
        <v>0.82722222222222219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0.7</v>
      </c>
      <c r="B14" s="10" t="s">
        <v>17</v>
      </c>
      <c r="C14" s="11" t="s">
        <v>35</v>
      </c>
      <c r="D14" s="13">
        <v>2500</v>
      </c>
      <c r="E14" s="13">
        <f t="shared" si="0"/>
        <v>1750</v>
      </c>
      <c r="F14" s="13">
        <f t="shared" si="1"/>
        <v>1933.75</v>
      </c>
      <c r="G14" s="2"/>
      <c r="H14" s="2"/>
      <c r="I14" s="13">
        <f>14000/9</f>
        <v>1555.5555555555557</v>
      </c>
      <c r="J14" s="13">
        <f t="shared" si="2"/>
        <v>1088.8888888888889</v>
      </c>
      <c r="K14" s="13">
        <f t="shared" si="3"/>
        <v>844.86111111111109</v>
      </c>
      <c r="L14" s="14">
        <f t="shared" si="4"/>
        <v>0.48277777777777775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5</v>
      </c>
      <c r="B15" s="10" t="s">
        <v>17</v>
      </c>
      <c r="C15" s="34" t="s">
        <v>56</v>
      </c>
      <c r="D15" s="13">
        <v>1200</v>
      </c>
      <c r="E15" s="13">
        <f t="shared" si="0"/>
        <v>6000</v>
      </c>
      <c r="F15" s="13">
        <f t="shared" si="1"/>
        <v>6630</v>
      </c>
      <c r="G15" s="2"/>
      <c r="H15" s="2"/>
      <c r="I15" s="13">
        <f>10000/15</f>
        <v>666.66666666666663</v>
      </c>
      <c r="J15" s="13">
        <f t="shared" si="2"/>
        <v>3333.333333333333</v>
      </c>
      <c r="K15" s="13">
        <f t="shared" si="3"/>
        <v>3296.666666666667</v>
      </c>
      <c r="L15" s="14">
        <f t="shared" si="4"/>
        <v>0.54944444444444451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17</v>
      </c>
      <c r="C16" s="11" t="s">
        <v>18</v>
      </c>
      <c r="D16" s="13">
        <v>1600</v>
      </c>
      <c r="E16" s="13">
        <f t="shared" si="0"/>
        <v>1600</v>
      </c>
      <c r="F16" s="13">
        <f t="shared" si="1"/>
        <v>1768</v>
      </c>
      <c r="G16" s="2"/>
      <c r="H16" s="2"/>
      <c r="I16" s="13">
        <f>12000/14</f>
        <v>857.14285714285711</v>
      </c>
      <c r="J16" s="13">
        <f t="shared" si="2"/>
        <v>857.14285714285711</v>
      </c>
      <c r="K16" s="13">
        <f t="shared" si="3"/>
        <v>910.85714285714289</v>
      </c>
      <c r="L16" s="14">
        <f t="shared" si="4"/>
        <v>0.56928571428571428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6</v>
      </c>
      <c r="B17" s="10" t="s">
        <v>21</v>
      </c>
      <c r="C17" s="11" t="s">
        <v>22</v>
      </c>
      <c r="D17" s="13">
        <v>1700</v>
      </c>
      <c r="E17" s="13">
        <f t="shared" si="0"/>
        <v>10200</v>
      </c>
      <c r="F17" s="13">
        <f t="shared" si="1"/>
        <v>11271</v>
      </c>
      <c r="G17" s="2"/>
      <c r="H17" s="2"/>
      <c r="I17" s="13">
        <f>1200</f>
        <v>1200</v>
      </c>
      <c r="J17" s="13">
        <f t="shared" si="2"/>
        <v>7200</v>
      </c>
      <c r="K17" s="13">
        <f t="shared" si="3"/>
        <v>4071</v>
      </c>
      <c r="L17" s="14">
        <f t="shared" si="4"/>
        <v>0.39911764705882352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1</v>
      </c>
      <c r="B18" s="10" t="s">
        <v>23</v>
      </c>
      <c r="C18" s="11" t="s">
        <v>25</v>
      </c>
      <c r="D18" s="13">
        <v>72000</v>
      </c>
      <c r="E18" s="13">
        <f t="shared" si="0"/>
        <v>72000</v>
      </c>
      <c r="F18" s="13">
        <f t="shared" si="1"/>
        <v>79560</v>
      </c>
      <c r="G18" s="2"/>
      <c r="H18" s="2"/>
      <c r="I18" s="13">
        <v>62000</v>
      </c>
      <c r="J18" s="13">
        <f t="shared" si="2"/>
        <v>62000</v>
      </c>
      <c r="K18" s="13">
        <f t="shared" si="3"/>
        <v>17560</v>
      </c>
      <c r="L18" s="14">
        <f t="shared" si="4"/>
        <v>0.24388888888888888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1</v>
      </c>
      <c r="B19" s="10" t="s">
        <v>23</v>
      </c>
      <c r="C19" s="11" t="s">
        <v>24</v>
      </c>
      <c r="D19" s="13">
        <v>60000</v>
      </c>
      <c r="E19" s="13">
        <f t="shared" si="0"/>
        <v>60000</v>
      </c>
      <c r="F19" s="13">
        <f t="shared" si="1"/>
        <v>66300</v>
      </c>
      <c r="G19" s="2"/>
      <c r="H19" s="2"/>
      <c r="I19" s="13">
        <v>50000</v>
      </c>
      <c r="J19" s="13">
        <f t="shared" si="2"/>
        <v>50000</v>
      </c>
      <c r="K19" s="13">
        <f t="shared" si="3"/>
        <v>16300</v>
      </c>
      <c r="L19" s="14">
        <f t="shared" si="4"/>
        <v>0.27166666666666667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1</v>
      </c>
      <c r="B20" s="10" t="s">
        <v>23</v>
      </c>
      <c r="C20" s="11" t="s">
        <v>26</v>
      </c>
      <c r="D20" s="13">
        <v>22000</v>
      </c>
      <c r="E20" s="13">
        <f t="shared" si="0"/>
        <v>22000</v>
      </c>
      <c r="F20" s="13">
        <f t="shared" si="1"/>
        <v>24310</v>
      </c>
      <c r="G20" s="2"/>
      <c r="H20" s="2"/>
      <c r="I20" s="13">
        <v>12000</v>
      </c>
      <c r="J20" s="13">
        <f t="shared" si="2"/>
        <v>12000</v>
      </c>
      <c r="K20" s="13">
        <f t="shared" si="3"/>
        <v>12310</v>
      </c>
      <c r="L20" s="14">
        <f t="shared" si="4"/>
        <v>0.55954545454545457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1</v>
      </c>
      <c r="B21" s="10" t="s">
        <v>23</v>
      </c>
      <c r="C21" s="11" t="s">
        <v>67</v>
      </c>
      <c r="D21" s="13">
        <v>13000</v>
      </c>
      <c r="E21" s="13">
        <f t="shared" si="0"/>
        <v>13000</v>
      </c>
      <c r="F21" s="13">
        <f t="shared" si="1"/>
        <v>14365</v>
      </c>
      <c r="G21" s="2"/>
      <c r="H21" s="7"/>
      <c r="I21" s="13">
        <v>10000</v>
      </c>
      <c r="J21" s="13">
        <f t="shared" si="2"/>
        <v>10000</v>
      </c>
      <c r="K21" s="13">
        <f t="shared" si="3"/>
        <v>4365</v>
      </c>
      <c r="L21" s="14">
        <f t="shared" si="4"/>
        <v>0.33576923076923076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14.6</v>
      </c>
      <c r="B22" s="10" t="s">
        <v>17</v>
      </c>
      <c r="C22" s="11" t="s">
        <v>62</v>
      </c>
      <c r="D22" s="13">
        <v>3000</v>
      </c>
      <c r="E22" s="13">
        <f t="shared" si="0"/>
        <v>43800</v>
      </c>
      <c r="F22" s="13">
        <f t="shared" si="1"/>
        <v>48399</v>
      </c>
      <c r="G22" s="2"/>
      <c r="H22" s="2"/>
      <c r="I22" s="13">
        <f>28000/17</f>
        <v>1647.0588235294117</v>
      </c>
      <c r="J22" s="13">
        <f t="shared" si="2"/>
        <v>24047.058823529409</v>
      </c>
      <c r="K22" s="13">
        <f t="shared" si="3"/>
        <v>24351.941176470591</v>
      </c>
      <c r="L22" s="14">
        <f t="shared" si="4"/>
        <v>0.55598039215686279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5.4</v>
      </c>
      <c r="B23" s="10" t="s">
        <v>17</v>
      </c>
      <c r="C23" s="34" t="s">
        <v>123</v>
      </c>
      <c r="D23" s="13">
        <v>2000</v>
      </c>
      <c r="E23" s="13">
        <f t="shared" si="0"/>
        <v>10800</v>
      </c>
      <c r="F23" s="13">
        <f t="shared" si="1"/>
        <v>11934</v>
      </c>
      <c r="G23" s="2"/>
      <c r="H23" s="2"/>
      <c r="I23" s="13">
        <f>18000/15</f>
        <v>1200</v>
      </c>
      <c r="J23" s="13">
        <f t="shared" si="2"/>
        <v>6480</v>
      </c>
      <c r="K23" s="13">
        <f t="shared" si="3"/>
        <v>5454</v>
      </c>
      <c r="L23" s="14">
        <f t="shared" si="4"/>
        <v>0.505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4.8</v>
      </c>
      <c r="B24" s="10" t="s">
        <v>17</v>
      </c>
      <c r="C24" s="11" t="s">
        <v>144</v>
      </c>
      <c r="D24" s="13">
        <v>4500</v>
      </c>
      <c r="E24" s="13">
        <f t="shared" si="0"/>
        <v>21600</v>
      </c>
      <c r="F24" s="13">
        <f t="shared" si="1"/>
        <v>23868</v>
      </c>
      <c r="G24" s="2"/>
      <c r="H24" s="2"/>
      <c r="I24" s="13">
        <f>25000/7</f>
        <v>3571.4285714285716</v>
      </c>
      <c r="J24" s="13">
        <f t="shared" si="2"/>
        <v>17142.857142857141</v>
      </c>
      <c r="K24" s="13">
        <f t="shared" si="3"/>
        <v>6725.1428571428587</v>
      </c>
      <c r="L24" s="14">
        <f t="shared" si="4"/>
        <v>0.31134920634920643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5"/>
      <c r="B25" s="2"/>
      <c r="C25" s="4"/>
      <c r="D25" s="2"/>
      <c r="E25" s="2"/>
      <c r="F25" s="2"/>
      <c r="G25" s="2"/>
      <c r="H25" s="2"/>
      <c r="I25" s="2"/>
      <c r="J25" s="2"/>
      <c r="K25" s="2"/>
      <c r="L25" s="3"/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"/>
      <c r="B26" s="2"/>
      <c r="C26" s="4"/>
      <c r="D26" s="2"/>
      <c r="E26" s="13">
        <f t="shared" ref="E26:F26" si="5">SUM(E6:E24)</f>
        <v>361270</v>
      </c>
      <c r="F26" s="13">
        <f t="shared" si="5"/>
        <v>399203.35</v>
      </c>
      <c r="G26" s="2"/>
      <c r="H26" s="2"/>
      <c r="I26" s="2"/>
      <c r="J26" s="2"/>
      <c r="K26" s="13">
        <f>SUM(K6:K24)</f>
        <v>143697.16419234363</v>
      </c>
      <c r="L26" s="14">
        <f>K26/F26</f>
        <v>0.3599598154483013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"/>
      <c r="B27" s="2"/>
      <c r="C27" s="4"/>
      <c r="D27" s="2"/>
      <c r="E27" s="2"/>
      <c r="F27" s="2"/>
      <c r="G27" s="2"/>
      <c r="H27" s="2"/>
      <c r="I27" s="2"/>
      <c r="J27" s="2"/>
      <c r="K27" s="2"/>
      <c r="L27" s="3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"/>
      <c r="B28" s="2"/>
      <c r="C28" s="4"/>
      <c r="D28" s="2"/>
      <c r="E28" s="2"/>
      <c r="F28" s="2"/>
      <c r="G28" s="2"/>
      <c r="H28" s="2"/>
      <c r="I28" s="2"/>
      <c r="J28" s="2"/>
      <c r="K28" s="2"/>
      <c r="L28" s="3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"/>
      <c r="B29" s="2"/>
      <c r="C29" s="4"/>
      <c r="D29" s="2"/>
      <c r="E29" s="2"/>
      <c r="F29" s="2"/>
      <c r="G29" s="2"/>
      <c r="H29" s="2"/>
      <c r="I29" s="2"/>
      <c r="J29" s="2"/>
      <c r="K29" s="2"/>
      <c r="L29" s="3"/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88" t="s">
        <v>59</v>
      </c>
      <c r="B32" s="89"/>
      <c r="C32" s="89"/>
      <c r="D32" s="2"/>
      <c r="E32" s="7" t="s">
        <v>58</v>
      </c>
      <c r="F32" s="8">
        <v>46134</v>
      </c>
      <c r="G32" s="2"/>
      <c r="H32" s="2"/>
      <c r="I32" s="91" t="s">
        <v>2</v>
      </c>
      <c r="J32" s="89"/>
      <c r="K32" s="89"/>
      <c r="L32" s="3"/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"/>
      <c r="B33" s="2"/>
      <c r="C33" s="5"/>
      <c r="D33" s="2"/>
      <c r="E33" s="2"/>
      <c r="F33" s="2"/>
      <c r="G33" s="2"/>
      <c r="H33" s="2"/>
      <c r="I33" s="2"/>
      <c r="J33" s="2"/>
      <c r="K33" s="2"/>
      <c r="L33" s="3"/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6" t="s">
        <v>3</v>
      </c>
      <c r="B34" s="10" t="s">
        <v>4</v>
      </c>
      <c r="C34" s="11" t="s">
        <v>5</v>
      </c>
      <c r="D34" s="10" t="s">
        <v>6</v>
      </c>
      <c r="E34" s="10" t="s">
        <v>7</v>
      </c>
      <c r="F34" s="10" t="s">
        <v>8</v>
      </c>
      <c r="G34" s="7" t="s">
        <v>37</v>
      </c>
      <c r="H34" s="2"/>
      <c r="I34" s="10" t="s">
        <v>9</v>
      </c>
      <c r="J34" s="10" t="s">
        <v>7</v>
      </c>
      <c r="K34" s="10" t="s">
        <v>10</v>
      </c>
      <c r="L34" s="3"/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3</v>
      </c>
      <c r="B35" s="10" t="s">
        <v>17</v>
      </c>
      <c r="C35" s="11" t="s">
        <v>39</v>
      </c>
      <c r="D35" s="13">
        <v>1600</v>
      </c>
      <c r="E35" s="13">
        <f t="shared" ref="E35:E60" si="6">A35*D35</f>
        <v>4800</v>
      </c>
      <c r="F35" s="13">
        <f t="shared" ref="F35:F60" si="7">E35*1.105</f>
        <v>5304</v>
      </c>
      <c r="G35" s="2"/>
      <c r="H35" s="2"/>
      <c r="I35" s="13">
        <f>20000/15</f>
        <v>1333.3333333333333</v>
      </c>
      <c r="J35" s="13">
        <f t="shared" ref="J35:J60" si="8">I35*A35</f>
        <v>4000</v>
      </c>
      <c r="K35" s="13">
        <f t="shared" ref="K35:K60" si="9">F35-J35</f>
        <v>1304</v>
      </c>
      <c r="L35" s="14">
        <f t="shared" ref="L35:L60" si="10">IFERROR(K35/E35, 0)</f>
        <v>0.27166666666666667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</v>
      </c>
      <c r="B36" s="10" t="s">
        <v>23</v>
      </c>
      <c r="C36" s="11" t="s">
        <v>39</v>
      </c>
      <c r="D36" s="13">
        <v>22000</v>
      </c>
      <c r="E36" s="13">
        <f t="shared" si="6"/>
        <v>22000</v>
      </c>
      <c r="F36" s="13">
        <f t="shared" si="7"/>
        <v>24310</v>
      </c>
      <c r="G36" s="2"/>
      <c r="H36" s="2"/>
      <c r="I36" s="13">
        <v>20000</v>
      </c>
      <c r="J36" s="13">
        <f t="shared" si="8"/>
        <v>20000</v>
      </c>
      <c r="K36" s="13">
        <f t="shared" si="9"/>
        <v>4310</v>
      </c>
      <c r="L36" s="14">
        <f t="shared" si="10"/>
        <v>0.19590909090909092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3</v>
      </c>
      <c r="B37" s="10" t="s">
        <v>17</v>
      </c>
      <c r="C37" s="11" t="s">
        <v>43</v>
      </c>
      <c r="D37" s="13">
        <v>5000</v>
      </c>
      <c r="E37" s="13">
        <f t="shared" si="6"/>
        <v>15000</v>
      </c>
      <c r="F37" s="13">
        <f t="shared" si="7"/>
        <v>16575</v>
      </c>
      <c r="G37" s="7"/>
      <c r="H37" s="2"/>
      <c r="I37" s="13">
        <f>12000/4</f>
        <v>3000</v>
      </c>
      <c r="J37" s="13">
        <f t="shared" si="8"/>
        <v>9000</v>
      </c>
      <c r="K37" s="13">
        <f t="shared" si="9"/>
        <v>7575</v>
      </c>
      <c r="L37" s="14">
        <f t="shared" si="10"/>
        <v>0.505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15</v>
      </c>
      <c r="B38" s="10" t="s">
        <v>21</v>
      </c>
      <c r="C38" s="11" t="s">
        <v>46</v>
      </c>
      <c r="D38" s="13">
        <v>600</v>
      </c>
      <c r="E38" s="13">
        <f t="shared" si="6"/>
        <v>9000</v>
      </c>
      <c r="F38" s="13">
        <f t="shared" si="7"/>
        <v>9945</v>
      </c>
      <c r="G38" s="2"/>
      <c r="H38" s="2"/>
      <c r="I38" s="13">
        <f>7000/24</f>
        <v>291.66666666666669</v>
      </c>
      <c r="J38" s="13">
        <f t="shared" si="8"/>
        <v>4375</v>
      </c>
      <c r="K38" s="13">
        <f t="shared" si="9"/>
        <v>5570</v>
      </c>
      <c r="L38" s="14">
        <f t="shared" si="10"/>
        <v>0.61888888888888893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1</v>
      </c>
      <c r="B39" s="10" t="s">
        <v>4</v>
      </c>
      <c r="C39" s="11" t="s">
        <v>14</v>
      </c>
      <c r="D39" s="13">
        <v>3200</v>
      </c>
      <c r="E39" s="13">
        <f t="shared" si="6"/>
        <v>3200</v>
      </c>
      <c r="F39" s="13">
        <f t="shared" si="7"/>
        <v>3536</v>
      </c>
      <c r="G39" s="7"/>
      <c r="H39" s="2"/>
      <c r="I39" s="13">
        <f>21000/8</f>
        <v>2625</v>
      </c>
      <c r="J39" s="13">
        <f t="shared" si="8"/>
        <v>2625</v>
      </c>
      <c r="K39" s="13">
        <f t="shared" si="9"/>
        <v>911</v>
      </c>
      <c r="L39" s="14">
        <f t="shared" si="10"/>
        <v>0.28468749999999998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2">
        <v>10</v>
      </c>
      <c r="B40" s="10" t="s">
        <v>21</v>
      </c>
      <c r="C40" s="11" t="s">
        <v>130</v>
      </c>
      <c r="D40" s="13">
        <v>1400</v>
      </c>
      <c r="E40" s="13">
        <f t="shared" si="6"/>
        <v>14000</v>
      </c>
      <c r="F40" s="13">
        <f t="shared" si="7"/>
        <v>15470</v>
      </c>
      <c r="G40" s="7"/>
      <c r="H40" s="2"/>
      <c r="I40" s="13">
        <f>6000/10</f>
        <v>600</v>
      </c>
      <c r="J40" s="13">
        <f t="shared" si="8"/>
        <v>6000</v>
      </c>
      <c r="K40" s="13">
        <f t="shared" si="9"/>
        <v>9470</v>
      </c>
      <c r="L40" s="14">
        <f t="shared" si="10"/>
        <v>0.67642857142857138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2">
        <v>4</v>
      </c>
      <c r="B41" s="10" t="s">
        <v>17</v>
      </c>
      <c r="C41" s="11" t="s">
        <v>31</v>
      </c>
      <c r="D41" s="13">
        <v>3200</v>
      </c>
      <c r="E41" s="13">
        <f t="shared" si="6"/>
        <v>12800</v>
      </c>
      <c r="F41" s="13">
        <f t="shared" si="7"/>
        <v>14144</v>
      </c>
      <c r="G41" s="7"/>
      <c r="H41" s="2"/>
      <c r="I41" s="13">
        <f>15000/8</f>
        <v>1875</v>
      </c>
      <c r="J41" s="13">
        <f t="shared" si="8"/>
        <v>7500</v>
      </c>
      <c r="K41" s="13">
        <f t="shared" si="9"/>
        <v>6644</v>
      </c>
      <c r="L41" s="14">
        <f t="shared" si="10"/>
        <v>0.51906249999999998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2">
        <v>4</v>
      </c>
      <c r="B42" s="10" t="s">
        <v>17</v>
      </c>
      <c r="C42" s="11" t="s">
        <v>32</v>
      </c>
      <c r="D42" s="13">
        <v>2400</v>
      </c>
      <c r="E42" s="13">
        <f t="shared" si="6"/>
        <v>9600</v>
      </c>
      <c r="F42" s="13">
        <f t="shared" si="7"/>
        <v>10608</v>
      </c>
      <c r="G42" s="7"/>
      <c r="H42" s="2"/>
      <c r="I42" s="13">
        <f>12000/7</f>
        <v>1714.2857142857142</v>
      </c>
      <c r="J42" s="13">
        <f t="shared" si="8"/>
        <v>6857.1428571428569</v>
      </c>
      <c r="K42" s="13">
        <f t="shared" si="9"/>
        <v>3750.8571428571431</v>
      </c>
      <c r="L42" s="14">
        <f t="shared" si="10"/>
        <v>0.39071428571428574</v>
      </c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2</v>
      </c>
      <c r="B43" s="10" t="s">
        <v>17</v>
      </c>
      <c r="C43" s="11" t="s">
        <v>33</v>
      </c>
      <c r="D43" s="13">
        <v>2800</v>
      </c>
      <c r="E43" s="13">
        <f t="shared" si="6"/>
        <v>5600</v>
      </c>
      <c r="F43" s="13">
        <f t="shared" si="7"/>
        <v>6188</v>
      </c>
      <c r="G43" s="7"/>
      <c r="H43" s="2"/>
      <c r="I43" s="13">
        <v>2000</v>
      </c>
      <c r="J43" s="13">
        <f t="shared" si="8"/>
        <v>4000</v>
      </c>
      <c r="K43" s="13">
        <f t="shared" si="9"/>
        <v>2188</v>
      </c>
      <c r="L43" s="14">
        <f t="shared" si="10"/>
        <v>0.39071428571428574</v>
      </c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3</v>
      </c>
      <c r="B44" s="10" t="s">
        <v>17</v>
      </c>
      <c r="C44" s="11" t="s">
        <v>18</v>
      </c>
      <c r="D44" s="13">
        <v>1600</v>
      </c>
      <c r="E44" s="13">
        <f t="shared" si="6"/>
        <v>4800</v>
      </c>
      <c r="F44" s="13">
        <f t="shared" si="7"/>
        <v>5304</v>
      </c>
      <c r="G44" s="7"/>
      <c r="I44" s="13">
        <f>12000/14</f>
        <v>857.14285714285711</v>
      </c>
      <c r="J44" s="13">
        <f t="shared" si="8"/>
        <v>2571.4285714285716</v>
      </c>
      <c r="K44" s="13">
        <f t="shared" si="9"/>
        <v>2732.5714285714284</v>
      </c>
      <c r="L44" s="14">
        <f t="shared" si="10"/>
        <v>0.56928571428571428</v>
      </c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3</v>
      </c>
      <c r="B45" s="10" t="s">
        <v>17</v>
      </c>
      <c r="C45" s="11" t="s">
        <v>56</v>
      </c>
      <c r="D45" s="13">
        <v>1200</v>
      </c>
      <c r="E45" s="13">
        <f t="shared" si="6"/>
        <v>3600</v>
      </c>
      <c r="F45" s="13">
        <f t="shared" si="7"/>
        <v>3978</v>
      </c>
      <c r="G45" s="7"/>
      <c r="I45" s="13">
        <f>10000/15</f>
        <v>666.66666666666663</v>
      </c>
      <c r="J45" s="13">
        <f t="shared" si="8"/>
        <v>2000</v>
      </c>
      <c r="K45" s="13">
        <f t="shared" si="9"/>
        <v>1978</v>
      </c>
      <c r="L45" s="14">
        <f t="shared" si="10"/>
        <v>0.5494444444444444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3.3</v>
      </c>
      <c r="B46" s="10" t="s">
        <v>17</v>
      </c>
      <c r="C46" s="11" t="s">
        <v>38</v>
      </c>
      <c r="D46" s="13">
        <v>1800</v>
      </c>
      <c r="E46" s="13">
        <f t="shared" si="6"/>
        <v>5940</v>
      </c>
      <c r="F46" s="13">
        <f t="shared" si="7"/>
        <v>6563.7</v>
      </c>
      <c r="G46" s="2"/>
      <c r="H46" s="2"/>
      <c r="I46" s="13">
        <v>800</v>
      </c>
      <c r="J46" s="13">
        <f t="shared" si="8"/>
        <v>2640</v>
      </c>
      <c r="K46" s="13">
        <f t="shared" si="9"/>
        <v>3923.7</v>
      </c>
      <c r="L46" s="14">
        <f t="shared" si="10"/>
        <v>0.66055555555555556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4.75</v>
      </c>
      <c r="B47" s="10" t="s">
        <v>17</v>
      </c>
      <c r="C47" s="11" t="s">
        <v>36</v>
      </c>
      <c r="D47" s="13">
        <v>1800</v>
      </c>
      <c r="E47" s="13">
        <f t="shared" si="6"/>
        <v>8550</v>
      </c>
      <c r="F47" s="13">
        <f t="shared" si="7"/>
        <v>9447.75</v>
      </c>
      <c r="G47" s="2"/>
      <c r="H47" s="2"/>
      <c r="I47" s="13">
        <v>800</v>
      </c>
      <c r="J47" s="13">
        <f t="shared" si="8"/>
        <v>3800</v>
      </c>
      <c r="K47" s="13">
        <f t="shared" si="9"/>
        <v>5647.75</v>
      </c>
      <c r="L47" s="14">
        <f t="shared" si="10"/>
        <v>0.66055555555555556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3</v>
      </c>
      <c r="B48" s="10" t="s">
        <v>17</v>
      </c>
      <c r="C48" s="11" t="s">
        <v>82</v>
      </c>
      <c r="D48" s="13">
        <v>2200</v>
      </c>
      <c r="E48" s="13">
        <f t="shared" si="6"/>
        <v>6600</v>
      </c>
      <c r="F48" s="13">
        <f t="shared" si="7"/>
        <v>7293</v>
      </c>
      <c r="G48" s="2"/>
      <c r="H48" s="2"/>
      <c r="I48" s="13">
        <f>25000/14</f>
        <v>1785.7142857142858</v>
      </c>
      <c r="J48" s="13">
        <f t="shared" si="8"/>
        <v>5357.1428571428569</v>
      </c>
      <c r="K48" s="13">
        <f t="shared" si="9"/>
        <v>1935.8571428571431</v>
      </c>
      <c r="L48" s="14">
        <f t="shared" si="10"/>
        <v>0.29331168831168836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4</v>
      </c>
      <c r="B49" s="10" t="s">
        <v>15</v>
      </c>
      <c r="C49" s="11" t="s">
        <v>27</v>
      </c>
      <c r="D49" s="13">
        <v>25000</v>
      </c>
      <c r="E49" s="13">
        <f t="shared" si="6"/>
        <v>100000</v>
      </c>
      <c r="F49" s="13">
        <f t="shared" si="7"/>
        <v>110500</v>
      </c>
      <c r="G49" s="7"/>
      <c r="H49" s="2"/>
      <c r="I49" s="13">
        <v>18000</v>
      </c>
      <c r="J49" s="13">
        <f t="shared" si="8"/>
        <v>72000</v>
      </c>
      <c r="K49" s="13">
        <f t="shared" si="9"/>
        <v>38500</v>
      </c>
      <c r="L49" s="14">
        <f t="shared" si="10"/>
        <v>0.38500000000000001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1</v>
      </c>
      <c r="B50" s="10" t="s">
        <v>15</v>
      </c>
      <c r="C50" s="11" t="s">
        <v>40</v>
      </c>
      <c r="D50" s="13">
        <v>12000</v>
      </c>
      <c r="E50" s="13">
        <f t="shared" si="6"/>
        <v>12000</v>
      </c>
      <c r="F50" s="13">
        <f t="shared" si="7"/>
        <v>13260</v>
      </c>
      <c r="G50" s="2"/>
      <c r="H50" s="2"/>
      <c r="I50" s="13">
        <v>7000</v>
      </c>
      <c r="J50" s="13">
        <f t="shared" si="8"/>
        <v>7000</v>
      </c>
      <c r="K50" s="13">
        <f t="shared" si="9"/>
        <v>6260</v>
      </c>
      <c r="L50" s="14">
        <f t="shared" si="10"/>
        <v>0.52166666666666661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1</v>
      </c>
      <c r="B51" s="10" t="s">
        <v>15</v>
      </c>
      <c r="C51" s="11" t="s">
        <v>129</v>
      </c>
      <c r="D51" s="13">
        <v>16000</v>
      </c>
      <c r="E51" s="13">
        <f t="shared" si="6"/>
        <v>16000</v>
      </c>
      <c r="F51" s="13">
        <f t="shared" si="7"/>
        <v>17680</v>
      </c>
      <c r="G51" s="7"/>
      <c r="H51" s="7"/>
      <c r="I51" s="13">
        <v>11000</v>
      </c>
      <c r="J51" s="13">
        <f t="shared" si="8"/>
        <v>11000</v>
      </c>
      <c r="K51" s="13">
        <f t="shared" si="9"/>
        <v>6680</v>
      </c>
      <c r="L51" s="14">
        <f t="shared" si="10"/>
        <v>0.41749999999999998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1</v>
      </c>
      <c r="B52" s="10" t="s">
        <v>15</v>
      </c>
      <c r="C52" s="11" t="s">
        <v>16</v>
      </c>
      <c r="D52" s="13">
        <v>13000</v>
      </c>
      <c r="E52" s="13">
        <f t="shared" si="6"/>
        <v>13000</v>
      </c>
      <c r="F52" s="13">
        <f t="shared" si="7"/>
        <v>14365</v>
      </c>
      <c r="G52" s="2"/>
      <c r="H52" s="2"/>
      <c r="I52" s="13">
        <v>8000</v>
      </c>
      <c r="J52" s="13">
        <f t="shared" si="8"/>
        <v>8000</v>
      </c>
      <c r="K52" s="13">
        <f t="shared" si="9"/>
        <v>6365</v>
      </c>
      <c r="L52" s="14">
        <f t="shared" si="10"/>
        <v>0.48961538461538462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2</v>
      </c>
      <c r="B53" s="10" t="s">
        <v>21</v>
      </c>
      <c r="C53" s="11" t="s">
        <v>22</v>
      </c>
      <c r="D53" s="13">
        <v>1700</v>
      </c>
      <c r="E53" s="13">
        <f t="shared" si="6"/>
        <v>3400</v>
      </c>
      <c r="F53" s="13">
        <f t="shared" si="7"/>
        <v>3757</v>
      </c>
      <c r="G53" s="7"/>
      <c r="H53" s="2"/>
      <c r="I53" s="13">
        <f>1200</f>
        <v>1200</v>
      </c>
      <c r="J53" s="13">
        <f t="shared" si="8"/>
        <v>2400</v>
      </c>
      <c r="K53" s="13">
        <f t="shared" si="9"/>
        <v>1357</v>
      </c>
      <c r="L53" s="14">
        <f t="shared" si="10"/>
        <v>0.39911764705882352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1</v>
      </c>
      <c r="B54" s="10" t="s">
        <v>21</v>
      </c>
      <c r="C54" s="11" t="s">
        <v>29</v>
      </c>
      <c r="D54" s="13">
        <v>3500</v>
      </c>
      <c r="E54" s="13">
        <f t="shared" si="6"/>
        <v>3500</v>
      </c>
      <c r="F54" s="13">
        <f t="shared" si="7"/>
        <v>3867.5</v>
      </c>
      <c r="G54" s="7"/>
      <c r="H54" s="2"/>
      <c r="I54" s="13">
        <v>1250</v>
      </c>
      <c r="J54" s="13">
        <f t="shared" si="8"/>
        <v>1250</v>
      </c>
      <c r="K54" s="13">
        <f t="shared" si="9"/>
        <v>2617.5</v>
      </c>
      <c r="L54" s="14">
        <f t="shared" si="10"/>
        <v>0.74785714285714289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</v>
      </c>
      <c r="B55" s="10" t="s">
        <v>21</v>
      </c>
      <c r="C55" s="11" t="s">
        <v>133</v>
      </c>
      <c r="D55" s="13">
        <v>3000</v>
      </c>
      <c r="E55" s="13">
        <f t="shared" si="6"/>
        <v>3000</v>
      </c>
      <c r="F55" s="13">
        <f t="shared" si="7"/>
        <v>3315</v>
      </c>
      <c r="G55" s="7"/>
      <c r="H55" s="2"/>
      <c r="I55" s="13">
        <f>5000/6</f>
        <v>833.33333333333337</v>
      </c>
      <c r="J55" s="13">
        <f t="shared" si="8"/>
        <v>833.33333333333337</v>
      </c>
      <c r="K55" s="13">
        <f t="shared" si="9"/>
        <v>2481.6666666666665</v>
      </c>
      <c r="L55" s="14">
        <f t="shared" si="10"/>
        <v>0.82722222222222219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2</v>
      </c>
      <c r="B56" s="10" t="s">
        <v>23</v>
      </c>
      <c r="C56" s="11" t="s">
        <v>26</v>
      </c>
      <c r="D56" s="13">
        <v>22000</v>
      </c>
      <c r="E56" s="13">
        <f t="shared" si="6"/>
        <v>44000</v>
      </c>
      <c r="F56" s="13">
        <f t="shared" si="7"/>
        <v>48620</v>
      </c>
      <c r="G56" s="7"/>
      <c r="H56" s="2"/>
      <c r="I56" s="17">
        <v>12000</v>
      </c>
      <c r="J56" s="13">
        <f t="shared" si="8"/>
        <v>24000</v>
      </c>
      <c r="K56" s="13">
        <f t="shared" si="9"/>
        <v>24620</v>
      </c>
      <c r="L56" s="14">
        <f t="shared" si="10"/>
        <v>0.55954545454545457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4</v>
      </c>
      <c r="B57" s="10" t="s">
        <v>17</v>
      </c>
      <c r="C57" s="11" t="s">
        <v>24</v>
      </c>
      <c r="D57" s="13">
        <v>3600</v>
      </c>
      <c r="E57" s="13">
        <f t="shared" si="6"/>
        <v>14400</v>
      </c>
      <c r="F57" s="13">
        <f t="shared" si="7"/>
        <v>15912</v>
      </c>
      <c r="G57" s="7"/>
      <c r="H57" s="2"/>
      <c r="I57" s="13">
        <f>50000/17</f>
        <v>2941.1764705882351</v>
      </c>
      <c r="J57" s="13">
        <f t="shared" si="8"/>
        <v>11764.705882352941</v>
      </c>
      <c r="K57" s="13">
        <f t="shared" si="9"/>
        <v>4147.2941176470595</v>
      </c>
      <c r="L57" s="14">
        <f t="shared" si="10"/>
        <v>0.28800653594771247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3</v>
      </c>
      <c r="B58" s="10" t="s">
        <v>17</v>
      </c>
      <c r="C58" s="11" t="s">
        <v>25</v>
      </c>
      <c r="D58" s="13">
        <v>4500</v>
      </c>
      <c r="E58" s="13">
        <f t="shared" si="6"/>
        <v>13500</v>
      </c>
      <c r="F58" s="13">
        <f t="shared" si="7"/>
        <v>14917.5</v>
      </c>
      <c r="G58" s="7"/>
      <c r="H58" s="2"/>
      <c r="I58" s="13">
        <f>62000/17</f>
        <v>3647.0588235294117</v>
      </c>
      <c r="J58" s="13">
        <f t="shared" si="8"/>
        <v>10941.176470588234</v>
      </c>
      <c r="K58" s="13">
        <f t="shared" si="9"/>
        <v>3976.3235294117658</v>
      </c>
      <c r="L58" s="14">
        <f t="shared" si="10"/>
        <v>0.2945424836601308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4</v>
      </c>
      <c r="B59" s="10" t="s">
        <v>17</v>
      </c>
      <c r="C59" s="11" t="s">
        <v>62</v>
      </c>
      <c r="D59" s="13">
        <v>3000</v>
      </c>
      <c r="E59" s="13">
        <f t="shared" si="6"/>
        <v>12000</v>
      </c>
      <c r="F59" s="13">
        <f t="shared" si="7"/>
        <v>13260</v>
      </c>
      <c r="G59" s="7"/>
      <c r="H59" s="2"/>
      <c r="I59" s="13">
        <f>28000/17</f>
        <v>1647.0588235294117</v>
      </c>
      <c r="J59" s="13">
        <f t="shared" si="8"/>
        <v>6588.2352941176468</v>
      </c>
      <c r="K59" s="13">
        <f t="shared" si="9"/>
        <v>6671.7647058823532</v>
      </c>
      <c r="L59" s="14">
        <f t="shared" si="10"/>
        <v>0.55598039215686279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5</v>
      </c>
      <c r="B60" s="10" t="s">
        <v>17</v>
      </c>
      <c r="C60" s="11" t="s">
        <v>123</v>
      </c>
      <c r="D60" s="13">
        <v>2000</v>
      </c>
      <c r="E60" s="13">
        <f t="shared" si="6"/>
        <v>10000</v>
      </c>
      <c r="F60" s="13">
        <f t="shared" si="7"/>
        <v>11050</v>
      </c>
      <c r="G60" s="2"/>
      <c r="H60" s="2"/>
      <c r="I60" s="13">
        <f>18000/15</f>
        <v>1200</v>
      </c>
      <c r="J60" s="13">
        <f t="shared" si="8"/>
        <v>6000</v>
      </c>
      <c r="K60" s="13">
        <f t="shared" si="9"/>
        <v>5050</v>
      </c>
      <c r="L60" s="14">
        <f t="shared" si="10"/>
        <v>0.505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5"/>
      <c r="B61" s="2"/>
      <c r="C61" s="4"/>
      <c r="D61" s="2"/>
      <c r="E61" s="2"/>
      <c r="F61" s="2"/>
      <c r="G61" s="2"/>
      <c r="H61" s="2"/>
      <c r="I61" s="2"/>
      <c r="J61" s="2"/>
      <c r="K61" s="2"/>
      <c r="L61" s="3"/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"/>
      <c r="B62" s="2"/>
      <c r="C62" s="4"/>
      <c r="D62" s="2"/>
      <c r="E62" s="13">
        <f t="shared" ref="E62:F62" si="11">SUM(E35:E60)</f>
        <v>370290</v>
      </c>
      <c r="F62" s="13">
        <f t="shared" si="11"/>
        <v>409170.45</v>
      </c>
      <c r="G62" s="2"/>
      <c r="H62" s="2"/>
      <c r="I62" s="2"/>
      <c r="J62" s="2"/>
      <c r="K62" s="13">
        <f>SUM(K35:K60)</f>
        <v>166667.28473389355</v>
      </c>
      <c r="L62" s="14">
        <f>K62/F62</f>
        <v>0.40732971976322718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0"/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"/>
      <c r="B66" s="1"/>
      <c r="C66" s="1"/>
      <c r="D66" s="1"/>
      <c r="E66" s="1"/>
      <c r="F66" s="8"/>
      <c r="G66" s="1"/>
      <c r="H66" s="1"/>
      <c r="I66" s="1"/>
      <c r="J66" s="1"/>
      <c r="K66" s="1"/>
      <c r="L66" s="20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88" t="s">
        <v>66</v>
      </c>
      <c r="B67" s="89"/>
      <c r="C67" s="89"/>
      <c r="D67" s="2"/>
      <c r="E67" s="7" t="s">
        <v>194</v>
      </c>
      <c r="F67" s="8">
        <v>46134</v>
      </c>
      <c r="G67" s="7" t="s">
        <v>37</v>
      </c>
      <c r="H67" s="2"/>
      <c r="I67" s="91" t="s">
        <v>2</v>
      </c>
      <c r="J67" s="89"/>
      <c r="K67" s="89"/>
      <c r="L67" s="3"/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"/>
      <c r="B68" s="2"/>
      <c r="C68" s="5"/>
      <c r="D68" s="2"/>
      <c r="E68" s="2"/>
      <c r="F68" s="8"/>
      <c r="G68" s="2"/>
      <c r="H68" s="2"/>
      <c r="I68" s="2"/>
      <c r="J68" s="2"/>
      <c r="K68" s="2"/>
      <c r="L68" s="3"/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6" t="s">
        <v>3</v>
      </c>
      <c r="B69" s="10" t="s">
        <v>4</v>
      </c>
      <c r="C69" s="11" t="s">
        <v>5</v>
      </c>
      <c r="D69" s="10" t="s">
        <v>6</v>
      </c>
      <c r="E69" s="10" t="s">
        <v>7</v>
      </c>
      <c r="F69" s="10" t="s">
        <v>8</v>
      </c>
      <c r="G69" s="2"/>
      <c r="H69" s="2"/>
      <c r="I69" s="10" t="s">
        <v>9</v>
      </c>
      <c r="J69" s="10" t="s">
        <v>7</v>
      </c>
      <c r="K69" s="10" t="s">
        <v>10</v>
      </c>
      <c r="L69" s="3"/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8</v>
      </c>
      <c r="B70" s="10" t="s">
        <v>17</v>
      </c>
      <c r="C70" s="11" t="s">
        <v>39</v>
      </c>
      <c r="D70" s="13">
        <v>1600</v>
      </c>
      <c r="E70" s="13">
        <f t="shared" ref="E70:E91" si="12">A70*D70</f>
        <v>12800</v>
      </c>
      <c r="F70" s="13">
        <f t="shared" ref="F70:F90" si="13">E70*1.105</f>
        <v>14144</v>
      </c>
      <c r="G70" s="7"/>
      <c r="H70" s="2"/>
      <c r="I70" s="13">
        <f>20000/15</f>
        <v>1333.3333333333333</v>
      </c>
      <c r="J70" s="13">
        <f t="shared" ref="J70:J91" si="14">I70*A70</f>
        <v>10666.666666666666</v>
      </c>
      <c r="K70" s="13">
        <f t="shared" ref="K70:K91" si="15">F70-J70</f>
        <v>3477.3333333333339</v>
      </c>
      <c r="L70" s="14">
        <f t="shared" ref="L70:L91" si="16">IFERROR(K70/E70, 0)</f>
        <v>0.27166666666666672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6</v>
      </c>
      <c r="B71" s="10" t="s">
        <v>17</v>
      </c>
      <c r="C71" s="11" t="s">
        <v>43</v>
      </c>
      <c r="D71" s="13">
        <v>5000</v>
      </c>
      <c r="E71" s="13">
        <f t="shared" si="12"/>
        <v>30000</v>
      </c>
      <c r="F71" s="13">
        <f t="shared" si="13"/>
        <v>33150</v>
      </c>
      <c r="G71" s="7"/>
      <c r="H71" s="2"/>
      <c r="I71" s="13">
        <f>12000/4</f>
        <v>3000</v>
      </c>
      <c r="J71" s="13">
        <f t="shared" si="14"/>
        <v>18000</v>
      </c>
      <c r="K71" s="13">
        <f t="shared" si="15"/>
        <v>15150</v>
      </c>
      <c r="L71" s="14">
        <f t="shared" si="16"/>
        <v>0.505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16</v>
      </c>
      <c r="B72" s="10" t="s">
        <v>21</v>
      </c>
      <c r="C72" s="11" t="s">
        <v>46</v>
      </c>
      <c r="D72" s="13">
        <v>600</v>
      </c>
      <c r="E72" s="13">
        <f t="shared" si="12"/>
        <v>9600</v>
      </c>
      <c r="F72" s="13">
        <f t="shared" si="13"/>
        <v>10608</v>
      </c>
      <c r="G72" s="7"/>
      <c r="H72" s="7" t="s">
        <v>37</v>
      </c>
      <c r="I72" s="13">
        <f>7000/24</f>
        <v>291.66666666666669</v>
      </c>
      <c r="J72" s="13">
        <f t="shared" si="14"/>
        <v>4666.666666666667</v>
      </c>
      <c r="K72" s="13">
        <f t="shared" si="15"/>
        <v>5941.333333333333</v>
      </c>
      <c r="L72" s="14">
        <f t="shared" si="16"/>
        <v>0.61888888888888882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2.8</v>
      </c>
      <c r="B73" s="10" t="s">
        <v>17</v>
      </c>
      <c r="C73" s="11" t="s">
        <v>38</v>
      </c>
      <c r="D73" s="13">
        <v>1800</v>
      </c>
      <c r="E73" s="13">
        <f t="shared" si="12"/>
        <v>5040</v>
      </c>
      <c r="F73" s="13">
        <f t="shared" si="13"/>
        <v>5569.2</v>
      </c>
      <c r="G73" s="7"/>
      <c r="H73" s="2"/>
      <c r="I73" s="13">
        <v>800</v>
      </c>
      <c r="J73" s="13">
        <f t="shared" si="14"/>
        <v>2240</v>
      </c>
      <c r="K73" s="13">
        <f t="shared" si="15"/>
        <v>3329.2</v>
      </c>
      <c r="L73" s="14">
        <f t="shared" si="16"/>
        <v>0.66055555555555556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4</v>
      </c>
      <c r="B74" s="10" t="s">
        <v>15</v>
      </c>
      <c r="C74" s="11" t="s">
        <v>27</v>
      </c>
      <c r="D74" s="13">
        <v>25000</v>
      </c>
      <c r="E74" s="13">
        <f t="shared" si="12"/>
        <v>100000</v>
      </c>
      <c r="F74" s="13">
        <f t="shared" si="13"/>
        <v>110500</v>
      </c>
      <c r="G74" s="7"/>
      <c r="H74" s="2"/>
      <c r="I74" s="13">
        <v>18000</v>
      </c>
      <c r="J74" s="13">
        <f t="shared" si="14"/>
        <v>72000</v>
      </c>
      <c r="K74" s="13">
        <f t="shared" si="15"/>
        <v>38500</v>
      </c>
      <c r="L74" s="14">
        <f t="shared" si="16"/>
        <v>0.38500000000000001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</v>
      </c>
      <c r="B75" s="10" t="s">
        <v>15</v>
      </c>
      <c r="C75" s="11" t="s">
        <v>16</v>
      </c>
      <c r="D75" s="13">
        <v>13000</v>
      </c>
      <c r="E75" s="13">
        <f t="shared" si="12"/>
        <v>13000</v>
      </c>
      <c r="F75" s="13">
        <f t="shared" si="13"/>
        <v>14365</v>
      </c>
      <c r="G75" s="7"/>
      <c r="H75" s="2"/>
      <c r="I75" s="13">
        <v>8000</v>
      </c>
      <c r="J75" s="13">
        <f t="shared" si="14"/>
        <v>8000</v>
      </c>
      <c r="K75" s="13">
        <f t="shared" si="15"/>
        <v>6365</v>
      </c>
      <c r="L75" s="14">
        <f t="shared" si="16"/>
        <v>0.48961538461538462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</v>
      </c>
      <c r="B76" s="10" t="s">
        <v>15</v>
      </c>
      <c r="C76" s="11" t="s">
        <v>129</v>
      </c>
      <c r="D76" s="13">
        <v>16000</v>
      </c>
      <c r="E76" s="13">
        <f t="shared" si="12"/>
        <v>16000</v>
      </c>
      <c r="F76" s="13">
        <f t="shared" si="13"/>
        <v>17680</v>
      </c>
      <c r="G76" s="7"/>
      <c r="H76" s="2"/>
      <c r="I76" s="13">
        <v>11000</v>
      </c>
      <c r="J76" s="13">
        <f t="shared" si="14"/>
        <v>11000</v>
      </c>
      <c r="K76" s="13">
        <f t="shared" si="15"/>
        <v>6680</v>
      </c>
      <c r="L76" s="14">
        <f t="shared" si="16"/>
        <v>0.41749999999999998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3</v>
      </c>
      <c r="B77" s="10" t="s">
        <v>17</v>
      </c>
      <c r="C77" s="11" t="s">
        <v>31</v>
      </c>
      <c r="D77" s="13">
        <v>3200</v>
      </c>
      <c r="E77" s="13">
        <f t="shared" si="12"/>
        <v>9600</v>
      </c>
      <c r="F77" s="13">
        <f t="shared" si="13"/>
        <v>10608</v>
      </c>
      <c r="G77" s="7"/>
      <c r="H77" s="2"/>
      <c r="I77" s="13">
        <f>15000/8</f>
        <v>1875</v>
      </c>
      <c r="J77" s="13">
        <f t="shared" si="14"/>
        <v>5625</v>
      </c>
      <c r="K77" s="13">
        <f t="shared" si="15"/>
        <v>4983</v>
      </c>
      <c r="L77" s="14">
        <f t="shared" si="16"/>
        <v>0.51906249999999998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1</v>
      </c>
      <c r="B78" s="10" t="s">
        <v>17</v>
      </c>
      <c r="C78" s="11" t="s">
        <v>33</v>
      </c>
      <c r="D78" s="13">
        <v>2800</v>
      </c>
      <c r="E78" s="13">
        <f t="shared" si="12"/>
        <v>2800</v>
      </c>
      <c r="F78" s="13">
        <f t="shared" si="13"/>
        <v>3094</v>
      </c>
      <c r="G78" s="7"/>
      <c r="H78" s="2"/>
      <c r="I78" s="13">
        <v>2000</v>
      </c>
      <c r="J78" s="13">
        <f t="shared" si="14"/>
        <v>2000</v>
      </c>
      <c r="K78" s="13">
        <f t="shared" si="15"/>
        <v>1094</v>
      </c>
      <c r="L78" s="14">
        <f t="shared" si="16"/>
        <v>0.39071428571428574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3</v>
      </c>
      <c r="B79" s="10" t="s">
        <v>21</v>
      </c>
      <c r="C79" s="11" t="s">
        <v>130</v>
      </c>
      <c r="D79" s="13">
        <v>1400</v>
      </c>
      <c r="E79" s="13">
        <f t="shared" si="12"/>
        <v>4200</v>
      </c>
      <c r="F79" s="13">
        <f t="shared" si="13"/>
        <v>4641</v>
      </c>
      <c r="G79" s="7"/>
      <c r="H79" s="2"/>
      <c r="I79" s="17">
        <v>600</v>
      </c>
      <c r="J79" s="13">
        <f t="shared" si="14"/>
        <v>1800</v>
      </c>
      <c r="K79" s="13">
        <f t="shared" si="15"/>
        <v>2841</v>
      </c>
      <c r="L79" s="14">
        <f t="shared" si="16"/>
        <v>0.67642857142857138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2</v>
      </c>
      <c r="B80" s="10" t="s">
        <v>4</v>
      </c>
      <c r="C80" s="11" t="s">
        <v>13</v>
      </c>
      <c r="D80" s="13">
        <v>900</v>
      </c>
      <c r="E80" s="13">
        <f t="shared" si="12"/>
        <v>1800</v>
      </c>
      <c r="F80" s="13">
        <f t="shared" si="13"/>
        <v>1989</v>
      </c>
      <c r="G80" s="7"/>
      <c r="H80" s="2"/>
      <c r="I80" s="13">
        <v>520</v>
      </c>
      <c r="J80" s="13">
        <f t="shared" si="14"/>
        <v>1040</v>
      </c>
      <c r="K80" s="13">
        <f t="shared" si="15"/>
        <v>949</v>
      </c>
      <c r="L80" s="14">
        <f t="shared" si="16"/>
        <v>0.52722222222222226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1</v>
      </c>
      <c r="B81" s="10" t="s">
        <v>21</v>
      </c>
      <c r="C81" s="11" t="s">
        <v>133</v>
      </c>
      <c r="D81" s="13">
        <v>3000</v>
      </c>
      <c r="E81" s="13">
        <f t="shared" si="12"/>
        <v>3000</v>
      </c>
      <c r="F81" s="13">
        <f t="shared" si="13"/>
        <v>3315</v>
      </c>
      <c r="G81" s="7"/>
      <c r="H81" s="2"/>
      <c r="I81" s="13">
        <f>5000/6</f>
        <v>833.33333333333337</v>
      </c>
      <c r="J81" s="13">
        <f t="shared" si="14"/>
        <v>833.33333333333337</v>
      </c>
      <c r="K81" s="13">
        <f t="shared" si="15"/>
        <v>2481.6666666666665</v>
      </c>
      <c r="L81" s="14">
        <f t="shared" si="16"/>
        <v>0.82722222222222219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0.5</v>
      </c>
      <c r="B82" s="10" t="s">
        <v>17</v>
      </c>
      <c r="C82" s="11" t="s">
        <v>35</v>
      </c>
      <c r="D82" s="13">
        <v>2500</v>
      </c>
      <c r="E82" s="13">
        <f t="shared" si="12"/>
        <v>1250</v>
      </c>
      <c r="F82" s="13">
        <f t="shared" si="13"/>
        <v>1381.25</v>
      </c>
      <c r="G82" s="7"/>
      <c r="H82" s="2"/>
      <c r="I82" s="13">
        <f>14000/9</f>
        <v>1555.5555555555557</v>
      </c>
      <c r="J82" s="13">
        <f t="shared" si="14"/>
        <v>777.77777777777783</v>
      </c>
      <c r="K82" s="13">
        <f t="shared" si="15"/>
        <v>603.47222222222217</v>
      </c>
      <c r="L82" s="14">
        <f t="shared" si="16"/>
        <v>0.48277777777777775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4</v>
      </c>
      <c r="B83" s="10" t="s">
        <v>17</v>
      </c>
      <c r="C83" s="11" t="s">
        <v>82</v>
      </c>
      <c r="D83" s="13">
        <v>2200</v>
      </c>
      <c r="E83" s="13">
        <f t="shared" si="12"/>
        <v>8800</v>
      </c>
      <c r="F83" s="13">
        <f t="shared" si="13"/>
        <v>9724</v>
      </c>
      <c r="G83" s="7"/>
      <c r="H83" s="2"/>
      <c r="I83" s="13">
        <f>25000/14</f>
        <v>1785.7142857142858</v>
      </c>
      <c r="J83" s="13">
        <f t="shared" si="14"/>
        <v>7142.8571428571431</v>
      </c>
      <c r="K83" s="13">
        <f t="shared" si="15"/>
        <v>2581.1428571428569</v>
      </c>
      <c r="L83" s="14">
        <f t="shared" si="16"/>
        <v>0.2933116883116883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1</v>
      </c>
      <c r="B84" s="10" t="s">
        <v>23</v>
      </c>
      <c r="C84" s="11" t="s">
        <v>26</v>
      </c>
      <c r="D84" s="13">
        <v>22000</v>
      </c>
      <c r="E84" s="13">
        <f t="shared" si="12"/>
        <v>22000</v>
      </c>
      <c r="F84" s="13">
        <f t="shared" si="13"/>
        <v>24310</v>
      </c>
      <c r="G84" s="7"/>
      <c r="H84" s="2"/>
      <c r="I84" s="13">
        <v>12000</v>
      </c>
      <c r="J84" s="13">
        <f t="shared" si="14"/>
        <v>12000</v>
      </c>
      <c r="K84" s="13">
        <f t="shared" si="15"/>
        <v>12310</v>
      </c>
      <c r="L84" s="14">
        <f t="shared" si="16"/>
        <v>0.55954545454545457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10</v>
      </c>
      <c r="B85" s="10" t="s">
        <v>17</v>
      </c>
      <c r="C85" s="11" t="s">
        <v>24</v>
      </c>
      <c r="D85" s="13">
        <v>3600</v>
      </c>
      <c r="E85" s="13">
        <f t="shared" si="12"/>
        <v>36000</v>
      </c>
      <c r="F85" s="13">
        <f t="shared" si="13"/>
        <v>39780</v>
      </c>
      <c r="G85" s="7"/>
      <c r="H85" s="13"/>
      <c r="I85" s="13">
        <f>50000/17</f>
        <v>2941.1764705882351</v>
      </c>
      <c r="J85" s="13">
        <f t="shared" si="14"/>
        <v>29411.76470588235</v>
      </c>
      <c r="K85" s="13">
        <f t="shared" si="15"/>
        <v>10368.23529411765</v>
      </c>
      <c r="L85" s="14">
        <f t="shared" si="16"/>
        <v>0.28800653594771253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3</v>
      </c>
      <c r="B86" s="10" t="s">
        <v>17</v>
      </c>
      <c r="C86" s="11" t="s">
        <v>67</v>
      </c>
      <c r="D86" s="13">
        <v>800</v>
      </c>
      <c r="E86" s="13">
        <f t="shared" si="12"/>
        <v>2400</v>
      </c>
      <c r="F86" s="13">
        <f t="shared" si="13"/>
        <v>2652</v>
      </c>
      <c r="G86" s="7"/>
      <c r="H86" s="2"/>
      <c r="I86" s="13">
        <f>10000/14</f>
        <v>714.28571428571433</v>
      </c>
      <c r="J86" s="13">
        <f t="shared" si="14"/>
        <v>2142.8571428571431</v>
      </c>
      <c r="K86" s="13">
        <f t="shared" si="15"/>
        <v>509.14285714285688</v>
      </c>
      <c r="L86" s="14">
        <f t="shared" si="16"/>
        <v>0.21214285714285702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3</v>
      </c>
      <c r="B87" s="10" t="s">
        <v>17</v>
      </c>
      <c r="C87" s="11" t="s">
        <v>62</v>
      </c>
      <c r="D87" s="13">
        <v>3000</v>
      </c>
      <c r="E87" s="13">
        <f t="shared" si="12"/>
        <v>9000</v>
      </c>
      <c r="F87" s="13">
        <f t="shared" si="13"/>
        <v>9945</v>
      </c>
      <c r="G87" s="7"/>
      <c r="H87" s="2"/>
      <c r="I87" s="13">
        <f>28000/17</f>
        <v>1647.0588235294117</v>
      </c>
      <c r="J87" s="13">
        <f t="shared" si="14"/>
        <v>4941.1764705882351</v>
      </c>
      <c r="K87" s="13">
        <f t="shared" si="15"/>
        <v>5003.8235294117649</v>
      </c>
      <c r="L87" s="14">
        <f t="shared" si="16"/>
        <v>0.55598039215686279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3</v>
      </c>
      <c r="B88" s="10" t="s">
        <v>17</v>
      </c>
      <c r="C88" s="11" t="s">
        <v>123</v>
      </c>
      <c r="D88" s="13">
        <v>2000</v>
      </c>
      <c r="E88" s="13">
        <f t="shared" si="12"/>
        <v>6000</v>
      </c>
      <c r="F88" s="13">
        <f t="shared" si="13"/>
        <v>6630</v>
      </c>
      <c r="G88" s="7"/>
      <c r="H88" s="2"/>
      <c r="I88" s="13">
        <f>18000/15</f>
        <v>1200</v>
      </c>
      <c r="J88" s="13">
        <f t="shared" si="14"/>
        <v>3600</v>
      </c>
      <c r="K88" s="13">
        <f t="shared" si="15"/>
        <v>3030</v>
      </c>
      <c r="L88" s="14">
        <f t="shared" si="16"/>
        <v>0.505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6</v>
      </c>
      <c r="B89" s="10" t="s">
        <v>17</v>
      </c>
      <c r="C89" s="11" t="s">
        <v>56</v>
      </c>
      <c r="D89" s="13">
        <v>1200</v>
      </c>
      <c r="E89" s="13">
        <f t="shared" si="12"/>
        <v>7200</v>
      </c>
      <c r="F89" s="13">
        <f t="shared" si="13"/>
        <v>7956</v>
      </c>
      <c r="G89" s="7"/>
      <c r="H89" s="2"/>
      <c r="I89" s="13">
        <v>666</v>
      </c>
      <c r="J89" s="13">
        <f t="shared" si="14"/>
        <v>3996</v>
      </c>
      <c r="K89" s="13">
        <f t="shared" si="15"/>
        <v>3960</v>
      </c>
      <c r="L89" s="14">
        <f t="shared" si="16"/>
        <v>0.55000000000000004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4</v>
      </c>
      <c r="B90" s="10" t="s">
        <v>17</v>
      </c>
      <c r="C90" s="11" t="s">
        <v>18</v>
      </c>
      <c r="D90" s="13">
        <v>1600</v>
      </c>
      <c r="E90" s="13">
        <f t="shared" si="12"/>
        <v>6400</v>
      </c>
      <c r="F90" s="13">
        <f t="shared" si="13"/>
        <v>7072</v>
      </c>
      <c r="G90" s="7"/>
      <c r="H90" s="13"/>
      <c r="I90" s="13">
        <v>857</v>
      </c>
      <c r="J90" s="13">
        <f t="shared" si="14"/>
        <v>3428</v>
      </c>
      <c r="K90" s="13">
        <f t="shared" si="15"/>
        <v>3644</v>
      </c>
      <c r="L90" s="14">
        <f t="shared" si="16"/>
        <v>0.56937499999999996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0.5</v>
      </c>
      <c r="B91" s="10" t="s">
        <v>23</v>
      </c>
      <c r="C91" s="11" t="s">
        <v>12</v>
      </c>
      <c r="D91" s="13">
        <v>54000</v>
      </c>
      <c r="E91" s="13">
        <f t="shared" si="12"/>
        <v>27000</v>
      </c>
      <c r="F91" s="13">
        <f>E91*1.21</f>
        <v>32670</v>
      </c>
      <c r="G91" s="7"/>
      <c r="H91" s="13"/>
      <c r="I91" s="13">
        <v>54000</v>
      </c>
      <c r="J91" s="13">
        <f t="shared" si="14"/>
        <v>27000</v>
      </c>
      <c r="K91" s="13">
        <f t="shared" si="15"/>
        <v>5670</v>
      </c>
      <c r="L91" s="14">
        <f t="shared" si="16"/>
        <v>0.21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"/>
      <c r="B92" s="2"/>
      <c r="C92" s="4"/>
      <c r="D92" s="2"/>
      <c r="E92" s="2"/>
      <c r="F92" s="2"/>
      <c r="G92" s="2"/>
      <c r="H92" s="2"/>
      <c r="I92" s="2"/>
      <c r="J92" s="2"/>
      <c r="K92" s="2"/>
      <c r="L92" s="3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"/>
      <c r="B93" s="2"/>
      <c r="C93" s="4"/>
      <c r="D93" s="2"/>
      <c r="E93" s="13">
        <f t="shared" ref="E93:F93" si="17">SUM(E70:E91)</f>
        <v>333890</v>
      </c>
      <c r="F93" s="13">
        <f t="shared" si="17"/>
        <v>371783.45</v>
      </c>
      <c r="G93" s="2"/>
      <c r="H93" s="2"/>
      <c r="I93" s="2"/>
      <c r="J93" s="2"/>
      <c r="K93" s="13">
        <f>SUM(K70:K91)</f>
        <v>139471.35009337068</v>
      </c>
      <c r="L93" s="14">
        <f>K93/F93</f>
        <v>0.37514136278355231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0"/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0"/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0"/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88" t="s">
        <v>63</v>
      </c>
      <c r="B97" s="89"/>
      <c r="C97" s="89"/>
      <c r="D97" s="2"/>
      <c r="E97" s="7" t="s">
        <v>1098</v>
      </c>
      <c r="F97" s="8">
        <v>46134</v>
      </c>
      <c r="G97" s="7"/>
      <c r="H97" s="2"/>
      <c r="I97" s="91" t="s">
        <v>2</v>
      </c>
      <c r="J97" s="89"/>
      <c r="K97" s="89"/>
      <c r="L97" s="3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"/>
      <c r="B98" s="2"/>
      <c r="C98" s="5"/>
      <c r="D98" s="2"/>
      <c r="E98" s="2"/>
      <c r="F98" s="2"/>
      <c r="G98" s="7" t="s">
        <v>37</v>
      </c>
      <c r="H98" s="2"/>
      <c r="I98" s="2"/>
      <c r="J98" s="2"/>
      <c r="K98" s="2"/>
      <c r="L98" s="3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6" t="s">
        <v>3</v>
      </c>
      <c r="B99" s="10" t="s">
        <v>4</v>
      </c>
      <c r="C99" s="11" t="s">
        <v>5</v>
      </c>
      <c r="D99" s="10" t="s">
        <v>6</v>
      </c>
      <c r="E99" s="10" t="s">
        <v>7</v>
      </c>
      <c r="F99" s="10" t="s">
        <v>8</v>
      </c>
      <c r="G99" s="2"/>
      <c r="H99" s="2"/>
      <c r="I99" s="10" t="s">
        <v>9</v>
      </c>
      <c r="J99" s="10" t="s">
        <v>7</v>
      </c>
      <c r="K99" s="10" t="s">
        <v>10</v>
      </c>
      <c r="L99" s="3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8</v>
      </c>
      <c r="B100" s="10" t="s">
        <v>4</v>
      </c>
      <c r="C100" s="11" t="s">
        <v>13</v>
      </c>
      <c r="D100" s="13">
        <v>900</v>
      </c>
      <c r="E100" s="13">
        <f t="shared" ref="E100:E116" si="18">A100*D100</f>
        <v>7200</v>
      </c>
      <c r="F100" s="13">
        <f t="shared" ref="F100:F116" si="19">E100*1.105</f>
        <v>7956</v>
      </c>
      <c r="G100" s="2"/>
      <c r="H100" s="2"/>
      <c r="I100" s="13">
        <f>26000/50</f>
        <v>520</v>
      </c>
      <c r="J100" s="13">
        <f t="shared" ref="J100:J116" si="20">I100*A100</f>
        <v>4160</v>
      </c>
      <c r="K100" s="13">
        <f t="shared" ref="K100:K116" si="21">F100-J100</f>
        <v>3796</v>
      </c>
      <c r="L100" s="14">
        <f t="shared" ref="L100:L116" si="22">IFERROR(K100/E100, 0)</f>
        <v>0.52722222222222226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5</v>
      </c>
      <c r="B101" s="10" t="s">
        <v>17</v>
      </c>
      <c r="C101" s="11" t="s">
        <v>129</v>
      </c>
      <c r="D101" s="13">
        <v>1600</v>
      </c>
      <c r="E101" s="13">
        <f t="shared" si="18"/>
        <v>8000</v>
      </c>
      <c r="F101" s="13">
        <f t="shared" si="19"/>
        <v>8840</v>
      </c>
      <c r="G101" s="2"/>
      <c r="H101" s="2"/>
      <c r="I101" s="13">
        <v>1100</v>
      </c>
      <c r="J101" s="13">
        <f t="shared" si="20"/>
        <v>5500</v>
      </c>
      <c r="K101" s="13">
        <f t="shared" si="21"/>
        <v>3340</v>
      </c>
      <c r="L101" s="14">
        <f t="shared" si="22"/>
        <v>0.41749999999999998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3.8</v>
      </c>
      <c r="B102" s="10" t="s">
        <v>17</v>
      </c>
      <c r="C102" s="11" t="s">
        <v>48</v>
      </c>
      <c r="D102" s="13">
        <v>900</v>
      </c>
      <c r="E102" s="13">
        <f t="shared" si="18"/>
        <v>3420</v>
      </c>
      <c r="F102" s="13">
        <f t="shared" si="19"/>
        <v>3779.1</v>
      </c>
      <c r="G102" s="2"/>
      <c r="H102" s="2"/>
      <c r="I102" s="13">
        <f>8000/15</f>
        <v>533.33333333333337</v>
      </c>
      <c r="J102" s="13">
        <f t="shared" si="20"/>
        <v>2026.6666666666667</v>
      </c>
      <c r="K102" s="13">
        <f t="shared" si="21"/>
        <v>1752.4333333333332</v>
      </c>
      <c r="L102" s="14">
        <f t="shared" si="22"/>
        <v>0.51240740740740731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10</v>
      </c>
      <c r="B103" s="10" t="s">
        <v>17</v>
      </c>
      <c r="C103" s="11" t="s">
        <v>56</v>
      </c>
      <c r="D103" s="13">
        <v>1200</v>
      </c>
      <c r="E103" s="13">
        <f t="shared" si="18"/>
        <v>12000</v>
      </c>
      <c r="F103" s="13">
        <f t="shared" si="19"/>
        <v>13260</v>
      </c>
      <c r="G103" s="2"/>
      <c r="H103" s="2"/>
      <c r="I103" s="13">
        <f>10000/15</f>
        <v>666.66666666666663</v>
      </c>
      <c r="J103" s="13">
        <f t="shared" si="20"/>
        <v>6666.6666666666661</v>
      </c>
      <c r="K103" s="13">
        <f t="shared" si="21"/>
        <v>6593.3333333333339</v>
      </c>
      <c r="L103" s="14">
        <f t="shared" si="22"/>
        <v>0.54944444444444451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0.3</v>
      </c>
      <c r="B104" s="10" t="s">
        <v>17</v>
      </c>
      <c r="C104" s="11" t="s">
        <v>42</v>
      </c>
      <c r="D104" s="13">
        <v>4500</v>
      </c>
      <c r="E104" s="13">
        <f t="shared" si="18"/>
        <v>1350</v>
      </c>
      <c r="F104" s="13">
        <f t="shared" si="19"/>
        <v>1491.75</v>
      </c>
      <c r="G104" s="2"/>
      <c r="H104" s="2"/>
      <c r="I104" s="13">
        <f>2000</f>
        <v>2000</v>
      </c>
      <c r="J104" s="13">
        <f t="shared" si="20"/>
        <v>600</v>
      </c>
      <c r="K104" s="13">
        <f t="shared" si="21"/>
        <v>891.75</v>
      </c>
      <c r="L104" s="14">
        <f t="shared" si="22"/>
        <v>0.66055555555555556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1123</v>
      </c>
      <c r="C105" s="11" t="s">
        <v>55</v>
      </c>
      <c r="D105" s="13">
        <v>5000</v>
      </c>
      <c r="E105" s="13">
        <f t="shared" si="18"/>
        <v>10000</v>
      </c>
      <c r="F105" s="13">
        <f t="shared" si="19"/>
        <v>11050</v>
      </c>
      <c r="G105" s="2"/>
      <c r="H105" s="2"/>
      <c r="I105" s="13">
        <v>4200</v>
      </c>
      <c r="J105" s="13">
        <f t="shared" si="20"/>
        <v>8400</v>
      </c>
      <c r="K105" s="13">
        <f t="shared" si="21"/>
        <v>2650</v>
      </c>
      <c r="L105" s="14">
        <f t="shared" si="22"/>
        <v>0.26500000000000001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2</v>
      </c>
      <c r="B106" s="10" t="s">
        <v>21</v>
      </c>
      <c r="C106" s="11" t="s">
        <v>133</v>
      </c>
      <c r="D106" s="13">
        <v>3000</v>
      </c>
      <c r="E106" s="13">
        <f t="shared" si="18"/>
        <v>6000</v>
      </c>
      <c r="F106" s="13">
        <f t="shared" si="19"/>
        <v>6630</v>
      </c>
      <c r="G106" s="2"/>
      <c r="H106" s="2"/>
      <c r="I106" s="13">
        <f>5000/6</f>
        <v>833.33333333333337</v>
      </c>
      <c r="J106" s="13">
        <f t="shared" si="20"/>
        <v>1666.6666666666667</v>
      </c>
      <c r="K106" s="13">
        <f t="shared" si="21"/>
        <v>4963.333333333333</v>
      </c>
      <c r="L106" s="14">
        <f t="shared" si="22"/>
        <v>0.82722222222222219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1</v>
      </c>
      <c r="B107" s="10" t="s">
        <v>21</v>
      </c>
      <c r="C107" s="11" t="s">
        <v>151</v>
      </c>
      <c r="D107" s="13">
        <v>3000</v>
      </c>
      <c r="E107" s="13">
        <f t="shared" si="18"/>
        <v>3000</v>
      </c>
      <c r="F107" s="13">
        <f t="shared" si="19"/>
        <v>3315</v>
      </c>
      <c r="G107" s="2"/>
      <c r="H107" s="2"/>
      <c r="I107" s="13">
        <v>2500</v>
      </c>
      <c r="J107" s="13">
        <f t="shared" si="20"/>
        <v>2500</v>
      </c>
      <c r="K107" s="13">
        <f t="shared" si="21"/>
        <v>815</v>
      </c>
      <c r="L107" s="14">
        <f t="shared" si="22"/>
        <v>0.27166666666666667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2.8</v>
      </c>
      <c r="B108" s="10" t="s">
        <v>17</v>
      </c>
      <c r="C108" s="11" t="s">
        <v>111</v>
      </c>
      <c r="D108" s="13">
        <v>9500</v>
      </c>
      <c r="E108" s="13">
        <f t="shared" si="18"/>
        <v>26600</v>
      </c>
      <c r="F108" s="13">
        <f t="shared" si="19"/>
        <v>29393</v>
      </c>
      <c r="G108" s="2"/>
      <c r="H108" s="2"/>
      <c r="I108" s="13">
        <v>7000</v>
      </c>
      <c r="J108" s="13">
        <f t="shared" si="20"/>
        <v>19600</v>
      </c>
      <c r="K108" s="13">
        <f t="shared" si="21"/>
        <v>9793</v>
      </c>
      <c r="L108" s="14">
        <f t="shared" si="22"/>
        <v>0.36815789473684213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5</v>
      </c>
      <c r="B109" s="10" t="s">
        <v>17</v>
      </c>
      <c r="C109" s="11" t="s">
        <v>27</v>
      </c>
      <c r="D109" s="13">
        <v>1600</v>
      </c>
      <c r="E109" s="13">
        <f t="shared" si="18"/>
        <v>8000</v>
      </c>
      <c r="F109" s="13">
        <f t="shared" si="19"/>
        <v>8840</v>
      </c>
      <c r="G109" s="2"/>
      <c r="H109" s="2"/>
      <c r="I109" s="13">
        <f>18000/17</f>
        <v>1058.8235294117646</v>
      </c>
      <c r="J109" s="13">
        <f t="shared" si="20"/>
        <v>5294.1176470588234</v>
      </c>
      <c r="K109" s="13">
        <f t="shared" si="21"/>
        <v>3545.8823529411766</v>
      </c>
      <c r="L109" s="14">
        <f t="shared" si="22"/>
        <v>0.44323529411764706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0.5</v>
      </c>
      <c r="B110" s="10" t="s">
        <v>17</v>
      </c>
      <c r="C110" s="11" t="s">
        <v>30</v>
      </c>
      <c r="D110" s="13">
        <v>2600</v>
      </c>
      <c r="E110" s="13">
        <f t="shared" si="18"/>
        <v>1300</v>
      </c>
      <c r="F110" s="13">
        <f t="shared" si="19"/>
        <v>1436.5</v>
      </c>
      <c r="G110" s="2"/>
      <c r="H110" s="2"/>
      <c r="I110" s="13">
        <f>30000/14</f>
        <v>2142.8571428571427</v>
      </c>
      <c r="J110" s="13">
        <f t="shared" si="20"/>
        <v>1071.4285714285713</v>
      </c>
      <c r="K110" s="13">
        <f t="shared" si="21"/>
        <v>365.07142857142867</v>
      </c>
      <c r="L110" s="14">
        <f t="shared" si="22"/>
        <v>0.2808241758241759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0.25</v>
      </c>
      <c r="B111" s="10" t="s">
        <v>21</v>
      </c>
      <c r="C111" s="11" t="s">
        <v>29</v>
      </c>
      <c r="D111" s="13">
        <v>3500</v>
      </c>
      <c r="E111" s="13">
        <f t="shared" si="18"/>
        <v>875</v>
      </c>
      <c r="F111" s="13">
        <f t="shared" si="19"/>
        <v>966.875</v>
      </c>
      <c r="G111" s="2"/>
      <c r="H111" s="2"/>
      <c r="I111" s="13">
        <f>5000/4</f>
        <v>1250</v>
      </c>
      <c r="J111" s="13">
        <f t="shared" si="20"/>
        <v>312.5</v>
      </c>
      <c r="K111" s="13">
        <f t="shared" si="21"/>
        <v>654.375</v>
      </c>
      <c r="L111" s="14">
        <f t="shared" si="22"/>
        <v>0.74785714285714289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3.3</v>
      </c>
      <c r="B112" s="10" t="s">
        <v>17</v>
      </c>
      <c r="C112" s="11" t="s">
        <v>31</v>
      </c>
      <c r="D112" s="13">
        <v>3200</v>
      </c>
      <c r="E112" s="13">
        <f t="shared" si="18"/>
        <v>10560</v>
      </c>
      <c r="F112" s="13">
        <f t="shared" si="19"/>
        <v>11668.8</v>
      </c>
      <c r="G112" s="2"/>
      <c r="H112" s="2"/>
      <c r="I112" s="13">
        <f>15000/8</f>
        <v>1875</v>
      </c>
      <c r="J112" s="13">
        <f t="shared" si="20"/>
        <v>6187.5</v>
      </c>
      <c r="K112" s="13">
        <f t="shared" si="21"/>
        <v>5481.2999999999993</v>
      </c>
      <c r="L112" s="14">
        <f t="shared" si="22"/>
        <v>0.51906249999999998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7</v>
      </c>
      <c r="B113" s="10" t="s">
        <v>17</v>
      </c>
      <c r="C113" s="11" t="s">
        <v>34</v>
      </c>
      <c r="D113" s="13">
        <v>5000</v>
      </c>
      <c r="E113" s="13">
        <f t="shared" si="18"/>
        <v>35000</v>
      </c>
      <c r="F113" s="13">
        <f t="shared" si="19"/>
        <v>38675</v>
      </c>
      <c r="G113" s="2"/>
      <c r="H113" s="2"/>
      <c r="I113" s="13">
        <v>3000</v>
      </c>
      <c r="J113" s="13">
        <f t="shared" si="20"/>
        <v>21000</v>
      </c>
      <c r="K113" s="13">
        <f t="shared" si="21"/>
        <v>17675</v>
      </c>
      <c r="L113" s="14">
        <f t="shared" si="22"/>
        <v>0.505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2</v>
      </c>
      <c r="B114" s="10" t="s">
        <v>17</v>
      </c>
      <c r="C114" s="11" t="s">
        <v>35</v>
      </c>
      <c r="D114" s="13">
        <v>2500</v>
      </c>
      <c r="E114" s="13">
        <f t="shared" si="18"/>
        <v>5000</v>
      </c>
      <c r="F114" s="13">
        <f t="shared" si="19"/>
        <v>5525</v>
      </c>
      <c r="G114" s="2"/>
      <c r="H114" s="2"/>
      <c r="I114" s="13">
        <f>14000/9</f>
        <v>1555.5555555555557</v>
      </c>
      <c r="J114" s="13">
        <f t="shared" si="20"/>
        <v>3111.1111111111113</v>
      </c>
      <c r="K114" s="13">
        <f t="shared" si="21"/>
        <v>2413.8888888888887</v>
      </c>
      <c r="L114" s="14">
        <f t="shared" si="22"/>
        <v>0.48277777777777775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1</v>
      </c>
      <c r="B115" s="10" t="s">
        <v>21</v>
      </c>
      <c r="C115" s="11" t="s">
        <v>1082</v>
      </c>
      <c r="D115" s="13">
        <v>3000</v>
      </c>
      <c r="E115" s="13">
        <f t="shared" si="18"/>
        <v>3000</v>
      </c>
      <c r="F115" s="13">
        <f t="shared" si="19"/>
        <v>3315</v>
      </c>
      <c r="G115" s="2"/>
      <c r="H115" s="2"/>
      <c r="I115" s="13">
        <v>2000</v>
      </c>
      <c r="J115" s="13">
        <f t="shared" si="20"/>
        <v>2000</v>
      </c>
      <c r="K115" s="13">
        <f t="shared" si="21"/>
        <v>1315</v>
      </c>
      <c r="L115" s="14">
        <f t="shared" si="22"/>
        <v>0.43833333333333335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17</v>
      </c>
      <c r="C116" s="11" t="s">
        <v>40</v>
      </c>
      <c r="D116" s="13">
        <v>1400</v>
      </c>
      <c r="E116" s="13">
        <f t="shared" si="18"/>
        <v>1400</v>
      </c>
      <c r="F116" s="13">
        <f t="shared" si="19"/>
        <v>1547</v>
      </c>
      <c r="G116" s="2"/>
      <c r="H116" s="2"/>
      <c r="I116" s="13">
        <v>1000</v>
      </c>
      <c r="J116" s="13">
        <f t="shared" si="20"/>
        <v>1000</v>
      </c>
      <c r="K116" s="13">
        <f t="shared" si="21"/>
        <v>547</v>
      </c>
      <c r="L116" s="14">
        <f t="shared" si="22"/>
        <v>0.39071428571428574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"/>
      <c r="B117" s="2"/>
      <c r="C117" s="4"/>
      <c r="D117" s="2"/>
      <c r="E117" s="2"/>
      <c r="F117" s="2"/>
      <c r="G117" s="2"/>
      <c r="H117" s="2"/>
      <c r="I117" s="2"/>
      <c r="J117" s="2"/>
      <c r="K117" s="2"/>
      <c r="L117" s="3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"/>
      <c r="B118" s="2"/>
      <c r="C118" s="4"/>
      <c r="D118" s="2"/>
      <c r="E118" s="13">
        <f t="shared" ref="E118:F118" si="23">SUM(E100:E116)</f>
        <v>142705</v>
      </c>
      <c r="F118" s="13">
        <f t="shared" si="23"/>
        <v>157689.02500000002</v>
      </c>
      <c r="G118" s="2"/>
      <c r="H118" s="2"/>
      <c r="I118" s="2"/>
      <c r="J118" s="2"/>
      <c r="K118" s="13">
        <f>SUM(K100:K116)</f>
        <v>66592.367670401494</v>
      </c>
      <c r="L118" s="14">
        <f>K118/F118</f>
        <v>0.42230185436431916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0"/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0"/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0"/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6" t="s">
        <v>165</v>
      </c>
      <c r="B122" s="25" t="s">
        <v>168</v>
      </c>
      <c r="C122" s="6"/>
      <c r="D122" s="7"/>
      <c r="E122" s="7" t="s">
        <v>45</v>
      </c>
      <c r="F122" s="8">
        <v>46134</v>
      </c>
      <c r="G122" s="2"/>
      <c r="H122" s="2"/>
      <c r="I122" s="91" t="s">
        <v>2</v>
      </c>
      <c r="J122" s="89"/>
      <c r="K122" s="89"/>
      <c r="L122" s="3"/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3"/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6" t="s">
        <v>3</v>
      </c>
      <c r="B124" s="10" t="s">
        <v>4</v>
      </c>
      <c r="C124" s="11" t="s">
        <v>5</v>
      </c>
      <c r="D124" s="10" t="s">
        <v>6</v>
      </c>
      <c r="E124" s="10" t="s">
        <v>7</v>
      </c>
      <c r="F124" s="10" t="s">
        <v>8</v>
      </c>
      <c r="G124" s="7" t="s">
        <v>37</v>
      </c>
      <c r="H124" s="2"/>
      <c r="I124" s="10" t="s">
        <v>9</v>
      </c>
      <c r="J124" s="10" t="s">
        <v>7</v>
      </c>
      <c r="K124" s="10" t="s">
        <v>10</v>
      </c>
      <c r="L124" s="3"/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1</v>
      </c>
      <c r="B125" s="10" t="s">
        <v>21</v>
      </c>
      <c r="C125" s="11" t="s">
        <v>29</v>
      </c>
      <c r="D125" s="13">
        <v>3000</v>
      </c>
      <c r="E125" s="13">
        <f t="shared" ref="E125:E128" si="24">A125*D125</f>
        <v>3000</v>
      </c>
      <c r="F125" s="13">
        <f>E125*1.105</f>
        <v>3315</v>
      </c>
      <c r="G125" s="7" t="s">
        <v>37</v>
      </c>
      <c r="H125" s="7"/>
      <c r="I125" s="13">
        <f>5000/4</f>
        <v>1250</v>
      </c>
      <c r="J125" s="13">
        <f t="shared" ref="J125:J128" si="25">I125*A125</f>
        <v>1250</v>
      </c>
      <c r="K125" s="13">
        <f t="shared" ref="K125:K128" si="26">F125-J125</f>
        <v>2065</v>
      </c>
      <c r="L125" s="14">
        <f t="shared" ref="L125:L128" si="27">IFERROR(K125/E125, 0)</f>
        <v>0.68833333333333335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1</v>
      </c>
      <c r="B126" s="10" t="s">
        <v>23</v>
      </c>
      <c r="C126" s="11" t="s">
        <v>85</v>
      </c>
      <c r="D126" s="13">
        <v>54000</v>
      </c>
      <c r="E126" s="13">
        <f t="shared" si="24"/>
        <v>54000</v>
      </c>
      <c r="F126" s="13">
        <f>E126*1.21</f>
        <v>65340</v>
      </c>
      <c r="G126" s="2"/>
      <c r="H126" s="2"/>
      <c r="I126" s="13">
        <v>50000</v>
      </c>
      <c r="J126" s="13">
        <f t="shared" si="25"/>
        <v>50000</v>
      </c>
      <c r="K126" s="13">
        <f t="shared" si="26"/>
        <v>15340</v>
      </c>
      <c r="L126" s="14">
        <f t="shared" si="27"/>
        <v>0.28407407407407409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1</v>
      </c>
      <c r="B127" s="10" t="s">
        <v>15</v>
      </c>
      <c r="C127" s="11" t="s">
        <v>84</v>
      </c>
      <c r="D127" s="13">
        <v>16000</v>
      </c>
      <c r="E127" s="13">
        <f t="shared" si="24"/>
        <v>16000</v>
      </c>
      <c r="F127" s="13">
        <f t="shared" ref="F127:F128" si="28">E127*1.105</f>
        <v>17680</v>
      </c>
      <c r="G127" s="2"/>
      <c r="H127" s="2"/>
      <c r="I127" s="13">
        <v>12000</v>
      </c>
      <c r="J127" s="13">
        <f t="shared" si="25"/>
        <v>12000</v>
      </c>
      <c r="K127" s="13">
        <f t="shared" si="26"/>
        <v>5680</v>
      </c>
      <c r="L127" s="14">
        <f t="shared" si="27"/>
        <v>0.35499999999999998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5</v>
      </c>
      <c r="B128" s="10" t="s">
        <v>17</v>
      </c>
      <c r="C128" s="11" t="s">
        <v>73</v>
      </c>
      <c r="D128" s="13">
        <v>1300</v>
      </c>
      <c r="E128" s="13">
        <f t="shared" si="24"/>
        <v>6500</v>
      </c>
      <c r="F128" s="13">
        <f t="shared" si="28"/>
        <v>7182.5</v>
      </c>
      <c r="G128" s="2"/>
      <c r="H128" s="2"/>
      <c r="I128" s="13">
        <f>8000/15</f>
        <v>533.33333333333337</v>
      </c>
      <c r="J128" s="13">
        <f t="shared" si="25"/>
        <v>2666.666666666667</v>
      </c>
      <c r="K128" s="13">
        <f t="shared" si="26"/>
        <v>4515.833333333333</v>
      </c>
      <c r="L128" s="14">
        <f t="shared" si="27"/>
        <v>0.69474358974358974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"/>
      <c r="B129" s="2"/>
      <c r="C129" s="4"/>
      <c r="D129" s="2"/>
      <c r="E129" s="2"/>
      <c r="F129" s="2"/>
      <c r="G129" s="2"/>
      <c r="H129" s="2"/>
      <c r="I129" s="2"/>
      <c r="J129" s="2"/>
      <c r="K129" s="2"/>
      <c r="L129" s="3"/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"/>
      <c r="B130" s="2"/>
      <c r="C130" s="4"/>
      <c r="D130" s="2"/>
      <c r="E130" s="13">
        <f t="shared" ref="E130:F130" si="29">SUM(E125:E128)</f>
        <v>79500</v>
      </c>
      <c r="F130" s="13">
        <f t="shared" si="29"/>
        <v>93517.5</v>
      </c>
      <c r="G130" s="2"/>
      <c r="H130" s="2"/>
      <c r="I130" s="2"/>
      <c r="J130" s="2"/>
      <c r="K130" s="13">
        <f>SUM(K125:K128)</f>
        <v>27600.833333333332</v>
      </c>
      <c r="L130" s="14">
        <f>K130/F130</f>
        <v>0.29514083816754438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0"/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0"/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0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88" t="s">
        <v>68</v>
      </c>
      <c r="B134" s="89"/>
      <c r="C134" s="89"/>
      <c r="D134" s="2"/>
      <c r="E134" s="7" t="s">
        <v>953</v>
      </c>
      <c r="F134" s="8">
        <v>46134</v>
      </c>
      <c r="G134" s="2"/>
      <c r="H134" s="2"/>
      <c r="I134" s="91" t="s">
        <v>2</v>
      </c>
      <c r="J134" s="89"/>
      <c r="K134" s="89"/>
      <c r="L134" s="3"/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"/>
      <c r="B135" s="2"/>
      <c r="C135" s="5"/>
      <c r="D135" s="2"/>
      <c r="E135" s="2"/>
      <c r="F135" s="2"/>
      <c r="G135" s="7" t="s">
        <v>37</v>
      </c>
      <c r="H135" s="2"/>
      <c r="I135" s="2"/>
      <c r="J135" s="2"/>
      <c r="K135" s="2"/>
      <c r="L135" s="3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6" t="s">
        <v>3</v>
      </c>
      <c r="B136" s="10" t="s">
        <v>4</v>
      </c>
      <c r="C136" s="11" t="s">
        <v>5</v>
      </c>
      <c r="D136" s="10" t="s">
        <v>6</v>
      </c>
      <c r="E136" s="10" t="s">
        <v>7</v>
      </c>
      <c r="F136" s="10" t="s">
        <v>8</v>
      </c>
      <c r="G136" s="2"/>
      <c r="H136" s="2"/>
      <c r="I136" s="10" t="s">
        <v>9</v>
      </c>
      <c r="J136" s="10" t="s">
        <v>7</v>
      </c>
      <c r="K136" s="10" t="s">
        <v>10</v>
      </c>
      <c r="L136" s="3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2</v>
      </c>
      <c r="B137" s="10" t="s">
        <v>15</v>
      </c>
      <c r="C137" s="11" t="s">
        <v>27</v>
      </c>
      <c r="D137" s="13">
        <v>25000</v>
      </c>
      <c r="E137" s="13">
        <f t="shared" ref="E137:E157" si="30">A137*D137</f>
        <v>50000</v>
      </c>
      <c r="F137" s="13">
        <f t="shared" ref="F137:F157" si="31">E137*1.105</f>
        <v>55250</v>
      </c>
      <c r="G137" s="2"/>
      <c r="H137" s="2"/>
      <c r="I137" s="13">
        <v>18000</v>
      </c>
      <c r="J137" s="13">
        <f t="shared" ref="J137:J157" si="32">I137*A137</f>
        <v>36000</v>
      </c>
      <c r="K137" s="13">
        <f t="shared" ref="K137:K157" si="33">F137-J137</f>
        <v>19250</v>
      </c>
      <c r="L137" s="14">
        <f t="shared" ref="L137:L157" si="34">IFERROR(K137/E137, 0)</f>
        <v>0.38500000000000001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</v>
      </c>
      <c r="B138" s="10" t="s">
        <v>15</v>
      </c>
      <c r="C138" s="11" t="s">
        <v>40</v>
      </c>
      <c r="D138" s="13">
        <v>12000</v>
      </c>
      <c r="E138" s="13">
        <f t="shared" si="30"/>
        <v>12000</v>
      </c>
      <c r="F138" s="13">
        <f t="shared" si="31"/>
        <v>13260</v>
      </c>
      <c r="G138" s="2"/>
      <c r="H138" s="2"/>
      <c r="I138" s="13">
        <v>8000</v>
      </c>
      <c r="J138" s="13">
        <f t="shared" si="32"/>
        <v>8000</v>
      </c>
      <c r="K138" s="13">
        <f t="shared" si="33"/>
        <v>5260</v>
      </c>
      <c r="L138" s="14">
        <f t="shared" si="34"/>
        <v>0.43833333333333335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1</v>
      </c>
      <c r="B139" s="10" t="s">
        <v>15</v>
      </c>
      <c r="C139" s="11" t="s">
        <v>16</v>
      </c>
      <c r="D139" s="13">
        <v>13000</v>
      </c>
      <c r="E139" s="13">
        <f t="shared" si="30"/>
        <v>13000</v>
      </c>
      <c r="F139" s="13">
        <f t="shared" si="31"/>
        <v>14365</v>
      </c>
      <c r="G139" s="2"/>
      <c r="H139" s="2"/>
      <c r="I139" s="13">
        <v>8000</v>
      </c>
      <c r="J139" s="13">
        <f t="shared" si="32"/>
        <v>8000</v>
      </c>
      <c r="K139" s="13">
        <f t="shared" si="33"/>
        <v>6365</v>
      </c>
      <c r="L139" s="14">
        <f t="shared" si="34"/>
        <v>0.48961538461538462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3</v>
      </c>
      <c r="B140" s="10" t="s">
        <v>17</v>
      </c>
      <c r="C140" s="11" t="s">
        <v>56</v>
      </c>
      <c r="D140" s="13">
        <v>1200</v>
      </c>
      <c r="E140" s="13">
        <f t="shared" si="30"/>
        <v>3600</v>
      </c>
      <c r="F140" s="13">
        <f t="shared" si="31"/>
        <v>3978</v>
      </c>
      <c r="G140" s="2"/>
      <c r="H140" s="2"/>
      <c r="I140" s="13">
        <v>666</v>
      </c>
      <c r="J140" s="13">
        <f t="shared" si="32"/>
        <v>1998</v>
      </c>
      <c r="K140" s="13">
        <f t="shared" si="33"/>
        <v>1980</v>
      </c>
      <c r="L140" s="14">
        <f t="shared" si="34"/>
        <v>0.55000000000000004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1</v>
      </c>
      <c r="B141" s="10" t="s">
        <v>17</v>
      </c>
      <c r="C141" s="11" t="s">
        <v>18</v>
      </c>
      <c r="D141" s="13">
        <v>1600</v>
      </c>
      <c r="E141" s="13">
        <f t="shared" si="30"/>
        <v>1600</v>
      </c>
      <c r="F141" s="13">
        <f t="shared" si="31"/>
        <v>1768</v>
      </c>
      <c r="G141" s="2"/>
      <c r="H141" s="2"/>
      <c r="I141" s="13">
        <v>857</v>
      </c>
      <c r="J141" s="13">
        <f t="shared" si="32"/>
        <v>857</v>
      </c>
      <c r="K141" s="13">
        <f t="shared" si="33"/>
        <v>911</v>
      </c>
      <c r="L141" s="14">
        <f t="shared" si="34"/>
        <v>0.56937499999999996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12</v>
      </c>
      <c r="B142" s="10" t="s">
        <v>17</v>
      </c>
      <c r="C142" s="11" t="s">
        <v>39</v>
      </c>
      <c r="D142" s="13">
        <v>1600</v>
      </c>
      <c r="E142" s="13">
        <f t="shared" si="30"/>
        <v>19200</v>
      </c>
      <c r="F142" s="13">
        <f t="shared" si="31"/>
        <v>21216</v>
      </c>
      <c r="G142" s="2"/>
      <c r="H142" s="2"/>
      <c r="I142" s="13">
        <f>20000/15</f>
        <v>1333.3333333333333</v>
      </c>
      <c r="J142" s="13">
        <f t="shared" si="32"/>
        <v>16000</v>
      </c>
      <c r="K142" s="13">
        <f t="shared" si="33"/>
        <v>5216</v>
      </c>
      <c r="L142" s="14">
        <f t="shared" si="34"/>
        <v>0.27166666666666667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30</v>
      </c>
      <c r="B143" s="10" t="s">
        <v>21</v>
      </c>
      <c r="C143" s="11" t="s">
        <v>46</v>
      </c>
      <c r="D143" s="13">
        <v>600</v>
      </c>
      <c r="E143" s="13">
        <f t="shared" si="30"/>
        <v>18000</v>
      </c>
      <c r="F143" s="13">
        <f t="shared" si="31"/>
        <v>19890</v>
      </c>
      <c r="G143" s="2"/>
      <c r="H143" s="2"/>
      <c r="I143" s="13">
        <f>7000/24</f>
        <v>291.66666666666669</v>
      </c>
      <c r="J143" s="13">
        <f t="shared" si="32"/>
        <v>8750</v>
      </c>
      <c r="K143" s="13">
        <f t="shared" si="33"/>
        <v>11140</v>
      </c>
      <c r="L143" s="14">
        <f t="shared" si="34"/>
        <v>0.61888888888888893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3.3</v>
      </c>
      <c r="B144" s="10" t="s">
        <v>17</v>
      </c>
      <c r="C144" s="11" t="s">
        <v>38</v>
      </c>
      <c r="D144" s="13">
        <v>1800</v>
      </c>
      <c r="E144" s="13">
        <f t="shared" si="30"/>
        <v>5940</v>
      </c>
      <c r="F144" s="13">
        <f t="shared" si="31"/>
        <v>6563.7</v>
      </c>
      <c r="G144" s="2"/>
      <c r="H144" s="2"/>
      <c r="I144" s="13">
        <v>800</v>
      </c>
      <c r="J144" s="13">
        <f t="shared" si="32"/>
        <v>2640</v>
      </c>
      <c r="K144" s="13">
        <f t="shared" si="33"/>
        <v>3923.7</v>
      </c>
      <c r="L144" s="14">
        <f t="shared" si="34"/>
        <v>0.66055555555555556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2.5</v>
      </c>
      <c r="B145" s="10" t="s">
        <v>17</v>
      </c>
      <c r="C145" s="11" t="s">
        <v>36</v>
      </c>
      <c r="D145" s="13">
        <v>1800</v>
      </c>
      <c r="E145" s="13">
        <f t="shared" si="30"/>
        <v>4500</v>
      </c>
      <c r="F145" s="13">
        <f t="shared" si="31"/>
        <v>4972.5</v>
      </c>
      <c r="G145" s="2"/>
      <c r="H145" s="2"/>
      <c r="I145" s="13">
        <v>800</v>
      </c>
      <c r="J145" s="13">
        <f t="shared" si="32"/>
        <v>2000</v>
      </c>
      <c r="K145" s="13">
        <f t="shared" si="33"/>
        <v>2972.5</v>
      </c>
      <c r="L145" s="14">
        <f t="shared" si="34"/>
        <v>0.66055555555555556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2</v>
      </c>
      <c r="B146" s="10" t="s">
        <v>17</v>
      </c>
      <c r="C146" s="11" t="s">
        <v>82</v>
      </c>
      <c r="D146" s="13">
        <v>2200</v>
      </c>
      <c r="E146" s="13">
        <f t="shared" si="30"/>
        <v>4400</v>
      </c>
      <c r="F146" s="13">
        <f t="shared" si="31"/>
        <v>4862</v>
      </c>
      <c r="G146" s="2"/>
      <c r="H146" s="2"/>
      <c r="I146" s="13">
        <f>25000/14</f>
        <v>1785.7142857142858</v>
      </c>
      <c r="J146" s="13">
        <f t="shared" si="32"/>
        <v>3571.4285714285716</v>
      </c>
      <c r="K146" s="13">
        <f t="shared" si="33"/>
        <v>1290.5714285714284</v>
      </c>
      <c r="L146" s="14">
        <f t="shared" si="34"/>
        <v>0.2933116883116883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6</v>
      </c>
      <c r="B147" s="10" t="s">
        <v>21</v>
      </c>
      <c r="C147" s="11" t="s">
        <v>130</v>
      </c>
      <c r="D147" s="13">
        <v>1400</v>
      </c>
      <c r="E147" s="13">
        <f t="shared" si="30"/>
        <v>8400</v>
      </c>
      <c r="F147" s="13">
        <f t="shared" si="31"/>
        <v>9282</v>
      </c>
      <c r="G147" s="2"/>
      <c r="H147" s="2"/>
      <c r="I147" s="13">
        <v>600</v>
      </c>
      <c r="J147" s="13">
        <f t="shared" si="32"/>
        <v>3600</v>
      </c>
      <c r="K147" s="13">
        <f t="shared" si="33"/>
        <v>5682</v>
      </c>
      <c r="L147" s="14">
        <f t="shared" si="34"/>
        <v>0.67642857142857138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2</v>
      </c>
      <c r="B148" s="10" t="s">
        <v>17</v>
      </c>
      <c r="C148" s="11" t="s">
        <v>144</v>
      </c>
      <c r="D148" s="13">
        <v>4500</v>
      </c>
      <c r="E148" s="13">
        <f t="shared" si="30"/>
        <v>9000</v>
      </c>
      <c r="F148" s="13">
        <f t="shared" si="31"/>
        <v>9945</v>
      </c>
      <c r="G148" s="2"/>
      <c r="H148" s="2"/>
      <c r="I148" s="13">
        <f>25000/7</f>
        <v>3571.4285714285716</v>
      </c>
      <c r="J148" s="13">
        <f t="shared" si="32"/>
        <v>7142.8571428571431</v>
      </c>
      <c r="K148" s="13">
        <f t="shared" si="33"/>
        <v>2802.1428571428569</v>
      </c>
      <c r="L148" s="14">
        <f t="shared" si="34"/>
        <v>0.31134920634920632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1</v>
      </c>
      <c r="B149" s="10" t="s">
        <v>21</v>
      </c>
      <c r="C149" s="11" t="s">
        <v>34</v>
      </c>
      <c r="D149" s="13">
        <v>5000</v>
      </c>
      <c r="E149" s="13">
        <f t="shared" si="30"/>
        <v>5000</v>
      </c>
      <c r="F149" s="13">
        <f t="shared" si="31"/>
        <v>5525</v>
      </c>
      <c r="G149" s="2"/>
      <c r="H149" s="2"/>
      <c r="I149" s="13">
        <v>3000</v>
      </c>
      <c r="J149" s="13">
        <f t="shared" si="32"/>
        <v>3000</v>
      </c>
      <c r="K149" s="13">
        <f t="shared" si="33"/>
        <v>2525</v>
      </c>
      <c r="L149" s="14">
        <f t="shared" si="34"/>
        <v>0.505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23</v>
      </c>
      <c r="C150" s="11" t="s">
        <v>26</v>
      </c>
      <c r="D150" s="13">
        <v>22000</v>
      </c>
      <c r="E150" s="13">
        <f t="shared" si="30"/>
        <v>22000</v>
      </c>
      <c r="F150" s="13">
        <f t="shared" si="31"/>
        <v>24310</v>
      </c>
      <c r="G150" s="2"/>
      <c r="H150" s="2"/>
      <c r="I150" s="13">
        <v>12000</v>
      </c>
      <c r="J150" s="13">
        <f t="shared" si="32"/>
        <v>12000</v>
      </c>
      <c r="K150" s="13">
        <f t="shared" si="33"/>
        <v>12310</v>
      </c>
      <c r="L150" s="14">
        <f t="shared" si="34"/>
        <v>0.55954545454545457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</v>
      </c>
      <c r="B151" s="10" t="s">
        <v>23</v>
      </c>
      <c r="C151" s="11" t="s">
        <v>24</v>
      </c>
      <c r="D151" s="13">
        <v>60000</v>
      </c>
      <c r="E151" s="13">
        <f t="shared" si="30"/>
        <v>60000</v>
      </c>
      <c r="F151" s="13">
        <f t="shared" si="31"/>
        <v>66300</v>
      </c>
      <c r="G151" s="2"/>
      <c r="H151" s="2"/>
      <c r="I151" s="13">
        <v>50000</v>
      </c>
      <c r="J151" s="13">
        <f t="shared" si="32"/>
        <v>50000</v>
      </c>
      <c r="K151" s="13">
        <f t="shared" si="33"/>
        <v>16300</v>
      </c>
      <c r="L151" s="14">
        <f t="shared" si="34"/>
        <v>0.27166666666666667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6</v>
      </c>
      <c r="B152" s="10" t="s">
        <v>17</v>
      </c>
      <c r="C152" s="11" t="s">
        <v>123</v>
      </c>
      <c r="D152" s="13">
        <v>2000</v>
      </c>
      <c r="E152" s="13">
        <f t="shared" si="30"/>
        <v>12000</v>
      </c>
      <c r="F152" s="13">
        <f t="shared" si="31"/>
        <v>13260</v>
      </c>
      <c r="G152" s="2"/>
      <c r="H152" s="2"/>
      <c r="I152" s="13">
        <v>1200</v>
      </c>
      <c r="J152" s="13">
        <f t="shared" si="32"/>
        <v>7200</v>
      </c>
      <c r="K152" s="13">
        <f t="shared" si="33"/>
        <v>6060</v>
      </c>
      <c r="L152" s="14">
        <f t="shared" si="34"/>
        <v>0.505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3</v>
      </c>
      <c r="B153" s="10" t="s">
        <v>17</v>
      </c>
      <c r="C153" s="11" t="s">
        <v>49</v>
      </c>
      <c r="D153" s="13">
        <v>3000</v>
      </c>
      <c r="E153" s="13">
        <f t="shared" si="30"/>
        <v>9000</v>
      </c>
      <c r="F153" s="13">
        <f t="shared" si="31"/>
        <v>9945</v>
      </c>
      <c r="G153" s="2"/>
      <c r="H153" s="2"/>
      <c r="I153" s="13">
        <f>35000/17</f>
        <v>2058.8235294117649</v>
      </c>
      <c r="J153" s="13">
        <f t="shared" si="32"/>
        <v>6176.4705882352946</v>
      </c>
      <c r="K153" s="13">
        <f t="shared" si="33"/>
        <v>3768.5294117647054</v>
      </c>
      <c r="L153" s="14">
        <f t="shared" si="34"/>
        <v>0.41872549019607835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3</v>
      </c>
      <c r="B154" s="10" t="s">
        <v>17</v>
      </c>
      <c r="C154" s="11" t="s">
        <v>62</v>
      </c>
      <c r="D154" s="13">
        <v>3000</v>
      </c>
      <c r="E154" s="13">
        <f t="shared" si="30"/>
        <v>9000</v>
      </c>
      <c r="F154" s="13">
        <f t="shared" si="31"/>
        <v>9945</v>
      </c>
      <c r="G154" s="2"/>
      <c r="H154" s="2"/>
      <c r="I154" s="13">
        <f>28000/17</f>
        <v>1647.0588235294117</v>
      </c>
      <c r="J154" s="13">
        <f t="shared" si="32"/>
        <v>4941.1764705882351</v>
      </c>
      <c r="K154" s="13">
        <f t="shared" si="33"/>
        <v>5003.8235294117649</v>
      </c>
      <c r="L154" s="14">
        <f t="shared" si="34"/>
        <v>0.55598039215686279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</v>
      </c>
      <c r="B155" s="10" t="s">
        <v>17</v>
      </c>
      <c r="C155" s="11" t="s">
        <v>35</v>
      </c>
      <c r="D155" s="13">
        <v>2500</v>
      </c>
      <c r="E155" s="13">
        <f t="shared" si="30"/>
        <v>2500</v>
      </c>
      <c r="F155" s="13">
        <f t="shared" si="31"/>
        <v>2762.5</v>
      </c>
      <c r="G155" s="2"/>
      <c r="H155" s="2"/>
      <c r="I155" s="13">
        <f>14000/9</f>
        <v>1555.5555555555557</v>
      </c>
      <c r="J155" s="13">
        <f t="shared" si="32"/>
        <v>1555.5555555555557</v>
      </c>
      <c r="K155" s="13">
        <f t="shared" si="33"/>
        <v>1206.9444444444443</v>
      </c>
      <c r="L155" s="14">
        <f t="shared" si="34"/>
        <v>0.48277777777777775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</v>
      </c>
      <c r="B156" s="10" t="s">
        <v>17</v>
      </c>
      <c r="C156" s="11" t="s">
        <v>43</v>
      </c>
      <c r="D156" s="13">
        <v>5000</v>
      </c>
      <c r="E156" s="13">
        <f t="shared" si="30"/>
        <v>5000</v>
      </c>
      <c r="F156" s="13">
        <f t="shared" si="31"/>
        <v>5525</v>
      </c>
      <c r="G156" s="2"/>
      <c r="H156" s="2"/>
      <c r="I156" s="13">
        <f>12000/4</f>
        <v>3000</v>
      </c>
      <c r="J156" s="13">
        <f t="shared" si="32"/>
        <v>3000</v>
      </c>
      <c r="K156" s="13">
        <f t="shared" si="33"/>
        <v>2525</v>
      </c>
      <c r="L156" s="14">
        <f t="shared" si="34"/>
        <v>0.505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1</v>
      </c>
      <c r="B157" s="10" t="s">
        <v>21</v>
      </c>
      <c r="C157" s="11" t="s">
        <v>22</v>
      </c>
      <c r="D157" s="13">
        <v>1700</v>
      </c>
      <c r="E157" s="13">
        <f t="shared" si="30"/>
        <v>1700</v>
      </c>
      <c r="F157" s="13">
        <f t="shared" si="31"/>
        <v>1878.5</v>
      </c>
      <c r="G157" s="2"/>
      <c r="H157" s="2"/>
      <c r="I157" s="13">
        <f>1200</f>
        <v>1200</v>
      </c>
      <c r="J157" s="13">
        <f t="shared" si="32"/>
        <v>1200</v>
      </c>
      <c r="K157" s="13">
        <f t="shared" si="33"/>
        <v>678.5</v>
      </c>
      <c r="L157" s="14">
        <f t="shared" si="34"/>
        <v>0.39911764705882352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"/>
      <c r="B158" s="2"/>
      <c r="C158" s="4"/>
      <c r="D158" s="2"/>
      <c r="E158" s="2"/>
      <c r="F158" s="2"/>
      <c r="G158" s="2"/>
      <c r="H158" s="2"/>
      <c r="I158" s="2"/>
      <c r="J158" s="2"/>
      <c r="K158" s="2"/>
      <c r="L158" s="3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"/>
      <c r="B159" s="2"/>
      <c r="C159" s="4"/>
      <c r="D159" s="2"/>
      <c r="E159" s="13">
        <f t="shared" ref="E159:F159" si="35">SUM(E137:E157)</f>
        <v>275840</v>
      </c>
      <c r="F159" s="13">
        <f t="shared" si="35"/>
        <v>304803.20000000001</v>
      </c>
      <c r="G159" s="2"/>
      <c r="H159" s="2"/>
      <c r="I159" s="2"/>
      <c r="J159" s="2"/>
      <c r="K159" s="13">
        <f>SUM(K137:K157)</f>
        <v>117170.71167133519</v>
      </c>
      <c r="L159" s="14">
        <f>K159/F159</f>
        <v>0.3844143095326269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0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0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0"/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6" t="s">
        <v>96</v>
      </c>
      <c r="B163" s="1"/>
      <c r="C163" s="1"/>
      <c r="D163" s="22" t="s">
        <v>1090</v>
      </c>
      <c r="E163" s="8">
        <v>46134</v>
      </c>
      <c r="F163" s="24" t="s">
        <v>37</v>
      </c>
      <c r="G163" s="2"/>
      <c r="H163" s="2"/>
      <c r="I163" s="2"/>
      <c r="J163" s="2"/>
      <c r="K163" s="2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2"/>
      <c r="C164" s="4"/>
      <c r="D164" s="2"/>
      <c r="E164" s="2"/>
      <c r="F164" s="2"/>
      <c r="G164" s="2"/>
      <c r="H164" s="2"/>
      <c r="I164" s="2"/>
      <c r="J164" s="2"/>
      <c r="K164" s="2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6" t="s">
        <v>3</v>
      </c>
      <c r="B165" s="10" t="s">
        <v>4</v>
      </c>
      <c r="C165" s="11" t="s">
        <v>5</v>
      </c>
      <c r="D165" s="10" t="s">
        <v>6</v>
      </c>
      <c r="E165" s="10" t="s">
        <v>7</v>
      </c>
      <c r="F165" s="7" t="s">
        <v>37</v>
      </c>
      <c r="G165" s="2"/>
      <c r="H165" s="2"/>
      <c r="I165" s="10" t="s">
        <v>6</v>
      </c>
      <c r="J165" s="10" t="s">
        <v>7</v>
      </c>
      <c r="K165" s="10" t="s">
        <v>10</v>
      </c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2</v>
      </c>
      <c r="B166" s="10" t="s">
        <v>23</v>
      </c>
      <c r="C166" s="11" t="s">
        <v>82</v>
      </c>
      <c r="D166" s="13">
        <v>25000</v>
      </c>
      <c r="E166" s="13">
        <f t="shared" ref="E166:E176" si="36">A166*D166</f>
        <v>50000</v>
      </c>
      <c r="F166" s="2"/>
      <c r="G166" s="2"/>
      <c r="H166" s="2"/>
      <c r="I166" s="13">
        <v>25000</v>
      </c>
      <c r="J166" s="13">
        <f t="shared" ref="J166:J176" si="37">I166*A166</f>
        <v>50000</v>
      </c>
      <c r="K166" s="13">
        <f t="shared" ref="K166:K176" si="38">E166-J166</f>
        <v>0</v>
      </c>
      <c r="L166" s="14">
        <f t="shared" ref="L166:L176" si="39">K166/E166</f>
        <v>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2</v>
      </c>
      <c r="B167" s="10" t="s">
        <v>23</v>
      </c>
      <c r="C167" s="11" t="s">
        <v>56</v>
      </c>
      <c r="D167" s="13">
        <v>16000</v>
      </c>
      <c r="E167" s="13">
        <f t="shared" si="36"/>
        <v>32000</v>
      </c>
      <c r="F167" s="2"/>
      <c r="G167" s="2"/>
      <c r="H167" s="2"/>
      <c r="I167" s="13">
        <v>10000</v>
      </c>
      <c r="J167" s="13">
        <f t="shared" si="37"/>
        <v>20000</v>
      </c>
      <c r="K167" s="13">
        <f t="shared" si="38"/>
        <v>12000</v>
      </c>
      <c r="L167" s="14">
        <f t="shared" si="39"/>
        <v>0.375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2</v>
      </c>
      <c r="B168" s="10" t="s">
        <v>23</v>
      </c>
      <c r="C168" s="11" t="s">
        <v>16</v>
      </c>
      <c r="D168" s="13">
        <v>13000</v>
      </c>
      <c r="E168" s="13">
        <f t="shared" si="36"/>
        <v>26000</v>
      </c>
      <c r="F168" s="2"/>
      <c r="G168" s="2"/>
      <c r="H168" s="2"/>
      <c r="I168" s="13">
        <v>8000</v>
      </c>
      <c r="J168" s="13">
        <f t="shared" si="37"/>
        <v>16000</v>
      </c>
      <c r="K168" s="13">
        <f t="shared" si="38"/>
        <v>10000</v>
      </c>
      <c r="L168" s="14">
        <f t="shared" si="39"/>
        <v>0.38461538461538464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0.5</v>
      </c>
      <c r="B169" s="10" t="s">
        <v>23</v>
      </c>
      <c r="C169" s="11" t="s">
        <v>39</v>
      </c>
      <c r="D169" s="13">
        <v>26000</v>
      </c>
      <c r="E169" s="13">
        <f t="shared" si="36"/>
        <v>13000</v>
      </c>
      <c r="F169" s="2"/>
      <c r="G169" s="2"/>
      <c r="H169" s="2"/>
      <c r="I169" s="13">
        <v>20000</v>
      </c>
      <c r="J169" s="13">
        <f t="shared" si="37"/>
        <v>10000</v>
      </c>
      <c r="K169" s="13">
        <f t="shared" si="38"/>
        <v>3000</v>
      </c>
      <c r="L169" s="14">
        <f t="shared" si="39"/>
        <v>0.23076923076923078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1</v>
      </c>
      <c r="B170" s="10" t="s">
        <v>21</v>
      </c>
      <c r="C170" s="11" t="s">
        <v>29</v>
      </c>
      <c r="D170" s="13">
        <v>3000</v>
      </c>
      <c r="E170" s="13">
        <f t="shared" si="36"/>
        <v>3000</v>
      </c>
      <c r="F170" s="2"/>
      <c r="G170" s="2"/>
      <c r="H170" s="2"/>
      <c r="I170" s="13">
        <f>5000/4</f>
        <v>1250</v>
      </c>
      <c r="J170" s="13">
        <f t="shared" si="37"/>
        <v>1250</v>
      </c>
      <c r="K170" s="13">
        <f t="shared" si="38"/>
        <v>1750</v>
      </c>
      <c r="L170" s="14">
        <f t="shared" si="39"/>
        <v>0.58333333333333337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3</v>
      </c>
      <c r="B171" s="10" t="s">
        <v>23</v>
      </c>
      <c r="C171" s="11" t="s">
        <v>22</v>
      </c>
      <c r="D171" s="13">
        <v>17000</v>
      </c>
      <c r="E171" s="13">
        <f t="shared" si="36"/>
        <v>51000</v>
      </c>
      <c r="F171" s="2"/>
      <c r="G171" s="2"/>
      <c r="H171" s="2"/>
      <c r="I171" s="13">
        <v>12000</v>
      </c>
      <c r="J171" s="13">
        <f t="shared" si="37"/>
        <v>36000</v>
      </c>
      <c r="K171" s="13">
        <f t="shared" si="38"/>
        <v>15000</v>
      </c>
      <c r="L171" s="14">
        <f t="shared" si="39"/>
        <v>0.29411764705882354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2</v>
      </c>
      <c r="B172" s="10" t="s">
        <v>23</v>
      </c>
      <c r="C172" s="11" t="s">
        <v>130</v>
      </c>
      <c r="D172" s="13">
        <v>11000</v>
      </c>
      <c r="E172" s="13">
        <f t="shared" si="36"/>
        <v>22000</v>
      </c>
      <c r="F172" s="2"/>
      <c r="G172" s="2"/>
      <c r="H172" s="2"/>
      <c r="I172" s="13">
        <v>6000</v>
      </c>
      <c r="J172" s="13">
        <f t="shared" si="37"/>
        <v>12000</v>
      </c>
      <c r="K172" s="13">
        <f t="shared" si="38"/>
        <v>10000</v>
      </c>
      <c r="L172" s="14">
        <f t="shared" si="39"/>
        <v>0.45454545454545453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1</v>
      </c>
      <c r="B173" s="10" t="s">
        <v>23</v>
      </c>
      <c r="C173" s="11" t="s">
        <v>167</v>
      </c>
      <c r="D173" s="13">
        <v>16000</v>
      </c>
      <c r="E173" s="13">
        <f t="shared" si="36"/>
        <v>16000</v>
      </c>
      <c r="F173" s="2"/>
      <c r="G173" s="2"/>
      <c r="H173" s="2"/>
      <c r="I173" s="13">
        <v>10000</v>
      </c>
      <c r="J173" s="13">
        <f t="shared" si="37"/>
        <v>10000</v>
      </c>
      <c r="K173" s="13">
        <f t="shared" si="38"/>
        <v>6000</v>
      </c>
      <c r="L173" s="14">
        <f t="shared" si="39"/>
        <v>0.375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2">
        <v>1</v>
      </c>
      <c r="B174" s="10" t="s">
        <v>23</v>
      </c>
      <c r="C174" s="11" t="s">
        <v>31</v>
      </c>
      <c r="D174" s="13">
        <v>16000</v>
      </c>
      <c r="E174" s="13">
        <f t="shared" si="36"/>
        <v>16000</v>
      </c>
      <c r="F174" s="2"/>
      <c r="G174" s="2"/>
      <c r="H174" s="2"/>
      <c r="I174" s="13">
        <v>15000</v>
      </c>
      <c r="J174" s="13">
        <f t="shared" si="37"/>
        <v>15000</v>
      </c>
      <c r="K174" s="13">
        <f t="shared" si="38"/>
        <v>1000</v>
      </c>
      <c r="L174" s="14">
        <f t="shared" si="39"/>
        <v>6.25E-2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2">
        <v>12</v>
      </c>
      <c r="B175" s="10" t="s">
        <v>21</v>
      </c>
      <c r="C175" s="11" t="s">
        <v>46</v>
      </c>
      <c r="D175" s="13">
        <v>500</v>
      </c>
      <c r="E175" s="13">
        <f t="shared" si="36"/>
        <v>6000</v>
      </c>
      <c r="F175" s="2"/>
      <c r="G175" s="2"/>
      <c r="H175" s="2"/>
      <c r="I175" s="13">
        <f>7000/24</f>
        <v>291.66666666666669</v>
      </c>
      <c r="J175" s="13">
        <f t="shared" si="37"/>
        <v>3500</v>
      </c>
      <c r="K175" s="13">
        <f t="shared" si="38"/>
        <v>2500</v>
      </c>
      <c r="L175" s="14">
        <f t="shared" si="39"/>
        <v>0.41666666666666669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2">
        <v>3</v>
      </c>
      <c r="B176" s="10" t="s">
        <v>23</v>
      </c>
      <c r="C176" s="11" t="s">
        <v>14</v>
      </c>
      <c r="D176" s="13">
        <v>24000</v>
      </c>
      <c r="E176" s="13">
        <f t="shared" si="36"/>
        <v>72000</v>
      </c>
      <c r="F176" s="2"/>
      <c r="G176" s="2"/>
      <c r="H176" s="2"/>
      <c r="I176" s="13">
        <v>21000</v>
      </c>
      <c r="J176" s="13">
        <f t="shared" si="37"/>
        <v>63000</v>
      </c>
      <c r="K176" s="13">
        <f t="shared" si="38"/>
        <v>9000</v>
      </c>
      <c r="L176" s="14">
        <f t="shared" si="39"/>
        <v>0.125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"/>
      <c r="B177" s="2"/>
      <c r="C177" s="4"/>
      <c r="D177" s="2"/>
      <c r="E177" s="2"/>
      <c r="F177" s="2"/>
      <c r="G177" s="4"/>
      <c r="H177" s="2"/>
      <c r="I177" s="2"/>
      <c r="J177" s="2"/>
      <c r="K177" s="2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"/>
      <c r="B178" s="2"/>
      <c r="C178" s="4"/>
      <c r="D178" s="2"/>
      <c r="E178" s="13">
        <f>SUM(E166:E176)</f>
        <v>307000</v>
      </c>
      <c r="F178" s="2"/>
      <c r="G178" s="2"/>
      <c r="H178" s="2"/>
      <c r="I178" s="2"/>
      <c r="J178" s="2"/>
      <c r="K178" s="13">
        <f>SUM(K166:K176)</f>
        <v>70250</v>
      </c>
      <c r="L178" s="14">
        <f>K178/E178</f>
        <v>0.22882736156351791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0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0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0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6" t="s">
        <v>1124</v>
      </c>
      <c r="B182" s="1"/>
      <c r="C182" s="1"/>
      <c r="D182" s="22" t="s">
        <v>1125</v>
      </c>
      <c r="E182" s="8">
        <v>46134</v>
      </c>
      <c r="F182" s="24" t="s">
        <v>37</v>
      </c>
      <c r="G182" s="2"/>
      <c r="H182" s="2"/>
      <c r="I182" s="2"/>
      <c r="J182" s="2"/>
      <c r="K182" s="2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2"/>
      <c r="C183" s="4"/>
      <c r="D183" s="2"/>
      <c r="E183" s="2"/>
      <c r="F183" s="2"/>
      <c r="G183" s="2"/>
      <c r="H183" s="2"/>
      <c r="I183" s="2"/>
      <c r="J183" s="2"/>
      <c r="K183" s="2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6" t="s">
        <v>3</v>
      </c>
      <c r="B184" s="10" t="s">
        <v>4</v>
      </c>
      <c r="C184" s="11" t="s">
        <v>5</v>
      </c>
      <c r="D184" s="10" t="s">
        <v>6</v>
      </c>
      <c r="E184" s="10" t="s">
        <v>7</v>
      </c>
      <c r="F184" s="2"/>
      <c r="G184" s="2"/>
      <c r="H184" s="2"/>
      <c r="I184" s="10" t="s">
        <v>6</v>
      </c>
      <c r="J184" s="10" t="s">
        <v>7</v>
      </c>
      <c r="K184" s="10" t="s">
        <v>10</v>
      </c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2</v>
      </c>
      <c r="B185" s="10" t="s">
        <v>17</v>
      </c>
      <c r="C185" s="11" t="s">
        <v>99</v>
      </c>
      <c r="D185" s="13">
        <v>1500</v>
      </c>
      <c r="E185" s="13">
        <f t="shared" ref="E185:E190" si="40">A185*D185</f>
        <v>3000</v>
      </c>
      <c r="F185" s="2"/>
      <c r="G185" s="2"/>
      <c r="H185" s="2"/>
      <c r="I185" s="13">
        <f>5000/8</f>
        <v>625</v>
      </c>
      <c r="J185" s="13">
        <f t="shared" ref="J185:J190" si="41">I185*A185</f>
        <v>1250</v>
      </c>
      <c r="K185" s="13">
        <f t="shared" ref="K185:K190" si="42">E185-J185</f>
        <v>1750</v>
      </c>
      <c r="L185" s="14">
        <f t="shared" ref="L185:L190" si="43">K185/E185</f>
        <v>0.58333333333333337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2</v>
      </c>
      <c r="B186" s="10" t="s">
        <v>17</v>
      </c>
      <c r="C186" s="11" t="s">
        <v>82</v>
      </c>
      <c r="D186" s="13">
        <v>1600</v>
      </c>
      <c r="E186" s="13">
        <f t="shared" si="40"/>
        <v>3200</v>
      </c>
      <c r="F186" s="2"/>
      <c r="G186" s="2"/>
      <c r="H186" s="2"/>
      <c r="I186" s="13">
        <f>25000/14</f>
        <v>1785.7142857142858</v>
      </c>
      <c r="J186" s="13">
        <f t="shared" si="41"/>
        <v>3571.4285714285716</v>
      </c>
      <c r="K186" s="13">
        <f t="shared" si="42"/>
        <v>-371.42857142857156</v>
      </c>
      <c r="L186" s="14">
        <f t="shared" si="43"/>
        <v>-0.11607142857142862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1</v>
      </c>
      <c r="B187" s="10" t="s">
        <v>4</v>
      </c>
      <c r="C187" s="11" t="s">
        <v>41</v>
      </c>
      <c r="D187" s="13">
        <v>2500</v>
      </c>
      <c r="E187" s="13">
        <f t="shared" si="40"/>
        <v>2500</v>
      </c>
      <c r="F187" s="2"/>
      <c r="G187" s="2"/>
      <c r="H187" s="2"/>
      <c r="I187" s="13">
        <f>1000</f>
        <v>1000</v>
      </c>
      <c r="J187" s="13">
        <f t="shared" si="41"/>
        <v>1000</v>
      </c>
      <c r="K187" s="13">
        <f t="shared" si="42"/>
        <v>1500</v>
      </c>
      <c r="L187" s="14">
        <f t="shared" si="43"/>
        <v>0.6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0.7</v>
      </c>
      <c r="B188" s="10" t="s">
        <v>17</v>
      </c>
      <c r="C188" s="11" t="s">
        <v>32</v>
      </c>
      <c r="D188" s="13">
        <v>2300</v>
      </c>
      <c r="E188" s="13">
        <f t="shared" si="40"/>
        <v>1610</v>
      </c>
      <c r="F188" s="2"/>
      <c r="G188" s="2"/>
      <c r="H188" s="2"/>
      <c r="I188" s="13">
        <f>12000/7</f>
        <v>1714.2857142857142</v>
      </c>
      <c r="J188" s="13">
        <f t="shared" si="41"/>
        <v>1199.9999999999998</v>
      </c>
      <c r="K188" s="13">
        <f t="shared" si="42"/>
        <v>410.00000000000023</v>
      </c>
      <c r="L188" s="14">
        <f t="shared" si="43"/>
        <v>0.25465838509316785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0.5</v>
      </c>
      <c r="B189" s="10" t="s">
        <v>17</v>
      </c>
      <c r="C189" s="11" t="s">
        <v>93</v>
      </c>
      <c r="D189" s="13">
        <v>2600</v>
      </c>
      <c r="E189" s="13">
        <f t="shared" si="40"/>
        <v>1300</v>
      </c>
      <c r="F189" s="2"/>
      <c r="G189" s="2"/>
      <c r="H189" s="2"/>
      <c r="I189" s="13">
        <f>10000/7</f>
        <v>1428.5714285714287</v>
      </c>
      <c r="J189" s="13">
        <f t="shared" si="41"/>
        <v>714.28571428571433</v>
      </c>
      <c r="K189" s="13">
        <f t="shared" si="42"/>
        <v>585.71428571428567</v>
      </c>
      <c r="L189" s="14">
        <f t="shared" si="43"/>
        <v>0.4505494505494505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0.5</v>
      </c>
      <c r="B190" s="10" t="s">
        <v>23</v>
      </c>
      <c r="C190" s="11" t="s">
        <v>85</v>
      </c>
      <c r="D190" s="13">
        <v>52000</v>
      </c>
      <c r="E190" s="13">
        <f t="shared" si="40"/>
        <v>26000</v>
      </c>
      <c r="F190" s="2"/>
      <c r="G190" s="2"/>
      <c r="H190" s="2"/>
      <c r="I190" s="13">
        <f>50000</f>
        <v>50000</v>
      </c>
      <c r="J190" s="13">
        <f t="shared" si="41"/>
        <v>25000</v>
      </c>
      <c r="K190" s="13">
        <f t="shared" si="42"/>
        <v>1000</v>
      </c>
      <c r="L190" s="14">
        <f t="shared" si="43"/>
        <v>3.8461538461538464E-2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"/>
      <c r="B191" s="2"/>
      <c r="C191" s="4"/>
      <c r="D191" s="2"/>
      <c r="E191" s="2"/>
      <c r="F191" s="2"/>
      <c r="G191" s="4"/>
      <c r="H191" s="2"/>
      <c r="I191" s="2"/>
      <c r="J191" s="2"/>
      <c r="K191" s="2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"/>
      <c r="B192" s="2"/>
      <c r="C192" s="4"/>
      <c r="D192" s="2"/>
      <c r="E192" s="13">
        <f>SUM(E185:E190)</f>
        <v>37610</v>
      </c>
      <c r="F192" s="2"/>
      <c r="G192" s="2"/>
      <c r="H192" s="2"/>
      <c r="I192" s="2"/>
      <c r="J192" s="2"/>
      <c r="K192" s="13">
        <f>SUM(K185:K190)</f>
        <v>4874.2857142857138</v>
      </c>
      <c r="L192" s="14">
        <f>K192/E192</f>
        <v>0.12960079006343297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0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0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6" t="s">
        <v>75</v>
      </c>
      <c r="B195" s="6"/>
      <c r="C195" s="6"/>
      <c r="D195" s="22" t="s">
        <v>58</v>
      </c>
      <c r="E195" s="8">
        <v>46134</v>
      </c>
      <c r="F195" s="24" t="s">
        <v>37</v>
      </c>
      <c r="G195" s="2"/>
      <c r="H195" s="2"/>
      <c r="I195" s="13"/>
      <c r="J195" s="13"/>
      <c r="K195" s="13"/>
      <c r="L195" s="14"/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B196" s="2"/>
      <c r="C196" s="4"/>
      <c r="D196" s="2"/>
      <c r="E196" s="2"/>
      <c r="F196" s="2"/>
      <c r="G196" s="2"/>
      <c r="H196" s="2"/>
      <c r="I196" s="13"/>
      <c r="J196" s="13"/>
      <c r="K196" s="13"/>
      <c r="L196" s="14"/>
      <c r="M196" s="4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ht="15.75" customHeight="1" x14ac:dyDescent="0.2">
      <c r="A197" s="6" t="s">
        <v>3</v>
      </c>
      <c r="B197" s="10" t="s">
        <v>4</v>
      </c>
      <c r="C197" s="11" t="s">
        <v>5</v>
      </c>
      <c r="D197" s="10" t="s">
        <v>6</v>
      </c>
      <c r="E197" s="10" t="s">
        <v>7</v>
      </c>
      <c r="F197" s="10"/>
      <c r="G197" s="2"/>
      <c r="H197" s="2"/>
      <c r="I197" s="10" t="s">
        <v>6</v>
      </c>
      <c r="J197" s="10" t="s">
        <v>7</v>
      </c>
      <c r="K197" s="10" t="s">
        <v>10</v>
      </c>
      <c r="L197" s="14"/>
      <c r="M197" s="4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ht="15.75" customHeight="1" x14ac:dyDescent="0.2">
      <c r="A198" s="12">
        <v>1</v>
      </c>
      <c r="B198" s="10" t="s">
        <v>4</v>
      </c>
      <c r="C198" s="11" t="s">
        <v>64</v>
      </c>
      <c r="D198" s="13">
        <v>2500</v>
      </c>
      <c r="E198" s="13">
        <f t="shared" ref="E198:E223" si="44">A198*D198</f>
        <v>2500</v>
      </c>
      <c r="F198" s="13"/>
      <c r="G198" s="2"/>
      <c r="H198" s="7"/>
      <c r="I198" s="13">
        <v>1000</v>
      </c>
      <c r="J198" s="13">
        <f t="shared" ref="J198:J223" si="45">I198*A198</f>
        <v>1000</v>
      </c>
      <c r="K198" s="13">
        <f t="shared" ref="K198:K223" si="46">E198-J198</f>
        <v>1500</v>
      </c>
      <c r="L198" s="14">
        <f t="shared" ref="L198:L223" si="47">K198/E198</f>
        <v>0.6</v>
      </c>
      <c r="M198" s="4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ht="15.75" customHeight="1" x14ac:dyDescent="0.2">
      <c r="A199" s="12">
        <v>5</v>
      </c>
      <c r="B199" s="10" t="s">
        <v>4</v>
      </c>
      <c r="C199" s="11" t="s">
        <v>13</v>
      </c>
      <c r="D199" s="13">
        <v>900</v>
      </c>
      <c r="E199" s="13">
        <f t="shared" si="44"/>
        <v>4500</v>
      </c>
      <c r="F199" s="13"/>
      <c r="G199" s="2"/>
      <c r="H199" s="7"/>
      <c r="I199" s="13">
        <v>520</v>
      </c>
      <c r="J199" s="13">
        <f t="shared" si="45"/>
        <v>2600</v>
      </c>
      <c r="K199" s="13">
        <f t="shared" si="46"/>
        <v>1900</v>
      </c>
      <c r="L199" s="14">
        <f t="shared" si="47"/>
        <v>0.42222222222222222</v>
      </c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ht="15.75" customHeight="1" x14ac:dyDescent="0.2">
      <c r="A200" s="12">
        <v>2</v>
      </c>
      <c r="B200" s="10" t="s">
        <v>17</v>
      </c>
      <c r="C200" s="11" t="s">
        <v>129</v>
      </c>
      <c r="D200" s="13">
        <v>1800</v>
      </c>
      <c r="E200" s="13">
        <f t="shared" si="44"/>
        <v>3600</v>
      </c>
      <c r="F200" s="13"/>
      <c r="G200" s="2"/>
      <c r="H200" s="7"/>
      <c r="I200" s="13">
        <v>1100</v>
      </c>
      <c r="J200" s="13">
        <f t="shared" si="45"/>
        <v>2200</v>
      </c>
      <c r="K200" s="13">
        <f t="shared" si="46"/>
        <v>1400</v>
      </c>
      <c r="L200" s="14">
        <f t="shared" si="47"/>
        <v>0.3888888888888889</v>
      </c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2">
        <v>3</v>
      </c>
      <c r="B201" s="10" t="s">
        <v>17</v>
      </c>
      <c r="C201" s="11" t="s">
        <v>77</v>
      </c>
      <c r="D201" s="13">
        <v>2400</v>
      </c>
      <c r="E201" s="13">
        <f t="shared" si="44"/>
        <v>7200</v>
      </c>
      <c r="F201" s="2"/>
      <c r="G201" s="2"/>
      <c r="H201" s="2"/>
      <c r="I201" s="2">
        <f>19000/11</f>
        <v>1727.2727272727273</v>
      </c>
      <c r="J201" s="13">
        <f t="shared" si="45"/>
        <v>5181.818181818182</v>
      </c>
      <c r="K201" s="13">
        <f t="shared" si="46"/>
        <v>2018.181818181818</v>
      </c>
      <c r="L201" s="82">
        <f t="shared" si="47"/>
        <v>0.28030303030303028</v>
      </c>
      <c r="M201" s="4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ht="15.75" customHeight="1" x14ac:dyDescent="0.2">
      <c r="A202" s="12">
        <v>3</v>
      </c>
      <c r="B202" s="10" t="s">
        <v>17</v>
      </c>
      <c r="C202" s="11" t="s">
        <v>99</v>
      </c>
      <c r="D202" s="13">
        <v>1500</v>
      </c>
      <c r="E202" s="13">
        <f t="shared" si="44"/>
        <v>4500</v>
      </c>
      <c r="F202" s="2"/>
      <c r="G202" s="2"/>
      <c r="H202" s="2"/>
      <c r="I202" s="13">
        <f>5000/8</f>
        <v>625</v>
      </c>
      <c r="J202" s="13">
        <f t="shared" si="45"/>
        <v>1875</v>
      </c>
      <c r="K202" s="13">
        <f t="shared" si="46"/>
        <v>2625</v>
      </c>
      <c r="L202" s="82">
        <f t="shared" si="47"/>
        <v>0.58333333333333337</v>
      </c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A203" s="12">
        <v>3</v>
      </c>
      <c r="B203" s="10" t="s">
        <v>17</v>
      </c>
      <c r="C203" s="11" t="s">
        <v>93</v>
      </c>
      <c r="D203" s="13">
        <v>3000</v>
      </c>
      <c r="E203" s="13">
        <f t="shared" si="44"/>
        <v>9000</v>
      </c>
      <c r="F203" s="2"/>
      <c r="G203" s="2"/>
      <c r="H203" s="2"/>
      <c r="I203" s="2">
        <f>10000/8</f>
        <v>1250</v>
      </c>
      <c r="J203" s="13">
        <f t="shared" si="45"/>
        <v>3750</v>
      </c>
      <c r="K203" s="13">
        <f t="shared" si="46"/>
        <v>5250</v>
      </c>
      <c r="L203" s="82">
        <f t="shared" si="47"/>
        <v>0.58333333333333337</v>
      </c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12">
        <v>2</v>
      </c>
      <c r="B204" s="10" t="s">
        <v>17</v>
      </c>
      <c r="C204" s="11" t="s">
        <v>31</v>
      </c>
      <c r="D204" s="13">
        <v>3000</v>
      </c>
      <c r="E204" s="13">
        <f t="shared" si="44"/>
        <v>6000</v>
      </c>
      <c r="F204" s="2"/>
      <c r="G204" s="2"/>
      <c r="H204" s="2"/>
      <c r="I204" s="13">
        <f>15000/8</f>
        <v>1875</v>
      </c>
      <c r="J204" s="13">
        <f t="shared" si="45"/>
        <v>3750</v>
      </c>
      <c r="K204" s="13">
        <f t="shared" si="46"/>
        <v>2250</v>
      </c>
      <c r="L204" s="82">
        <f t="shared" si="47"/>
        <v>0.375</v>
      </c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2">
        <v>2</v>
      </c>
      <c r="B205" s="10" t="s">
        <v>17</v>
      </c>
      <c r="C205" s="11" t="s">
        <v>79</v>
      </c>
      <c r="D205" s="13">
        <v>5000</v>
      </c>
      <c r="E205" s="13">
        <f t="shared" si="44"/>
        <v>10000</v>
      </c>
      <c r="F205" s="2"/>
      <c r="G205" s="2"/>
      <c r="H205" s="2"/>
      <c r="I205" s="2">
        <f>12000/4</f>
        <v>3000</v>
      </c>
      <c r="J205" s="13">
        <f t="shared" si="45"/>
        <v>6000</v>
      </c>
      <c r="K205" s="13">
        <f t="shared" si="46"/>
        <v>4000</v>
      </c>
      <c r="L205" s="82">
        <f t="shared" si="47"/>
        <v>0.4</v>
      </c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>
        <v>2</v>
      </c>
      <c r="B206" s="10" t="s">
        <v>4</v>
      </c>
      <c r="C206" s="11" t="s">
        <v>65</v>
      </c>
      <c r="D206" s="13">
        <v>1200</v>
      </c>
      <c r="E206" s="13">
        <f t="shared" si="44"/>
        <v>2400</v>
      </c>
      <c r="F206" s="2"/>
      <c r="G206" s="2"/>
      <c r="H206" s="2"/>
      <c r="I206" s="2">
        <f>27000/50</f>
        <v>540</v>
      </c>
      <c r="J206" s="13">
        <f t="shared" si="45"/>
        <v>1080</v>
      </c>
      <c r="K206" s="13">
        <f t="shared" si="46"/>
        <v>1320</v>
      </c>
      <c r="L206" s="82">
        <f t="shared" si="47"/>
        <v>0.55000000000000004</v>
      </c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>
        <v>2</v>
      </c>
      <c r="B207" s="10" t="s">
        <v>21</v>
      </c>
      <c r="C207" s="11" t="s">
        <v>46</v>
      </c>
      <c r="D207" s="13">
        <v>600</v>
      </c>
      <c r="E207" s="13">
        <f t="shared" si="44"/>
        <v>1200</v>
      </c>
      <c r="F207" s="2"/>
      <c r="G207" s="2"/>
      <c r="H207" s="2"/>
      <c r="I207" s="13">
        <f>7000/24</f>
        <v>291.66666666666669</v>
      </c>
      <c r="J207" s="13">
        <f t="shared" si="45"/>
        <v>583.33333333333337</v>
      </c>
      <c r="K207" s="13">
        <f t="shared" si="46"/>
        <v>616.66666666666663</v>
      </c>
      <c r="L207" s="82">
        <f t="shared" si="47"/>
        <v>0.51388888888888884</v>
      </c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2">
        <v>3</v>
      </c>
      <c r="B208" s="10" t="s">
        <v>17</v>
      </c>
      <c r="C208" s="11" t="s">
        <v>81</v>
      </c>
      <c r="D208" s="13">
        <v>1200</v>
      </c>
      <c r="E208" s="13">
        <f t="shared" si="44"/>
        <v>3600</v>
      </c>
      <c r="F208" s="2"/>
      <c r="G208" s="2"/>
      <c r="H208" s="2"/>
      <c r="I208" s="2">
        <f>8000/15</f>
        <v>533.33333333333337</v>
      </c>
      <c r="J208" s="13">
        <f t="shared" si="45"/>
        <v>1600</v>
      </c>
      <c r="K208" s="13">
        <f t="shared" si="46"/>
        <v>2000</v>
      </c>
      <c r="L208" s="82">
        <f t="shared" si="47"/>
        <v>0.55555555555555558</v>
      </c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2">
        <v>2</v>
      </c>
      <c r="B209" s="10" t="s">
        <v>21</v>
      </c>
      <c r="C209" s="11" t="s">
        <v>42</v>
      </c>
      <c r="D209" s="13">
        <v>4000</v>
      </c>
      <c r="E209" s="13">
        <f t="shared" si="44"/>
        <v>8000</v>
      </c>
      <c r="F209" s="2"/>
      <c r="G209" s="2"/>
      <c r="H209" s="2"/>
      <c r="I209" s="13">
        <f>2000</f>
        <v>2000</v>
      </c>
      <c r="J209" s="13">
        <f t="shared" si="45"/>
        <v>4000</v>
      </c>
      <c r="K209" s="13">
        <f t="shared" si="46"/>
        <v>4000</v>
      </c>
      <c r="L209" s="82">
        <f t="shared" si="47"/>
        <v>0.5</v>
      </c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2">
        <v>3</v>
      </c>
      <c r="B210" s="10" t="s">
        <v>17</v>
      </c>
      <c r="C210" s="11" t="s">
        <v>82</v>
      </c>
      <c r="D210" s="13">
        <v>2800</v>
      </c>
      <c r="E210" s="13">
        <f t="shared" si="44"/>
        <v>8400</v>
      </c>
      <c r="F210" s="2"/>
      <c r="G210" s="2"/>
      <c r="H210" s="2"/>
      <c r="I210" s="13">
        <f>25000/14</f>
        <v>1785.7142857142858</v>
      </c>
      <c r="J210" s="13">
        <f t="shared" si="45"/>
        <v>5357.1428571428569</v>
      </c>
      <c r="K210" s="13">
        <f t="shared" si="46"/>
        <v>3042.8571428571431</v>
      </c>
      <c r="L210" s="82">
        <f t="shared" si="47"/>
        <v>0.36224489795918369</v>
      </c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2">
        <v>3</v>
      </c>
      <c r="B211" s="10" t="s">
        <v>17</v>
      </c>
      <c r="C211" s="11" t="s">
        <v>61</v>
      </c>
      <c r="D211" s="13">
        <v>2800</v>
      </c>
      <c r="E211" s="13">
        <f t="shared" si="44"/>
        <v>8400</v>
      </c>
      <c r="F211" s="13"/>
      <c r="G211" s="2"/>
      <c r="H211" s="7"/>
      <c r="I211" s="13">
        <f>30000/14</f>
        <v>2142.8571428571427</v>
      </c>
      <c r="J211" s="13">
        <f t="shared" si="45"/>
        <v>6428.5714285714275</v>
      </c>
      <c r="K211" s="13">
        <f t="shared" si="46"/>
        <v>1971.4285714285725</v>
      </c>
      <c r="L211" s="14">
        <f t="shared" si="47"/>
        <v>0.23469387755102053</v>
      </c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15.75" customHeight="1" x14ac:dyDescent="0.2">
      <c r="A212" s="12">
        <v>1</v>
      </c>
      <c r="B212" s="10" t="s">
        <v>15</v>
      </c>
      <c r="C212" s="11" t="s">
        <v>16</v>
      </c>
      <c r="D212" s="13">
        <v>13000</v>
      </c>
      <c r="E212" s="13">
        <f t="shared" si="44"/>
        <v>13000</v>
      </c>
      <c r="F212" s="13"/>
      <c r="G212" s="2"/>
      <c r="H212" s="7"/>
      <c r="I212" s="13">
        <v>8000</v>
      </c>
      <c r="J212" s="13">
        <f t="shared" si="45"/>
        <v>8000</v>
      </c>
      <c r="K212" s="13">
        <f t="shared" si="46"/>
        <v>5000</v>
      </c>
      <c r="L212" s="14">
        <f t="shared" si="47"/>
        <v>0.38461538461538464</v>
      </c>
      <c r="M212" s="4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ht="15.75" customHeight="1" x14ac:dyDescent="0.2">
      <c r="A213" s="12">
        <v>1</v>
      </c>
      <c r="B213" s="10" t="s">
        <v>15</v>
      </c>
      <c r="C213" s="11" t="s">
        <v>83</v>
      </c>
      <c r="D213" s="13">
        <v>14000</v>
      </c>
      <c r="E213" s="13">
        <f t="shared" si="44"/>
        <v>14000</v>
      </c>
      <c r="F213" s="13"/>
      <c r="G213" s="2"/>
      <c r="H213" s="7"/>
      <c r="I213" s="13">
        <v>10000</v>
      </c>
      <c r="J213" s="13">
        <f t="shared" si="45"/>
        <v>10000</v>
      </c>
      <c r="K213" s="13">
        <f t="shared" si="46"/>
        <v>4000</v>
      </c>
      <c r="L213" s="14">
        <f t="shared" si="47"/>
        <v>0.2857142857142857</v>
      </c>
      <c r="M213" s="4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ht="15.75" customHeight="1" x14ac:dyDescent="0.2">
      <c r="A214" s="12">
        <v>1</v>
      </c>
      <c r="B214" s="10" t="s">
        <v>15</v>
      </c>
      <c r="C214" s="11" t="s">
        <v>56</v>
      </c>
      <c r="D214" s="13">
        <v>15000</v>
      </c>
      <c r="E214" s="13">
        <f t="shared" si="44"/>
        <v>15000</v>
      </c>
      <c r="F214" s="13"/>
      <c r="G214" s="2"/>
      <c r="H214" s="7"/>
      <c r="I214" s="13">
        <v>10000</v>
      </c>
      <c r="J214" s="13">
        <f t="shared" si="45"/>
        <v>10000</v>
      </c>
      <c r="K214" s="13">
        <f t="shared" si="46"/>
        <v>5000</v>
      </c>
      <c r="L214" s="14">
        <f t="shared" si="47"/>
        <v>0.33333333333333331</v>
      </c>
      <c r="M214" s="4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ht="15.75" customHeight="1" x14ac:dyDescent="0.2">
      <c r="A215" s="12">
        <v>1</v>
      </c>
      <c r="B215" s="10" t="s">
        <v>15</v>
      </c>
      <c r="C215" s="11" t="s">
        <v>84</v>
      </c>
      <c r="D215" s="13">
        <v>16000</v>
      </c>
      <c r="E215" s="13">
        <f t="shared" si="44"/>
        <v>16000</v>
      </c>
      <c r="F215" s="13"/>
      <c r="G215" s="2"/>
      <c r="H215" s="7"/>
      <c r="I215" s="13">
        <v>12000</v>
      </c>
      <c r="J215" s="13">
        <f t="shared" si="45"/>
        <v>12000</v>
      </c>
      <c r="K215" s="13">
        <f t="shared" si="46"/>
        <v>4000</v>
      </c>
      <c r="L215" s="14">
        <f t="shared" si="47"/>
        <v>0.25</v>
      </c>
      <c r="M215" s="4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ht="15.75" customHeight="1" x14ac:dyDescent="0.2">
      <c r="A216" s="12">
        <v>0.5</v>
      </c>
      <c r="B216" s="10" t="s">
        <v>15</v>
      </c>
      <c r="C216" s="11" t="s">
        <v>40</v>
      </c>
      <c r="D216" s="13">
        <v>12000</v>
      </c>
      <c r="E216" s="13">
        <f t="shared" si="44"/>
        <v>6000</v>
      </c>
      <c r="F216" s="13"/>
      <c r="G216" s="2"/>
      <c r="H216" s="7"/>
      <c r="I216" s="13">
        <v>8000</v>
      </c>
      <c r="J216" s="13">
        <f t="shared" si="45"/>
        <v>4000</v>
      </c>
      <c r="K216" s="13">
        <f t="shared" si="46"/>
        <v>2000</v>
      </c>
      <c r="L216" s="14">
        <f t="shared" si="47"/>
        <v>0.33333333333333331</v>
      </c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ht="15.75" customHeight="1" x14ac:dyDescent="0.2">
      <c r="A217" s="12">
        <v>1</v>
      </c>
      <c r="B217" s="10" t="s">
        <v>23</v>
      </c>
      <c r="C217" s="11" t="s">
        <v>87</v>
      </c>
      <c r="D217" s="13">
        <v>40000</v>
      </c>
      <c r="E217" s="13">
        <f t="shared" si="44"/>
        <v>40000</v>
      </c>
      <c r="F217" s="13"/>
      <c r="G217" s="2"/>
      <c r="H217" s="7"/>
      <c r="I217" s="13">
        <v>28000</v>
      </c>
      <c r="J217" s="13">
        <f t="shared" si="45"/>
        <v>28000</v>
      </c>
      <c r="K217" s="13">
        <f t="shared" si="46"/>
        <v>12000</v>
      </c>
      <c r="L217" s="14">
        <f t="shared" si="47"/>
        <v>0.3</v>
      </c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2">
        <v>2</v>
      </c>
      <c r="B218" s="10" t="s">
        <v>17</v>
      </c>
      <c r="C218" s="11" t="s">
        <v>88</v>
      </c>
      <c r="D218" s="13">
        <v>2000</v>
      </c>
      <c r="E218" s="13">
        <f t="shared" si="44"/>
        <v>4000</v>
      </c>
      <c r="F218" s="13"/>
      <c r="G218" s="2"/>
      <c r="H218" s="7"/>
      <c r="I218" s="13">
        <f>13000/14</f>
        <v>928.57142857142856</v>
      </c>
      <c r="J218" s="13">
        <f t="shared" si="45"/>
        <v>1857.1428571428571</v>
      </c>
      <c r="K218" s="13">
        <f t="shared" si="46"/>
        <v>2142.8571428571431</v>
      </c>
      <c r="L218" s="14">
        <f t="shared" si="47"/>
        <v>0.53571428571428581</v>
      </c>
      <c r="M218" s="4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ht="15.75" customHeight="1" x14ac:dyDescent="0.2">
      <c r="A219" s="12">
        <v>3</v>
      </c>
      <c r="B219" s="10" t="s">
        <v>17</v>
      </c>
      <c r="C219" s="11" t="s">
        <v>67</v>
      </c>
      <c r="D219" s="13">
        <v>1200</v>
      </c>
      <c r="E219" s="13">
        <f t="shared" si="44"/>
        <v>3600</v>
      </c>
      <c r="F219" s="13"/>
      <c r="G219" s="2"/>
      <c r="H219" s="7"/>
      <c r="I219" s="13">
        <f>10000/15</f>
        <v>666.66666666666663</v>
      </c>
      <c r="J219" s="13">
        <f t="shared" si="45"/>
        <v>2000</v>
      </c>
      <c r="K219" s="13">
        <f t="shared" si="46"/>
        <v>1600</v>
      </c>
      <c r="L219" s="14">
        <f t="shared" si="47"/>
        <v>0.44444444444444442</v>
      </c>
      <c r="M219" s="4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ht="15.75" customHeight="1" x14ac:dyDescent="0.2">
      <c r="A220" s="12">
        <v>0.5</v>
      </c>
      <c r="B220" s="10" t="s">
        <v>86</v>
      </c>
      <c r="C220" s="11" t="s">
        <v>24</v>
      </c>
      <c r="D220" s="13">
        <v>60000</v>
      </c>
      <c r="E220" s="13">
        <f t="shared" si="44"/>
        <v>30000</v>
      </c>
      <c r="F220" s="13"/>
      <c r="G220" s="2"/>
      <c r="H220" s="7"/>
      <c r="I220" s="13">
        <v>50000</v>
      </c>
      <c r="J220" s="13">
        <f t="shared" si="45"/>
        <v>25000</v>
      </c>
      <c r="K220" s="13">
        <f t="shared" si="46"/>
        <v>5000</v>
      </c>
      <c r="L220" s="14">
        <f t="shared" si="47"/>
        <v>0.16666666666666666</v>
      </c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2">
        <v>2</v>
      </c>
      <c r="B221" s="10" t="s">
        <v>17</v>
      </c>
      <c r="C221" s="11" t="s">
        <v>25</v>
      </c>
      <c r="D221" s="13">
        <v>4500</v>
      </c>
      <c r="E221" s="13">
        <f t="shared" si="44"/>
        <v>9000</v>
      </c>
      <c r="F221" s="13"/>
      <c r="G221" s="2"/>
      <c r="H221" s="7"/>
      <c r="I221" s="13">
        <f>62000/17</f>
        <v>3647.0588235294117</v>
      </c>
      <c r="J221" s="13">
        <f t="shared" si="45"/>
        <v>7294.1176470588234</v>
      </c>
      <c r="K221" s="13">
        <f t="shared" si="46"/>
        <v>1705.8823529411766</v>
      </c>
      <c r="L221" s="14">
        <f t="shared" si="47"/>
        <v>0.18954248366013074</v>
      </c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2">
        <v>5</v>
      </c>
      <c r="B222" s="10" t="s">
        <v>17</v>
      </c>
      <c r="C222" s="11" t="s">
        <v>26</v>
      </c>
      <c r="D222" s="13">
        <v>2200</v>
      </c>
      <c r="E222" s="13">
        <f t="shared" si="44"/>
        <v>11000</v>
      </c>
      <c r="F222" s="13"/>
      <c r="G222" s="2"/>
      <c r="H222" s="7"/>
      <c r="I222" s="13">
        <f>12000/15</f>
        <v>800</v>
      </c>
      <c r="J222" s="13">
        <f t="shared" si="45"/>
        <v>4000</v>
      </c>
      <c r="K222" s="13">
        <f t="shared" si="46"/>
        <v>7000</v>
      </c>
      <c r="L222" s="14">
        <f t="shared" si="47"/>
        <v>0.63636363636363635</v>
      </c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2">
        <v>1</v>
      </c>
      <c r="B223" s="10" t="s">
        <v>187</v>
      </c>
      <c r="C223" s="11" t="s">
        <v>49</v>
      </c>
      <c r="D223" s="13">
        <v>26000</v>
      </c>
      <c r="E223" s="13">
        <f t="shared" si="44"/>
        <v>26000</v>
      </c>
      <c r="F223" s="13"/>
      <c r="G223" s="2"/>
      <c r="H223" s="7"/>
      <c r="I223" s="13">
        <v>19000</v>
      </c>
      <c r="J223" s="13">
        <f t="shared" si="45"/>
        <v>19000</v>
      </c>
      <c r="K223" s="13">
        <f t="shared" si="46"/>
        <v>7000</v>
      </c>
      <c r="L223" s="14">
        <f t="shared" si="47"/>
        <v>0.26923076923076922</v>
      </c>
      <c r="M223" s="4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ht="15.75" customHeight="1" x14ac:dyDescent="0.2">
      <c r="A224" s="12"/>
      <c r="B224" s="10"/>
      <c r="C224" s="11"/>
      <c r="D224" s="13"/>
      <c r="E224" s="13"/>
      <c r="F224" s="13"/>
      <c r="H224" s="2"/>
      <c r="I224" s="13"/>
      <c r="J224" s="13"/>
      <c r="K224" s="13"/>
      <c r="L224" s="14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ht="15.75" customHeight="1" x14ac:dyDescent="0.2">
      <c r="A225" s="12"/>
      <c r="B225" s="10"/>
      <c r="C225" s="11"/>
      <c r="D225" s="13"/>
      <c r="E225" s="13">
        <f>SUM(E198:E224)</f>
        <v>266900</v>
      </c>
      <c r="F225" s="13"/>
      <c r="G225" s="2"/>
      <c r="H225" s="2"/>
      <c r="I225" s="13"/>
      <c r="J225" s="13"/>
      <c r="K225" s="13">
        <f>SUM(K198:K223)</f>
        <v>90342.87369493251</v>
      </c>
      <c r="L225" s="14">
        <f>K225/E225</f>
        <v>0.33848959795778383</v>
      </c>
      <c r="M225" s="4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ht="15.75" customHeight="1" x14ac:dyDescent="0.2">
      <c r="A226" s="12"/>
      <c r="B226" s="10"/>
      <c r="C226" s="11"/>
      <c r="D226" s="13"/>
      <c r="E226" s="13"/>
      <c r="F226" s="13"/>
      <c r="G226" s="2"/>
      <c r="H226" s="2"/>
      <c r="I226" s="13"/>
      <c r="J226" s="13"/>
      <c r="K226" s="13"/>
      <c r="L226" s="14"/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A227" s="12"/>
      <c r="B227" s="10"/>
      <c r="C227" s="11"/>
      <c r="D227" s="13"/>
      <c r="E227" s="13"/>
      <c r="F227" s="13"/>
      <c r="G227" s="2"/>
      <c r="H227" s="2"/>
      <c r="I227" s="13"/>
      <c r="J227" s="13"/>
      <c r="K227" s="13"/>
      <c r="L227" s="14"/>
      <c r="M227" s="4"/>
      <c r="N227" s="2"/>
      <c r="O227" s="4"/>
      <c r="P227" s="2"/>
      <c r="Q227" s="2"/>
      <c r="R227" s="4"/>
      <c r="S227" s="2"/>
      <c r="T227" s="2"/>
      <c r="U227" s="1"/>
      <c r="V227" s="2"/>
      <c r="W227" s="2"/>
      <c r="X227" s="2"/>
      <c r="Y227" s="2"/>
      <c r="Z227" s="2"/>
    </row>
    <row r="228" spans="1:26" ht="15.75" customHeight="1" x14ac:dyDescent="0.2">
      <c r="A228" s="12"/>
      <c r="B228" s="10"/>
      <c r="C228" s="11"/>
      <c r="D228" s="13"/>
      <c r="E228" s="13"/>
      <c r="F228" s="13"/>
      <c r="G228" s="2"/>
      <c r="H228" s="2"/>
      <c r="I228" s="13"/>
      <c r="J228" s="13"/>
      <c r="K228" s="13"/>
      <c r="L228" s="14"/>
      <c r="M228" s="4"/>
      <c r="N228" s="2"/>
      <c r="O228" s="4"/>
      <c r="P228" s="2"/>
      <c r="Q228" s="2"/>
      <c r="R228" s="4"/>
      <c r="S228" s="2"/>
      <c r="T228" s="2"/>
      <c r="U228" s="1"/>
      <c r="V228" s="2"/>
      <c r="W228" s="2"/>
      <c r="X228" s="2"/>
      <c r="Y228" s="2"/>
      <c r="Z228" s="2"/>
    </row>
    <row r="229" spans="1:26" ht="15.75" customHeight="1" x14ac:dyDescent="0.2">
      <c r="A229" s="6" t="s">
        <v>108</v>
      </c>
      <c r="B229" s="1"/>
      <c r="C229" s="1"/>
      <c r="D229" s="22" t="s">
        <v>105</v>
      </c>
      <c r="E229" s="8">
        <v>46134</v>
      </c>
      <c r="F229" s="24" t="s">
        <v>37</v>
      </c>
      <c r="G229" s="2"/>
      <c r="H229" s="2"/>
      <c r="I229" s="2"/>
      <c r="J229" s="2"/>
      <c r="K229" s="2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2"/>
      <c r="C230" s="4"/>
      <c r="D230" s="2"/>
      <c r="E230" s="2"/>
      <c r="F230" s="2"/>
      <c r="G230" s="2"/>
      <c r="H230" s="2"/>
      <c r="I230" s="2"/>
      <c r="J230" s="2"/>
      <c r="K230" s="2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6" t="s">
        <v>3</v>
      </c>
      <c r="B231" s="10" t="s">
        <v>4</v>
      </c>
      <c r="C231" s="11" t="s">
        <v>5</v>
      </c>
      <c r="D231" s="10" t="s">
        <v>6</v>
      </c>
      <c r="E231" s="10" t="s">
        <v>7</v>
      </c>
      <c r="F231" s="2"/>
      <c r="G231" s="2"/>
      <c r="H231" s="2"/>
      <c r="I231" s="10" t="s">
        <v>6</v>
      </c>
      <c r="J231" s="10" t="s">
        <v>7</v>
      </c>
      <c r="K231" s="10" t="s">
        <v>10</v>
      </c>
      <c r="L231" s="3"/>
      <c r="M231" s="24" t="s">
        <v>1126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3</v>
      </c>
      <c r="B232" s="10" t="s">
        <v>4</v>
      </c>
      <c r="C232" s="11" t="s">
        <v>64</v>
      </c>
      <c r="D232" s="13">
        <v>2000</v>
      </c>
      <c r="E232" s="13">
        <f t="shared" ref="E232:E239" si="48">A232*D232</f>
        <v>6000</v>
      </c>
      <c r="F232" s="2"/>
      <c r="G232" s="2"/>
      <c r="H232" s="2"/>
      <c r="I232" s="13">
        <v>1000</v>
      </c>
      <c r="J232" s="13">
        <f t="shared" ref="J232:J239" si="49">I232*A232</f>
        <v>3000</v>
      </c>
      <c r="K232" s="13">
        <f t="shared" ref="K232:K239" si="50">E232-J232</f>
        <v>3000</v>
      </c>
      <c r="L232" s="14">
        <f t="shared" ref="L232:L239" si="51">K232/E232</f>
        <v>0.5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1</v>
      </c>
      <c r="B233" s="10" t="s">
        <v>100</v>
      </c>
      <c r="C233" s="11" t="s">
        <v>93</v>
      </c>
      <c r="D233" s="13">
        <v>11000</v>
      </c>
      <c r="E233" s="13">
        <f t="shared" si="48"/>
        <v>11000</v>
      </c>
      <c r="F233" s="2"/>
      <c r="G233" s="2"/>
      <c r="H233" s="2"/>
      <c r="I233" s="13">
        <f>1250*5</f>
        <v>6250</v>
      </c>
      <c r="J233" s="13">
        <f t="shared" si="49"/>
        <v>6250</v>
      </c>
      <c r="K233" s="13">
        <f t="shared" si="50"/>
        <v>4750</v>
      </c>
      <c r="L233" s="14">
        <f t="shared" si="51"/>
        <v>0.43181818181818182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2</v>
      </c>
      <c r="B234" s="10" t="s">
        <v>21</v>
      </c>
      <c r="C234" s="11" t="s">
        <v>28</v>
      </c>
      <c r="D234" s="13">
        <v>3500</v>
      </c>
      <c r="E234" s="13">
        <f t="shared" si="48"/>
        <v>7000</v>
      </c>
      <c r="F234" s="2"/>
      <c r="G234" s="2"/>
      <c r="H234" s="2"/>
      <c r="I234" s="13">
        <v>2500</v>
      </c>
      <c r="J234" s="13">
        <f t="shared" si="49"/>
        <v>5000</v>
      </c>
      <c r="K234" s="13">
        <f t="shared" si="50"/>
        <v>2000</v>
      </c>
      <c r="L234" s="14">
        <f t="shared" si="51"/>
        <v>0.2857142857142857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2</v>
      </c>
      <c r="B235" s="10" t="s">
        <v>21</v>
      </c>
      <c r="C235" s="11" t="s">
        <v>34</v>
      </c>
      <c r="D235" s="13">
        <v>4000</v>
      </c>
      <c r="E235" s="13">
        <f t="shared" si="48"/>
        <v>8000</v>
      </c>
      <c r="F235" s="2"/>
      <c r="G235" s="2"/>
      <c r="H235" s="2"/>
      <c r="I235" s="13">
        <v>3000</v>
      </c>
      <c r="J235" s="13">
        <f t="shared" si="49"/>
        <v>6000</v>
      </c>
      <c r="K235" s="13">
        <f t="shared" si="50"/>
        <v>2000</v>
      </c>
      <c r="L235" s="14">
        <f t="shared" si="51"/>
        <v>0.25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1</v>
      </c>
      <c r="B236" s="10" t="s">
        <v>23</v>
      </c>
      <c r="C236" s="11" t="s">
        <v>88</v>
      </c>
      <c r="D236" s="13">
        <v>20000</v>
      </c>
      <c r="E236" s="13">
        <f t="shared" si="48"/>
        <v>20000</v>
      </c>
      <c r="F236" s="2"/>
      <c r="G236" s="2"/>
      <c r="H236" s="2"/>
      <c r="I236" s="13">
        <v>13000</v>
      </c>
      <c r="J236" s="13">
        <f t="shared" si="49"/>
        <v>13000</v>
      </c>
      <c r="K236" s="13">
        <f t="shared" si="50"/>
        <v>7000</v>
      </c>
      <c r="L236" s="14">
        <f t="shared" si="51"/>
        <v>0.35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1</v>
      </c>
      <c r="B237" s="10" t="s">
        <v>23</v>
      </c>
      <c r="C237" s="11" t="s">
        <v>26</v>
      </c>
      <c r="D237" s="13">
        <v>22000</v>
      </c>
      <c r="E237" s="13">
        <f t="shared" si="48"/>
        <v>22000</v>
      </c>
      <c r="F237" s="2"/>
      <c r="G237" s="2"/>
      <c r="H237" s="2"/>
      <c r="I237" s="13">
        <v>12000</v>
      </c>
      <c r="J237" s="13">
        <f t="shared" si="49"/>
        <v>12000</v>
      </c>
      <c r="K237" s="13">
        <f t="shared" si="50"/>
        <v>10000</v>
      </c>
      <c r="L237" s="14">
        <f t="shared" si="51"/>
        <v>0.45454545454545453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2">
        <v>2</v>
      </c>
      <c r="B238" s="10" t="s">
        <v>21</v>
      </c>
      <c r="C238" s="11" t="s">
        <v>42</v>
      </c>
      <c r="D238" s="13">
        <v>4000</v>
      </c>
      <c r="E238" s="13">
        <f t="shared" si="48"/>
        <v>8000</v>
      </c>
      <c r="F238" s="2"/>
      <c r="G238" s="2"/>
      <c r="H238" s="2"/>
      <c r="I238" s="13">
        <f>2000</f>
        <v>2000</v>
      </c>
      <c r="J238" s="13">
        <f t="shared" si="49"/>
        <v>4000</v>
      </c>
      <c r="K238" s="13">
        <f t="shared" si="50"/>
        <v>4000</v>
      </c>
      <c r="L238" s="14">
        <f t="shared" si="51"/>
        <v>0.5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2">
        <v>4</v>
      </c>
      <c r="B239" s="10" t="s">
        <v>4</v>
      </c>
      <c r="C239" s="11" t="s">
        <v>114</v>
      </c>
      <c r="D239" s="13">
        <v>3000</v>
      </c>
      <c r="E239" s="13">
        <f t="shared" si="48"/>
        <v>12000</v>
      </c>
      <c r="F239" s="2"/>
      <c r="G239" s="2"/>
      <c r="H239" s="2"/>
      <c r="I239" s="13">
        <f>15000/12</f>
        <v>1250</v>
      </c>
      <c r="J239" s="13">
        <f t="shared" si="49"/>
        <v>5000</v>
      </c>
      <c r="K239" s="13">
        <f t="shared" si="50"/>
        <v>7000</v>
      </c>
      <c r="L239" s="14">
        <f t="shared" si="51"/>
        <v>0.58333333333333337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2"/>
      <c r="C240" s="4"/>
      <c r="D240" s="2"/>
      <c r="E240" s="2"/>
      <c r="F240" s="2"/>
      <c r="G240" s="4"/>
      <c r="H240" s="2"/>
      <c r="I240" s="2"/>
      <c r="J240" s="2"/>
      <c r="K240" s="2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2"/>
      <c r="C241" s="4"/>
      <c r="D241" s="2"/>
      <c r="E241" s="13">
        <f>SUM(E232:E239)</f>
        <v>94000</v>
      </c>
      <c r="F241" s="2"/>
      <c r="G241" s="2"/>
      <c r="H241" s="2"/>
      <c r="I241" s="2"/>
      <c r="J241" s="2"/>
      <c r="K241" s="13">
        <f>SUM(K232:K239)</f>
        <v>39750</v>
      </c>
      <c r="L241" s="14">
        <f>K241/E241</f>
        <v>0.4228723404255319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2"/>
      <c r="B242" s="10"/>
      <c r="C242" s="11"/>
      <c r="D242" s="13"/>
      <c r="E242" s="13"/>
      <c r="F242" s="13"/>
      <c r="G242" s="2"/>
      <c r="H242" s="2"/>
      <c r="I242" s="13"/>
      <c r="J242" s="13"/>
      <c r="K242" s="13"/>
      <c r="L242" s="14"/>
      <c r="M242" s="4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2"/>
      <c r="B243" s="10"/>
      <c r="C243" s="11"/>
      <c r="D243" s="13"/>
      <c r="E243" s="13"/>
      <c r="F243" s="13"/>
      <c r="G243" s="2"/>
      <c r="H243" s="2"/>
      <c r="I243" s="13"/>
      <c r="J243" s="13"/>
      <c r="K243" s="13"/>
      <c r="L243" s="14"/>
      <c r="M243" s="4"/>
      <c r="N243" s="2"/>
      <c r="O243" s="4"/>
      <c r="P243" s="2"/>
      <c r="Q243" s="2"/>
      <c r="R243" s="4"/>
      <c r="S243" s="2"/>
      <c r="T243" s="2"/>
      <c r="U243" s="1"/>
      <c r="V243" s="2"/>
      <c r="W243" s="2"/>
      <c r="X243" s="2"/>
      <c r="Y243" s="2"/>
      <c r="Z243" s="2"/>
    </row>
    <row r="244" spans="1:26" ht="15.75" customHeight="1" x14ac:dyDescent="0.2">
      <c r="A244" s="6" t="s">
        <v>91</v>
      </c>
      <c r="B244" s="25"/>
      <c r="C244" s="1"/>
      <c r="D244" s="12" t="s">
        <v>1121</v>
      </c>
      <c r="E244" s="8">
        <v>46134</v>
      </c>
      <c r="F244" s="15" t="s">
        <v>37</v>
      </c>
      <c r="G244" s="2"/>
      <c r="H244" s="2"/>
      <c r="I244" s="2"/>
      <c r="J244" s="2"/>
      <c r="K244" s="2"/>
      <c r="L244" s="3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3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6" t="s">
        <v>3</v>
      </c>
      <c r="B246" s="10" t="s">
        <v>4</v>
      </c>
      <c r="C246" s="6" t="s">
        <v>5</v>
      </c>
      <c r="D246" s="10" t="s">
        <v>6</v>
      </c>
      <c r="E246" s="10" t="s">
        <v>7</v>
      </c>
      <c r="F246" s="2"/>
      <c r="G246" s="2"/>
      <c r="H246" s="2"/>
      <c r="I246" s="10" t="s">
        <v>6</v>
      </c>
      <c r="J246" s="10" t="s">
        <v>7</v>
      </c>
      <c r="K246" s="10" t="s">
        <v>10</v>
      </c>
      <c r="L246" s="3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1</v>
      </c>
      <c r="B247" s="10" t="s">
        <v>23</v>
      </c>
      <c r="C247" s="6" t="s">
        <v>1127</v>
      </c>
      <c r="D247" s="13">
        <v>12000</v>
      </c>
      <c r="E247" s="13">
        <f t="shared" ref="E247:E252" si="52">A247*D247</f>
        <v>12000</v>
      </c>
      <c r="F247" s="2"/>
      <c r="G247" s="2"/>
      <c r="H247" s="2"/>
      <c r="I247" s="13">
        <v>7000</v>
      </c>
      <c r="J247" s="13">
        <f t="shared" ref="J247:J252" si="53">I247*A247</f>
        <v>7000</v>
      </c>
      <c r="K247" s="13">
        <f t="shared" ref="K247:K252" si="54">E247-J247</f>
        <v>5000</v>
      </c>
      <c r="L247" s="14">
        <f t="shared" ref="L247:L252" si="55">K247/E247</f>
        <v>0.41666666666666669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1</v>
      </c>
      <c r="B248" s="10" t="s">
        <v>23</v>
      </c>
      <c r="C248" s="6" t="s">
        <v>99</v>
      </c>
      <c r="D248" s="13">
        <v>12000</v>
      </c>
      <c r="E248" s="13">
        <f t="shared" si="52"/>
        <v>12000</v>
      </c>
      <c r="F248" s="2"/>
      <c r="G248" s="2"/>
      <c r="H248" s="2"/>
      <c r="I248" s="13">
        <v>5000</v>
      </c>
      <c r="J248" s="13">
        <f t="shared" si="53"/>
        <v>5000</v>
      </c>
      <c r="K248" s="13">
        <f t="shared" si="54"/>
        <v>7000</v>
      </c>
      <c r="L248" s="14">
        <f t="shared" si="55"/>
        <v>0.58333333333333337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4</v>
      </c>
      <c r="B249" s="10" t="s">
        <v>4</v>
      </c>
      <c r="C249" s="6" t="s">
        <v>65</v>
      </c>
      <c r="D249" s="13">
        <v>1200</v>
      </c>
      <c r="E249" s="13">
        <f t="shared" si="52"/>
        <v>4800</v>
      </c>
      <c r="F249" s="2"/>
      <c r="G249" s="2"/>
      <c r="H249" s="2"/>
      <c r="I249" s="13">
        <f>27000/50</f>
        <v>540</v>
      </c>
      <c r="J249" s="13">
        <f t="shared" si="53"/>
        <v>2160</v>
      </c>
      <c r="K249" s="13">
        <f t="shared" si="54"/>
        <v>2640</v>
      </c>
      <c r="L249" s="14">
        <f t="shared" si="55"/>
        <v>0.55000000000000004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1</v>
      </c>
      <c r="B250" s="10" t="s">
        <v>17</v>
      </c>
      <c r="C250" s="6" t="s">
        <v>1128</v>
      </c>
      <c r="D250" s="13">
        <v>5000</v>
      </c>
      <c r="E250" s="13">
        <f t="shared" si="52"/>
        <v>5000</v>
      </c>
      <c r="F250" s="2"/>
      <c r="G250" s="2"/>
      <c r="H250" s="2"/>
      <c r="I250" s="13">
        <v>3000</v>
      </c>
      <c r="J250" s="13">
        <f t="shared" si="53"/>
        <v>3000</v>
      </c>
      <c r="K250" s="13">
        <f t="shared" si="54"/>
        <v>2000</v>
      </c>
      <c r="L250" s="14">
        <f t="shared" si="55"/>
        <v>0.4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3</v>
      </c>
      <c r="B251" s="10" t="s">
        <v>21</v>
      </c>
      <c r="C251" s="6" t="s">
        <v>51</v>
      </c>
      <c r="D251" s="13">
        <v>1500</v>
      </c>
      <c r="E251" s="13">
        <f t="shared" si="52"/>
        <v>4500</v>
      </c>
      <c r="F251" s="2"/>
      <c r="G251" s="2"/>
      <c r="H251" s="2"/>
      <c r="I251" s="13">
        <v>1000</v>
      </c>
      <c r="J251" s="13">
        <f t="shared" si="53"/>
        <v>3000</v>
      </c>
      <c r="K251" s="13">
        <f t="shared" si="54"/>
        <v>1500</v>
      </c>
      <c r="L251" s="14">
        <f t="shared" si="55"/>
        <v>0.33333333333333331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0.5</v>
      </c>
      <c r="B252" s="10" t="s">
        <v>17</v>
      </c>
      <c r="C252" s="25" t="s">
        <v>1129</v>
      </c>
      <c r="D252" s="13">
        <v>2200</v>
      </c>
      <c r="E252" s="13">
        <f t="shared" si="52"/>
        <v>1100</v>
      </c>
      <c r="F252" s="2"/>
      <c r="G252" s="2"/>
      <c r="H252" s="2"/>
      <c r="I252" s="13">
        <f>13000/15</f>
        <v>866.66666666666663</v>
      </c>
      <c r="J252" s="13">
        <f t="shared" si="53"/>
        <v>433.33333333333331</v>
      </c>
      <c r="K252" s="13">
        <f t="shared" si="54"/>
        <v>666.66666666666674</v>
      </c>
      <c r="L252" s="14">
        <f t="shared" si="55"/>
        <v>0.60606060606060608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"/>
      <c r="B253" s="2"/>
      <c r="C253" s="1"/>
      <c r="D253" s="2"/>
      <c r="E253" s="2"/>
      <c r="F253" s="2"/>
      <c r="G253" s="1"/>
      <c r="H253" s="2"/>
      <c r="I253" s="2"/>
      <c r="J253" s="2"/>
      <c r="K253" s="2"/>
      <c r="L253" s="3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"/>
      <c r="B254" s="2"/>
      <c r="C254" s="1"/>
      <c r="D254" s="2"/>
      <c r="E254" s="13">
        <f>SUM(E247:E252)</f>
        <v>39400</v>
      </c>
      <c r="F254" s="2"/>
      <c r="G254" s="2"/>
      <c r="H254" s="2"/>
      <c r="I254" s="2"/>
      <c r="J254" s="2"/>
      <c r="K254" s="13">
        <f>SUM(K247:K252)</f>
        <v>18806.666666666668</v>
      </c>
      <c r="L254" s="14">
        <f>K254/E254</f>
        <v>0.47732656514382404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0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/>
      <c r="B256" s="10"/>
      <c r="C256" s="11"/>
      <c r="D256" s="13"/>
      <c r="E256" s="13"/>
      <c r="F256" s="13"/>
      <c r="G256" s="2"/>
      <c r="H256" s="2"/>
      <c r="I256" s="13"/>
      <c r="J256" s="13"/>
      <c r="K256" s="13"/>
      <c r="L256" s="14"/>
      <c r="M256" s="4"/>
      <c r="N256" s="2"/>
      <c r="O256" s="4"/>
      <c r="P256" s="2"/>
      <c r="Q256" s="2"/>
      <c r="R256" s="4"/>
      <c r="S256" s="2"/>
      <c r="T256" s="2"/>
      <c r="U256" s="1"/>
      <c r="V256" s="2"/>
      <c r="W256" s="2"/>
      <c r="X256" s="2"/>
      <c r="Y256" s="2"/>
      <c r="Z256" s="2"/>
    </row>
    <row r="257" spans="1:26" ht="15.75" customHeight="1" x14ac:dyDescent="0.2">
      <c r="A257" s="12"/>
      <c r="B257" s="10"/>
      <c r="C257" s="11"/>
      <c r="D257" s="13"/>
      <c r="E257" s="13"/>
      <c r="F257" s="13"/>
      <c r="G257" s="2"/>
      <c r="H257" s="2"/>
      <c r="I257" s="13"/>
      <c r="J257" s="13"/>
      <c r="K257" s="13"/>
      <c r="L257" s="14"/>
      <c r="M257" s="4"/>
      <c r="N257" s="2"/>
      <c r="O257" s="4"/>
      <c r="P257" s="2"/>
      <c r="Q257" s="2"/>
      <c r="R257" s="4"/>
      <c r="S257" s="2"/>
      <c r="T257" s="2"/>
      <c r="U257" s="1"/>
      <c r="V257" s="2"/>
      <c r="W257" s="2"/>
      <c r="X257" s="2"/>
      <c r="Y257" s="2"/>
      <c r="Z257" s="2"/>
    </row>
    <row r="258" spans="1:26" ht="15.75" customHeight="1" x14ac:dyDescent="0.2">
      <c r="A258" s="12"/>
      <c r="B258" s="10"/>
      <c r="C258" s="11"/>
      <c r="D258" s="13"/>
      <c r="E258" s="13"/>
      <c r="F258" s="13"/>
      <c r="G258" s="2"/>
      <c r="H258" s="2"/>
      <c r="I258" s="13"/>
      <c r="J258" s="13"/>
      <c r="K258" s="13"/>
      <c r="L258" s="14"/>
      <c r="M258" s="4"/>
      <c r="N258" s="2"/>
      <c r="O258" s="4"/>
      <c r="P258" s="2"/>
      <c r="Q258" s="2"/>
      <c r="R258" s="4"/>
      <c r="S258" s="2"/>
      <c r="T258" s="2"/>
      <c r="U258" s="1"/>
      <c r="V258" s="2"/>
      <c r="W258" s="2"/>
      <c r="X258" s="2"/>
      <c r="Y258" s="2"/>
      <c r="Z258" s="2"/>
    </row>
    <row r="259" spans="1:26" ht="15.75" customHeight="1" x14ac:dyDescent="0.2">
      <c r="A259" s="88" t="s">
        <v>160</v>
      </c>
      <c r="B259" s="89"/>
      <c r="C259" s="89"/>
      <c r="D259" s="2"/>
      <c r="E259" s="7" t="s">
        <v>1130</v>
      </c>
      <c r="F259" s="8">
        <v>46134</v>
      </c>
      <c r="G259" s="7" t="s">
        <v>37</v>
      </c>
      <c r="H259" s="2"/>
      <c r="I259" s="9" t="s">
        <v>2</v>
      </c>
      <c r="J259" s="9"/>
      <c r="K259" s="9"/>
      <c r="L259" s="3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"/>
      <c r="B260" s="2"/>
      <c r="C260" s="5"/>
      <c r="D260" s="2"/>
      <c r="E260" s="2"/>
      <c r="F260" s="8"/>
      <c r="G260" s="2"/>
      <c r="H260" s="2"/>
      <c r="I260" s="2"/>
      <c r="J260" s="2"/>
      <c r="K260" s="2"/>
      <c r="L260" s="3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6" t="s">
        <v>3</v>
      </c>
      <c r="B261" s="10" t="s">
        <v>4</v>
      </c>
      <c r="C261" s="11" t="s">
        <v>5</v>
      </c>
      <c r="D261" s="10" t="s">
        <v>6</v>
      </c>
      <c r="E261" s="10" t="s">
        <v>7</v>
      </c>
      <c r="F261" s="10" t="s">
        <v>8</v>
      </c>
      <c r="G261" s="2"/>
      <c r="H261" s="2"/>
      <c r="I261" s="10" t="s">
        <v>9</v>
      </c>
      <c r="J261" s="10" t="s">
        <v>7</v>
      </c>
      <c r="K261" s="10" t="s">
        <v>10</v>
      </c>
      <c r="L261" s="3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4</v>
      </c>
      <c r="B262" s="10" t="s">
        <v>23</v>
      </c>
      <c r="C262" s="11" t="s">
        <v>127</v>
      </c>
      <c r="D262" s="13">
        <v>25000</v>
      </c>
      <c r="E262" s="13">
        <f t="shared" ref="E262:E274" si="56">A262*D262</f>
        <v>100000</v>
      </c>
      <c r="F262" s="13">
        <f t="shared" ref="F262:F274" si="57">E262*1.105</f>
        <v>110500</v>
      </c>
      <c r="G262" s="7"/>
      <c r="H262" s="2"/>
      <c r="I262" s="13">
        <v>16000</v>
      </c>
      <c r="J262" s="13">
        <f t="shared" ref="J262:J274" si="58">I262*A262</f>
        <v>64000</v>
      </c>
      <c r="K262" s="13">
        <f t="shared" ref="K262:K274" si="59">F262-J262</f>
        <v>46500</v>
      </c>
      <c r="L262" s="14">
        <f t="shared" ref="L262:L274" si="60">IFERROR(K262/E262, 0)</f>
        <v>0.46500000000000002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4</v>
      </c>
      <c r="B263" s="10" t="s">
        <v>23</v>
      </c>
      <c r="C263" s="11" t="s">
        <v>24</v>
      </c>
      <c r="D263" s="13">
        <v>36500</v>
      </c>
      <c r="E263" s="13">
        <f t="shared" si="56"/>
        <v>146000</v>
      </c>
      <c r="F263" s="13">
        <f t="shared" si="57"/>
        <v>161330</v>
      </c>
      <c r="G263" s="7"/>
      <c r="H263" s="2"/>
      <c r="I263" s="13">
        <f>8750*3</f>
        <v>26250</v>
      </c>
      <c r="J263" s="13">
        <f t="shared" si="58"/>
        <v>105000</v>
      </c>
      <c r="K263" s="13">
        <f t="shared" si="59"/>
        <v>56330</v>
      </c>
      <c r="L263" s="14">
        <f t="shared" si="60"/>
        <v>0.38582191780821917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4</v>
      </c>
      <c r="B264" s="10" t="s">
        <v>23</v>
      </c>
      <c r="C264" s="11" t="s">
        <v>190</v>
      </c>
      <c r="D264" s="13">
        <v>45000</v>
      </c>
      <c r="E264" s="13">
        <f t="shared" si="56"/>
        <v>180000</v>
      </c>
      <c r="F264" s="13">
        <f t="shared" si="57"/>
        <v>198900</v>
      </c>
      <c r="G264" s="7"/>
      <c r="H264" s="2"/>
      <c r="I264" s="13">
        <v>30000</v>
      </c>
      <c r="J264" s="13">
        <f t="shared" si="58"/>
        <v>120000</v>
      </c>
      <c r="K264" s="13">
        <f t="shared" si="59"/>
        <v>78900</v>
      </c>
      <c r="L264" s="14">
        <f t="shared" si="60"/>
        <v>0.43833333333333335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4</v>
      </c>
      <c r="B265" s="10" t="s">
        <v>23</v>
      </c>
      <c r="C265" s="11" t="s">
        <v>87</v>
      </c>
      <c r="D265" s="13">
        <v>38000</v>
      </c>
      <c r="E265" s="13">
        <f t="shared" si="56"/>
        <v>152000</v>
      </c>
      <c r="F265" s="13">
        <f t="shared" si="57"/>
        <v>167960</v>
      </c>
      <c r="G265" s="7"/>
      <c r="H265" s="2"/>
      <c r="I265" s="13">
        <v>28000</v>
      </c>
      <c r="J265" s="13">
        <f t="shared" si="58"/>
        <v>112000</v>
      </c>
      <c r="K265" s="13">
        <f t="shared" si="59"/>
        <v>55960</v>
      </c>
      <c r="L265" s="14">
        <f t="shared" si="60"/>
        <v>0.36815789473684213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4</v>
      </c>
      <c r="B266" s="10" t="s">
        <v>23</v>
      </c>
      <c r="C266" s="11" t="s">
        <v>67</v>
      </c>
      <c r="D266" s="13">
        <v>15000</v>
      </c>
      <c r="E266" s="13">
        <f t="shared" si="56"/>
        <v>60000</v>
      </c>
      <c r="F266" s="13">
        <f t="shared" si="57"/>
        <v>66300</v>
      </c>
      <c r="G266" s="7"/>
      <c r="H266" s="2"/>
      <c r="I266" s="13">
        <v>10000</v>
      </c>
      <c r="J266" s="13">
        <f t="shared" si="58"/>
        <v>40000</v>
      </c>
      <c r="K266" s="13">
        <f t="shared" si="59"/>
        <v>26300</v>
      </c>
      <c r="L266" s="14">
        <f t="shared" si="60"/>
        <v>0.43833333333333335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2</v>
      </c>
      <c r="B267" s="10" t="s">
        <v>23</v>
      </c>
      <c r="C267" s="11" t="s">
        <v>99</v>
      </c>
      <c r="D267" s="13">
        <v>12000</v>
      </c>
      <c r="E267" s="13">
        <f t="shared" si="56"/>
        <v>24000</v>
      </c>
      <c r="F267" s="13">
        <f t="shared" si="57"/>
        <v>26520</v>
      </c>
      <c r="G267" s="7"/>
      <c r="H267" s="2"/>
      <c r="I267" s="13">
        <v>5000</v>
      </c>
      <c r="J267" s="13">
        <f t="shared" si="58"/>
        <v>10000</v>
      </c>
      <c r="K267" s="13">
        <f t="shared" si="59"/>
        <v>16520</v>
      </c>
      <c r="L267" s="14">
        <f t="shared" si="60"/>
        <v>0.68833333333333335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2</v>
      </c>
      <c r="B268" s="10" t="s">
        <v>23</v>
      </c>
      <c r="C268" s="11" t="s">
        <v>81</v>
      </c>
      <c r="D268" s="13">
        <v>18000</v>
      </c>
      <c r="E268" s="13">
        <f t="shared" si="56"/>
        <v>36000</v>
      </c>
      <c r="F268" s="13">
        <f t="shared" si="57"/>
        <v>39780</v>
      </c>
      <c r="G268" s="7"/>
      <c r="H268" s="2"/>
      <c r="I268" s="13">
        <v>8000</v>
      </c>
      <c r="J268" s="13">
        <f t="shared" si="58"/>
        <v>16000</v>
      </c>
      <c r="K268" s="13">
        <f t="shared" si="59"/>
        <v>23780</v>
      </c>
      <c r="L268" s="18">
        <f t="shared" si="60"/>
        <v>0.66055555555555556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1</v>
      </c>
      <c r="B269" s="10" t="s">
        <v>23</v>
      </c>
      <c r="C269" s="11" t="s">
        <v>127</v>
      </c>
      <c r="D269" s="13">
        <v>25000</v>
      </c>
      <c r="E269" s="13">
        <f t="shared" si="56"/>
        <v>25000</v>
      </c>
      <c r="F269" s="13">
        <f t="shared" si="57"/>
        <v>27625</v>
      </c>
      <c r="G269" s="7" t="s">
        <v>15</v>
      </c>
      <c r="H269" s="2"/>
      <c r="I269" s="13"/>
      <c r="J269" s="13">
        <f t="shared" si="58"/>
        <v>0</v>
      </c>
      <c r="K269" s="13">
        <f t="shared" si="59"/>
        <v>27625</v>
      </c>
      <c r="L269" s="18">
        <f t="shared" si="60"/>
        <v>1.105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1</v>
      </c>
      <c r="B270" s="10" t="s">
        <v>23</v>
      </c>
      <c r="C270" s="11" t="s">
        <v>24</v>
      </c>
      <c r="D270" s="13">
        <v>36500</v>
      </c>
      <c r="E270" s="13">
        <f t="shared" si="56"/>
        <v>36500</v>
      </c>
      <c r="F270" s="13">
        <f t="shared" si="57"/>
        <v>40332.5</v>
      </c>
      <c r="G270" s="7" t="s">
        <v>15</v>
      </c>
      <c r="H270" s="2"/>
      <c r="I270" s="13"/>
      <c r="J270" s="13">
        <f t="shared" si="58"/>
        <v>0</v>
      </c>
      <c r="K270" s="13">
        <f t="shared" si="59"/>
        <v>40332.5</v>
      </c>
      <c r="L270" s="14">
        <f t="shared" si="60"/>
        <v>1.105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1</v>
      </c>
      <c r="B271" s="10" t="s">
        <v>23</v>
      </c>
      <c r="C271" s="11" t="s">
        <v>190</v>
      </c>
      <c r="D271" s="13">
        <v>45000</v>
      </c>
      <c r="E271" s="13">
        <f t="shared" si="56"/>
        <v>45000</v>
      </c>
      <c r="F271" s="13">
        <f t="shared" si="57"/>
        <v>49725</v>
      </c>
      <c r="G271" s="7" t="s">
        <v>15</v>
      </c>
      <c r="H271" s="2"/>
      <c r="I271" s="13"/>
      <c r="J271" s="13">
        <f t="shared" si="58"/>
        <v>0</v>
      </c>
      <c r="K271" s="13">
        <f t="shared" si="59"/>
        <v>49725</v>
      </c>
      <c r="L271" s="18">
        <f t="shared" si="60"/>
        <v>1.105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1</v>
      </c>
      <c r="B272" s="10" t="s">
        <v>23</v>
      </c>
      <c r="C272" s="11" t="s">
        <v>87</v>
      </c>
      <c r="D272" s="13">
        <v>38000</v>
      </c>
      <c r="E272" s="13">
        <f t="shared" si="56"/>
        <v>38000</v>
      </c>
      <c r="F272" s="13">
        <f t="shared" si="57"/>
        <v>41990</v>
      </c>
      <c r="G272" s="7" t="s">
        <v>15</v>
      </c>
      <c r="H272" s="2"/>
      <c r="I272" s="13"/>
      <c r="J272" s="13">
        <f t="shared" si="58"/>
        <v>0</v>
      </c>
      <c r="K272" s="13">
        <f t="shared" si="59"/>
        <v>41990</v>
      </c>
      <c r="L272" s="18">
        <f t="shared" si="60"/>
        <v>1.105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1</v>
      </c>
      <c r="B273" s="10" t="s">
        <v>23</v>
      </c>
      <c r="C273" s="11" t="s">
        <v>67</v>
      </c>
      <c r="D273" s="13">
        <v>15000</v>
      </c>
      <c r="E273" s="13">
        <f t="shared" si="56"/>
        <v>15000</v>
      </c>
      <c r="F273" s="13">
        <f t="shared" si="57"/>
        <v>16575</v>
      </c>
      <c r="G273" s="7" t="s">
        <v>164</v>
      </c>
      <c r="H273" s="2"/>
      <c r="I273" s="13"/>
      <c r="J273" s="13">
        <f t="shared" si="58"/>
        <v>0</v>
      </c>
      <c r="K273" s="13">
        <f t="shared" si="59"/>
        <v>16575</v>
      </c>
      <c r="L273" s="14">
        <f t="shared" si="60"/>
        <v>1.105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1</v>
      </c>
      <c r="B274" s="10" t="s">
        <v>23</v>
      </c>
      <c r="C274" s="11" t="s">
        <v>99</v>
      </c>
      <c r="D274" s="13">
        <v>12000</v>
      </c>
      <c r="E274" s="13">
        <f t="shared" si="56"/>
        <v>12000</v>
      </c>
      <c r="F274" s="13">
        <f t="shared" si="57"/>
        <v>13260</v>
      </c>
      <c r="G274" s="7" t="s">
        <v>164</v>
      </c>
      <c r="H274" s="2"/>
      <c r="I274" s="13"/>
      <c r="J274" s="13">
        <f t="shared" si="58"/>
        <v>0</v>
      </c>
      <c r="K274" s="13">
        <f t="shared" si="59"/>
        <v>13260</v>
      </c>
      <c r="L274" s="18">
        <f t="shared" si="60"/>
        <v>1.105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"/>
      <c r="B275" s="2"/>
      <c r="C275" s="4"/>
      <c r="D275" s="2"/>
      <c r="E275" s="2"/>
      <c r="F275" s="13"/>
      <c r="G275" s="2"/>
      <c r="H275" s="2"/>
      <c r="I275" s="2"/>
      <c r="J275" s="2"/>
      <c r="K275" s="2"/>
      <c r="L275" s="3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2"/>
      <c r="C276" s="4"/>
      <c r="D276" s="2"/>
      <c r="E276" s="13">
        <f t="shared" ref="E276:F276" si="61">SUM(E262:E274)</f>
        <v>869500</v>
      </c>
      <c r="F276" s="13">
        <f t="shared" si="61"/>
        <v>960797.5</v>
      </c>
      <c r="G276" s="2"/>
      <c r="H276" s="2"/>
      <c r="I276" s="2"/>
      <c r="J276" s="2"/>
      <c r="K276" s="13">
        <f>SUM(K262:K274)</f>
        <v>493797.5</v>
      </c>
      <c r="L276" s="14">
        <f>K276/F276</f>
        <v>0.51394544636096573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/>
      <c r="B277" s="10"/>
      <c r="C277" s="11"/>
      <c r="D277" s="13"/>
      <c r="E277" s="13"/>
      <c r="F277" s="13"/>
      <c r="G277" s="2"/>
      <c r="H277" s="2"/>
      <c r="I277" s="13"/>
      <c r="J277" s="13"/>
      <c r="K277" s="13"/>
      <c r="L277" s="14"/>
      <c r="M277" s="4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12"/>
      <c r="B278" s="10"/>
      <c r="C278" s="11"/>
      <c r="D278" s="13"/>
      <c r="E278" s="13"/>
      <c r="F278" s="13"/>
      <c r="G278" s="2"/>
      <c r="H278" s="2"/>
      <c r="I278" s="13"/>
      <c r="J278" s="13"/>
      <c r="K278" s="13"/>
      <c r="L278" s="14"/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2"/>
      <c r="B279" s="10"/>
      <c r="C279" s="11"/>
      <c r="D279" s="13"/>
      <c r="E279" s="13"/>
      <c r="F279" s="13"/>
      <c r="G279" s="2"/>
      <c r="H279" s="2"/>
      <c r="I279" s="13"/>
      <c r="J279" s="13"/>
      <c r="K279" s="13"/>
      <c r="L279" s="14"/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6" t="s">
        <v>177</v>
      </c>
      <c r="B280" s="1"/>
      <c r="C280" s="1"/>
      <c r="D280" s="22" t="s">
        <v>1049</v>
      </c>
      <c r="E280" s="8">
        <v>46132</v>
      </c>
      <c r="F280" s="24" t="s">
        <v>37</v>
      </c>
      <c r="G280" s="2"/>
      <c r="H280" s="2"/>
      <c r="I280" s="2"/>
      <c r="J280" s="2"/>
      <c r="K280" s="2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2"/>
      <c r="C281" s="4"/>
      <c r="D281" s="2"/>
      <c r="E281" s="2"/>
      <c r="F281" s="7" t="s">
        <v>106</v>
      </c>
      <c r="G281" s="2"/>
      <c r="H281" s="2"/>
      <c r="I281" s="2"/>
      <c r="J281" s="2"/>
      <c r="K281" s="2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6" t="s">
        <v>3</v>
      </c>
      <c r="B282" s="10" t="s">
        <v>4</v>
      </c>
      <c r="C282" s="11" t="s">
        <v>5</v>
      </c>
      <c r="D282" s="10" t="s">
        <v>6</v>
      </c>
      <c r="E282" s="10" t="s">
        <v>7</v>
      </c>
      <c r="F282" s="2"/>
      <c r="G282" s="2"/>
      <c r="H282" s="2"/>
      <c r="I282" s="10" t="s">
        <v>6</v>
      </c>
      <c r="J282" s="10" t="s">
        <v>7</v>
      </c>
      <c r="K282" s="10" t="s">
        <v>10</v>
      </c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1</v>
      </c>
      <c r="B283" s="10" t="s">
        <v>15</v>
      </c>
      <c r="C283" s="11" t="s">
        <v>56</v>
      </c>
      <c r="D283" s="13">
        <v>14000</v>
      </c>
      <c r="E283" s="13">
        <f t="shared" ref="E283:E286" si="62">A283*D283</f>
        <v>14000</v>
      </c>
      <c r="F283" s="2"/>
      <c r="G283" s="2"/>
      <c r="H283" s="2"/>
      <c r="I283" s="13">
        <v>10000</v>
      </c>
      <c r="J283" s="13">
        <f t="shared" ref="J283:J286" si="63">I283*A283</f>
        <v>10000</v>
      </c>
      <c r="K283" s="13">
        <f t="shared" ref="K283:K286" si="64">E283-J283</f>
        <v>4000</v>
      </c>
      <c r="L283" s="14">
        <f t="shared" ref="L283:L286" si="65">K283/E283</f>
        <v>0.2857142857142857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3</v>
      </c>
      <c r="B284" s="10" t="s">
        <v>17</v>
      </c>
      <c r="C284" s="11" t="s">
        <v>82</v>
      </c>
      <c r="D284" s="13">
        <v>2200</v>
      </c>
      <c r="E284" s="13">
        <f t="shared" si="62"/>
        <v>6600</v>
      </c>
      <c r="F284" s="2"/>
      <c r="G284" s="2"/>
      <c r="H284" s="2"/>
      <c r="I284" s="13">
        <f>25000/14</f>
        <v>1785.7142857142858</v>
      </c>
      <c r="J284" s="13">
        <f t="shared" si="63"/>
        <v>5357.1428571428569</v>
      </c>
      <c r="K284" s="13">
        <f t="shared" si="64"/>
        <v>1242.8571428571431</v>
      </c>
      <c r="L284" s="14">
        <f t="shared" si="65"/>
        <v>0.18831168831168835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2</v>
      </c>
      <c r="B285" s="10" t="s">
        <v>17</v>
      </c>
      <c r="C285" s="11" t="s">
        <v>99</v>
      </c>
      <c r="D285" s="13">
        <v>1200</v>
      </c>
      <c r="E285" s="13">
        <f t="shared" si="62"/>
        <v>2400</v>
      </c>
      <c r="F285" s="2"/>
      <c r="G285" s="2"/>
      <c r="H285" s="2"/>
      <c r="I285" s="13">
        <f>5000/8</f>
        <v>625</v>
      </c>
      <c r="J285" s="13">
        <f t="shared" si="63"/>
        <v>1250</v>
      </c>
      <c r="K285" s="13">
        <f t="shared" si="64"/>
        <v>1150</v>
      </c>
      <c r="L285" s="14">
        <f t="shared" si="65"/>
        <v>0.47916666666666669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3</v>
      </c>
      <c r="B286" s="10" t="s">
        <v>17</v>
      </c>
      <c r="C286" s="11" t="s">
        <v>31</v>
      </c>
      <c r="D286" s="13">
        <v>3000</v>
      </c>
      <c r="E286" s="13">
        <f t="shared" si="62"/>
        <v>9000</v>
      </c>
      <c r="F286" s="2"/>
      <c r="G286" s="2"/>
      <c r="H286" s="2"/>
      <c r="I286" s="13">
        <f>15000/8</f>
        <v>1875</v>
      </c>
      <c r="J286" s="13">
        <f t="shared" si="63"/>
        <v>5625</v>
      </c>
      <c r="K286" s="13">
        <f t="shared" si="64"/>
        <v>3375</v>
      </c>
      <c r="L286" s="14">
        <f t="shared" si="65"/>
        <v>0.375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"/>
      <c r="B287" s="2"/>
      <c r="C287" s="4"/>
      <c r="D287" s="2"/>
      <c r="E287" s="2"/>
      <c r="F287" s="2"/>
      <c r="G287" s="4"/>
      <c r="H287" s="2"/>
      <c r="I287" s="2"/>
      <c r="J287" s="2"/>
      <c r="K287" s="2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"/>
      <c r="B288" s="2"/>
      <c r="C288" s="4"/>
      <c r="D288" s="2"/>
      <c r="E288" s="13">
        <f>SUM(E283:E286)</f>
        <v>32000</v>
      </c>
      <c r="F288" s="2"/>
      <c r="G288" s="2"/>
      <c r="H288" s="2"/>
      <c r="I288" s="2"/>
      <c r="J288" s="2"/>
      <c r="K288" s="13">
        <f>SUM(K283:K286)</f>
        <v>9767.8571428571431</v>
      </c>
      <c r="L288" s="14">
        <f>K288/E288</f>
        <v>0.3052455357142857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/>
      <c r="B289" s="10"/>
      <c r="C289" s="11"/>
      <c r="D289" s="13"/>
      <c r="E289" s="13"/>
      <c r="F289" s="13"/>
      <c r="G289" s="2"/>
      <c r="H289" s="2"/>
      <c r="I289" s="13"/>
      <c r="J289" s="13"/>
      <c r="K289" s="13"/>
      <c r="L289" s="14"/>
      <c r="M289" s="4"/>
      <c r="N289" s="2"/>
      <c r="O289" s="4"/>
      <c r="P289" s="2"/>
      <c r="Q289" s="2"/>
      <c r="R289" s="4"/>
      <c r="S289" s="2"/>
      <c r="T289" s="2"/>
      <c r="U289" s="1"/>
      <c r="V289" s="2"/>
      <c r="W289" s="2"/>
      <c r="X289" s="2"/>
      <c r="Y289" s="2"/>
      <c r="Z289" s="2"/>
    </row>
    <row r="290" spans="1:26" ht="15.75" customHeight="1" x14ac:dyDescent="0.2">
      <c r="A290" s="12"/>
      <c r="B290" s="10"/>
      <c r="C290" s="11"/>
      <c r="D290" s="13"/>
      <c r="E290" s="13"/>
      <c r="F290" s="13"/>
      <c r="G290" s="2"/>
      <c r="H290" s="2"/>
      <c r="I290" s="13"/>
      <c r="J290" s="13"/>
      <c r="K290" s="13"/>
      <c r="L290" s="14"/>
      <c r="M290" s="4"/>
      <c r="N290" s="2"/>
      <c r="O290" s="4"/>
      <c r="P290" s="2"/>
      <c r="Q290" s="2"/>
      <c r="R290" s="4"/>
      <c r="S290" s="2"/>
      <c r="T290" s="2"/>
      <c r="U290" s="1"/>
      <c r="V290" s="2"/>
      <c r="W290" s="2"/>
      <c r="X290" s="2"/>
      <c r="Y290" s="2"/>
      <c r="Z290" s="2"/>
    </row>
    <row r="291" spans="1:26" ht="15.75" customHeight="1" x14ac:dyDescent="0.2">
      <c r="A291" s="12"/>
      <c r="B291" s="10"/>
      <c r="C291" s="11"/>
      <c r="D291" s="13"/>
      <c r="E291" s="13"/>
      <c r="F291" s="13"/>
      <c r="G291" s="2"/>
      <c r="H291" s="2"/>
      <c r="I291" s="13"/>
      <c r="J291" s="13"/>
      <c r="K291" s="13"/>
      <c r="L291" s="14"/>
      <c r="M291" s="4"/>
      <c r="N291" s="2"/>
      <c r="O291" s="4"/>
      <c r="P291" s="2"/>
      <c r="Q291" s="2"/>
      <c r="R291" s="4"/>
      <c r="S291" s="2"/>
      <c r="T291" s="2"/>
      <c r="U291" s="1"/>
      <c r="V291" s="2"/>
      <c r="W291" s="2"/>
      <c r="X291" s="2"/>
      <c r="Y291" s="2"/>
      <c r="Z291" s="2"/>
    </row>
    <row r="292" spans="1:26" ht="25.5" customHeight="1" x14ac:dyDescent="0.25">
      <c r="A292" s="26" t="s">
        <v>101</v>
      </c>
      <c r="B292" s="27">
        <f>E288+F276+E254+E241+E225+E192+E178+F159+F130+F118+F93+F62+F26</f>
        <v>3473874.4750000006</v>
      </c>
      <c r="C292" s="4"/>
      <c r="D292" s="4"/>
      <c r="E292" s="4"/>
      <c r="F292" s="4"/>
      <c r="G292" s="4"/>
      <c r="H292" s="4"/>
      <c r="I292" s="4"/>
      <c r="J292" s="4"/>
      <c r="K292" s="4"/>
      <c r="L292" s="28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8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7" customHeight="1" x14ac:dyDescent="0.25">
      <c r="A294" s="26" t="s">
        <v>102</v>
      </c>
      <c r="B294" s="27">
        <f>K288+K276+K254+K241+K225+K192+K178+K159+K130+K118+K93+K62+K26</f>
        <v>1388788.8949134198</v>
      </c>
      <c r="C294" s="4"/>
      <c r="D294" s="4"/>
      <c r="E294" s="4"/>
      <c r="F294" s="4"/>
      <c r="G294" s="4"/>
      <c r="H294" s="4"/>
      <c r="I294" s="4"/>
      <c r="J294" s="4"/>
      <c r="K294" s="4"/>
      <c r="L294" s="28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8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8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6.25" customHeight="1" x14ac:dyDescent="0.25">
      <c r="A297" s="26" t="s">
        <v>103</v>
      </c>
      <c r="B297" s="29">
        <f>B294/B292</f>
        <v>0.39978096644192063</v>
      </c>
      <c r="C297" s="4"/>
      <c r="D297" s="4"/>
      <c r="E297" s="4"/>
      <c r="F297" s="4"/>
      <c r="G297" s="4"/>
      <c r="H297" s="4"/>
      <c r="I297" s="4"/>
      <c r="J297" s="4"/>
      <c r="K297" s="4"/>
      <c r="L297" s="28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8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90" t="s">
        <v>104</v>
      </c>
      <c r="B299" s="89"/>
      <c r="C299" s="4"/>
      <c r="D299" s="4"/>
      <c r="E299" s="4"/>
      <c r="F299" s="4"/>
      <c r="G299" s="4"/>
      <c r="H299" s="4"/>
      <c r="I299" s="4"/>
      <c r="J299" s="4"/>
      <c r="K299" s="4"/>
      <c r="L299" s="28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/>
      <c r="B300" s="10"/>
      <c r="C300" s="11"/>
      <c r="D300" s="13"/>
      <c r="E300" s="13"/>
      <c r="F300" s="13"/>
      <c r="G300" s="2"/>
      <c r="H300" s="2"/>
      <c r="I300" s="13"/>
      <c r="J300" s="13"/>
      <c r="K300" s="13"/>
      <c r="L300" s="14"/>
      <c r="M300" s="4"/>
      <c r="N300" s="2"/>
      <c r="O300" s="4"/>
      <c r="P300" s="2"/>
      <c r="Q300" s="2"/>
      <c r="R300" s="4"/>
      <c r="S300" s="2"/>
      <c r="T300" s="2"/>
      <c r="U300" s="1"/>
      <c r="V300" s="2"/>
      <c r="W300" s="2"/>
      <c r="X300" s="2"/>
      <c r="Y300" s="2"/>
      <c r="Z300" s="2"/>
    </row>
    <row r="301" spans="1:26" ht="15.75" customHeight="1" x14ac:dyDescent="0.2">
      <c r="A301" s="12"/>
      <c r="B301" s="10"/>
      <c r="C301" s="11"/>
      <c r="D301" s="13"/>
      <c r="E301" s="13"/>
      <c r="F301" s="13"/>
      <c r="G301" s="2"/>
      <c r="H301" s="2"/>
      <c r="I301" s="13"/>
      <c r="J301" s="13"/>
      <c r="K301" s="13"/>
      <c r="L301" s="14"/>
      <c r="M301" s="4"/>
      <c r="N301" s="2"/>
      <c r="O301" s="4"/>
      <c r="P301" s="2"/>
      <c r="Q301" s="2"/>
      <c r="R301" s="4"/>
      <c r="S301" s="2"/>
      <c r="T301" s="2"/>
      <c r="U301" s="1"/>
      <c r="V301" s="2"/>
      <c r="W301" s="2"/>
      <c r="X301" s="2"/>
      <c r="Y301" s="2"/>
      <c r="Z301" s="2"/>
    </row>
    <row r="302" spans="1:26" ht="15.75" customHeight="1" x14ac:dyDescent="0.2">
      <c r="A302" s="12"/>
      <c r="B302" s="10"/>
      <c r="C302" s="11"/>
      <c r="D302" s="13"/>
      <c r="E302" s="13"/>
      <c r="F302" s="13"/>
      <c r="G302" s="2"/>
      <c r="H302" s="2"/>
      <c r="I302" s="13"/>
      <c r="J302" s="13"/>
      <c r="K302" s="13"/>
      <c r="L302" s="14"/>
      <c r="M302" s="4"/>
      <c r="N302" s="2"/>
      <c r="O302" s="4"/>
      <c r="P302" s="2"/>
      <c r="Q302" s="2"/>
      <c r="R302" s="4"/>
      <c r="S302" s="2"/>
      <c r="T302" s="2"/>
      <c r="U302" s="1"/>
      <c r="V302" s="2"/>
      <c r="W302" s="2"/>
      <c r="X302" s="2"/>
      <c r="Y302" s="2"/>
      <c r="Z302" s="2"/>
    </row>
    <row r="303" spans="1:26" ht="15.75" customHeight="1" x14ac:dyDescent="0.2">
      <c r="A303" s="12"/>
      <c r="B303" s="10"/>
      <c r="C303" s="11"/>
      <c r="D303" s="13"/>
      <c r="E303" s="13"/>
      <c r="F303" s="13"/>
      <c r="G303" s="2"/>
      <c r="H303" s="2"/>
      <c r="I303" s="13"/>
      <c r="J303" s="13"/>
      <c r="K303" s="13"/>
      <c r="L303" s="14"/>
      <c r="M303" s="4"/>
      <c r="N303" s="2"/>
      <c r="O303" s="4"/>
      <c r="P303" s="2"/>
      <c r="Q303" s="2"/>
      <c r="R303" s="4"/>
      <c r="S303" s="2"/>
      <c r="T303" s="2"/>
      <c r="U303" s="1"/>
      <c r="V303" s="2"/>
      <c r="W303" s="2"/>
      <c r="X303" s="2"/>
      <c r="Y303" s="2"/>
      <c r="Z303" s="2"/>
    </row>
    <row r="304" spans="1:26" ht="15.75" customHeight="1" x14ac:dyDescent="0.2">
      <c r="A304" s="12"/>
      <c r="B304" s="10"/>
      <c r="C304" s="11"/>
      <c r="D304" s="13"/>
      <c r="E304" s="13"/>
      <c r="F304" s="13"/>
      <c r="G304" s="2"/>
      <c r="H304" s="2"/>
      <c r="I304" s="13"/>
      <c r="J304" s="13"/>
      <c r="K304" s="13"/>
      <c r="L304" s="14"/>
      <c r="M304" s="4"/>
      <c r="N304" s="2"/>
      <c r="O304" s="4"/>
      <c r="P304" s="2"/>
      <c r="Q304" s="2"/>
      <c r="R304" s="4"/>
      <c r="S304" s="2"/>
      <c r="T304" s="2"/>
      <c r="U304" s="1"/>
      <c r="V304" s="2"/>
      <c r="W304" s="2"/>
      <c r="X304" s="2"/>
      <c r="Y304" s="2"/>
      <c r="Z304" s="2"/>
    </row>
    <row r="305" spans="1:26" ht="15.75" customHeight="1" x14ac:dyDescent="0.2">
      <c r="A305" s="12"/>
      <c r="B305" s="10"/>
      <c r="C305" s="11"/>
      <c r="D305" s="13"/>
      <c r="E305" s="13"/>
      <c r="F305" s="13"/>
      <c r="G305" s="2"/>
      <c r="H305" s="2"/>
      <c r="I305" s="13"/>
      <c r="J305" s="13"/>
      <c r="K305" s="13"/>
      <c r="L305" s="14"/>
      <c r="M305" s="4"/>
      <c r="N305" s="2"/>
      <c r="O305" s="4"/>
      <c r="P305" s="2"/>
      <c r="Q305" s="2"/>
      <c r="R305" s="4"/>
      <c r="S305" s="2"/>
      <c r="T305" s="2"/>
      <c r="U305" s="1"/>
      <c r="V305" s="2"/>
      <c r="W305" s="2"/>
      <c r="X305" s="2"/>
      <c r="Y305" s="2"/>
      <c r="Z305" s="2"/>
    </row>
    <row r="306" spans="1:26" ht="15.75" customHeight="1" x14ac:dyDescent="0.2">
      <c r="A306" s="12"/>
      <c r="B306" s="10"/>
      <c r="C306" s="11"/>
      <c r="D306" s="13"/>
      <c r="E306" s="13"/>
      <c r="F306" s="13"/>
      <c r="G306" s="2"/>
      <c r="H306" s="2"/>
      <c r="I306" s="13"/>
      <c r="J306" s="13"/>
      <c r="K306" s="13"/>
      <c r="L306" s="14"/>
      <c r="M306" s="4"/>
      <c r="N306" s="2"/>
      <c r="O306" s="4"/>
      <c r="P306" s="2"/>
      <c r="Q306" s="2"/>
      <c r="R306" s="4"/>
      <c r="S306" s="2"/>
      <c r="T306" s="2"/>
      <c r="U306" s="1"/>
      <c r="V306" s="2"/>
      <c r="W306" s="2"/>
      <c r="X306" s="2"/>
      <c r="Y306" s="2"/>
      <c r="Z306" s="2"/>
    </row>
    <row r="307" spans="1:26" ht="15.75" customHeight="1" x14ac:dyDescent="0.2">
      <c r="A307" s="12"/>
      <c r="B307" s="10"/>
      <c r="C307" s="11"/>
      <c r="D307" s="13"/>
      <c r="E307" s="13"/>
      <c r="F307" s="13"/>
      <c r="G307" s="2"/>
      <c r="H307" s="2"/>
      <c r="I307" s="13"/>
      <c r="J307" s="13"/>
      <c r="K307" s="13"/>
      <c r="L307" s="14"/>
      <c r="M307" s="4"/>
      <c r="N307" s="2"/>
      <c r="O307" s="4"/>
      <c r="P307" s="2"/>
      <c r="Q307" s="2"/>
      <c r="R307" s="4"/>
      <c r="S307" s="2"/>
      <c r="T307" s="2"/>
      <c r="U307" s="1"/>
      <c r="V307" s="2"/>
      <c r="W307" s="2"/>
      <c r="X307" s="2"/>
      <c r="Y307" s="2"/>
      <c r="Z307" s="2"/>
    </row>
    <row r="308" spans="1:26" ht="15.75" customHeight="1" x14ac:dyDescent="0.2">
      <c r="A308" s="12"/>
      <c r="B308" s="10"/>
      <c r="C308" s="11"/>
      <c r="D308" s="13"/>
      <c r="E308" s="13"/>
      <c r="F308" s="13"/>
      <c r="G308" s="2"/>
      <c r="H308" s="2"/>
      <c r="I308" s="13"/>
      <c r="J308" s="13"/>
      <c r="K308" s="13"/>
      <c r="L308" s="14"/>
      <c r="M308" s="4"/>
      <c r="N308" s="2"/>
      <c r="O308" s="4"/>
      <c r="P308" s="2"/>
      <c r="Q308" s="2"/>
      <c r="R308" s="4"/>
      <c r="S308" s="2"/>
      <c r="T308" s="2"/>
      <c r="U308" s="1"/>
      <c r="V308" s="2"/>
      <c r="W308" s="2"/>
      <c r="X308" s="2"/>
      <c r="Y308" s="2"/>
      <c r="Z308" s="2"/>
    </row>
    <row r="309" spans="1:26" ht="15.75" customHeight="1" x14ac:dyDescent="0.2">
      <c r="A309" s="12"/>
      <c r="B309" s="10"/>
      <c r="C309" s="11"/>
      <c r="D309" s="13"/>
      <c r="E309" s="13"/>
      <c r="F309" s="13"/>
      <c r="G309" s="2"/>
      <c r="H309" s="2"/>
      <c r="I309" s="13"/>
      <c r="J309" s="13"/>
      <c r="K309" s="13"/>
      <c r="L309" s="14"/>
      <c r="M309" s="4"/>
      <c r="N309" s="2"/>
      <c r="O309" s="4"/>
      <c r="P309" s="2"/>
      <c r="Q309" s="2"/>
      <c r="R309" s="4"/>
      <c r="S309" s="2"/>
      <c r="T309" s="2"/>
      <c r="U309" s="1"/>
      <c r="V309" s="2"/>
      <c r="W309" s="2"/>
      <c r="X309" s="2"/>
      <c r="Y309" s="2"/>
      <c r="Z309" s="2"/>
    </row>
    <row r="310" spans="1:26" ht="15.75" customHeight="1" x14ac:dyDescent="0.2">
      <c r="A310" s="12"/>
      <c r="B310" s="10"/>
      <c r="C310" s="11"/>
      <c r="D310" s="13"/>
      <c r="E310" s="13"/>
      <c r="F310" s="13"/>
      <c r="G310" s="2"/>
      <c r="H310" s="2"/>
      <c r="I310" s="13"/>
      <c r="J310" s="13"/>
      <c r="K310" s="13"/>
      <c r="L310" s="14"/>
      <c r="M310" s="4"/>
      <c r="N310" s="2"/>
      <c r="O310" s="4"/>
      <c r="P310" s="2"/>
      <c r="Q310" s="2"/>
      <c r="R310" s="4"/>
      <c r="S310" s="2"/>
      <c r="T310" s="2"/>
      <c r="U310" s="1"/>
      <c r="V310" s="2"/>
      <c r="W310" s="2"/>
      <c r="X310" s="2"/>
      <c r="Y310" s="2"/>
      <c r="Z310" s="2"/>
    </row>
    <row r="311" spans="1:26" ht="15.75" customHeight="1" x14ac:dyDescent="0.2">
      <c r="A311" s="12"/>
      <c r="B311" s="10"/>
      <c r="C311" s="11"/>
      <c r="D311" s="13"/>
      <c r="E311" s="13"/>
      <c r="F311" s="13"/>
      <c r="G311" s="2"/>
      <c r="H311" s="2"/>
      <c r="I311" s="13"/>
      <c r="J311" s="13"/>
      <c r="K311" s="13"/>
      <c r="L311" s="14"/>
      <c r="M311" s="4"/>
      <c r="N311" s="2"/>
      <c r="O311" s="4"/>
      <c r="P311" s="2"/>
      <c r="Q311" s="2"/>
      <c r="R311" s="4"/>
      <c r="S311" s="2"/>
      <c r="T311" s="2"/>
      <c r="U311" s="1"/>
      <c r="V311" s="2"/>
      <c r="W311" s="2"/>
      <c r="X311" s="2"/>
      <c r="Y311" s="2"/>
      <c r="Z311" s="2"/>
    </row>
    <row r="312" spans="1:26" ht="15.75" customHeight="1" x14ac:dyDescent="0.2">
      <c r="A312" s="12"/>
      <c r="B312" s="10"/>
      <c r="C312" s="11"/>
      <c r="D312" s="13"/>
      <c r="E312" s="13"/>
      <c r="F312" s="13"/>
      <c r="G312" s="2"/>
      <c r="H312" s="2"/>
      <c r="I312" s="13"/>
      <c r="J312" s="13"/>
      <c r="K312" s="13"/>
      <c r="L312" s="14"/>
      <c r="M312" s="4"/>
      <c r="N312" s="2"/>
      <c r="O312" s="4"/>
      <c r="P312" s="2"/>
      <c r="Q312" s="2"/>
      <c r="R312" s="4"/>
      <c r="S312" s="2"/>
      <c r="T312" s="2"/>
      <c r="U312" s="1"/>
      <c r="V312" s="2"/>
      <c r="W312" s="2"/>
      <c r="X312" s="2"/>
      <c r="Y312" s="2"/>
      <c r="Z312" s="2"/>
    </row>
    <row r="313" spans="1:26" ht="15.75" customHeight="1" x14ac:dyDescent="0.2">
      <c r="A313" s="12"/>
      <c r="B313" s="10"/>
      <c r="C313" s="11"/>
      <c r="D313" s="13"/>
      <c r="E313" s="13"/>
      <c r="F313" s="13"/>
      <c r="G313" s="2"/>
      <c r="H313" s="2"/>
      <c r="I313" s="13"/>
      <c r="J313" s="13"/>
      <c r="K313" s="13"/>
      <c r="L313" s="14"/>
      <c r="M313" s="4"/>
      <c r="N313" s="2"/>
      <c r="O313" s="4"/>
      <c r="P313" s="2"/>
      <c r="Q313" s="2"/>
      <c r="R313" s="4"/>
      <c r="S313" s="2"/>
      <c r="T313" s="2"/>
      <c r="U313" s="1"/>
      <c r="V313" s="2"/>
      <c r="W313" s="2"/>
      <c r="X313" s="2"/>
      <c r="Y313" s="2"/>
      <c r="Z313" s="2"/>
    </row>
    <row r="314" spans="1:26" ht="15.75" customHeight="1" x14ac:dyDescent="0.2">
      <c r="A314" s="12"/>
      <c r="B314" s="10"/>
      <c r="C314" s="11"/>
      <c r="D314" s="13"/>
      <c r="E314" s="13"/>
      <c r="F314" s="13"/>
      <c r="G314" s="2"/>
      <c r="H314" s="2"/>
      <c r="I314" s="13"/>
      <c r="J314" s="13"/>
      <c r="K314" s="13"/>
      <c r="L314" s="14"/>
      <c r="M314" s="4"/>
      <c r="N314" s="2"/>
      <c r="O314" s="4"/>
      <c r="P314" s="2"/>
      <c r="Q314" s="2"/>
      <c r="R314" s="4"/>
      <c r="S314" s="2"/>
      <c r="T314" s="2"/>
      <c r="U314" s="1"/>
      <c r="V314" s="2"/>
      <c r="W314" s="2"/>
      <c r="X314" s="2"/>
      <c r="Y314" s="2"/>
      <c r="Z314" s="2"/>
    </row>
    <row r="315" spans="1:26" ht="15.75" customHeight="1" x14ac:dyDescent="0.2">
      <c r="A315" s="12"/>
      <c r="B315" s="10"/>
      <c r="C315" s="11"/>
      <c r="D315" s="13"/>
      <c r="E315" s="13"/>
      <c r="F315" s="13"/>
      <c r="G315" s="2"/>
      <c r="H315" s="2"/>
      <c r="I315" s="13"/>
      <c r="J315" s="13"/>
      <c r="K315" s="13"/>
      <c r="L315" s="14"/>
      <c r="M315" s="4"/>
      <c r="N315" s="2"/>
      <c r="O315" s="4"/>
      <c r="P315" s="2"/>
      <c r="Q315" s="2"/>
      <c r="R315" s="4"/>
      <c r="S315" s="2"/>
      <c r="T315" s="2"/>
      <c r="U315" s="1"/>
      <c r="V315" s="2"/>
      <c r="W315" s="2"/>
      <c r="X315" s="2"/>
      <c r="Y315" s="2"/>
      <c r="Z315" s="2"/>
    </row>
    <row r="316" spans="1:26" ht="15.75" customHeight="1" x14ac:dyDescent="0.2">
      <c r="A316" s="12"/>
      <c r="B316" s="10"/>
      <c r="C316" s="11"/>
      <c r="D316" s="13"/>
      <c r="E316" s="13"/>
      <c r="F316" s="13"/>
      <c r="G316" s="2"/>
      <c r="H316" s="2"/>
      <c r="I316" s="13"/>
      <c r="J316" s="13"/>
      <c r="K316" s="13"/>
      <c r="L316" s="14"/>
      <c r="M316" s="4"/>
      <c r="N316" s="2"/>
      <c r="O316" s="4"/>
      <c r="P316" s="2"/>
      <c r="Q316" s="2"/>
      <c r="R316" s="4"/>
      <c r="S316" s="2"/>
      <c r="T316" s="2"/>
      <c r="U316" s="1"/>
      <c r="V316" s="2"/>
      <c r="W316" s="2"/>
      <c r="X316" s="2"/>
      <c r="Y316" s="2"/>
      <c r="Z316" s="2"/>
    </row>
    <row r="317" spans="1:26" ht="15.75" customHeight="1" x14ac:dyDescent="0.2">
      <c r="A317" s="12"/>
      <c r="B317" s="10"/>
      <c r="C317" s="11"/>
      <c r="D317" s="13"/>
      <c r="E317" s="13"/>
      <c r="F317" s="13"/>
      <c r="G317" s="2"/>
      <c r="H317" s="2"/>
      <c r="I317" s="13"/>
      <c r="J317" s="13"/>
      <c r="K317" s="13"/>
      <c r="L317" s="14"/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A318" s="12"/>
      <c r="B318" s="10"/>
      <c r="C318" s="11"/>
      <c r="D318" s="13"/>
      <c r="E318" s="13"/>
      <c r="F318" s="13"/>
      <c r="G318" s="2"/>
      <c r="H318" s="2"/>
      <c r="I318" s="13"/>
      <c r="J318" s="13"/>
      <c r="K318" s="13"/>
      <c r="L318" s="14"/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12"/>
      <c r="B319" s="10"/>
      <c r="C319" s="11"/>
      <c r="D319" s="13"/>
      <c r="E319" s="13"/>
      <c r="F319" s="13"/>
      <c r="G319" s="2"/>
      <c r="H319" s="2"/>
      <c r="I319" s="13"/>
      <c r="J319" s="13"/>
      <c r="K319" s="13"/>
      <c r="L319" s="14"/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2"/>
      <c r="B320" s="10"/>
      <c r="C320" s="11"/>
      <c r="D320" s="13"/>
      <c r="E320" s="13"/>
      <c r="F320" s="13"/>
      <c r="G320" s="2"/>
      <c r="H320" s="2"/>
      <c r="I320" s="13"/>
      <c r="J320" s="13"/>
      <c r="K320" s="13"/>
      <c r="L320" s="14"/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2"/>
      <c r="B321" s="10"/>
      <c r="C321" s="11"/>
      <c r="D321" s="13"/>
      <c r="E321" s="13"/>
      <c r="F321" s="13"/>
      <c r="G321" s="2"/>
      <c r="H321" s="2"/>
      <c r="I321" s="13"/>
      <c r="J321" s="13"/>
      <c r="K321" s="13"/>
      <c r="L321" s="14"/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2"/>
      <c r="B322" s="10"/>
      <c r="C322" s="11"/>
      <c r="D322" s="13"/>
      <c r="E322" s="13"/>
      <c r="F322" s="13"/>
      <c r="G322" s="2"/>
      <c r="H322" s="2"/>
      <c r="I322" s="13"/>
      <c r="J322" s="13"/>
      <c r="K322" s="13"/>
      <c r="L322" s="14"/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2"/>
      <c r="B323" s="10"/>
      <c r="C323" s="11"/>
      <c r="D323" s="13"/>
      <c r="E323" s="13"/>
      <c r="F323" s="13"/>
      <c r="G323" s="2"/>
      <c r="H323" s="2"/>
      <c r="I323" s="13"/>
      <c r="J323" s="13"/>
      <c r="K323" s="13"/>
      <c r="L323" s="14"/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2"/>
      <c r="B324" s="10"/>
      <c r="C324" s="11"/>
      <c r="D324" s="13"/>
      <c r="E324" s="13"/>
      <c r="F324" s="13"/>
      <c r="G324" s="2"/>
      <c r="H324" s="2"/>
      <c r="I324" s="13"/>
      <c r="J324" s="13"/>
      <c r="K324" s="13"/>
      <c r="L324" s="14"/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2"/>
      <c r="B325" s="10"/>
      <c r="C325" s="11"/>
      <c r="D325" s="13"/>
      <c r="E325" s="13"/>
      <c r="F325" s="13"/>
      <c r="G325" s="2"/>
      <c r="H325" s="2"/>
      <c r="I325" s="13"/>
      <c r="J325" s="13"/>
      <c r="K325" s="13"/>
      <c r="L325" s="14"/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2"/>
      <c r="B326" s="10"/>
      <c r="C326" s="11"/>
      <c r="D326" s="13"/>
      <c r="E326" s="13"/>
      <c r="F326" s="13"/>
      <c r="G326" s="2"/>
      <c r="H326" s="2"/>
      <c r="I326" s="13"/>
      <c r="J326" s="13"/>
      <c r="K326" s="13"/>
      <c r="L326" s="14"/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2"/>
      <c r="B327" s="10"/>
      <c r="C327" s="11"/>
      <c r="D327" s="13"/>
      <c r="E327" s="13"/>
      <c r="F327" s="13"/>
      <c r="G327" s="2"/>
      <c r="H327" s="2"/>
      <c r="I327" s="13"/>
      <c r="J327" s="13"/>
      <c r="K327" s="13"/>
      <c r="L327" s="14"/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2"/>
      <c r="B328" s="10"/>
      <c r="C328" s="11"/>
      <c r="D328" s="13"/>
      <c r="E328" s="13"/>
      <c r="F328" s="13"/>
      <c r="G328" s="2"/>
      <c r="H328" s="2"/>
      <c r="I328" s="13"/>
      <c r="J328" s="13"/>
      <c r="K328" s="13"/>
      <c r="L328" s="14"/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2"/>
      <c r="B329" s="10"/>
      <c r="C329" s="11"/>
      <c r="D329" s="13"/>
      <c r="E329" s="13"/>
      <c r="F329" s="13"/>
      <c r="G329" s="2"/>
      <c r="H329" s="2"/>
      <c r="I329" s="13"/>
      <c r="J329" s="13"/>
      <c r="K329" s="13"/>
      <c r="L329" s="14"/>
      <c r="M329" s="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2"/>
      <c r="B330" s="10"/>
      <c r="C330" s="11"/>
      <c r="D330" s="13"/>
      <c r="E330" s="13"/>
      <c r="F330" s="13"/>
      <c r="G330" s="2"/>
      <c r="H330" s="2"/>
      <c r="I330" s="13"/>
      <c r="J330" s="13"/>
      <c r="K330" s="13"/>
      <c r="L330" s="14"/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2"/>
      <c r="B331" s="10"/>
      <c r="C331" s="11"/>
      <c r="D331" s="13"/>
      <c r="E331" s="13"/>
      <c r="F331" s="13"/>
      <c r="G331" s="2"/>
      <c r="H331" s="2"/>
      <c r="I331" s="13"/>
      <c r="J331" s="13"/>
      <c r="K331" s="13"/>
      <c r="L331" s="14"/>
      <c r="M331" s="4"/>
      <c r="N331" s="2"/>
      <c r="O331" s="4"/>
      <c r="P331" s="2"/>
      <c r="Q331" s="2"/>
      <c r="R331" s="4"/>
      <c r="S331" s="2"/>
      <c r="T331" s="2"/>
      <c r="U331" s="1"/>
      <c r="V331" s="2"/>
      <c r="W331" s="2"/>
      <c r="X331" s="2"/>
      <c r="Y331" s="2"/>
      <c r="Z331" s="2"/>
    </row>
    <row r="332" spans="1:26" ht="15.75" customHeight="1" x14ac:dyDescent="0.2">
      <c r="A332" s="12"/>
      <c r="B332" s="10"/>
      <c r="C332" s="11"/>
      <c r="D332" s="13"/>
      <c r="E332" s="13"/>
      <c r="F332" s="13"/>
      <c r="G332" s="2"/>
      <c r="H332" s="2"/>
      <c r="I332" s="13"/>
      <c r="J332" s="13"/>
      <c r="K332" s="13"/>
      <c r="L332" s="14"/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12"/>
      <c r="B333" s="10"/>
      <c r="C333" s="11"/>
      <c r="D333" s="13"/>
      <c r="E333" s="13"/>
      <c r="F333" s="13"/>
      <c r="G333" s="2"/>
      <c r="H333" s="2"/>
      <c r="I333" s="13"/>
      <c r="J333" s="13"/>
      <c r="K333" s="13"/>
      <c r="L333" s="14"/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A334" s="12"/>
      <c r="B334" s="10"/>
      <c r="C334" s="11"/>
      <c r="D334" s="13"/>
      <c r="E334" s="13"/>
      <c r="F334" s="13"/>
      <c r="G334" s="2"/>
      <c r="H334" s="2"/>
      <c r="I334" s="13"/>
      <c r="J334" s="13"/>
      <c r="K334" s="13"/>
      <c r="L334" s="14"/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12"/>
      <c r="B335" s="10"/>
      <c r="C335" s="11"/>
      <c r="D335" s="13"/>
      <c r="E335" s="13"/>
      <c r="F335" s="13"/>
      <c r="G335" s="2"/>
      <c r="H335" s="2"/>
      <c r="I335" s="13"/>
      <c r="J335" s="13"/>
      <c r="K335" s="13"/>
      <c r="L335" s="14"/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2"/>
      <c r="B336" s="10"/>
      <c r="C336" s="11"/>
      <c r="D336" s="13"/>
      <c r="E336" s="13"/>
      <c r="F336" s="13"/>
      <c r="G336" s="2"/>
      <c r="H336" s="2"/>
      <c r="I336" s="13"/>
      <c r="J336" s="13"/>
      <c r="K336" s="13"/>
      <c r="L336" s="14"/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2"/>
      <c r="B337" s="10"/>
      <c r="C337" s="11"/>
      <c r="D337" s="13"/>
      <c r="E337" s="13"/>
      <c r="F337" s="13"/>
      <c r="G337" s="2"/>
      <c r="H337" s="2"/>
      <c r="I337" s="13"/>
      <c r="J337" s="13"/>
      <c r="K337" s="13"/>
      <c r="L337" s="14"/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2"/>
      <c r="B338" s="10"/>
      <c r="C338" s="11"/>
      <c r="D338" s="13"/>
      <c r="E338" s="13"/>
      <c r="F338" s="13"/>
      <c r="G338" s="2"/>
      <c r="H338" s="2"/>
      <c r="I338" s="13"/>
      <c r="J338" s="13"/>
      <c r="K338" s="13"/>
      <c r="L338" s="14"/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2"/>
      <c r="B339" s="10"/>
      <c r="C339" s="11"/>
      <c r="D339" s="13"/>
      <c r="E339" s="13"/>
      <c r="F339" s="13"/>
      <c r="G339" s="2"/>
      <c r="H339" s="2"/>
      <c r="I339" s="13"/>
      <c r="J339" s="13"/>
      <c r="K339" s="13"/>
      <c r="L339" s="14"/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2"/>
      <c r="B340" s="10"/>
      <c r="C340" s="11"/>
      <c r="D340" s="13"/>
      <c r="E340" s="13"/>
      <c r="F340" s="13"/>
      <c r="G340" s="2"/>
      <c r="H340" s="2"/>
      <c r="I340" s="13"/>
      <c r="J340" s="13"/>
      <c r="K340" s="13"/>
      <c r="L340" s="14"/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2"/>
      <c r="B341" s="10"/>
      <c r="C341" s="11"/>
      <c r="D341" s="13"/>
      <c r="E341" s="13"/>
      <c r="F341" s="13"/>
      <c r="G341" s="2"/>
      <c r="H341" s="2"/>
      <c r="I341" s="13"/>
      <c r="J341" s="13"/>
      <c r="K341" s="13"/>
      <c r="L341" s="14"/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2"/>
      <c r="B342" s="10"/>
      <c r="C342" s="11"/>
      <c r="D342" s="13"/>
      <c r="E342" s="13"/>
      <c r="F342" s="13"/>
      <c r="G342" s="2"/>
      <c r="H342" s="2"/>
      <c r="I342" s="13"/>
      <c r="J342" s="13"/>
      <c r="K342" s="13"/>
      <c r="L342" s="14"/>
      <c r="M342" s="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2"/>
      <c r="B343" s="10"/>
      <c r="C343" s="11"/>
      <c r="D343" s="13"/>
      <c r="E343" s="13"/>
      <c r="F343" s="13"/>
      <c r="G343" s="2"/>
      <c r="H343" s="2"/>
      <c r="I343" s="13"/>
      <c r="J343" s="13"/>
      <c r="K343" s="13"/>
      <c r="L343" s="14"/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2"/>
      <c r="B344" s="10"/>
      <c r="C344" s="11"/>
      <c r="D344" s="13"/>
      <c r="E344" s="13"/>
      <c r="F344" s="13"/>
      <c r="G344" s="2"/>
      <c r="H344" s="2"/>
      <c r="I344" s="13"/>
      <c r="J344" s="13"/>
      <c r="K344" s="13"/>
      <c r="L344" s="14"/>
      <c r="M344" s="4"/>
      <c r="N344" s="2"/>
      <c r="O344" s="4"/>
      <c r="P344" s="2"/>
      <c r="Q344" s="2"/>
      <c r="R344" s="4"/>
      <c r="S344" s="2"/>
      <c r="T344" s="2"/>
      <c r="U344" s="1"/>
      <c r="V344" s="2"/>
      <c r="W344" s="2"/>
      <c r="X344" s="2"/>
      <c r="Y344" s="2"/>
      <c r="Z344" s="2"/>
    </row>
    <row r="345" spans="1:26" ht="15.75" customHeight="1" x14ac:dyDescent="0.2">
      <c r="A345" s="12"/>
      <c r="B345" s="10"/>
      <c r="C345" s="11"/>
      <c r="D345" s="13"/>
      <c r="E345" s="13"/>
      <c r="F345" s="13"/>
      <c r="G345" s="2"/>
      <c r="H345" s="2"/>
      <c r="I345" s="13"/>
      <c r="J345" s="13"/>
      <c r="K345" s="13"/>
      <c r="L345" s="14"/>
      <c r="M345" s="4"/>
      <c r="N345" s="2"/>
      <c r="O345" s="4"/>
      <c r="P345" s="2"/>
      <c r="Q345" s="2"/>
      <c r="R345" s="4"/>
      <c r="S345" s="2"/>
      <c r="T345" s="2"/>
      <c r="U345" s="1"/>
      <c r="V345" s="2"/>
      <c r="W345" s="2"/>
      <c r="X345" s="2"/>
      <c r="Y345" s="2"/>
      <c r="Z345" s="2"/>
    </row>
    <row r="346" spans="1:26" ht="15.75" customHeight="1" x14ac:dyDescent="0.2">
      <c r="A346" s="12"/>
      <c r="B346" s="10"/>
      <c r="C346" s="11"/>
      <c r="D346" s="13"/>
      <c r="E346" s="13"/>
      <c r="F346" s="13"/>
      <c r="G346" s="2"/>
      <c r="H346" s="2"/>
      <c r="I346" s="13"/>
      <c r="J346" s="13"/>
      <c r="K346" s="13"/>
      <c r="L346" s="14"/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A347" s="12"/>
      <c r="B347" s="10"/>
      <c r="C347" s="11"/>
      <c r="D347" s="13"/>
      <c r="E347" s="13"/>
      <c r="F347" s="13"/>
      <c r="G347" s="2"/>
      <c r="H347" s="2"/>
      <c r="I347" s="13"/>
      <c r="J347" s="13"/>
      <c r="K347" s="13"/>
      <c r="L347" s="14"/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A348" s="12"/>
      <c r="B348" s="10"/>
      <c r="C348" s="11"/>
      <c r="D348" s="13"/>
      <c r="E348" s="13"/>
      <c r="F348" s="13"/>
      <c r="G348" s="2"/>
      <c r="H348" s="2"/>
      <c r="I348" s="13"/>
      <c r="J348" s="13"/>
      <c r="K348" s="13"/>
      <c r="L348" s="14"/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2"/>
      <c r="B349" s="10"/>
      <c r="C349" s="11"/>
      <c r="D349" s="13"/>
      <c r="E349" s="13"/>
      <c r="F349" s="13"/>
      <c r="G349" s="2"/>
      <c r="H349" s="2"/>
      <c r="I349" s="13"/>
      <c r="J349" s="13"/>
      <c r="K349" s="13"/>
      <c r="L349" s="14"/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A350" s="12"/>
      <c r="B350" s="10"/>
      <c r="C350" s="11"/>
      <c r="D350" s="13"/>
      <c r="E350" s="13"/>
      <c r="F350" s="13"/>
      <c r="G350" s="2"/>
      <c r="H350" s="2"/>
      <c r="I350" s="13"/>
      <c r="J350" s="13"/>
      <c r="K350" s="13"/>
      <c r="L350" s="14"/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2"/>
      <c r="B351" s="10"/>
      <c r="C351" s="11"/>
      <c r="D351" s="13"/>
      <c r="E351" s="13"/>
      <c r="F351" s="13"/>
      <c r="G351" s="2"/>
      <c r="H351" s="2"/>
      <c r="I351" s="13"/>
      <c r="J351" s="13"/>
      <c r="K351" s="13"/>
      <c r="L351" s="14"/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2"/>
      <c r="B352" s="10"/>
      <c r="C352" s="11"/>
      <c r="D352" s="13"/>
      <c r="E352" s="13"/>
      <c r="F352" s="13"/>
      <c r="G352" s="2"/>
      <c r="H352" s="2"/>
      <c r="I352" s="13"/>
      <c r="J352" s="13"/>
      <c r="K352" s="13"/>
      <c r="L352" s="14"/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2"/>
      <c r="B353" s="10"/>
      <c r="C353" s="11"/>
      <c r="D353" s="13"/>
      <c r="E353" s="13"/>
      <c r="F353" s="13"/>
      <c r="G353" s="2"/>
      <c r="H353" s="2"/>
      <c r="I353" s="13"/>
      <c r="J353" s="13"/>
      <c r="K353" s="13"/>
      <c r="L353" s="14"/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2"/>
      <c r="B354" s="10"/>
      <c r="C354" s="11"/>
      <c r="D354" s="13"/>
      <c r="E354" s="13"/>
      <c r="F354" s="13"/>
      <c r="G354" s="2"/>
      <c r="H354" s="2"/>
      <c r="I354" s="13"/>
      <c r="J354" s="13"/>
      <c r="K354" s="13"/>
      <c r="L354" s="14"/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2"/>
      <c r="B355" s="10"/>
      <c r="C355" s="11"/>
      <c r="D355" s="13"/>
      <c r="E355" s="13"/>
      <c r="F355" s="13"/>
      <c r="G355" s="2"/>
      <c r="H355" s="2"/>
      <c r="I355" s="13"/>
      <c r="J355" s="13"/>
      <c r="K355" s="13"/>
      <c r="L355" s="14"/>
      <c r="M355" s="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2"/>
      <c r="B356" s="10"/>
      <c r="C356" s="11"/>
      <c r="D356" s="13"/>
      <c r="E356" s="13"/>
      <c r="F356" s="13"/>
      <c r="G356" s="2"/>
      <c r="H356" s="2"/>
      <c r="I356" s="13"/>
      <c r="J356" s="13"/>
      <c r="K356" s="13"/>
      <c r="L356" s="14"/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2"/>
      <c r="B357" s="10"/>
      <c r="C357" s="11"/>
      <c r="D357" s="13"/>
      <c r="E357" s="13"/>
      <c r="F357" s="13"/>
      <c r="G357" s="2"/>
      <c r="H357" s="2"/>
      <c r="I357" s="13"/>
      <c r="J357" s="13"/>
      <c r="K357" s="13"/>
      <c r="L357" s="14"/>
      <c r="M357" s="4"/>
      <c r="N357" s="2"/>
      <c r="O357" s="4"/>
      <c r="P357" s="2"/>
      <c r="Q357" s="2"/>
      <c r="R357" s="4"/>
      <c r="S357" s="2"/>
      <c r="T357" s="2"/>
      <c r="U357" s="1"/>
      <c r="V357" s="2"/>
      <c r="W357" s="2"/>
      <c r="X357" s="2"/>
      <c r="Y357" s="2"/>
      <c r="Z357" s="2"/>
    </row>
    <row r="358" spans="1:26" ht="15.75" customHeight="1" x14ac:dyDescent="0.2">
      <c r="A358" s="12"/>
      <c r="B358" s="10"/>
      <c r="C358" s="11"/>
      <c r="D358" s="13"/>
      <c r="E358" s="13"/>
      <c r="F358" s="13"/>
      <c r="G358" s="2"/>
      <c r="H358" s="2"/>
      <c r="I358" s="13"/>
      <c r="J358" s="13"/>
      <c r="K358" s="13"/>
      <c r="L358" s="14"/>
      <c r="M358" s="4"/>
      <c r="N358" s="2"/>
      <c r="O358" s="4"/>
      <c r="P358" s="2"/>
      <c r="Q358" s="2"/>
      <c r="R358" s="4"/>
      <c r="S358" s="2"/>
      <c r="T358" s="2"/>
      <c r="U358" s="1"/>
      <c r="V358" s="2"/>
      <c r="W358" s="2"/>
      <c r="X358" s="2"/>
      <c r="Y358" s="2"/>
      <c r="Z358" s="2"/>
    </row>
    <row r="359" spans="1:26" ht="15.75" customHeight="1" x14ac:dyDescent="0.2">
      <c r="A359" s="12"/>
      <c r="B359" s="10"/>
      <c r="C359" s="11"/>
      <c r="D359" s="13"/>
      <c r="E359" s="13"/>
      <c r="F359" s="13"/>
      <c r="G359" s="2"/>
      <c r="H359" s="2"/>
      <c r="I359" s="13"/>
      <c r="J359" s="13"/>
      <c r="K359" s="13"/>
      <c r="L359" s="14"/>
      <c r="M359" s="4"/>
      <c r="N359" s="2"/>
      <c r="O359" s="4"/>
      <c r="P359" s="2"/>
      <c r="Q359" s="2"/>
      <c r="R359" s="4"/>
      <c r="S359" s="2"/>
      <c r="T359" s="2"/>
      <c r="U359" s="1"/>
      <c r="V359" s="2"/>
      <c r="W359" s="2"/>
      <c r="X359" s="2"/>
      <c r="Y359" s="2"/>
      <c r="Z359" s="2"/>
    </row>
    <row r="360" spans="1:26" ht="15.75" customHeight="1" x14ac:dyDescent="0.2">
      <c r="A360" s="12"/>
      <c r="B360" s="10"/>
      <c r="C360" s="11"/>
      <c r="D360" s="13"/>
      <c r="E360" s="13"/>
      <c r="F360" s="13"/>
      <c r="G360" s="2"/>
      <c r="H360" s="2"/>
      <c r="I360" s="13"/>
      <c r="J360" s="13"/>
      <c r="K360" s="13"/>
      <c r="L360" s="14"/>
      <c r="M360" s="4"/>
      <c r="N360" s="2"/>
      <c r="O360" s="4"/>
      <c r="P360" s="2"/>
      <c r="Q360" s="2"/>
      <c r="R360" s="4"/>
      <c r="S360" s="2"/>
      <c r="T360" s="2"/>
      <c r="U360" s="1"/>
      <c r="V360" s="2"/>
      <c r="W360" s="2"/>
      <c r="X360" s="2"/>
      <c r="Y360" s="2"/>
      <c r="Z360" s="2"/>
    </row>
    <row r="361" spans="1:26" ht="15.75" customHeight="1" x14ac:dyDescent="0.2">
      <c r="A361" s="12"/>
      <c r="B361" s="10"/>
      <c r="C361" s="11"/>
      <c r="D361" s="13"/>
      <c r="E361" s="13"/>
      <c r="F361" s="13"/>
      <c r="G361" s="2"/>
      <c r="H361" s="2"/>
      <c r="I361" s="13"/>
      <c r="J361" s="13"/>
      <c r="K361" s="13"/>
      <c r="L361" s="14"/>
      <c r="M361" s="4"/>
      <c r="N361" s="2"/>
      <c r="O361" s="4"/>
      <c r="P361" s="2"/>
      <c r="Q361" s="2"/>
      <c r="R361" s="4"/>
      <c r="S361" s="2"/>
      <c r="T361" s="2"/>
      <c r="U361" s="1"/>
      <c r="V361" s="2"/>
      <c r="W361" s="2"/>
      <c r="X361" s="2"/>
      <c r="Y361" s="2"/>
      <c r="Z361" s="2"/>
    </row>
    <row r="362" spans="1:26" ht="15.75" customHeight="1" x14ac:dyDescent="0.2">
      <c r="A362" s="12"/>
      <c r="B362" s="10"/>
      <c r="C362" s="11"/>
      <c r="D362" s="13"/>
      <c r="E362" s="13"/>
      <c r="F362" s="13"/>
      <c r="G362" s="2"/>
      <c r="H362" s="2"/>
      <c r="I362" s="13"/>
      <c r="J362" s="13"/>
      <c r="K362" s="13"/>
      <c r="L362" s="14"/>
      <c r="M362" s="4"/>
      <c r="N362" s="2"/>
      <c r="O362" s="4"/>
      <c r="P362" s="2"/>
      <c r="Q362" s="2"/>
      <c r="R362" s="4"/>
      <c r="S362" s="2"/>
      <c r="T362" s="2"/>
      <c r="U362" s="1"/>
      <c r="V362" s="2"/>
      <c r="W362" s="2"/>
      <c r="X362" s="2"/>
      <c r="Y362" s="2"/>
      <c r="Z362" s="2"/>
    </row>
    <row r="363" spans="1:26" ht="15.75" customHeight="1" x14ac:dyDescent="0.2">
      <c r="A363" s="12"/>
      <c r="B363" s="10"/>
      <c r="C363" s="11"/>
      <c r="D363" s="13"/>
      <c r="E363" s="13"/>
      <c r="F363" s="13"/>
      <c r="G363" s="2"/>
      <c r="H363" s="2"/>
      <c r="I363" s="13"/>
      <c r="J363" s="13"/>
      <c r="K363" s="13"/>
      <c r="L363" s="14"/>
      <c r="M363" s="4"/>
      <c r="N363" s="2"/>
      <c r="O363" s="4"/>
      <c r="P363" s="2"/>
      <c r="Q363" s="2"/>
      <c r="R363" s="4"/>
      <c r="S363" s="2"/>
      <c r="T363" s="2"/>
      <c r="U363" s="1"/>
      <c r="V363" s="2"/>
      <c r="W363" s="2"/>
      <c r="X363" s="2"/>
      <c r="Y363" s="2"/>
      <c r="Z363" s="2"/>
    </row>
    <row r="364" spans="1:26" ht="15.75" customHeight="1" x14ac:dyDescent="0.2">
      <c r="A364" s="12"/>
      <c r="B364" s="10"/>
      <c r="C364" s="11"/>
      <c r="D364" s="13"/>
      <c r="E364" s="13"/>
      <c r="F364" s="13"/>
      <c r="G364" s="2"/>
      <c r="H364" s="2"/>
      <c r="I364" s="13"/>
      <c r="J364" s="13"/>
      <c r="K364" s="13"/>
      <c r="L364" s="14"/>
      <c r="M364" s="4"/>
      <c r="N364" s="2"/>
      <c r="O364" s="4"/>
      <c r="P364" s="2"/>
      <c r="Q364" s="2"/>
      <c r="R364" s="4"/>
      <c r="S364" s="2"/>
      <c r="T364" s="2"/>
      <c r="U364" s="1"/>
      <c r="V364" s="2"/>
      <c r="W364" s="2"/>
      <c r="X364" s="2"/>
      <c r="Y364" s="2"/>
      <c r="Z364" s="2"/>
    </row>
    <row r="365" spans="1:26" ht="15.75" customHeight="1" x14ac:dyDescent="0.2">
      <c r="A365" s="12"/>
      <c r="B365" s="10"/>
      <c r="C365" s="11"/>
      <c r="D365" s="13"/>
      <c r="E365" s="13"/>
      <c r="F365" s="13"/>
      <c r="G365" s="2"/>
      <c r="H365" s="2"/>
      <c r="I365" s="13"/>
      <c r="J365" s="13"/>
      <c r="K365" s="13"/>
      <c r="L365" s="14"/>
      <c r="M365" s="4"/>
      <c r="N365" s="2"/>
      <c r="O365" s="4"/>
      <c r="P365" s="2"/>
      <c r="Q365" s="2"/>
      <c r="R365" s="4"/>
      <c r="S365" s="2"/>
      <c r="T365" s="2"/>
      <c r="U365" s="1"/>
      <c r="V365" s="2"/>
      <c r="W365" s="2"/>
      <c r="X365" s="2"/>
      <c r="Y365" s="2"/>
      <c r="Z365" s="2"/>
    </row>
    <row r="366" spans="1:26" ht="15.75" customHeight="1" x14ac:dyDescent="0.2">
      <c r="A366" s="12"/>
      <c r="B366" s="10"/>
      <c r="C366" s="11"/>
      <c r="D366" s="13"/>
      <c r="E366" s="13"/>
      <c r="F366" s="13"/>
      <c r="G366" s="2"/>
      <c r="H366" s="2"/>
      <c r="I366" s="13"/>
      <c r="J366" s="13"/>
      <c r="K366" s="13"/>
      <c r="L366" s="14"/>
      <c r="M366" s="4"/>
      <c r="N366" s="2"/>
      <c r="O366" s="4"/>
      <c r="P366" s="2"/>
      <c r="Q366" s="2"/>
      <c r="R366" s="4"/>
      <c r="S366" s="2"/>
      <c r="T366" s="2"/>
      <c r="U366" s="1"/>
      <c r="V366" s="2"/>
      <c r="W366" s="2"/>
      <c r="X366" s="2"/>
      <c r="Y366" s="2"/>
      <c r="Z366" s="2"/>
    </row>
    <row r="367" spans="1:26" ht="15.75" customHeight="1" x14ac:dyDescent="0.2">
      <c r="A367" s="12"/>
      <c r="B367" s="10"/>
      <c r="C367" s="11"/>
      <c r="D367" s="13"/>
      <c r="E367" s="13"/>
      <c r="F367" s="13"/>
      <c r="G367" s="2"/>
      <c r="H367" s="2"/>
      <c r="I367" s="13"/>
      <c r="J367" s="13"/>
      <c r="K367" s="13"/>
      <c r="L367" s="14"/>
      <c r="M367" s="4"/>
      <c r="N367" s="2"/>
      <c r="O367" s="4"/>
      <c r="P367" s="2"/>
      <c r="Q367" s="2"/>
      <c r="R367" s="4"/>
      <c r="S367" s="2"/>
      <c r="T367" s="2"/>
      <c r="U367" s="1"/>
      <c r="V367" s="2"/>
      <c r="W367" s="2"/>
      <c r="X367" s="2"/>
      <c r="Y367" s="2"/>
      <c r="Z367" s="2"/>
    </row>
    <row r="368" spans="1:26" ht="15.75" customHeight="1" x14ac:dyDescent="0.2">
      <c r="A368" s="12"/>
      <c r="B368" s="10"/>
      <c r="C368" s="11"/>
      <c r="D368" s="13"/>
      <c r="E368" s="13"/>
      <c r="F368" s="13"/>
      <c r="G368" s="2"/>
      <c r="H368" s="2"/>
      <c r="I368" s="13"/>
      <c r="J368" s="13"/>
      <c r="K368" s="13"/>
      <c r="L368" s="14"/>
      <c r="M368" s="4"/>
      <c r="N368" s="2"/>
      <c r="O368" s="4"/>
      <c r="P368" s="2"/>
      <c r="Q368" s="2"/>
      <c r="R368" s="4"/>
      <c r="S368" s="2"/>
      <c r="T368" s="2"/>
      <c r="U368" s="1"/>
      <c r="V368" s="2"/>
      <c r="W368" s="2"/>
      <c r="X368" s="2"/>
      <c r="Y368" s="2"/>
      <c r="Z368" s="2"/>
    </row>
    <row r="369" spans="1:26" ht="15.75" customHeight="1" x14ac:dyDescent="0.2">
      <c r="A369" s="12"/>
      <c r="B369" s="10"/>
      <c r="C369" s="11"/>
      <c r="D369" s="13"/>
      <c r="E369" s="13"/>
      <c r="F369" s="13"/>
      <c r="G369" s="2"/>
      <c r="H369" s="2"/>
      <c r="I369" s="13"/>
      <c r="J369" s="13"/>
      <c r="K369" s="13"/>
      <c r="L369" s="14"/>
      <c r="M369" s="4"/>
      <c r="N369" s="2"/>
      <c r="O369" s="4"/>
      <c r="P369" s="2"/>
      <c r="Q369" s="2"/>
      <c r="R369" s="4"/>
      <c r="S369" s="2"/>
      <c r="T369" s="2"/>
      <c r="U369" s="1"/>
      <c r="V369" s="2"/>
      <c r="W369" s="2"/>
      <c r="X369" s="2"/>
      <c r="Y369" s="2"/>
      <c r="Z369" s="2"/>
    </row>
    <row r="370" spans="1:26" ht="15.75" customHeight="1" x14ac:dyDescent="0.2">
      <c r="A370" s="12"/>
      <c r="B370" s="10"/>
      <c r="C370" s="11"/>
      <c r="D370" s="13"/>
      <c r="E370" s="13"/>
      <c r="F370" s="13"/>
      <c r="G370" s="2"/>
      <c r="H370" s="2"/>
      <c r="I370" s="13"/>
      <c r="J370" s="13"/>
      <c r="K370" s="13"/>
      <c r="L370" s="14"/>
      <c r="M370" s="4"/>
      <c r="N370" s="2"/>
      <c r="O370" s="4"/>
      <c r="P370" s="2"/>
      <c r="Q370" s="2"/>
      <c r="R370" s="4"/>
      <c r="S370" s="2"/>
      <c r="T370" s="2"/>
      <c r="U370" s="1"/>
      <c r="V370" s="2"/>
      <c r="W370" s="2"/>
      <c r="X370" s="2"/>
      <c r="Y370" s="2"/>
      <c r="Z370" s="2"/>
    </row>
    <row r="371" spans="1:26" ht="15.75" customHeight="1" x14ac:dyDescent="0.2">
      <c r="A371" s="12"/>
      <c r="B371" s="10"/>
      <c r="C371" s="11"/>
      <c r="D371" s="13"/>
      <c r="E371" s="13"/>
      <c r="F371" s="13"/>
      <c r="G371" s="2"/>
      <c r="H371" s="2"/>
      <c r="I371" s="13"/>
      <c r="J371" s="13"/>
      <c r="K371" s="13"/>
      <c r="L371" s="14"/>
      <c r="M371" s="4"/>
      <c r="N371" s="2"/>
      <c r="O371" s="4"/>
      <c r="P371" s="2"/>
      <c r="Q371" s="2"/>
      <c r="R371" s="4"/>
      <c r="S371" s="2"/>
      <c r="T371" s="2"/>
      <c r="U371" s="1"/>
      <c r="V371" s="2"/>
      <c r="W371" s="2"/>
      <c r="X371" s="2"/>
      <c r="Y371" s="2"/>
      <c r="Z371" s="2"/>
    </row>
    <row r="372" spans="1:26" ht="15.75" customHeight="1" x14ac:dyDescent="0.2">
      <c r="A372" s="12"/>
      <c r="B372" s="10"/>
      <c r="C372" s="11"/>
      <c r="D372" s="13"/>
      <c r="E372" s="13"/>
      <c r="F372" s="13"/>
      <c r="G372" s="2"/>
      <c r="H372" s="2"/>
      <c r="I372" s="13"/>
      <c r="J372" s="13"/>
      <c r="K372" s="13"/>
      <c r="L372" s="14"/>
      <c r="M372" s="4"/>
      <c r="N372" s="2"/>
      <c r="O372" s="4"/>
      <c r="P372" s="2"/>
      <c r="Q372" s="2"/>
      <c r="R372" s="4"/>
      <c r="S372" s="2"/>
      <c r="T372" s="2"/>
      <c r="U372" s="1"/>
      <c r="V372" s="2"/>
      <c r="W372" s="2"/>
      <c r="X372" s="2"/>
      <c r="Y372" s="2"/>
      <c r="Z372" s="2"/>
    </row>
    <row r="373" spans="1:26" ht="15.75" customHeight="1" x14ac:dyDescent="0.2">
      <c r="A373" s="12"/>
      <c r="B373" s="10"/>
      <c r="C373" s="11"/>
      <c r="D373" s="13"/>
      <c r="E373" s="13"/>
      <c r="F373" s="13"/>
      <c r="G373" s="2"/>
      <c r="H373" s="2"/>
      <c r="I373" s="13"/>
      <c r="J373" s="13"/>
      <c r="K373" s="13"/>
      <c r="L373" s="14"/>
      <c r="M373" s="4"/>
      <c r="N373" s="2"/>
      <c r="O373" s="4"/>
      <c r="P373" s="2"/>
      <c r="Q373" s="2"/>
      <c r="R373" s="4"/>
      <c r="S373" s="2"/>
      <c r="T373" s="2"/>
      <c r="U373" s="1"/>
      <c r="V373" s="2"/>
      <c r="W373" s="2"/>
      <c r="X373" s="2"/>
      <c r="Y373" s="2"/>
      <c r="Z373" s="2"/>
    </row>
    <row r="374" spans="1:26" ht="15.75" customHeight="1" x14ac:dyDescent="0.2">
      <c r="A374" s="12"/>
      <c r="B374" s="10"/>
      <c r="C374" s="11"/>
      <c r="D374" s="13"/>
      <c r="E374" s="13"/>
      <c r="F374" s="13"/>
      <c r="G374" s="2"/>
      <c r="H374" s="2"/>
      <c r="I374" s="13"/>
      <c r="J374" s="13"/>
      <c r="K374" s="13"/>
      <c r="L374" s="14"/>
      <c r="M374" s="4"/>
      <c r="N374" s="2"/>
      <c r="O374" s="4"/>
      <c r="P374" s="2"/>
      <c r="Q374" s="2"/>
      <c r="R374" s="4"/>
      <c r="S374" s="2"/>
      <c r="T374" s="2"/>
      <c r="U374" s="1"/>
      <c r="V374" s="2"/>
      <c r="W374" s="2"/>
      <c r="X374" s="2"/>
      <c r="Y374" s="2"/>
      <c r="Z374" s="2"/>
    </row>
    <row r="375" spans="1:26" ht="15.75" customHeight="1" x14ac:dyDescent="0.2">
      <c r="A375" s="12"/>
      <c r="B375" s="10"/>
      <c r="C375" s="11"/>
      <c r="D375" s="13"/>
      <c r="E375" s="13"/>
      <c r="F375" s="13"/>
      <c r="G375" s="2"/>
      <c r="H375" s="2"/>
      <c r="I375" s="13"/>
      <c r="J375" s="13"/>
      <c r="K375" s="13"/>
      <c r="L375" s="14"/>
      <c r="M375" s="4"/>
      <c r="N375" s="2"/>
      <c r="O375" s="4"/>
      <c r="P375" s="2"/>
      <c r="Q375" s="2"/>
      <c r="R375" s="4"/>
      <c r="S375" s="2"/>
      <c r="T375" s="2"/>
      <c r="U375" s="1"/>
      <c r="V375" s="2"/>
      <c r="W375" s="2"/>
      <c r="X375" s="2"/>
      <c r="Y375" s="2"/>
      <c r="Z375" s="2"/>
    </row>
    <row r="376" spans="1:26" ht="15.75" customHeight="1" x14ac:dyDescent="0.2">
      <c r="A376" s="12"/>
      <c r="B376" s="10"/>
      <c r="C376" s="11"/>
      <c r="D376" s="13"/>
      <c r="E376" s="13"/>
      <c r="F376" s="13"/>
      <c r="G376" s="2"/>
      <c r="H376" s="2"/>
      <c r="I376" s="13"/>
      <c r="J376" s="13"/>
      <c r="K376" s="13"/>
      <c r="L376" s="14"/>
      <c r="M376" s="4"/>
      <c r="N376" s="2"/>
      <c r="O376" s="4"/>
      <c r="P376" s="2"/>
      <c r="Q376" s="2"/>
      <c r="R376" s="4"/>
      <c r="S376" s="2"/>
      <c r="T376" s="2"/>
      <c r="U376" s="1"/>
      <c r="V376" s="2"/>
      <c r="W376" s="2"/>
      <c r="X376" s="2"/>
      <c r="Y376" s="2"/>
      <c r="Z376" s="2"/>
    </row>
    <row r="377" spans="1:26" ht="15.75" customHeight="1" x14ac:dyDescent="0.2">
      <c r="A377" s="12"/>
      <c r="B377" s="10"/>
      <c r="C377" s="11"/>
      <c r="D377" s="13"/>
      <c r="E377" s="13"/>
      <c r="F377" s="13"/>
      <c r="G377" s="2"/>
      <c r="H377" s="2"/>
      <c r="I377" s="13"/>
      <c r="J377" s="13"/>
      <c r="K377" s="13"/>
      <c r="L377" s="14"/>
      <c r="M377" s="4"/>
      <c r="N377" s="2"/>
      <c r="O377" s="4"/>
      <c r="P377" s="2"/>
      <c r="Q377" s="2"/>
      <c r="R377" s="4"/>
      <c r="S377" s="2"/>
      <c r="T377" s="2"/>
      <c r="U377" s="1"/>
      <c r="V377" s="2"/>
      <c r="W377" s="2"/>
      <c r="X377" s="2"/>
      <c r="Y377" s="2"/>
      <c r="Z377" s="2"/>
    </row>
    <row r="378" spans="1:26" ht="15.75" customHeight="1" x14ac:dyDescent="0.2">
      <c r="A378" s="12"/>
      <c r="B378" s="10"/>
      <c r="C378" s="11"/>
      <c r="D378" s="13"/>
      <c r="E378" s="13"/>
      <c r="F378" s="13"/>
      <c r="G378" s="2"/>
      <c r="H378" s="2"/>
      <c r="I378" s="13"/>
      <c r="J378" s="13"/>
      <c r="K378" s="13"/>
      <c r="L378" s="14"/>
      <c r="M378" s="4"/>
      <c r="N378" s="2"/>
      <c r="O378" s="4"/>
      <c r="P378" s="2"/>
      <c r="Q378" s="2"/>
      <c r="R378" s="4"/>
      <c r="S378" s="2"/>
      <c r="T378" s="2"/>
      <c r="U378" s="1"/>
      <c r="V378" s="2"/>
      <c r="W378" s="2"/>
      <c r="X378" s="2"/>
      <c r="Y378" s="2"/>
      <c r="Z378" s="2"/>
    </row>
    <row r="379" spans="1:26" ht="15.75" customHeight="1" x14ac:dyDescent="0.2">
      <c r="A379" s="12"/>
      <c r="B379" s="10"/>
      <c r="C379" s="11"/>
      <c r="D379" s="13"/>
      <c r="E379" s="13"/>
      <c r="F379" s="13"/>
      <c r="G379" s="2"/>
      <c r="H379" s="2"/>
      <c r="I379" s="13"/>
      <c r="J379" s="13"/>
      <c r="K379" s="13"/>
      <c r="L379" s="14"/>
      <c r="M379" s="4"/>
      <c r="N379" s="2"/>
      <c r="O379" s="4"/>
      <c r="P379" s="2"/>
      <c r="Q379" s="2"/>
      <c r="R379" s="4"/>
      <c r="S379" s="2"/>
      <c r="T379" s="2"/>
      <c r="U379" s="1"/>
      <c r="V379" s="2"/>
      <c r="W379" s="2"/>
      <c r="X379" s="2"/>
      <c r="Y379" s="2"/>
      <c r="Z379" s="2"/>
    </row>
    <row r="380" spans="1:26" ht="15.75" customHeight="1" x14ac:dyDescent="0.2">
      <c r="A380" s="12"/>
      <c r="B380" s="10"/>
      <c r="C380" s="11"/>
      <c r="D380" s="13"/>
      <c r="E380" s="13"/>
      <c r="F380" s="13"/>
      <c r="G380" s="2"/>
      <c r="H380" s="2"/>
      <c r="I380" s="13"/>
      <c r="J380" s="13"/>
      <c r="K380" s="13"/>
      <c r="L380" s="14"/>
      <c r="M380" s="4"/>
      <c r="N380" s="2"/>
      <c r="O380" s="4"/>
      <c r="P380" s="2"/>
      <c r="Q380" s="2"/>
      <c r="R380" s="4"/>
      <c r="S380" s="2"/>
      <c r="T380" s="2"/>
      <c r="U380" s="1"/>
      <c r="V380" s="2"/>
      <c r="W380" s="2"/>
      <c r="X380" s="2"/>
      <c r="Y380" s="2"/>
      <c r="Z380" s="2"/>
    </row>
    <row r="381" spans="1:26" ht="15.75" customHeight="1" x14ac:dyDescent="0.2">
      <c r="A381" s="12"/>
      <c r="B381" s="10"/>
      <c r="C381" s="11"/>
      <c r="D381" s="13"/>
      <c r="E381" s="13"/>
      <c r="F381" s="13"/>
      <c r="G381" s="2"/>
      <c r="H381" s="2"/>
      <c r="I381" s="13"/>
      <c r="J381" s="13"/>
      <c r="K381" s="13"/>
      <c r="L381" s="14"/>
      <c r="M381" s="4"/>
      <c r="N381" s="2"/>
      <c r="O381" s="4"/>
      <c r="P381" s="2"/>
      <c r="Q381" s="2"/>
      <c r="R381" s="4"/>
      <c r="S381" s="2"/>
      <c r="T381" s="2"/>
      <c r="U381" s="1"/>
      <c r="V381" s="2"/>
      <c r="W381" s="2"/>
      <c r="X381" s="2"/>
      <c r="Y381" s="2"/>
      <c r="Z381" s="2"/>
    </row>
    <row r="382" spans="1:26" ht="15.75" customHeight="1" x14ac:dyDescent="0.2">
      <c r="A382" s="12"/>
      <c r="B382" s="10"/>
      <c r="C382" s="11"/>
      <c r="D382" s="13"/>
      <c r="E382" s="13"/>
      <c r="F382" s="13"/>
      <c r="G382" s="2"/>
      <c r="H382" s="2"/>
      <c r="I382" s="13"/>
      <c r="J382" s="13"/>
      <c r="K382" s="13"/>
      <c r="L382" s="14"/>
      <c r="M382" s="4"/>
      <c r="N382" s="2"/>
      <c r="O382" s="4"/>
      <c r="P382" s="2"/>
      <c r="Q382" s="2"/>
      <c r="R382" s="4"/>
      <c r="S382" s="2"/>
      <c r="T382" s="2"/>
      <c r="U382" s="1"/>
      <c r="V382" s="2"/>
      <c r="W382" s="2"/>
      <c r="X382" s="2"/>
      <c r="Y382" s="2"/>
      <c r="Z382" s="2"/>
    </row>
    <row r="383" spans="1:26" ht="15.75" customHeight="1" x14ac:dyDescent="0.2">
      <c r="A383" s="12"/>
      <c r="B383" s="10"/>
      <c r="C383" s="11"/>
      <c r="D383" s="13"/>
      <c r="E383" s="13"/>
      <c r="F383" s="13"/>
      <c r="G383" s="2"/>
      <c r="H383" s="2"/>
      <c r="I383" s="13"/>
      <c r="J383" s="13"/>
      <c r="K383" s="13"/>
      <c r="L383" s="14"/>
      <c r="M383" s="4"/>
      <c r="N383" s="2"/>
      <c r="O383" s="4"/>
      <c r="P383" s="2"/>
      <c r="Q383" s="2"/>
      <c r="R383" s="4"/>
      <c r="S383" s="2"/>
      <c r="T383" s="2"/>
      <c r="U383" s="1"/>
      <c r="V383" s="2"/>
      <c r="W383" s="2"/>
      <c r="X383" s="2"/>
      <c r="Y383" s="2"/>
      <c r="Z383" s="2"/>
    </row>
    <row r="384" spans="1:26" ht="15.75" customHeight="1" x14ac:dyDescent="0.2">
      <c r="A384" s="12"/>
      <c r="B384" s="10"/>
      <c r="C384" s="11"/>
      <c r="D384" s="13"/>
      <c r="E384" s="13"/>
      <c r="F384" s="13"/>
      <c r="G384" s="2"/>
      <c r="H384" s="2"/>
      <c r="I384" s="13"/>
      <c r="J384" s="13"/>
      <c r="K384" s="13"/>
      <c r="L384" s="14"/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A385" s="12"/>
      <c r="B385" s="10"/>
      <c r="C385" s="11"/>
      <c r="D385" s="13"/>
      <c r="E385" s="13"/>
      <c r="F385" s="13"/>
      <c r="G385" s="2"/>
      <c r="H385" s="2"/>
      <c r="I385" s="13"/>
      <c r="J385" s="13"/>
      <c r="K385" s="13"/>
      <c r="L385" s="14"/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12"/>
      <c r="B386" s="10"/>
      <c r="C386" s="11"/>
      <c r="D386" s="13"/>
      <c r="E386" s="13"/>
      <c r="F386" s="13"/>
      <c r="G386" s="2"/>
      <c r="H386" s="2"/>
      <c r="I386" s="13"/>
      <c r="J386" s="13"/>
      <c r="K386" s="13"/>
      <c r="L386" s="14"/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A387" s="12"/>
      <c r="B387" s="10"/>
      <c r="C387" s="11"/>
      <c r="D387" s="13"/>
      <c r="E387" s="13"/>
      <c r="F387" s="13"/>
      <c r="G387" s="2"/>
      <c r="H387" s="2"/>
      <c r="I387" s="13"/>
      <c r="J387" s="13"/>
      <c r="K387" s="13"/>
      <c r="L387" s="14"/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A388" s="12"/>
      <c r="B388" s="10"/>
      <c r="C388" s="11"/>
      <c r="D388" s="13"/>
      <c r="E388" s="13"/>
      <c r="F388" s="13"/>
      <c r="G388" s="2"/>
      <c r="H388" s="2"/>
      <c r="I388" s="13"/>
      <c r="J388" s="13"/>
      <c r="K388" s="13"/>
      <c r="L388" s="14"/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A389" s="12"/>
      <c r="B389" s="10"/>
      <c r="C389" s="11"/>
      <c r="D389" s="13"/>
      <c r="E389" s="13"/>
      <c r="F389" s="13"/>
      <c r="G389" s="2"/>
      <c r="H389" s="2"/>
      <c r="I389" s="13"/>
      <c r="J389" s="13"/>
      <c r="K389" s="13"/>
      <c r="L389" s="14"/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A390" s="12"/>
      <c r="B390" s="10"/>
      <c r="C390" s="11"/>
      <c r="D390" s="13"/>
      <c r="E390" s="13"/>
      <c r="F390" s="13"/>
      <c r="G390" s="2"/>
      <c r="H390" s="2"/>
      <c r="I390" s="13"/>
      <c r="J390" s="13"/>
      <c r="K390" s="13"/>
      <c r="L390" s="14"/>
      <c r="M390" s="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2"/>
      <c r="B391" s="10"/>
      <c r="C391" s="11"/>
      <c r="D391" s="13"/>
      <c r="E391" s="13"/>
      <c r="F391" s="13"/>
      <c r="G391" s="2"/>
      <c r="H391" s="2"/>
      <c r="I391" s="13"/>
      <c r="J391" s="13"/>
      <c r="K391" s="13"/>
      <c r="L391" s="14"/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A392" s="12"/>
      <c r="B392" s="10"/>
      <c r="C392" s="11"/>
      <c r="D392" s="13"/>
      <c r="E392" s="13"/>
      <c r="F392" s="13"/>
      <c r="G392" s="2"/>
      <c r="H392" s="2"/>
      <c r="I392" s="13"/>
      <c r="J392" s="13"/>
      <c r="K392" s="13"/>
      <c r="L392" s="14"/>
      <c r="M392" s="4"/>
      <c r="N392" s="2"/>
      <c r="O392" s="4"/>
      <c r="P392" s="2"/>
      <c r="Q392" s="2"/>
      <c r="R392" s="4"/>
      <c r="S392" s="2"/>
      <c r="T392" s="2"/>
      <c r="U392" s="1"/>
      <c r="V392" s="2"/>
      <c r="W392" s="2"/>
      <c r="X392" s="2"/>
      <c r="Y392" s="2"/>
      <c r="Z392" s="2"/>
    </row>
    <row r="393" spans="1:26" ht="15.75" customHeight="1" x14ac:dyDescent="0.2">
      <c r="A393" s="12"/>
      <c r="B393" s="10"/>
      <c r="C393" s="11"/>
      <c r="D393" s="13"/>
      <c r="E393" s="13"/>
      <c r="F393" s="13"/>
      <c r="G393" s="2"/>
      <c r="H393" s="2"/>
      <c r="I393" s="13"/>
      <c r="J393" s="13"/>
      <c r="K393" s="13"/>
      <c r="L393" s="14"/>
      <c r="M393" s="4"/>
      <c r="N393" s="2"/>
      <c r="O393" s="4"/>
      <c r="P393" s="2"/>
      <c r="Q393" s="2"/>
      <c r="R393" s="4"/>
      <c r="S393" s="2"/>
      <c r="T393" s="2"/>
      <c r="U393" s="1"/>
      <c r="V393" s="2"/>
      <c r="W393" s="2"/>
      <c r="X393" s="2"/>
      <c r="Y393" s="2"/>
      <c r="Z393" s="2"/>
    </row>
    <row r="394" spans="1:26" ht="15.75" customHeight="1" x14ac:dyDescent="0.2">
      <c r="A394" s="12"/>
      <c r="B394" s="10"/>
      <c r="C394" s="11"/>
      <c r="D394" s="13"/>
      <c r="E394" s="13"/>
      <c r="F394" s="13"/>
      <c r="G394" s="2"/>
      <c r="H394" s="2"/>
      <c r="I394" s="13"/>
      <c r="J394" s="13"/>
      <c r="K394" s="13"/>
      <c r="L394" s="14"/>
      <c r="M394" s="4"/>
      <c r="N394" s="2"/>
      <c r="O394" s="4"/>
      <c r="P394" s="2"/>
      <c r="Q394" s="2"/>
      <c r="R394" s="4"/>
      <c r="S394" s="2"/>
      <c r="T394" s="2"/>
      <c r="U394" s="1"/>
      <c r="V394" s="2"/>
      <c r="W394" s="2"/>
      <c r="X394" s="2"/>
      <c r="Y394" s="2"/>
      <c r="Z394" s="2"/>
    </row>
    <row r="395" spans="1:26" ht="15.75" customHeight="1" x14ac:dyDescent="0.2">
      <c r="A395" s="12"/>
      <c r="B395" s="10"/>
      <c r="C395" s="11"/>
      <c r="D395" s="13"/>
      <c r="E395" s="13"/>
      <c r="F395" s="13"/>
      <c r="G395" s="2"/>
      <c r="H395" s="2"/>
      <c r="I395" s="13"/>
      <c r="J395" s="13"/>
      <c r="K395" s="13"/>
      <c r="L395" s="14"/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A396" s="12"/>
      <c r="B396" s="10"/>
      <c r="C396" s="11"/>
      <c r="D396" s="13"/>
      <c r="E396" s="13"/>
      <c r="F396" s="13"/>
      <c r="G396" s="2"/>
      <c r="H396" s="2"/>
      <c r="I396" s="13"/>
      <c r="J396" s="13"/>
      <c r="K396" s="13"/>
      <c r="L396" s="14"/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12"/>
      <c r="B397" s="10"/>
      <c r="C397" s="11"/>
      <c r="D397" s="13"/>
      <c r="E397" s="13"/>
      <c r="F397" s="13"/>
      <c r="G397" s="2"/>
      <c r="H397" s="2"/>
      <c r="I397" s="13"/>
      <c r="J397" s="13"/>
      <c r="K397" s="13"/>
      <c r="L397" s="14"/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2"/>
      <c r="B398" s="10"/>
      <c r="C398" s="11"/>
      <c r="D398" s="13"/>
      <c r="E398" s="13"/>
      <c r="F398" s="13"/>
      <c r="G398" s="2"/>
      <c r="H398" s="2"/>
      <c r="I398" s="13"/>
      <c r="J398" s="13"/>
      <c r="K398" s="13"/>
      <c r="L398" s="14"/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2"/>
      <c r="B399" s="10"/>
      <c r="C399" s="11"/>
      <c r="D399" s="13"/>
      <c r="E399" s="13"/>
      <c r="F399" s="13"/>
      <c r="G399" s="2"/>
      <c r="H399" s="2"/>
      <c r="I399" s="13"/>
      <c r="J399" s="13"/>
      <c r="K399" s="13"/>
      <c r="L399" s="14"/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2"/>
      <c r="B400" s="10"/>
      <c r="C400" s="11"/>
      <c r="D400" s="13"/>
      <c r="E400" s="13"/>
      <c r="F400" s="13"/>
      <c r="G400" s="2"/>
      <c r="H400" s="2"/>
      <c r="I400" s="13"/>
      <c r="J400" s="13"/>
      <c r="K400" s="13"/>
      <c r="L400" s="14"/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2"/>
      <c r="B401" s="10"/>
      <c r="C401" s="11"/>
      <c r="D401" s="13"/>
      <c r="E401" s="13"/>
      <c r="F401" s="13"/>
      <c r="G401" s="2"/>
      <c r="H401" s="2"/>
      <c r="I401" s="13"/>
      <c r="J401" s="13"/>
      <c r="K401" s="13"/>
      <c r="L401" s="14"/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A402" s="12"/>
      <c r="B402" s="10"/>
      <c r="C402" s="11"/>
      <c r="D402" s="13"/>
      <c r="E402" s="13"/>
      <c r="F402" s="13"/>
      <c r="G402" s="2"/>
      <c r="H402" s="2"/>
      <c r="I402" s="13"/>
      <c r="J402" s="13"/>
      <c r="K402" s="13"/>
      <c r="L402" s="14"/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A403" s="12"/>
      <c r="B403" s="10"/>
      <c r="C403" s="11"/>
      <c r="D403" s="13"/>
      <c r="E403" s="13"/>
      <c r="F403" s="13"/>
      <c r="G403" s="2"/>
      <c r="H403" s="2"/>
      <c r="I403" s="13"/>
      <c r="J403" s="13"/>
      <c r="K403" s="13"/>
      <c r="L403" s="14"/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A404" s="12"/>
      <c r="B404" s="10"/>
      <c r="C404" s="11"/>
      <c r="D404" s="13"/>
      <c r="E404" s="13"/>
      <c r="F404" s="13"/>
      <c r="G404" s="2"/>
      <c r="H404" s="2"/>
      <c r="I404" s="13"/>
      <c r="J404" s="13"/>
      <c r="K404" s="13"/>
      <c r="L404" s="14"/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A405" s="12"/>
      <c r="B405" s="10"/>
      <c r="C405" s="11"/>
      <c r="D405" s="13"/>
      <c r="E405" s="13"/>
      <c r="F405" s="13"/>
      <c r="G405" s="2"/>
      <c r="H405" s="2"/>
      <c r="I405" s="13"/>
      <c r="J405" s="13"/>
      <c r="K405" s="13"/>
      <c r="L405" s="14"/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2"/>
      <c r="B406" s="10"/>
      <c r="C406" s="11"/>
      <c r="D406" s="13"/>
      <c r="E406" s="13"/>
      <c r="F406" s="13"/>
      <c r="G406" s="2"/>
      <c r="H406" s="2"/>
      <c r="I406" s="13"/>
      <c r="J406" s="13"/>
      <c r="K406" s="13"/>
      <c r="L406" s="14"/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A407" s="12"/>
      <c r="B407" s="10"/>
      <c r="C407" s="11"/>
      <c r="D407" s="13"/>
      <c r="E407" s="13"/>
      <c r="F407" s="13"/>
      <c r="G407" s="2"/>
      <c r="H407" s="2"/>
      <c r="I407" s="13"/>
      <c r="J407" s="13"/>
      <c r="K407" s="13"/>
      <c r="L407" s="14"/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2"/>
      <c r="B408" s="10"/>
      <c r="C408" s="11"/>
      <c r="D408" s="13"/>
      <c r="E408" s="13"/>
      <c r="F408" s="13"/>
      <c r="G408" s="2"/>
      <c r="H408" s="2"/>
      <c r="I408" s="13"/>
      <c r="J408" s="13"/>
      <c r="K408" s="13"/>
      <c r="L408" s="14"/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2"/>
      <c r="B409" s="10"/>
      <c r="C409" s="11"/>
      <c r="D409" s="13"/>
      <c r="E409" s="13"/>
      <c r="F409" s="13"/>
      <c r="G409" s="2"/>
      <c r="H409" s="2"/>
      <c r="I409" s="13"/>
      <c r="J409" s="13"/>
      <c r="K409" s="13"/>
      <c r="L409" s="14"/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2"/>
      <c r="B410" s="10"/>
      <c r="C410" s="11"/>
      <c r="D410" s="13"/>
      <c r="E410" s="13"/>
      <c r="F410" s="13"/>
      <c r="G410" s="2"/>
      <c r="H410" s="2"/>
      <c r="I410" s="13"/>
      <c r="J410" s="13"/>
      <c r="K410" s="13"/>
      <c r="L410" s="14"/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/>
      <c r="B411" s="10"/>
      <c r="C411" s="11"/>
      <c r="D411" s="13"/>
      <c r="E411" s="13"/>
      <c r="F411" s="13"/>
      <c r="G411" s="2"/>
      <c r="H411" s="2"/>
      <c r="I411" s="13"/>
      <c r="J411" s="13"/>
      <c r="K411" s="13"/>
      <c r="L411" s="14"/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/>
      <c r="B412" s="10"/>
      <c r="C412" s="11"/>
      <c r="D412" s="13"/>
      <c r="E412" s="13"/>
      <c r="F412" s="13"/>
      <c r="G412" s="2"/>
      <c r="H412" s="2"/>
      <c r="I412" s="13"/>
      <c r="J412" s="13"/>
      <c r="K412" s="13"/>
      <c r="L412" s="14"/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/>
      <c r="B413" s="10"/>
      <c r="C413" s="11"/>
      <c r="D413" s="13"/>
      <c r="E413" s="13"/>
      <c r="F413" s="13"/>
      <c r="G413" s="2"/>
      <c r="H413" s="2"/>
      <c r="I413" s="13"/>
      <c r="J413" s="13"/>
      <c r="K413" s="13"/>
      <c r="L413" s="14"/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/>
      <c r="B414" s="10"/>
      <c r="C414" s="11"/>
      <c r="D414" s="13"/>
      <c r="E414" s="13"/>
      <c r="F414" s="13"/>
      <c r="G414" s="2"/>
      <c r="H414" s="2"/>
      <c r="I414" s="13"/>
      <c r="J414" s="13"/>
      <c r="K414" s="13"/>
      <c r="L414" s="14"/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A415" s="12"/>
      <c r="B415" s="10"/>
      <c r="C415" s="11"/>
      <c r="D415" s="13"/>
      <c r="E415" s="13"/>
      <c r="F415" s="13"/>
      <c r="G415" s="2"/>
      <c r="H415" s="2"/>
      <c r="I415" s="13"/>
      <c r="J415" s="13"/>
      <c r="K415" s="13"/>
      <c r="L415" s="14"/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A416" s="12"/>
      <c r="B416" s="10"/>
      <c r="C416" s="11"/>
      <c r="D416" s="13"/>
      <c r="E416" s="13"/>
      <c r="F416" s="13"/>
      <c r="G416" s="2"/>
      <c r="H416" s="2"/>
      <c r="I416" s="13"/>
      <c r="J416" s="13"/>
      <c r="K416" s="13"/>
      <c r="L416" s="14"/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A417" s="12"/>
      <c r="B417" s="10"/>
      <c r="C417" s="11"/>
      <c r="D417" s="13"/>
      <c r="E417" s="13"/>
      <c r="F417" s="13"/>
      <c r="G417" s="2"/>
      <c r="H417" s="2"/>
      <c r="I417" s="13"/>
      <c r="J417" s="13"/>
      <c r="K417" s="13"/>
      <c r="L417" s="14"/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A418" s="12"/>
      <c r="B418" s="10"/>
      <c r="C418" s="11"/>
      <c r="D418" s="13"/>
      <c r="E418" s="13"/>
      <c r="F418" s="13"/>
      <c r="G418" s="2"/>
      <c r="H418" s="2"/>
      <c r="I418" s="13"/>
      <c r="J418" s="13"/>
      <c r="K418" s="13"/>
      <c r="L418" s="14"/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2"/>
      <c r="B419" s="10"/>
      <c r="C419" s="11"/>
      <c r="D419" s="13"/>
      <c r="E419" s="13"/>
      <c r="F419" s="13"/>
      <c r="G419" s="2"/>
      <c r="H419" s="2"/>
      <c r="I419" s="13"/>
      <c r="J419" s="13"/>
      <c r="K419" s="13"/>
      <c r="L419" s="14"/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12"/>
      <c r="B420" s="10"/>
      <c r="C420" s="11"/>
      <c r="D420" s="13"/>
      <c r="E420" s="13"/>
      <c r="F420" s="13"/>
      <c r="G420" s="2"/>
      <c r="H420" s="2"/>
      <c r="I420" s="13"/>
      <c r="J420" s="13"/>
      <c r="K420" s="13"/>
      <c r="L420" s="14"/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/>
      <c r="B421" s="10"/>
      <c r="C421" s="11"/>
      <c r="D421" s="13"/>
      <c r="E421" s="13"/>
      <c r="F421" s="13"/>
      <c r="G421" s="2"/>
      <c r="H421" s="2"/>
      <c r="I421" s="13"/>
      <c r="J421" s="13"/>
      <c r="K421" s="13"/>
      <c r="L421" s="14"/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2"/>
      <c r="B422" s="10"/>
      <c r="C422" s="11"/>
      <c r="D422" s="13"/>
      <c r="E422" s="13"/>
      <c r="F422" s="13"/>
      <c r="G422" s="2"/>
      <c r="H422" s="2"/>
      <c r="I422" s="13"/>
      <c r="J422" s="13"/>
      <c r="K422" s="13"/>
      <c r="L422" s="14"/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2"/>
      <c r="B423" s="10"/>
      <c r="C423" s="11"/>
      <c r="D423" s="13"/>
      <c r="E423" s="13"/>
      <c r="F423" s="13"/>
      <c r="G423" s="2"/>
      <c r="H423" s="2"/>
      <c r="I423" s="13"/>
      <c r="J423" s="13"/>
      <c r="K423" s="13"/>
      <c r="L423" s="14"/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2"/>
      <c r="B424" s="10"/>
      <c r="C424" s="11"/>
      <c r="D424" s="13"/>
      <c r="E424" s="13"/>
      <c r="F424" s="13"/>
      <c r="G424" s="2"/>
      <c r="H424" s="2"/>
      <c r="I424" s="13"/>
      <c r="J424" s="13"/>
      <c r="K424" s="13"/>
      <c r="L424" s="14"/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2"/>
      <c r="B425" s="10"/>
      <c r="C425" s="11"/>
      <c r="D425" s="13"/>
      <c r="E425" s="13"/>
      <c r="F425" s="13"/>
      <c r="G425" s="2"/>
      <c r="H425" s="2"/>
      <c r="I425" s="13"/>
      <c r="J425" s="13"/>
      <c r="K425" s="13"/>
      <c r="L425" s="14"/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2"/>
      <c r="B426" s="10"/>
      <c r="C426" s="11"/>
      <c r="D426" s="13"/>
      <c r="E426" s="13"/>
      <c r="F426" s="13"/>
      <c r="G426" s="2"/>
      <c r="H426" s="2"/>
      <c r="I426" s="13"/>
      <c r="J426" s="13"/>
      <c r="K426" s="13"/>
      <c r="L426" s="14"/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2"/>
      <c r="B427" s="10"/>
      <c r="C427" s="11"/>
      <c r="D427" s="13"/>
      <c r="E427" s="13"/>
      <c r="F427" s="13"/>
      <c r="G427" s="2"/>
      <c r="H427" s="2"/>
      <c r="I427" s="13"/>
      <c r="J427" s="13"/>
      <c r="K427" s="13"/>
      <c r="L427" s="14"/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/>
      <c r="B428" s="10"/>
      <c r="C428" s="11"/>
      <c r="D428" s="13"/>
      <c r="E428" s="13"/>
      <c r="F428" s="13"/>
      <c r="G428" s="2"/>
      <c r="H428" s="2"/>
      <c r="I428" s="13"/>
      <c r="J428" s="13"/>
      <c r="K428" s="13"/>
      <c r="L428" s="14"/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/>
      <c r="B429" s="10"/>
      <c r="C429" s="11"/>
      <c r="D429" s="13"/>
      <c r="E429" s="13"/>
      <c r="F429" s="13"/>
      <c r="G429" s="2"/>
      <c r="H429" s="2"/>
      <c r="I429" s="13"/>
      <c r="J429" s="13"/>
      <c r="K429" s="13"/>
      <c r="L429" s="14"/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/>
      <c r="B430" s="10"/>
      <c r="C430" s="11"/>
      <c r="D430" s="13"/>
      <c r="E430" s="13"/>
      <c r="F430" s="13"/>
      <c r="G430" s="2"/>
      <c r="H430" s="2"/>
      <c r="I430" s="13"/>
      <c r="J430" s="13"/>
      <c r="K430" s="13"/>
      <c r="L430" s="14"/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/>
      <c r="B431" s="10"/>
      <c r="C431" s="11"/>
      <c r="D431" s="13"/>
      <c r="E431" s="13"/>
      <c r="F431" s="13"/>
      <c r="G431" s="2"/>
      <c r="H431" s="2"/>
      <c r="I431" s="13"/>
      <c r="J431" s="13"/>
      <c r="K431" s="13"/>
      <c r="L431" s="14"/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/>
      <c r="B432" s="10"/>
      <c r="C432" s="11"/>
      <c r="D432" s="13"/>
      <c r="E432" s="13"/>
      <c r="F432" s="13"/>
      <c r="G432" s="2"/>
      <c r="H432" s="2"/>
      <c r="I432" s="13"/>
      <c r="J432" s="13"/>
      <c r="K432" s="13"/>
      <c r="L432" s="14"/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/>
      <c r="B433" s="10"/>
      <c r="C433" s="11"/>
      <c r="D433" s="13"/>
      <c r="E433" s="13"/>
      <c r="F433" s="13"/>
      <c r="G433" s="2"/>
      <c r="H433" s="2"/>
      <c r="I433" s="13"/>
      <c r="J433" s="13"/>
      <c r="K433" s="13"/>
      <c r="L433" s="14"/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2"/>
      <c r="B434" s="10"/>
      <c r="C434" s="11"/>
      <c r="D434" s="13"/>
      <c r="E434" s="13"/>
      <c r="F434" s="13"/>
      <c r="G434" s="2"/>
      <c r="H434" s="2"/>
      <c r="I434" s="13"/>
      <c r="J434" s="13"/>
      <c r="K434" s="13"/>
      <c r="L434" s="14"/>
      <c r="M434" s="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2"/>
      <c r="B435" s="10"/>
      <c r="C435" s="11"/>
      <c r="D435" s="13"/>
      <c r="E435" s="13"/>
      <c r="F435" s="13"/>
      <c r="G435" s="2"/>
      <c r="H435" s="2"/>
      <c r="I435" s="13"/>
      <c r="J435" s="13"/>
      <c r="K435" s="13"/>
      <c r="L435" s="14"/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2"/>
      <c r="B436" s="10"/>
      <c r="C436" s="11"/>
      <c r="D436" s="13"/>
      <c r="E436" s="13"/>
      <c r="F436" s="13"/>
      <c r="G436" s="2"/>
      <c r="H436" s="2"/>
      <c r="I436" s="13"/>
      <c r="J436" s="13"/>
      <c r="K436" s="13"/>
      <c r="L436" s="14"/>
      <c r="M436" s="4"/>
      <c r="N436" s="2"/>
      <c r="O436" s="4"/>
      <c r="P436" s="2"/>
      <c r="Q436" s="2"/>
      <c r="R436" s="4"/>
      <c r="S436" s="2"/>
      <c r="T436" s="2"/>
      <c r="U436" s="1"/>
      <c r="V436" s="2"/>
      <c r="W436" s="2"/>
      <c r="X436" s="2"/>
      <c r="Y436" s="2"/>
      <c r="Z436" s="2"/>
    </row>
    <row r="437" spans="1:26" ht="15.75" customHeight="1" x14ac:dyDescent="0.2">
      <c r="A437" s="12"/>
      <c r="B437" s="10"/>
      <c r="C437" s="11"/>
      <c r="D437" s="13"/>
      <c r="E437" s="13"/>
      <c r="F437" s="13"/>
      <c r="G437" s="2"/>
      <c r="H437" s="2"/>
      <c r="I437" s="13"/>
      <c r="J437" s="13"/>
      <c r="K437" s="13"/>
      <c r="L437" s="14"/>
      <c r="M437" s="4"/>
      <c r="N437" s="2"/>
      <c r="O437" s="4"/>
      <c r="P437" s="2"/>
      <c r="Q437" s="2"/>
      <c r="R437" s="4"/>
      <c r="S437" s="2"/>
      <c r="T437" s="2"/>
      <c r="U437" s="1"/>
      <c r="V437" s="2"/>
      <c r="W437" s="2"/>
      <c r="X437" s="2"/>
      <c r="Y437" s="2"/>
      <c r="Z437" s="2"/>
    </row>
    <row r="438" spans="1:26" ht="15.75" customHeight="1" x14ac:dyDescent="0.2">
      <c r="A438" s="12"/>
      <c r="B438" s="10"/>
      <c r="C438" s="11"/>
      <c r="D438" s="13"/>
      <c r="E438" s="13"/>
      <c r="F438" s="13"/>
      <c r="G438" s="2"/>
      <c r="H438" s="2"/>
      <c r="I438" s="13"/>
      <c r="J438" s="13"/>
      <c r="K438" s="13"/>
      <c r="L438" s="14"/>
      <c r="M438" s="4"/>
      <c r="N438" s="2"/>
      <c r="O438" s="4"/>
      <c r="P438" s="2"/>
      <c r="Q438" s="2"/>
      <c r="R438" s="4"/>
      <c r="S438" s="2"/>
      <c r="T438" s="2"/>
      <c r="U438" s="1"/>
      <c r="V438" s="2"/>
      <c r="W438" s="2"/>
      <c r="X438" s="2"/>
      <c r="Y438" s="2"/>
      <c r="Z438" s="2"/>
    </row>
    <row r="439" spans="1:26" ht="15.75" customHeight="1" x14ac:dyDescent="0.2">
      <c r="A439" s="12"/>
      <c r="B439" s="10"/>
      <c r="C439" s="11"/>
      <c r="D439" s="13"/>
      <c r="E439" s="13"/>
      <c r="F439" s="13"/>
      <c r="G439" s="2"/>
      <c r="H439" s="2"/>
      <c r="I439" s="13"/>
      <c r="J439" s="13"/>
      <c r="K439" s="13"/>
      <c r="L439" s="14"/>
      <c r="M439" s="4"/>
      <c r="N439" s="2"/>
      <c r="O439" s="4"/>
      <c r="P439" s="2"/>
      <c r="Q439" s="2"/>
      <c r="R439" s="4"/>
      <c r="S439" s="2"/>
      <c r="T439" s="2"/>
      <c r="U439" s="1"/>
      <c r="V439" s="2"/>
      <c r="W439" s="2"/>
      <c r="X439" s="2"/>
      <c r="Y439" s="2"/>
      <c r="Z439" s="2"/>
    </row>
    <row r="440" spans="1:26" ht="15.75" customHeight="1" x14ac:dyDescent="0.2">
      <c r="A440" s="12"/>
      <c r="B440" s="10"/>
      <c r="C440" s="11"/>
      <c r="D440" s="13"/>
      <c r="E440" s="13"/>
      <c r="F440" s="13"/>
      <c r="G440" s="2"/>
      <c r="H440" s="2"/>
      <c r="I440" s="13"/>
      <c r="J440" s="13"/>
      <c r="K440" s="13"/>
      <c r="L440" s="14"/>
      <c r="M440" s="4"/>
      <c r="N440" s="2"/>
      <c r="O440" s="4"/>
      <c r="P440" s="2"/>
      <c r="Q440" s="2"/>
      <c r="R440" s="4"/>
      <c r="S440" s="2"/>
      <c r="T440" s="2"/>
      <c r="U440" s="1"/>
      <c r="V440" s="2"/>
      <c r="W440" s="2"/>
      <c r="X440" s="2"/>
      <c r="Y440" s="2"/>
      <c r="Z440" s="2"/>
    </row>
    <row r="441" spans="1:26" ht="15.75" customHeight="1" x14ac:dyDescent="0.2">
      <c r="A441" s="12"/>
      <c r="B441" s="10"/>
      <c r="C441" s="11"/>
      <c r="D441" s="13"/>
      <c r="E441" s="13"/>
      <c r="F441" s="13"/>
      <c r="G441" s="2"/>
      <c r="H441" s="2"/>
      <c r="I441" s="13"/>
      <c r="J441" s="13"/>
      <c r="K441" s="13"/>
      <c r="L441" s="14"/>
      <c r="M441" s="4"/>
      <c r="N441" s="2"/>
      <c r="O441" s="4"/>
      <c r="P441" s="2"/>
      <c r="Q441" s="2"/>
      <c r="R441" s="4"/>
      <c r="S441" s="2"/>
      <c r="T441" s="2"/>
      <c r="U441" s="1"/>
      <c r="V441" s="2"/>
      <c r="W441" s="2"/>
      <c r="X441" s="2"/>
      <c r="Y441" s="2"/>
      <c r="Z441" s="2"/>
    </row>
    <row r="442" spans="1:26" ht="15.75" customHeight="1" x14ac:dyDescent="0.2">
      <c r="A442" s="12"/>
      <c r="B442" s="10"/>
      <c r="C442" s="11"/>
      <c r="D442" s="13"/>
      <c r="E442" s="13"/>
      <c r="F442" s="13"/>
      <c r="G442" s="2"/>
      <c r="H442" s="2"/>
      <c r="I442" s="13"/>
      <c r="J442" s="13"/>
      <c r="K442" s="13"/>
      <c r="L442" s="14"/>
      <c r="M442" s="4"/>
      <c r="N442" s="2"/>
      <c r="O442" s="4"/>
      <c r="P442" s="2"/>
      <c r="Q442" s="2"/>
      <c r="R442" s="4"/>
      <c r="S442" s="2"/>
      <c r="T442" s="2"/>
      <c r="U442" s="1"/>
      <c r="V442" s="2"/>
      <c r="W442" s="2"/>
      <c r="X442" s="2"/>
      <c r="Y442" s="2"/>
      <c r="Z442" s="2"/>
    </row>
    <row r="443" spans="1:26" ht="15.75" customHeight="1" x14ac:dyDescent="0.2">
      <c r="A443" s="12"/>
      <c r="B443" s="10"/>
      <c r="C443" s="11"/>
      <c r="D443" s="13"/>
      <c r="E443" s="13"/>
      <c r="F443" s="13"/>
      <c r="G443" s="2"/>
      <c r="H443" s="2"/>
      <c r="I443" s="13"/>
      <c r="J443" s="13"/>
      <c r="K443" s="13"/>
      <c r="L443" s="14"/>
      <c r="M443" s="4"/>
      <c r="N443" s="2"/>
      <c r="O443" s="4"/>
      <c r="P443" s="2"/>
      <c r="Q443" s="2"/>
      <c r="R443" s="4"/>
      <c r="S443" s="2"/>
      <c r="T443" s="2"/>
      <c r="U443" s="1"/>
      <c r="V443" s="2"/>
      <c r="W443" s="2"/>
      <c r="X443" s="2"/>
      <c r="Y443" s="2"/>
      <c r="Z443" s="2"/>
    </row>
    <row r="444" spans="1:26" ht="15.75" customHeight="1" x14ac:dyDescent="0.2">
      <c r="A444" s="12"/>
      <c r="B444" s="10"/>
      <c r="C444" s="11"/>
      <c r="D444" s="13"/>
      <c r="E444" s="13"/>
      <c r="F444" s="13"/>
      <c r="G444" s="2"/>
      <c r="H444" s="2"/>
      <c r="I444" s="13"/>
      <c r="J444" s="13"/>
      <c r="K444" s="13"/>
      <c r="L444" s="14"/>
      <c r="M444" s="4"/>
      <c r="N444" s="2"/>
      <c r="O444" s="4"/>
      <c r="P444" s="2"/>
      <c r="Q444" s="2"/>
      <c r="R444" s="4"/>
      <c r="S444" s="2"/>
      <c r="T444" s="2"/>
      <c r="U444" s="1"/>
      <c r="V444" s="2"/>
      <c r="W444" s="2"/>
      <c r="X444" s="2"/>
      <c r="Y444" s="2"/>
      <c r="Z444" s="2"/>
    </row>
    <row r="445" spans="1:26" ht="15.75" customHeight="1" x14ac:dyDescent="0.2">
      <c r="A445" s="12"/>
      <c r="B445" s="10"/>
      <c r="C445" s="11"/>
      <c r="D445" s="13"/>
      <c r="E445" s="13"/>
      <c r="F445" s="13"/>
      <c r="G445" s="2"/>
      <c r="H445" s="2"/>
      <c r="I445" s="13"/>
      <c r="J445" s="13"/>
      <c r="K445" s="13"/>
      <c r="L445" s="14"/>
      <c r="M445" s="4"/>
      <c r="N445" s="2"/>
      <c r="O445" s="4"/>
      <c r="P445" s="2"/>
      <c r="Q445" s="2"/>
      <c r="R445" s="4"/>
      <c r="S445" s="2"/>
      <c r="T445" s="2"/>
      <c r="U445" s="1"/>
      <c r="V445" s="2"/>
      <c r="W445" s="2"/>
      <c r="X445" s="2"/>
      <c r="Y445" s="2"/>
      <c r="Z445" s="2"/>
    </row>
    <row r="446" spans="1:26" ht="15.75" customHeight="1" x14ac:dyDescent="0.2">
      <c r="A446" s="12"/>
      <c r="B446" s="10"/>
      <c r="C446" s="11"/>
      <c r="D446" s="13"/>
      <c r="E446" s="13"/>
      <c r="F446" s="13"/>
      <c r="G446" s="2"/>
      <c r="H446" s="2"/>
      <c r="I446" s="13"/>
      <c r="J446" s="13"/>
      <c r="K446" s="13"/>
      <c r="L446" s="14"/>
      <c r="M446" s="4"/>
      <c r="N446" s="2"/>
      <c r="O446" s="4"/>
      <c r="P446" s="2"/>
      <c r="Q446" s="2"/>
      <c r="R446" s="4"/>
      <c r="S446" s="2"/>
      <c r="T446" s="2"/>
      <c r="U446" s="1"/>
      <c r="V446" s="2"/>
      <c r="W446" s="2"/>
      <c r="X446" s="2"/>
      <c r="Y446" s="2"/>
      <c r="Z446" s="2"/>
    </row>
    <row r="447" spans="1:26" ht="15.75" customHeight="1" x14ac:dyDescent="0.2">
      <c r="A447" s="12"/>
      <c r="B447" s="10"/>
      <c r="C447" s="11"/>
      <c r="D447" s="13"/>
      <c r="E447" s="13"/>
      <c r="F447" s="13"/>
      <c r="G447" s="2"/>
      <c r="H447" s="2"/>
      <c r="I447" s="13"/>
      <c r="J447" s="13"/>
      <c r="K447" s="13"/>
      <c r="L447" s="14"/>
      <c r="M447" s="4"/>
      <c r="N447" s="2"/>
      <c r="O447" s="4"/>
      <c r="P447" s="2"/>
      <c r="Q447" s="2"/>
      <c r="R447" s="4"/>
      <c r="S447" s="2"/>
      <c r="T447" s="2"/>
      <c r="U447" s="1"/>
      <c r="V447" s="2"/>
      <c r="W447" s="2"/>
      <c r="X447" s="2"/>
      <c r="Y447" s="2"/>
      <c r="Z447" s="2"/>
    </row>
    <row r="448" spans="1:26" ht="15.75" customHeight="1" x14ac:dyDescent="0.2">
      <c r="A448" s="12"/>
      <c r="B448" s="10"/>
      <c r="C448" s="11"/>
      <c r="D448" s="13"/>
      <c r="E448" s="13"/>
      <c r="F448" s="13"/>
      <c r="G448" s="2"/>
      <c r="H448" s="2"/>
      <c r="I448" s="13"/>
      <c r="J448" s="13"/>
      <c r="K448" s="13"/>
      <c r="L448" s="14"/>
      <c r="M448" s="4"/>
      <c r="N448" s="2"/>
      <c r="O448" s="4"/>
      <c r="P448" s="2"/>
      <c r="Q448" s="2"/>
      <c r="R448" s="4"/>
      <c r="S448" s="2"/>
      <c r="T448" s="2"/>
      <c r="U448" s="1"/>
      <c r="V448" s="2"/>
      <c r="W448" s="2"/>
      <c r="X448" s="2"/>
      <c r="Y448" s="2"/>
      <c r="Z448" s="2"/>
    </row>
    <row r="449" spans="1:26" ht="15.75" customHeight="1" x14ac:dyDescent="0.2">
      <c r="A449" s="12"/>
      <c r="B449" s="10"/>
      <c r="C449" s="11"/>
      <c r="D449" s="13"/>
      <c r="E449" s="13"/>
      <c r="F449" s="13"/>
      <c r="G449" s="2"/>
      <c r="H449" s="2"/>
      <c r="I449" s="13"/>
      <c r="J449" s="13"/>
      <c r="K449" s="13"/>
      <c r="L449" s="14"/>
      <c r="M449" s="4"/>
      <c r="N449" s="2"/>
      <c r="O449" s="4"/>
      <c r="P449" s="2"/>
      <c r="Q449" s="2"/>
      <c r="R449" s="4"/>
      <c r="S449" s="2"/>
      <c r="T449" s="2"/>
      <c r="U449" s="1"/>
      <c r="V449" s="2"/>
      <c r="W449" s="2"/>
      <c r="X449" s="2"/>
      <c r="Y449" s="2"/>
      <c r="Z449" s="2"/>
    </row>
    <row r="450" spans="1:26" ht="15.75" customHeight="1" x14ac:dyDescent="0.2">
      <c r="A450" s="12"/>
      <c r="B450" s="10"/>
      <c r="C450" s="11"/>
      <c r="D450" s="13"/>
      <c r="E450" s="13"/>
      <c r="F450" s="13"/>
      <c r="G450" s="2"/>
      <c r="H450" s="2"/>
      <c r="I450" s="13"/>
      <c r="J450" s="13"/>
      <c r="K450" s="13"/>
      <c r="L450" s="14"/>
      <c r="M450" s="4"/>
      <c r="N450" s="2"/>
      <c r="O450" s="4"/>
      <c r="P450" s="2"/>
      <c r="Q450" s="2"/>
      <c r="R450" s="4"/>
      <c r="S450" s="2"/>
      <c r="T450" s="2"/>
      <c r="U450" s="1"/>
      <c r="V450" s="2"/>
      <c r="W450" s="2"/>
      <c r="X450" s="2"/>
      <c r="Y450" s="2"/>
      <c r="Z450" s="2"/>
    </row>
    <row r="451" spans="1:26" ht="15.75" customHeight="1" x14ac:dyDescent="0.2">
      <c r="A451" s="12"/>
      <c r="B451" s="10"/>
      <c r="C451" s="11"/>
      <c r="D451" s="13"/>
      <c r="E451" s="13"/>
      <c r="F451" s="13"/>
      <c r="G451" s="2"/>
      <c r="H451" s="2"/>
      <c r="I451" s="13"/>
      <c r="J451" s="13"/>
      <c r="K451" s="13"/>
      <c r="L451" s="1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A452" s="12"/>
      <c r="B452" s="10"/>
      <c r="C452" s="11"/>
      <c r="D452" s="13"/>
      <c r="E452" s="13"/>
      <c r="F452" s="13"/>
      <c r="G452" s="2"/>
      <c r="H452" s="2"/>
      <c r="I452" s="13"/>
      <c r="J452" s="13"/>
      <c r="K452" s="13"/>
      <c r="L452" s="14"/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12"/>
      <c r="B453" s="10"/>
      <c r="C453" s="11"/>
      <c r="D453" s="13"/>
      <c r="E453" s="13"/>
      <c r="F453" s="13"/>
      <c r="G453" s="2"/>
      <c r="H453" s="2"/>
      <c r="I453" s="13"/>
      <c r="J453" s="13"/>
      <c r="K453" s="13"/>
      <c r="L453" s="14"/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2"/>
      <c r="B454" s="10"/>
      <c r="C454" s="11"/>
      <c r="D454" s="13"/>
      <c r="E454" s="13"/>
      <c r="F454" s="13"/>
      <c r="G454" s="2"/>
      <c r="H454" s="2"/>
      <c r="I454" s="13"/>
      <c r="J454" s="13"/>
      <c r="K454" s="13"/>
      <c r="L454" s="14"/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2"/>
      <c r="B455" s="10"/>
      <c r="C455" s="11"/>
      <c r="D455" s="13"/>
      <c r="E455" s="13"/>
      <c r="F455" s="13"/>
      <c r="G455" s="2"/>
      <c r="H455" s="2"/>
      <c r="I455" s="13"/>
      <c r="J455" s="13"/>
      <c r="K455" s="13"/>
      <c r="L455" s="14"/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2"/>
      <c r="B456" s="10"/>
      <c r="C456" s="11"/>
      <c r="D456" s="13"/>
      <c r="E456" s="13"/>
      <c r="F456" s="13"/>
      <c r="G456" s="2"/>
      <c r="H456" s="2"/>
      <c r="I456" s="13"/>
      <c r="J456" s="13"/>
      <c r="K456" s="13"/>
      <c r="L456" s="14"/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2"/>
      <c r="B457" s="10"/>
      <c r="C457" s="11"/>
      <c r="D457" s="13"/>
      <c r="E457" s="13"/>
      <c r="F457" s="13"/>
      <c r="G457" s="2"/>
      <c r="H457" s="2"/>
      <c r="I457" s="13"/>
      <c r="J457" s="13"/>
      <c r="K457" s="13"/>
      <c r="L457" s="14"/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2"/>
      <c r="B458" s="10"/>
      <c r="C458" s="11"/>
      <c r="D458" s="13"/>
      <c r="E458" s="13"/>
      <c r="F458" s="13"/>
      <c r="G458" s="2"/>
      <c r="H458" s="2"/>
      <c r="I458" s="13"/>
      <c r="J458" s="13"/>
      <c r="K458" s="13"/>
      <c r="L458" s="14"/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2"/>
      <c r="B459" s="10"/>
      <c r="C459" s="11"/>
      <c r="D459" s="13"/>
      <c r="E459" s="13"/>
      <c r="F459" s="13"/>
      <c r="G459" s="2"/>
      <c r="H459" s="2"/>
      <c r="I459" s="13"/>
      <c r="J459" s="13"/>
      <c r="K459" s="13"/>
      <c r="L459" s="14"/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A460" s="12"/>
      <c r="B460" s="10"/>
      <c r="C460" s="11"/>
      <c r="D460" s="13"/>
      <c r="E460" s="13"/>
      <c r="F460" s="13"/>
      <c r="G460" s="2"/>
      <c r="H460" s="2"/>
      <c r="I460" s="13"/>
      <c r="J460" s="13"/>
      <c r="K460" s="13"/>
      <c r="L460" s="14"/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A461" s="12"/>
      <c r="B461" s="10"/>
      <c r="C461" s="11"/>
      <c r="D461" s="13"/>
      <c r="E461" s="13"/>
      <c r="F461" s="13"/>
      <c r="G461" s="2"/>
      <c r="H461" s="2"/>
      <c r="I461" s="13"/>
      <c r="J461" s="13"/>
      <c r="K461" s="13"/>
      <c r="L461" s="14"/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A462" s="12"/>
      <c r="B462" s="10"/>
      <c r="C462" s="11"/>
      <c r="D462" s="13"/>
      <c r="E462" s="13"/>
      <c r="F462" s="13"/>
      <c r="G462" s="2"/>
      <c r="H462" s="2"/>
      <c r="I462" s="13"/>
      <c r="J462" s="13"/>
      <c r="K462" s="13"/>
      <c r="L462" s="14"/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A463" s="12"/>
      <c r="B463" s="10"/>
      <c r="C463" s="11"/>
      <c r="D463" s="13"/>
      <c r="E463" s="13"/>
      <c r="F463" s="13"/>
      <c r="G463" s="2"/>
      <c r="H463" s="2"/>
      <c r="I463" s="13"/>
      <c r="J463" s="13"/>
      <c r="K463" s="13"/>
      <c r="L463" s="14"/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A464" s="12"/>
      <c r="B464" s="10"/>
      <c r="C464" s="11"/>
      <c r="D464" s="13"/>
      <c r="E464" s="13"/>
      <c r="F464" s="13"/>
      <c r="G464" s="2"/>
      <c r="H464" s="2"/>
      <c r="I464" s="13"/>
      <c r="J464" s="13"/>
      <c r="K464" s="13"/>
      <c r="L464" s="14"/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2"/>
      <c r="B465" s="10"/>
      <c r="C465" s="11"/>
      <c r="D465" s="13"/>
      <c r="E465" s="13"/>
      <c r="F465" s="13"/>
      <c r="G465" s="2"/>
      <c r="H465" s="2"/>
      <c r="I465" s="13"/>
      <c r="J465" s="13"/>
      <c r="K465" s="13"/>
      <c r="L465" s="14"/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5.75" customHeight="1" x14ac:dyDescent="0.2">
      <c r="A466" s="12"/>
      <c r="B466" s="10"/>
      <c r="C466" s="11"/>
      <c r="D466" s="13"/>
      <c r="E466" s="13"/>
      <c r="F466" s="13"/>
      <c r="G466" s="2"/>
      <c r="H466" s="2"/>
      <c r="I466" s="13"/>
      <c r="J466" s="13"/>
      <c r="K466" s="13"/>
      <c r="L466" s="14"/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2"/>
      <c r="B467" s="10"/>
      <c r="C467" s="11"/>
      <c r="D467" s="13"/>
      <c r="E467" s="13"/>
      <c r="F467" s="13"/>
      <c r="G467" s="2"/>
      <c r="H467" s="2"/>
      <c r="I467" s="13"/>
      <c r="J467" s="13"/>
      <c r="K467" s="13"/>
      <c r="L467" s="14"/>
      <c r="M467" s="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2"/>
      <c r="B468" s="10"/>
      <c r="C468" s="11"/>
      <c r="D468" s="13"/>
      <c r="E468" s="13"/>
      <c r="F468" s="13"/>
      <c r="G468" s="2"/>
      <c r="H468" s="2"/>
      <c r="I468" s="13"/>
      <c r="J468" s="13"/>
      <c r="K468" s="13"/>
      <c r="L468" s="14"/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2"/>
      <c r="B469" s="10"/>
      <c r="C469" s="11"/>
      <c r="D469" s="13"/>
      <c r="E469" s="13"/>
      <c r="F469" s="13"/>
      <c r="G469" s="2"/>
      <c r="H469" s="2"/>
      <c r="I469" s="13"/>
      <c r="J469" s="13"/>
      <c r="K469" s="13"/>
      <c r="L469" s="14"/>
      <c r="M469" s="4"/>
      <c r="N469" s="2"/>
      <c r="O469" s="4"/>
      <c r="P469" s="2"/>
      <c r="Q469" s="2"/>
      <c r="R469" s="4"/>
      <c r="S469" s="2"/>
      <c r="T469" s="2"/>
      <c r="U469" s="1"/>
      <c r="V469" s="2"/>
      <c r="W469" s="2"/>
      <c r="X469" s="2"/>
      <c r="Y469" s="2"/>
      <c r="Z469" s="2"/>
    </row>
    <row r="470" spans="1:26" ht="15.75" customHeight="1" x14ac:dyDescent="0.2">
      <c r="A470" s="12"/>
      <c r="B470" s="10"/>
      <c r="C470" s="11"/>
      <c r="D470" s="13"/>
      <c r="E470" s="13"/>
      <c r="F470" s="13"/>
      <c r="G470" s="2"/>
      <c r="H470" s="2"/>
      <c r="I470" s="13"/>
      <c r="J470" s="13"/>
      <c r="K470" s="13"/>
      <c r="L470" s="14"/>
      <c r="M470" s="4"/>
      <c r="N470" s="2"/>
      <c r="O470" s="4"/>
      <c r="P470" s="2"/>
      <c r="Q470" s="2"/>
      <c r="R470" s="4"/>
      <c r="S470" s="2"/>
      <c r="T470" s="2"/>
      <c r="U470" s="1"/>
      <c r="V470" s="2"/>
      <c r="W470" s="2"/>
      <c r="X470" s="2"/>
      <c r="Y470" s="2"/>
      <c r="Z470" s="2"/>
    </row>
    <row r="471" spans="1:26" ht="15.75" customHeight="1" x14ac:dyDescent="0.2">
      <c r="A471" s="12"/>
      <c r="B471" s="10"/>
      <c r="C471" s="11"/>
      <c r="D471" s="13"/>
      <c r="E471" s="13"/>
      <c r="F471" s="13"/>
      <c r="G471" s="2"/>
      <c r="H471" s="2"/>
      <c r="I471" s="13"/>
      <c r="J471" s="13"/>
      <c r="K471" s="13"/>
      <c r="L471" s="14"/>
      <c r="M471" s="4"/>
      <c r="N471" s="2"/>
      <c r="O471" s="4"/>
      <c r="P471" s="2"/>
      <c r="Q471" s="2"/>
      <c r="R471" s="4"/>
      <c r="S471" s="2"/>
      <c r="T471" s="2"/>
      <c r="U471" s="1"/>
      <c r="V471" s="2"/>
      <c r="W471" s="2"/>
      <c r="X471" s="2"/>
      <c r="Y471" s="2"/>
      <c r="Z471" s="2"/>
    </row>
    <row r="472" spans="1:26" ht="15.75" customHeight="1" x14ac:dyDescent="0.2">
      <c r="A472" s="12"/>
      <c r="B472" s="10"/>
      <c r="C472" s="11"/>
      <c r="D472" s="13"/>
      <c r="E472" s="13"/>
      <c r="F472" s="13"/>
      <c r="G472" s="2"/>
      <c r="H472" s="2"/>
      <c r="I472" s="13"/>
      <c r="J472" s="13"/>
      <c r="K472" s="13"/>
      <c r="L472" s="14"/>
      <c r="M472" s="4"/>
      <c r="N472" s="2"/>
      <c r="O472" s="4"/>
      <c r="P472" s="2"/>
      <c r="Q472" s="2"/>
      <c r="R472" s="4"/>
      <c r="S472" s="2"/>
      <c r="T472" s="2"/>
      <c r="U472" s="1"/>
      <c r="V472" s="2"/>
      <c r="W472" s="2"/>
      <c r="X472" s="2"/>
      <c r="Y472" s="2"/>
      <c r="Z472" s="2"/>
    </row>
    <row r="473" spans="1:26" ht="15.75" customHeight="1" x14ac:dyDescent="0.2">
      <c r="A473" s="12"/>
      <c r="B473" s="10"/>
      <c r="C473" s="11"/>
      <c r="D473" s="13"/>
      <c r="E473" s="13"/>
      <c r="F473" s="13"/>
      <c r="G473" s="2"/>
      <c r="H473" s="2"/>
      <c r="I473" s="13"/>
      <c r="J473" s="13"/>
      <c r="K473" s="13"/>
      <c r="L473" s="14"/>
      <c r="M473" s="4"/>
      <c r="N473" s="2"/>
      <c r="O473" s="4"/>
      <c r="P473" s="2"/>
      <c r="Q473" s="2"/>
      <c r="R473" s="4"/>
      <c r="S473" s="2"/>
      <c r="T473" s="2"/>
      <c r="U473" s="1"/>
      <c r="V473" s="2"/>
      <c r="W473" s="2"/>
      <c r="X473" s="2"/>
      <c r="Y473" s="2"/>
      <c r="Z473" s="2"/>
    </row>
    <row r="474" spans="1:26" ht="15.75" customHeight="1" x14ac:dyDescent="0.2">
      <c r="A474" s="12"/>
      <c r="B474" s="10"/>
      <c r="C474" s="11"/>
      <c r="D474" s="13"/>
      <c r="E474" s="13"/>
      <c r="F474" s="13"/>
      <c r="G474" s="2"/>
      <c r="H474" s="2"/>
      <c r="I474" s="13"/>
      <c r="J474" s="13"/>
      <c r="K474" s="13"/>
      <c r="L474" s="14"/>
      <c r="M474" s="4"/>
      <c r="N474" s="2"/>
      <c r="O474" s="4"/>
      <c r="P474" s="2"/>
      <c r="Q474" s="2"/>
      <c r="R474" s="4"/>
      <c r="S474" s="2"/>
      <c r="T474" s="2"/>
      <c r="U474" s="1"/>
      <c r="V474" s="2"/>
      <c r="W474" s="2"/>
      <c r="X474" s="2"/>
      <c r="Y474" s="2"/>
      <c r="Z474" s="2"/>
    </row>
    <row r="475" spans="1:26" ht="15.75" customHeight="1" x14ac:dyDescent="0.2">
      <c r="A475" s="12"/>
      <c r="B475" s="10"/>
      <c r="C475" s="11"/>
      <c r="D475" s="13"/>
      <c r="E475" s="13"/>
      <c r="F475" s="13"/>
      <c r="G475" s="2"/>
      <c r="H475" s="2"/>
      <c r="I475" s="13"/>
      <c r="J475" s="13"/>
      <c r="K475" s="13"/>
      <c r="L475" s="14"/>
      <c r="M475" s="4"/>
      <c r="N475" s="2"/>
      <c r="O475" s="4"/>
      <c r="P475" s="2"/>
      <c r="Q475" s="2"/>
      <c r="R475" s="4"/>
      <c r="S475" s="2"/>
      <c r="T475" s="2"/>
      <c r="U475" s="1"/>
      <c r="V475" s="2"/>
      <c r="W475" s="2"/>
      <c r="X475" s="2"/>
      <c r="Y475" s="2"/>
      <c r="Z475" s="2"/>
    </row>
    <row r="476" spans="1:26" ht="15.75" customHeight="1" x14ac:dyDescent="0.2">
      <c r="A476" s="12"/>
      <c r="B476" s="10"/>
      <c r="C476" s="11"/>
      <c r="D476" s="13"/>
      <c r="E476" s="13"/>
      <c r="F476" s="13"/>
      <c r="G476" s="2"/>
      <c r="H476" s="2"/>
      <c r="I476" s="13"/>
      <c r="J476" s="13"/>
      <c r="K476" s="13"/>
      <c r="L476" s="14"/>
      <c r="M476" s="4"/>
      <c r="N476" s="2"/>
      <c r="O476" s="4"/>
      <c r="P476" s="2"/>
      <c r="Q476" s="2"/>
      <c r="R476" s="4"/>
      <c r="S476" s="2"/>
      <c r="T476" s="2"/>
      <c r="U476" s="1"/>
      <c r="V476" s="2"/>
      <c r="W476" s="2"/>
      <c r="X476" s="2"/>
      <c r="Y476" s="2"/>
      <c r="Z476" s="2"/>
    </row>
    <row r="477" spans="1:26" ht="15.75" customHeight="1" x14ac:dyDescent="0.2">
      <c r="A477" s="12"/>
      <c r="B477" s="10"/>
      <c r="C477" s="11"/>
      <c r="D477" s="13"/>
      <c r="E477" s="13"/>
      <c r="F477" s="13"/>
      <c r="G477" s="2"/>
      <c r="H477" s="2"/>
      <c r="I477" s="13"/>
      <c r="J477" s="13"/>
      <c r="K477" s="13"/>
      <c r="L477" s="14"/>
      <c r="M477" s="4"/>
      <c r="N477" s="2"/>
      <c r="O477" s="4"/>
      <c r="P477" s="2"/>
      <c r="Q477" s="2"/>
      <c r="R477" s="4"/>
      <c r="S477" s="2"/>
      <c r="T477" s="2"/>
      <c r="U477" s="1"/>
      <c r="V477" s="2"/>
      <c r="W477" s="2"/>
      <c r="X477" s="2"/>
      <c r="Y477" s="2"/>
      <c r="Z477" s="2"/>
    </row>
    <row r="478" spans="1:26" ht="15.75" customHeight="1" x14ac:dyDescent="0.2">
      <c r="A478" s="12"/>
      <c r="B478" s="10"/>
      <c r="C478" s="11"/>
      <c r="D478" s="13"/>
      <c r="E478" s="13"/>
      <c r="F478" s="13"/>
      <c r="G478" s="2"/>
      <c r="H478" s="2"/>
      <c r="I478" s="13"/>
      <c r="J478" s="13"/>
      <c r="K478" s="13"/>
      <c r="L478" s="14"/>
      <c r="M478" s="4"/>
      <c r="N478" s="2"/>
      <c r="O478" s="4"/>
      <c r="P478" s="2"/>
      <c r="Q478" s="2"/>
      <c r="R478" s="4"/>
      <c r="S478" s="2"/>
      <c r="T478" s="2"/>
      <c r="U478" s="1"/>
      <c r="V478" s="2"/>
      <c r="W478" s="2"/>
      <c r="X478" s="2"/>
      <c r="Y478" s="2"/>
      <c r="Z478" s="2"/>
    </row>
    <row r="479" spans="1:26" ht="15.75" customHeight="1" x14ac:dyDescent="0.2">
      <c r="A479" s="12"/>
      <c r="B479" s="10"/>
      <c r="C479" s="11"/>
      <c r="D479" s="13"/>
      <c r="E479" s="13"/>
      <c r="F479" s="13"/>
      <c r="G479" s="2"/>
      <c r="H479" s="2"/>
      <c r="I479" s="13"/>
      <c r="J479" s="13"/>
      <c r="K479" s="13"/>
      <c r="L479" s="14"/>
      <c r="M479" s="4"/>
      <c r="N479" s="2"/>
      <c r="O479" s="4"/>
      <c r="P479" s="2"/>
      <c r="Q479" s="2"/>
      <c r="R479" s="4"/>
      <c r="S479" s="2"/>
      <c r="T479" s="2"/>
      <c r="U479" s="1"/>
      <c r="V479" s="2"/>
      <c r="W479" s="2"/>
      <c r="X479" s="2"/>
      <c r="Y479" s="2"/>
      <c r="Z479" s="2"/>
    </row>
    <row r="480" spans="1:26" ht="15.75" customHeight="1" x14ac:dyDescent="0.2">
      <c r="A480" s="12"/>
      <c r="B480" s="10"/>
      <c r="C480" s="11"/>
      <c r="D480" s="13"/>
      <c r="E480" s="13"/>
      <c r="F480" s="13"/>
      <c r="G480" s="2"/>
      <c r="H480" s="2"/>
      <c r="I480" s="13"/>
      <c r="J480" s="13"/>
      <c r="K480" s="13"/>
      <c r="L480" s="14"/>
      <c r="M480" s="4"/>
      <c r="N480" s="2"/>
      <c r="O480" s="4"/>
      <c r="P480" s="2"/>
      <c r="Q480" s="2"/>
      <c r="R480" s="4"/>
      <c r="S480" s="2"/>
      <c r="T480" s="2"/>
      <c r="U480" s="1"/>
      <c r="V480" s="2"/>
      <c r="W480" s="2"/>
      <c r="X480" s="2"/>
      <c r="Y480" s="2"/>
      <c r="Z480" s="2"/>
    </row>
    <row r="481" spans="1:26" ht="15.75" customHeight="1" x14ac:dyDescent="0.2">
      <c r="A481" s="12"/>
      <c r="B481" s="10"/>
      <c r="C481" s="11"/>
      <c r="D481" s="13"/>
      <c r="E481" s="13"/>
      <c r="F481" s="13"/>
      <c r="G481" s="2"/>
      <c r="H481" s="2"/>
      <c r="I481" s="13"/>
      <c r="J481" s="13"/>
      <c r="K481" s="13"/>
      <c r="L481" s="14"/>
      <c r="M481" s="4"/>
      <c r="N481" s="2"/>
      <c r="O481" s="4"/>
      <c r="P481" s="2"/>
      <c r="Q481" s="2"/>
      <c r="R481" s="4"/>
      <c r="S481" s="2"/>
      <c r="T481" s="2"/>
      <c r="U481" s="1"/>
      <c r="V481" s="2"/>
      <c r="W481" s="2"/>
      <c r="X481" s="2"/>
      <c r="Y481" s="2"/>
      <c r="Z481" s="2"/>
    </row>
    <row r="482" spans="1:26" ht="15.75" customHeight="1" x14ac:dyDescent="0.2">
      <c r="A482" s="12"/>
      <c r="B482" s="10"/>
      <c r="C482" s="11"/>
      <c r="D482" s="13"/>
      <c r="E482" s="13"/>
      <c r="F482" s="13"/>
      <c r="G482" s="2"/>
      <c r="H482" s="2"/>
      <c r="I482" s="13"/>
      <c r="J482" s="13"/>
      <c r="K482" s="13"/>
      <c r="L482" s="14"/>
      <c r="M482" s="4"/>
      <c r="N482" s="2"/>
      <c r="O482" s="4"/>
      <c r="P482" s="2"/>
      <c r="Q482" s="2"/>
      <c r="R482" s="4"/>
      <c r="S482" s="2"/>
      <c r="T482" s="2"/>
      <c r="U482" s="1"/>
      <c r="V482" s="2"/>
      <c r="W482" s="2"/>
      <c r="X482" s="2"/>
      <c r="Y482" s="2"/>
      <c r="Z482" s="2"/>
    </row>
    <row r="483" spans="1:26" ht="15.75" customHeight="1" x14ac:dyDescent="0.2">
      <c r="A483" s="12"/>
      <c r="B483" s="10"/>
      <c r="C483" s="11"/>
      <c r="D483" s="13"/>
      <c r="E483" s="13"/>
      <c r="F483" s="13"/>
      <c r="G483" s="2"/>
      <c r="H483" s="2"/>
      <c r="I483" s="13"/>
      <c r="J483" s="13"/>
      <c r="K483" s="13"/>
      <c r="L483" s="14"/>
      <c r="M483" s="4"/>
      <c r="N483" s="2"/>
      <c r="O483" s="4"/>
      <c r="P483" s="2"/>
      <c r="Q483" s="2"/>
      <c r="R483" s="4"/>
      <c r="S483" s="2"/>
      <c r="T483" s="2"/>
      <c r="U483" s="1"/>
      <c r="V483" s="2"/>
      <c r="W483" s="2"/>
      <c r="X483" s="2"/>
      <c r="Y483" s="2"/>
      <c r="Z483" s="2"/>
    </row>
    <row r="484" spans="1:26" ht="15.75" customHeight="1" x14ac:dyDescent="0.2">
      <c r="A484" s="12"/>
      <c r="B484" s="10"/>
      <c r="C484" s="11"/>
      <c r="D484" s="13"/>
      <c r="E484" s="13"/>
      <c r="F484" s="13"/>
      <c r="G484" s="2"/>
      <c r="H484" s="2"/>
      <c r="I484" s="13"/>
      <c r="J484" s="13"/>
      <c r="K484" s="13"/>
      <c r="L484" s="14"/>
      <c r="M484" s="4"/>
      <c r="N484" s="2"/>
      <c r="O484" s="4"/>
      <c r="P484" s="2"/>
      <c r="Q484" s="2"/>
      <c r="R484" s="4"/>
      <c r="S484" s="2"/>
      <c r="T484" s="2"/>
      <c r="U484" s="1"/>
      <c r="V484" s="2"/>
      <c r="W484" s="2"/>
      <c r="X484" s="2"/>
      <c r="Y484" s="2"/>
      <c r="Z484" s="2"/>
    </row>
    <row r="485" spans="1:26" ht="15.75" customHeight="1" x14ac:dyDescent="0.2">
      <c r="A485" s="12"/>
      <c r="B485" s="10"/>
      <c r="C485" s="11"/>
      <c r="D485" s="13"/>
      <c r="E485" s="13"/>
      <c r="F485" s="13"/>
      <c r="G485" s="2"/>
      <c r="H485" s="2"/>
      <c r="I485" s="13"/>
      <c r="J485" s="13"/>
      <c r="K485" s="13"/>
      <c r="L485" s="14"/>
      <c r="M485" s="4"/>
      <c r="N485" s="2"/>
      <c r="O485" s="4"/>
      <c r="P485" s="2"/>
      <c r="Q485" s="2"/>
      <c r="R485" s="4"/>
      <c r="S485" s="2"/>
      <c r="T485" s="2"/>
      <c r="U485" s="1"/>
      <c r="V485" s="2"/>
      <c r="W485" s="2"/>
      <c r="X485" s="2"/>
      <c r="Y485" s="2"/>
      <c r="Z485" s="2"/>
    </row>
    <row r="486" spans="1:26" ht="15.75" customHeight="1" x14ac:dyDescent="0.2">
      <c r="A486" s="12"/>
      <c r="B486" s="10"/>
      <c r="C486" s="11"/>
      <c r="D486" s="13"/>
      <c r="E486" s="13"/>
      <c r="F486" s="13"/>
      <c r="G486" s="2"/>
      <c r="H486" s="2"/>
      <c r="I486" s="13"/>
      <c r="J486" s="13"/>
      <c r="K486" s="13"/>
      <c r="L486" s="14"/>
      <c r="M486" s="4"/>
      <c r="N486" s="2"/>
      <c r="O486" s="4"/>
      <c r="P486" s="2"/>
      <c r="Q486" s="2"/>
      <c r="R486" s="4"/>
      <c r="S486" s="2"/>
      <c r="T486" s="2"/>
      <c r="U486" s="1"/>
      <c r="V486" s="2"/>
      <c r="W486" s="2"/>
      <c r="X486" s="2"/>
      <c r="Y486" s="2"/>
      <c r="Z486" s="2"/>
    </row>
    <row r="487" spans="1:26" ht="15.75" customHeight="1" x14ac:dyDescent="0.2">
      <c r="A487" s="12"/>
      <c r="B487" s="10"/>
      <c r="C487" s="11"/>
      <c r="D487" s="13"/>
      <c r="E487" s="13"/>
      <c r="F487" s="13"/>
      <c r="G487" s="2"/>
      <c r="H487" s="2"/>
      <c r="I487" s="13"/>
      <c r="J487" s="13"/>
      <c r="K487" s="13"/>
      <c r="L487" s="14"/>
      <c r="M487" s="4"/>
      <c r="N487" s="2"/>
      <c r="O487" s="4"/>
      <c r="P487" s="2"/>
      <c r="Q487" s="2"/>
      <c r="R487" s="4"/>
      <c r="S487" s="2"/>
      <c r="T487" s="2"/>
      <c r="U487" s="1"/>
      <c r="V487" s="2"/>
      <c r="W487" s="2"/>
      <c r="X487" s="2"/>
      <c r="Y487" s="2"/>
      <c r="Z487" s="2"/>
    </row>
    <row r="488" spans="1:26" ht="15.75" customHeight="1" x14ac:dyDescent="0.2">
      <c r="A488" s="12"/>
      <c r="B488" s="10"/>
      <c r="C488" s="11"/>
      <c r="D488" s="13"/>
      <c r="E488" s="13"/>
      <c r="F488" s="13"/>
      <c r="G488" s="2"/>
      <c r="H488" s="2"/>
      <c r="I488" s="13"/>
      <c r="J488" s="13"/>
      <c r="K488" s="13"/>
      <c r="L488" s="14"/>
      <c r="M488" s="4"/>
      <c r="N488" s="2"/>
      <c r="O488" s="4"/>
      <c r="P488" s="2"/>
      <c r="Q488" s="2"/>
      <c r="R488" s="4"/>
      <c r="S488" s="2"/>
      <c r="T488" s="2"/>
      <c r="U488" s="1"/>
      <c r="V488" s="2"/>
      <c r="W488" s="2"/>
      <c r="X488" s="2"/>
      <c r="Y488" s="2"/>
      <c r="Z488" s="2"/>
    </row>
    <row r="489" spans="1:26" ht="15.75" customHeight="1" x14ac:dyDescent="0.2">
      <c r="A489" s="12"/>
      <c r="B489" s="10"/>
      <c r="C489" s="11"/>
      <c r="D489" s="13"/>
      <c r="E489" s="13"/>
      <c r="F489" s="13"/>
      <c r="G489" s="2"/>
      <c r="H489" s="2"/>
      <c r="I489" s="13"/>
      <c r="J489" s="13"/>
      <c r="K489" s="13"/>
      <c r="L489" s="14"/>
      <c r="M489" s="4"/>
      <c r="N489" s="2"/>
      <c r="O489" s="4"/>
      <c r="P489" s="2"/>
      <c r="Q489" s="2"/>
      <c r="R489" s="4"/>
      <c r="S489" s="2"/>
      <c r="T489" s="2"/>
      <c r="U489" s="1"/>
      <c r="V489" s="2"/>
      <c r="W489" s="2"/>
      <c r="X489" s="2"/>
      <c r="Y489" s="2"/>
      <c r="Z489" s="2"/>
    </row>
    <row r="490" spans="1:26" ht="15.75" customHeight="1" x14ac:dyDescent="0.2">
      <c r="A490" s="12"/>
      <c r="B490" s="10"/>
      <c r="C490" s="11"/>
      <c r="D490" s="13"/>
      <c r="E490" s="13"/>
      <c r="F490" s="13"/>
      <c r="G490" s="2"/>
      <c r="H490" s="2"/>
      <c r="I490" s="13"/>
      <c r="J490" s="13"/>
      <c r="K490" s="13"/>
      <c r="L490" s="14"/>
      <c r="M490" s="4"/>
      <c r="N490" s="2"/>
      <c r="O490" s="4"/>
      <c r="P490" s="2"/>
      <c r="Q490" s="2"/>
      <c r="R490" s="4"/>
      <c r="S490" s="2"/>
      <c r="T490" s="2"/>
      <c r="U490" s="1"/>
      <c r="V490" s="2"/>
      <c r="W490" s="2"/>
      <c r="X490" s="2"/>
      <c r="Y490" s="2"/>
      <c r="Z490" s="2"/>
    </row>
    <row r="491" spans="1:26" ht="15.75" customHeight="1" x14ac:dyDescent="0.2">
      <c r="A491" s="12"/>
      <c r="B491" s="10"/>
      <c r="C491" s="11"/>
      <c r="D491" s="13"/>
      <c r="E491" s="13"/>
      <c r="F491" s="13"/>
      <c r="G491" s="2"/>
      <c r="H491" s="2"/>
      <c r="I491" s="13"/>
      <c r="J491" s="13"/>
      <c r="K491" s="13"/>
      <c r="L491" s="14"/>
      <c r="M491" s="4"/>
      <c r="N491" s="2"/>
      <c r="O491" s="4"/>
      <c r="P491" s="2"/>
      <c r="Q491" s="2"/>
      <c r="R491" s="4"/>
      <c r="S491" s="2"/>
      <c r="T491" s="2"/>
      <c r="U491" s="1"/>
      <c r="V491" s="2"/>
      <c r="W491" s="2"/>
      <c r="X491" s="2"/>
      <c r="Y491" s="2"/>
      <c r="Z491" s="2"/>
    </row>
    <row r="492" spans="1:26" ht="15.75" customHeight="1" x14ac:dyDescent="0.2">
      <c r="A492" s="12"/>
      <c r="B492" s="10"/>
      <c r="C492" s="11"/>
      <c r="D492" s="13"/>
      <c r="E492" s="13"/>
      <c r="F492" s="13"/>
      <c r="G492" s="2"/>
      <c r="H492" s="2"/>
      <c r="I492" s="13"/>
      <c r="J492" s="13"/>
      <c r="K492" s="13"/>
      <c r="L492" s="14"/>
      <c r="M492" s="4"/>
      <c r="N492" s="2"/>
      <c r="O492" s="4"/>
      <c r="P492" s="2"/>
      <c r="Q492" s="2"/>
      <c r="R492" s="4"/>
      <c r="S492" s="2"/>
      <c r="T492" s="2"/>
      <c r="U492" s="1"/>
      <c r="V492" s="2"/>
      <c r="W492" s="2"/>
      <c r="X492" s="2"/>
      <c r="Y492" s="2"/>
      <c r="Z492" s="2"/>
    </row>
    <row r="493" spans="1:26" ht="15.75" customHeight="1" x14ac:dyDescent="0.2">
      <c r="A493" s="12"/>
      <c r="B493" s="10"/>
      <c r="C493" s="11"/>
      <c r="D493" s="13"/>
      <c r="E493" s="13"/>
      <c r="F493" s="13"/>
      <c r="G493" s="2"/>
      <c r="H493" s="2"/>
      <c r="I493" s="13"/>
      <c r="J493" s="13"/>
      <c r="K493" s="13"/>
      <c r="L493" s="14"/>
      <c r="M493" s="4"/>
      <c r="N493" s="2"/>
      <c r="O493" s="4"/>
      <c r="P493" s="2"/>
      <c r="Q493" s="2"/>
      <c r="R493" s="4"/>
      <c r="S493" s="2"/>
      <c r="T493" s="2"/>
      <c r="U493" s="1"/>
      <c r="V493" s="2"/>
      <c r="W493" s="2"/>
      <c r="X493" s="2"/>
      <c r="Y493" s="2"/>
      <c r="Z493" s="2"/>
    </row>
    <row r="494" spans="1:26" ht="15.75" customHeight="1" x14ac:dyDescent="0.2">
      <c r="A494" s="12"/>
      <c r="B494" s="10"/>
      <c r="C494" s="11"/>
      <c r="D494" s="13"/>
      <c r="E494" s="13"/>
      <c r="F494" s="13"/>
      <c r="G494" s="2"/>
      <c r="H494" s="2"/>
      <c r="I494" s="13"/>
      <c r="J494" s="13"/>
      <c r="K494" s="13"/>
      <c r="L494" s="14"/>
      <c r="M494" s="4"/>
      <c r="N494" s="2"/>
      <c r="O494" s="4"/>
      <c r="P494" s="2"/>
      <c r="Q494" s="2"/>
      <c r="R494" s="4"/>
      <c r="S494" s="2"/>
      <c r="T494" s="2"/>
      <c r="U494" s="1"/>
      <c r="V494" s="2"/>
      <c r="W494" s="2"/>
      <c r="X494" s="2"/>
      <c r="Y494" s="2"/>
      <c r="Z494" s="2"/>
    </row>
    <row r="495" spans="1:26" ht="15.75" customHeight="1" x14ac:dyDescent="0.2">
      <c r="A495" s="12"/>
      <c r="B495" s="10"/>
      <c r="C495" s="11"/>
      <c r="D495" s="13"/>
      <c r="E495" s="13"/>
      <c r="F495" s="13"/>
      <c r="G495" s="2"/>
      <c r="H495" s="2"/>
      <c r="I495" s="13"/>
      <c r="J495" s="13"/>
      <c r="K495" s="13"/>
      <c r="L495" s="14"/>
      <c r="M495" s="4"/>
      <c r="N495" s="2"/>
      <c r="O495" s="4"/>
      <c r="P495" s="2"/>
      <c r="Q495" s="2"/>
      <c r="R495" s="4"/>
      <c r="S495" s="2"/>
      <c r="T495" s="2"/>
      <c r="U495" s="1"/>
      <c r="V495" s="2"/>
      <c r="W495" s="2"/>
      <c r="X495" s="2"/>
      <c r="Y495" s="2"/>
      <c r="Z495" s="2"/>
    </row>
    <row r="496" spans="1:26" ht="15.75" customHeight="1" x14ac:dyDescent="0.2">
      <c r="A496" s="12"/>
      <c r="B496" s="10"/>
      <c r="C496" s="11"/>
      <c r="D496" s="13"/>
      <c r="E496" s="13"/>
      <c r="F496" s="13"/>
      <c r="G496" s="2"/>
      <c r="H496" s="2"/>
      <c r="I496" s="13"/>
      <c r="J496" s="13"/>
      <c r="K496" s="13"/>
      <c r="L496" s="14"/>
      <c r="M496" s="4"/>
      <c r="N496" s="2"/>
      <c r="O496" s="4"/>
      <c r="P496" s="2"/>
      <c r="Q496" s="2"/>
      <c r="R496" s="4"/>
      <c r="S496" s="2"/>
      <c r="T496" s="2"/>
      <c r="U496" s="1"/>
      <c r="V496" s="2"/>
      <c r="W496" s="2"/>
      <c r="X496" s="2"/>
      <c r="Y496" s="2"/>
      <c r="Z496" s="2"/>
    </row>
    <row r="497" spans="1:26" ht="15.75" customHeight="1" x14ac:dyDescent="0.2">
      <c r="A497" s="12"/>
      <c r="B497" s="10"/>
      <c r="C497" s="11"/>
      <c r="D497" s="13"/>
      <c r="E497" s="13"/>
      <c r="F497" s="13"/>
      <c r="G497" s="2"/>
      <c r="H497" s="2"/>
      <c r="I497" s="13"/>
      <c r="J497" s="13"/>
      <c r="K497" s="13"/>
      <c r="L497" s="14"/>
      <c r="M497" s="4"/>
      <c r="N497" s="2"/>
      <c r="O497" s="4"/>
      <c r="P497" s="2"/>
      <c r="Q497" s="2"/>
      <c r="R497" s="4"/>
      <c r="S497" s="2"/>
      <c r="T497" s="2"/>
      <c r="U497" s="1"/>
      <c r="V497" s="2"/>
      <c r="W497" s="2"/>
      <c r="X497" s="2"/>
      <c r="Y497" s="2"/>
      <c r="Z497" s="2"/>
    </row>
    <row r="498" spans="1:26" ht="15.75" customHeight="1" x14ac:dyDescent="0.2">
      <c r="A498" s="12"/>
      <c r="B498" s="10"/>
      <c r="C498" s="11"/>
      <c r="D498" s="13"/>
      <c r="E498" s="13"/>
      <c r="F498" s="13"/>
      <c r="G498" s="2"/>
      <c r="H498" s="2"/>
      <c r="I498" s="13"/>
      <c r="J498" s="13"/>
      <c r="K498" s="13"/>
      <c r="L498" s="14"/>
      <c r="M498" s="4"/>
      <c r="N498" s="2"/>
      <c r="O498" s="4"/>
      <c r="P498" s="2"/>
      <c r="Q498" s="2"/>
      <c r="R498" s="4"/>
      <c r="S498" s="2"/>
      <c r="T498" s="2"/>
      <c r="U498" s="1"/>
      <c r="V498" s="2"/>
      <c r="W498" s="2"/>
      <c r="X498" s="2"/>
      <c r="Y498" s="2"/>
      <c r="Z498" s="2"/>
    </row>
    <row r="499" spans="1:26" ht="15.75" customHeight="1" x14ac:dyDescent="0.2">
      <c r="A499" s="12"/>
      <c r="B499" s="10"/>
      <c r="C499" s="11"/>
      <c r="D499" s="13"/>
      <c r="E499" s="13"/>
      <c r="F499" s="13"/>
      <c r="G499" s="2"/>
      <c r="H499" s="2"/>
      <c r="I499" s="13"/>
      <c r="J499" s="13"/>
      <c r="K499" s="13"/>
      <c r="L499" s="14"/>
      <c r="M499" s="4"/>
      <c r="N499" s="2"/>
      <c r="O499" s="4"/>
      <c r="P499" s="2"/>
      <c r="Q499" s="2"/>
      <c r="R499" s="4"/>
      <c r="S499" s="2"/>
      <c r="T499" s="2"/>
      <c r="U499" s="1"/>
      <c r="V499" s="2"/>
      <c r="W499" s="2"/>
      <c r="X499" s="2"/>
      <c r="Y499" s="2"/>
      <c r="Z499" s="2"/>
    </row>
    <row r="500" spans="1:26" ht="15.75" customHeight="1" x14ac:dyDescent="0.2">
      <c r="A500" s="12"/>
      <c r="B500" s="10"/>
      <c r="C500" s="11"/>
      <c r="D500" s="13"/>
      <c r="E500" s="13"/>
      <c r="F500" s="13"/>
      <c r="G500" s="2"/>
      <c r="H500" s="2"/>
      <c r="I500" s="13"/>
      <c r="J500" s="13"/>
      <c r="K500" s="13"/>
      <c r="L500" s="14"/>
      <c r="M500" s="4"/>
      <c r="N500" s="2"/>
      <c r="O500" s="4"/>
      <c r="P500" s="2"/>
      <c r="Q500" s="2"/>
      <c r="R500" s="4"/>
      <c r="S500" s="2"/>
      <c r="T500" s="2"/>
      <c r="U500" s="1"/>
      <c r="V500" s="2"/>
      <c r="W500" s="2"/>
      <c r="X500" s="2"/>
      <c r="Y500" s="2"/>
      <c r="Z500" s="2"/>
    </row>
    <row r="501" spans="1:26" ht="15.75" customHeight="1" x14ac:dyDescent="0.2">
      <c r="A501" s="12"/>
      <c r="B501" s="10"/>
      <c r="C501" s="11"/>
      <c r="D501" s="13"/>
      <c r="E501" s="13"/>
      <c r="F501" s="13"/>
      <c r="G501" s="2"/>
      <c r="H501" s="2"/>
      <c r="I501" s="13"/>
      <c r="J501" s="13"/>
      <c r="K501" s="13"/>
      <c r="L501" s="14"/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ht="15.75" customHeight="1" x14ac:dyDescent="0.2">
      <c r="A502" s="12"/>
      <c r="B502" s="10"/>
      <c r="C502" s="11"/>
      <c r="D502" s="13"/>
      <c r="E502" s="13"/>
      <c r="F502" s="13"/>
      <c r="G502" s="2"/>
      <c r="H502" s="2"/>
      <c r="I502" s="13"/>
      <c r="J502" s="13"/>
      <c r="K502" s="13"/>
      <c r="L502" s="14"/>
      <c r="M502" s="4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ht="15.75" customHeight="1" x14ac:dyDescent="0.2">
      <c r="A503" s="12"/>
      <c r="B503" s="10"/>
      <c r="C503" s="11"/>
      <c r="D503" s="13"/>
      <c r="E503" s="13"/>
      <c r="F503" s="13"/>
      <c r="G503" s="2"/>
      <c r="H503" s="2"/>
      <c r="I503" s="13"/>
      <c r="J503" s="13"/>
      <c r="K503" s="13"/>
      <c r="L503" s="14"/>
      <c r="M503" s="4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ht="15.75" customHeight="1" x14ac:dyDescent="0.2">
      <c r="A504" s="12"/>
      <c r="B504" s="10"/>
      <c r="C504" s="11"/>
      <c r="D504" s="13"/>
      <c r="E504" s="13"/>
      <c r="F504" s="13"/>
      <c r="G504" s="2"/>
      <c r="H504" s="2"/>
      <c r="I504" s="13"/>
      <c r="J504" s="13"/>
      <c r="K504" s="13"/>
      <c r="L504" s="14"/>
      <c r="M504" s="4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ht="15.75" customHeight="1" x14ac:dyDescent="0.2">
      <c r="A505" s="12"/>
      <c r="B505" s="10"/>
      <c r="C505" s="11"/>
      <c r="D505" s="13"/>
      <c r="E505" s="13"/>
      <c r="F505" s="13"/>
      <c r="G505" s="2"/>
      <c r="H505" s="2"/>
      <c r="I505" s="13"/>
      <c r="J505" s="13"/>
      <c r="K505" s="13"/>
      <c r="L505" s="14"/>
      <c r="M505" s="4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ht="15.75" customHeight="1" x14ac:dyDescent="0.2">
      <c r="A506" s="12"/>
      <c r="B506" s="10"/>
      <c r="C506" s="11"/>
      <c r="D506" s="13"/>
      <c r="E506" s="13"/>
      <c r="F506" s="13"/>
      <c r="G506" s="2"/>
      <c r="H506" s="2"/>
      <c r="I506" s="13"/>
      <c r="J506" s="13"/>
      <c r="K506" s="13"/>
      <c r="L506" s="14"/>
      <c r="M506" s="4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ht="15.75" customHeight="1" x14ac:dyDescent="0.2">
      <c r="A507" s="12"/>
      <c r="B507" s="10"/>
      <c r="C507" s="11"/>
      <c r="D507" s="13"/>
      <c r="E507" s="13"/>
      <c r="F507" s="13"/>
      <c r="G507" s="2"/>
      <c r="H507" s="2"/>
      <c r="I507" s="13"/>
      <c r="J507" s="13"/>
      <c r="K507" s="13"/>
      <c r="L507" s="14"/>
      <c r="M507" s="4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ht="15.75" customHeight="1" x14ac:dyDescent="0.2">
      <c r="A508" s="12"/>
      <c r="B508" s="10"/>
      <c r="C508" s="11"/>
      <c r="D508" s="13"/>
      <c r="E508" s="13"/>
      <c r="F508" s="13"/>
      <c r="G508" s="2"/>
      <c r="H508" s="2"/>
      <c r="I508" s="13"/>
      <c r="J508" s="13"/>
      <c r="K508" s="13"/>
      <c r="L508" s="14"/>
      <c r="M508" s="4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ht="15.75" customHeight="1" x14ac:dyDescent="0.2">
      <c r="A509" s="12"/>
      <c r="B509" s="10"/>
      <c r="C509" s="11"/>
      <c r="D509" s="13"/>
      <c r="E509" s="13"/>
      <c r="F509" s="13"/>
      <c r="G509" s="2"/>
      <c r="H509" s="2"/>
      <c r="I509" s="13"/>
      <c r="J509" s="13"/>
      <c r="K509" s="13"/>
      <c r="L509" s="14"/>
      <c r="M509" s="4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ht="15.75" customHeight="1" x14ac:dyDescent="0.2">
      <c r="A510" s="12"/>
      <c r="B510" s="10"/>
      <c r="C510" s="11"/>
      <c r="D510" s="13"/>
      <c r="E510" s="13"/>
      <c r="F510" s="13"/>
      <c r="G510" s="2"/>
      <c r="H510" s="2"/>
      <c r="I510" s="13"/>
      <c r="J510" s="13"/>
      <c r="K510" s="13"/>
      <c r="L510" s="14"/>
      <c r="M510" s="4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ht="15.75" customHeight="1" x14ac:dyDescent="0.2">
      <c r="A511" s="12"/>
      <c r="B511" s="10"/>
      <c r="C511" s="11"/>
      <c r="D511" s="13"/>
      <c r="E511" s="13"/>
      <c r="F511" s="13"/>
      <c r="G511" s="2"/>
      <c r="H511" s="2"/>
      <c r="I511" s="13"/>
      <c r="J511" s="13"/>
      <c r="K511" s="13"/>
      <c r="L511" s="14"/>
      <c r="M511" s="4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ht="15.75" customHeight="1" x14ac:dyDescent="0.2">
      <c r="A512" s="12"/>
      <c r="B512" s="10"/>
      <c r="C512" s="11"/>
      <c r="D512" s="13"/>
      <c r="E512" s="13"/>
      <c r="F512" s="13"/>
      <c r="G512" s="2"/>
      <c r="H512" s="2"/>
      <c r="I512" s="13"/>
      <c r="J512" s="13"/>
      <c r="K512" s="13"/>
      <c r="L512" s="14"/>
      <c r="M512" s="4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ht="15.75" customHeight="1" x14ac:dyDescent="0.2">
      <c r="A513" s="12"/>
      <c r="B513" s="10"/>
      <c r="C513" s="11"/>
      <c r="D513" s="13"/>
      <c r="E513" s="13"/>
      <c r="F513" s="13"/>
      <c r="G513" s="2"/>
      <c r="H513" s="2"/>
      <c r="I513" s="13"/>
      <c r="J513" s="13"/>
      <c r="K513" s="13"/>
      <c r="L513" s="14"/>
      <c r="M513" s="4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ht="15.75" customHeight="1" x14ac:dyDescent="0.2">
      <c r="A514" s="12"/>
      <c r="B514" s="10"/>
      <c r="C514" s="11"/>
      <c r="D514" s="13"/>
      <c r="E514" s="13"/>
      <c r="F514" s="13"/>
      <c r="G514" s="2"/>
      <c r="H514" s="2"/>
      <c r="I514" s="13"/>
      <c r="J514" s="13"/>
      <c r="K514" s="13"/>
      <c r="L514" s="14"/>
      <c r="M514" s="4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ht="15.75" customHeight="1" x14ac:dyDescent="0.2">
      <c r="A515" s="12"/>
      <c r="B515" s="10"/>
      <c r="C515" s="11"/>
      <c r="D515" s="13"/>
      <c r="E515" s="13"/>
      <c r="F515" s="13"/>
      <c r="G515" s="2"/>
      <c r="H515" s="2"/>
      <c r="I515" s="13"/>
      <c r="J515" s="13"/>
      <c r="K515" s="13"/>
      <c r="L515" s="14"/>
      <c r="M515" s="4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ht="15.75" customHeight="1" x14ac:dyDescent="0.2">
      <c r="A516" s="12"/>
      <c r="B516" s="10"/>
      <c r="C516" s="11"/>
      <c r="D516" s="13"/>
      <c r="E516" s="13"/>
      <c r="F516" s="13"/>
      <c r="G516" s="2"/>
      <c r="H516" s="2"/>
      <c r="I516" s="13"/>
      <c r="J516" s="13"/>
      <c r="K516" s="13"/>
      <c r="L516" s="14"/>
      <c r="M516" s="4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ht="15.75" customHeight="1" x14ac:dyDescent="0.2">
      <c r="A517" s="12"/>
      <c r="B517" s="10"/>
      <c r="C517" s="11"/>
      <c r="D517" s="13"/>
      <c r="E517" s="13"/>
      <c r="F517" s="13"/>
      <c r="G517" s="2"/>
      <c r="H517" s="2"/>
      <c r="I517" s="13"/>
      <c r="J517" s="13"/>
      <c r="K517" s="13"/>
      <c r="L517" s="14"/>
      <c r="M517" s="4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ht="15.75" customHeight="1" x14ac:dyDescent="0.2">
      <c r="A518" s="12"/>
      <c r="B518" s="10"/>
      <c r="C518" s="11"/>
      <c r="D518" s="13"/>
      <c r="E518" s="13"/>
      <c r="F518" s="13"/>
      <c r="G518" s="2"/>
      <c r="H518" s="2"/>
      <c r="I518" s="13"/>
      <c r="J518" s="13"/>
      <c r="K518" s="13"/>
      <c r="L518" s="14"/>
      <c r="M518" s="4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ht="15.75" customHeight="1" x14ac:dyDescent="0.2">
      <c r="A519" s="12"/>
      <c r="B519" s="10"/>
      <c r="C519" s="11"/>
      <c r="D519" s="13"/>
      <c r="E519" s="13"/>
      <c r="F519" s="13"/>
      <c r="G519" s="2"/>
      <c r="H519" s="2"/>
      <c r="I519" s="13"/>
      <c r="J519" s="13"/>
      <c r="K519" s="13"/>
      <c r="L519" s="14"/>
      <c r="M519" s="4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ht="15.75" customHeight="1" x14ac:dyDescent="0.2">
      <c r="A520" s="12"/>
      <c r="B520" s="10"/>
      <c r="C520" s="11"/>
      <c r="D520" s="13"/>
      <c r="E520" s="13"/>
      <c r="F520" s="13"/>
      <c r="G520" s="2"/>
      <c r="H520" s="2"/>
      <c r="I520" s="13"/>
      <c r="J520" s="13"/>
      <c r="K520" s="13"/>
      <c r="L520" s="14"/>
      <c r="M520" s="4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ht="15.75" customHeight="1" x14ac:dyDescent="0.2">
      <c r="A521" s="12"/>
      <c r="B521" s="10"/>
      <c r="C521" s="11"/>
      <c r="D521" s="13"/>
      <c r="E521" s="13"/>
      <c r="F521" s="13"/>
      <c r="G521" s="2"/>
      <c r="H521" s="2"/>
      <c r="I521" s="13"/>
      <c r="J521" s="13"/>
      <c r="K521" s="13"/>
      <c r="L521" s="14"/>
      <c r="M521" s="4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ht="15.75" customHeight="1" x14ac:dyDescent="0.2">
      <c r="A522" s="12"/>
      <c r="B522" s="10"/>
      <c r="C522" s="11"/>
      <c r="D522" s="13"/>
      <c r="E522" s="13"/>
      <c r="F522" s="13"/>
      <c r="G522" s="2"/>
      <c r="H522" s="2"/>
      <c r="I522" s="13"/>
      <c r="J522" s="13"/>
      <c r="K522" s="13"/>
      <c r="L522" s="14"/>
      <c r="M522" s="4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ht="15.75" customHeight="1" x14ac:dyDescent="0.2">
      <c r="A523" s="12"/>
      <c r="B523" s="10"/>
      <c r="C523" s="11"/>
      <c r="D523" s="13"/>
      <c r="E523" s="13"/>
      <c r="F523" s="13"/>
      <c r="G523" s="2"/>
      <c r="H523" s="2"/>
      <c r="I523" s="13"/>
      <c r="J523" s="13"/>
      <c r="K523" s="13"/>
      <c r="L523" s="14"/>
      <c r="M523" s="4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ht="15.75" customHeight="1" x14ac:dyDescent="0.2">
      <c r="A524" s="12"/>
      <c r="B524" s="10"/>
      <c r="C524" s="11"/>
      <c r="D524" s="13"/>
      <c r="E524" s="13"/>
      <c r="F524" s="13"/>
      <c r="G524" s="2"/>
      <c r="H524" s="2"/>
      <c r="I524" s="13"/>
      <c r="J524" s="13"/>
      <c r="K524" s="13"/>
      <c r="L524" s="14"/>
      <c r="M524" s="4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ht="15.75" customHeight="1" x14ac:dyDescent="0.2">
      <c r="A525" s="12"/>
      <c r="B525" s="10"/>
      <c r="C525" s="11"/>
      <c r="D525" s="13"/>
      <c r="E525" s="13"/>
      <c r="F525" s="13"/>
      <c r="G525" s="2"/>
      <c r="H525" s="2"/>
      <c r="I525" s="13"/>
      <c r="J525" s="13"/>
      <c r="K525" s="13"/>
      <c r="L525" s="14"/>
      <c r="M525" s="4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ht="15.75" customHeight="1" x14ac:dyDescent="0.2">
      <c r="A526" s="12"/>
      <c r="B526" s="10"/>
      <c r="C526" s="11"/>
      <c r="D526" s="13"/>
      <c r="E526" s="13"/>
      <c r="F526" s="13"/>
      <c r="G526" s="2"/>
      <c r="H526" s="2"/>
      <c r="I526" s="13"/>
      <c r="J526" s="13"/>
      <c r="K526" s="13"/>
      <c r="L526" s="14"/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ht="15.75" customHeight="1" x14ac:dyDescent="0.2">
      <c r="A527" s="12"/>
      <c r="B527" s="10"/>
      <c r="C527" s="11"/>
      <c r="D527" s="13"/>
      <c r="E527" s="13"/>
      <c r="F527" s="13"/>
      <c r="G527" s="2"/>
      <c r="H527" s="2"/>
      <c r="I527" s="13"/>
      <c r="J527" s="13"/>
      <c r="K527" s="13"/>
      <c r="L527" s="14"/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A528" s="12"/>
      <c r="B528" s="10"/>
      <c r="C528" s="11"/>
      <c r="D528" s="13"/>
      <c r="E528" s="13"/>
      <c r="F528" s="13"/>
      <c r="G528" s="2"/>
      <c r="H528" s="2"/>
      <c r="I528" s="13"/>
      <c r="J528" s="13"/>
      <c r="K528" s="13"/>
      <c r="L528" s="14"/>
      <c r="M528" s="4"/>
      <c r="N528" s="2"/>
      <c r="O528" s="4"/>
      <c r="P528" s="2"/>
      <c r="Q528" s="2"/>
      <c r="R528" s="4"/>
      <c r="S528" s="2"/>
      <c r="T528" s="2"/>
      <c r="U528" s="1"/>
      <c r="V528" s="2"/>
      <c r="W528" s="2"/>
      <c r="X528" s="2"/>
      <c r="Y528" s="2"/>
      <c r="Z528" s="2"/>
    </row>
    <row r="529" spans="1:26" ht="15.75" customHeight="1" x14ac:dyDescent="0.2">
      <c r="A529" s="12"/>
      <c r="B529" s="10"/>
      <c r="C529" s="11"/>
      <c r="D529" s="13"/>
      <c r="E529" s="13"/>
      <c r="F529" s="13"/>
      <c r="G529" s="2"/>
      <c r="H529" s="2"/>
      <c r="I529" s="13"/>
      <c r="J529" s="13"/>
      <c r="K529" s="13"/>
      <c r="L529" s="14"/>
      <c r="M529" s="4"/>
      <c r="N529" s="2"/>
      <c r="O529" s="4"/>
      <c r="P529" s="2"/>
      <c r="Q529" s="2"/>
      <c r="R529" s="4"/>
      <c r="S529" s="2"/>
      <c r="T529" s="2"/>
      <c r="U529" s="1"/>
      <c r="V529" s="2"/>
      <c r="W529" s="2"/>
      <c r="X529" s="2"/>
      <c r="Y529" s="2"/>
      <c r="Z529" s="2"/>
    </row>
    <row r="530" spans="1:26" ht="15.75" customHeight="1" x14ac:dyDescent="0.2">
      <c r="A530" s="12"/>
      <c r="B530" s="10"/>
      <c r="C530" s="11"/>
      <c r="D530" s="13"/>
      <c r="E530" s="13"/>
      <c r="F530" s="13"/>
      <c r="G530" s="2"/>
      <c r="H530" s="2"/>
      <c r="I530" s="13"/>
      <c r="J530" s="13"/>
      <c r="K530" s="13"/>
      <c r="L530" s="14"/>
      <c r="M530" s="4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ht="15.75" customHeight="1" x14ac:dyDescent="0.2">
      <c r="A531" s="12"/>
      <c r="B531" s="10"/>
      <c r="C531" s="11"/>
      <c r="D531" s="13"/>
      <c r="E531" s="13"/>
      <c r="F531" s="13"/>
      <c r="G531" s="2"/>
      <c r="H531" s="2"/>
      <c r="I531" s="13"/>
      <c r="J531" s="13"/>
      <c r="K531" s="13"/>
      <c r="L531" s="14"/>
      <c r="M531" s="4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ht="15.75" customHeight="1" x14ac:dyDescent="0.2">
      <c r="A532" s="12"/>
      <c r="B532" s="10"/>
      <c r="C532" s="11"/>
      <c r="D532" s="13"/>
      <c r="E532" s="13"/>
      <c r="F532" s="13"/>
      <c r="G532" s="2"/>
      <c r="H532" s="2"/>
      <c r="I532" s="13"/>
      <c r="J532" s="13"/>
      <c r="K532" s="13"/>
      <c r="L532" s="14"/>
      <c r="M532" s="4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ht="15.75" customHeight="1" x14ac:dyDescent="0.2">
      <c r="A533" s="12"/>
      <c r="B533" s="10"/>
      <c r="C533" s="11"/>
      <c r="D533" s="13"/>
      <c r="E533" s="13"/>
      <c r="F533" s="13"/>
      <c r="G533" s="2"/>
      <c r="H533" s="2"/>
      <c r="I533" s="13"/>
      <c r="J533" s="13"/>
      <c r="K533" s="13"/>
      <c r="L533" s="14"/>
      <c r="M533" s="4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ht="15.75" customHeight="1" x14ac:dyDescent="0.2">
      <c r="A534" s="12"/>
      <c r="B534" s="10"/>
      <c r="C534" s="11"/>
      <c r="D534" s="13"/>
      <c r="E534" s="13"/>
      <c r="F534" s="13"/>
      <c r="G534" s="2"/>
      <c r="H534" s="2"/>
      <c r="I534" s="13"/>
      <c r="J534" s="13"/>
      <c r="K534" s="13"/>
      <c r="L534" s="14"/>
      <c r="M534" s="4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ht="15.75" customHeight="1" x14ac:dyDescent="0.2">
      <c r="A535" s="12"/>
      <c r="B535" s="10"/>
      <c r="C535" s="11"/>
      <c r="D535" s="13"/>
      <c r="E535" s="13"/>
      <c r="F535" s="13"/>
      <c r="G535" s="2"/>
      <c r="H535" s="2"/>
      <c r="I535" s="13"/>
      <c r="J535" s="13"/>
      <c r="K535" s="13"/>
      <c r="L535" s="14"/>
      <c r="M535" s="4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ht="15.75" customHeight="1" x14ac:dyDescent="0.2">
      <c r="A536" s="12"/>
      <c r="B536" s="10"/>
      <c r="C536" s="11"/>
      <c r="D536" s="13"/>
      <c r="E536" s="13"/>
      <c r="F536" s="13"/>
      <c r="G536" s="2"/>
      <c r="H536" s="2"/>
      <c r="I536" s="13"/>
      <c r="J536" s="13"/>
      <c r="K536" s="13"/>
      <c r="L536" s="14"/>
      <c r="M536" s="4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ht="15.75" customHeight="1" x14ac:dyDescent="0.2">
      <c r="A537" s="12"/>
      <c r="B537" s="10"/>
      <c r="C537" s="11"/>
      <c r="D537" s="13"/>
      <c r="E537" s="13"/>
      <c r="F537" s="13"/>
      <c r="G537" s="2"/>
      <c r="H537" s="2"/>
      <c r="I537" s="13"/>
      <c r="J537" s="13"/>
      <c r="K537" s="13"/>
      <c r="L537" s="14"/>
      <c r="M537" s="4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ht="15.75" customHeight="1" x14ac:dyDescent="0.2">
      <c r="A538" s="12"/>
      <c r="B538" s="10"/>
      <c r="C538" s="11"/>
      <c r="D538" s="13"/>
      <c r="E538" s="13"/>
      <c r="F538" s="13"/>
      <c r="G538" s="2"/>
      <c r="H538" s="2"/>
      <c r="I538" s="13"/>
      <c r="J538" s="13"/>
      <c r="K538" s="13"/>
      <c r="L538" s="14"/>
      <c r="M538" s="4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ht="15.75" customHeight="1" x14ac:dyDescent="0.2">
      <c r="A539" s="12"/>
      <c r="B539" s="10"/>
      <c r="C539" s="11"/>
      <c r="D539" s="13"/>
      <c r="E539" s="13"/>
      <c r="F539" s="13"/>
      <c r="G539" s="2"/>
      <c r="H539" s="2"/>
      <c r="I539" s="13"/>
      <c r="J539" s="13"/>
      <c r="K539" s="13"/>
      <c r="L539" s="14"/>
      <c r="M539" s="4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ht="15.75" customHeight="1" x14ac:dyDescent="0.2">
      <c r="A540" s="12"/>
      <c r="B540" s="10"/>
      <c r="C540" s="11"/>
      <c r="D540" s="13"/>
      <c r="E540" s="13"/>
      <c r="F540" s="13"/>
      <c r="G540" s="2"/>
      <c r="H540" s="2"/>
      <c r="I540" s="13"/>
      <c r="J540" s="13"/>
      <c r="K540" s="13"/>
      <c r="L540" s="14"/>
      <c r="M540" s="4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ht="15.75" customHeight="1" x14ac:dyDescent="0.2">
      <c r="A541" s="12"/>
      <c r="B541" s="10"/>
      <c r="C541" s="11"/>
      <c r="D541" s="13"/>
      <c r="E541" s="13"/>
      <c r="F541" s="13"/>
      <c r="G541" s="2"/>
      <c r="H541" s="2"/>
      <c r="I541" s="13"/>
      <c r="J541" s="13"/>
      <c r="K541" s="13"/>
      <c r="L541" s="14"/>
      <c r="M541" s="4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ht="15.75" customHeight="1" x14ac:dyDescent="0.2">
      <c r="A542" s="12"/>
      <c r="B542" s="10"/>
      <c r="C542" s="11"/>
      <c r="D542" s="13"/>
      <c r="E542" s="13"/>
      <c r="F542" s="13"/>
      <c r="G542" s="2"/>
      <c r="H542" s="2"/>
      <c r="I542" s="13"/>
      <c r="J542" s="13"/>
      <c r="K542" s="13"/>
      <c r="L542" s="14"/>
      <c r="M542" s="4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ht="15.75" customHeight="1" x14ac:dyDescent="0.2">
      <c r="A543" s="12"/>
      <c r="B543" s="10"/>
      <c r="C543" s="11"/>
      <c r="D543" s="13"/>
      <c r="E543" s="13"/>
      <c r="F543" s="13"/>
      <c r="G543" s="2"/>
      <c r="H543" s="2"/>
      <c r="I543" s="13"/>
      <c r="J543" s="13"/>
      <c r="K543" s="13"/>
      <c r="L543" s="14"/>
      <c r="M543" s="4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ht="15.75" customHeight="1" x14ac:dyDescent="0.2">
      <c r="A544" s="12"/>
      <c r="B544" s="10"/>
      <c r="C544" s="11"/>
      <c r="D544" s="13"/>
      <c r="E544" s="13"/>
      <c r="F544" s="13"/>
      <c r="G544" s="2"/>
      <c r="H544" s="2"/>
      <c r="I544" s="13"/>
      <c r="J544" s="13"/>
      <c r="K544" s="13"/>
      <c r="L544" s="14"/>
      <c r="M544" s="4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ht="15.75" customHeight="1" x14ac:dyDescent="0.2">
      <c r="A545" s="12"/>
      <c r="B545" s="10"/>
      <c r="C545" s="11"/>
      <c r="D545" s="13"/>
      <c r="E545" s="13"/>
      <c r="F545" s="13"/>
      <c r="G545" s="2"/>
      <c r="H545" s="2"/>
      <c r="I545" s="13"/>
      <c r="J545" s="13"/>
      <c r="K545" s="13"/>
      <c r="L545" s="14"/>
      <c r="M545" s="4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ht="15.75" customHeight="1" x14ac:dyDescent="0.2">
      <c r="A546" s="12"/>
      <c r="B546" s="10"/>
      <c r="C546" s="11"/>
      <c r="D546" s="13"/>
      <c r="E546" s="13"/>
      <c r="F546" s="13"/>
      <c r="G546" s="2"/>
      <c r="H546" s="2"/>
      <c r="I546" s="13"/>
      <c r="J546" s="13"/>
      <c r="K546" s="13"/>
      <c r="L546" s="14"/>
      <c r="M546" s="4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ht="15.75" customHeight="1" x14ac:dyDescent="0.2">
      <c r="A547" s="12"/>
      <c r="B547" s="10"/>
      <c r="C547" s="11"/>
      <c r="D547" s="13"/>
      <c r="E547" s="13"/>
      <c r="F547" s="13"/>
      <c r="G547" s="2"/>
      <c r="H547" s="2"/>
      <c r="I547" s="13"/>
      <c r="J547" s="13"/>
      <c r="K547" s="13"/>
      <c r="L547" s="14"/>
      <c r="M547" s="4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ht="15.75" customHeight="1" x14ac:dyDescent="0.2">
      <c r="A548" s="12"/>
      <c r="B548" s="10"/>
      <c r="C548" s="11"/>
      <c r="D548" s="13"/>
      <c r="E548" s="13"/>
      <c r="F548" s="13"/>
      <c r="G548" s="2"/>
      <c r="H548" s="2"/>
      <c r="I548" s="13"/>
      <c r="J548" s="13"/>
      <c r="K548" s="13"/>
      <c r="L548" s="14"/>
      <c r="M548" s="4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ht="15.75" customHeight="1" x14ac:dyDescent="0.2">
      <c r="A549" s="12"/>
      <c r="B549" s="10"/>
      <c r="C549" s="11"/>
      <c r="D549" s="13"/>
      <c r="E549" s="13"/>
      <c r="F549" s="13"/>
      <c r="G549" s="2"/>
      <c r="H549" s="2"/>
      <c r="I549" s="13"/>
      <c r="J549" s="13"/>
      <c r="K549" s="13"/>
      <c r="L549" s="14"/>
      <c r="M549" s="4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ht="15.75" customHeight="1" x14ac:dyDescent="0.2">
      <c r="A550" s="12"/>
      <c r="B550" s="10"/>
      <c r="C550" s="11"/>
      <c r="D550" s="13"/>
      <c r="E550" s="13"/>
      <c r="F550" s="13"/>
      <c r="G550" s="2"/>
      <c r="H550" s="2"/>
      <c r="I550" s="13"/>
      <c r="J550" s="13"/>
      <c r="K550" s="13"/>
      <c r="L550" s="14"/>
      <c r="M550" s="4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ht="15.75" customHeight="1" x14ac:dyDescent="0.2">
      <c r="A551" s="12"/>
      <c r="B551" s="10"/>
      <c r="C551" s="11"/>
      <c r="D551" s="13"/>
      <c r="E551" s="13"/>
      <c r="F551" s="13"/>
      <c r="G551" s="2"/>
      <c r="H551" s="2"/>
      <c r="I551" s="13"/>
      <c r="J551" s="13"/>
      <c r="K551" s="13"/>
      <c r="L551" s="14"/>
      <c r="M551" s="4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ht="15.75" customHeight="1" x14ac:dyDescent="0.2">
      <c r="A552" s="12"/>
      <c r="B552" s="10"/>
      <c r="C552" s="11"/>
      <c r="D552" s="13"/>
      <c r="E552" s="13"/>
      <c r="F552" s="13"/>
      <c r="G552" s="2"/>
      <c r="H552" s="2"/>
      <c r="I552" s="13"/>
      <c r="J552" s="13"/>
      <c r="K552" s="13"/>
      <c r="L552" s="14"/>
      <c r="M552" s="4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ht="15.75" customHeight="1" x14ac:dyDescent="0.2">
      <c r="A553" s="12"/>
      <c r="B553" s="10"/>
      <c r="C553" s="11"/>
      <c r="D553" s="13"/>
      <c r="E553" s="13"/>
      <c r="F553" s="13"/>
      <c r="G553" s="2"/>
      <c r="H553" s="2"/>
      <c r="I553" s="13"/>
      <c r="J553" s="13"/>
      <c r="K553" s="13"/>
      <c r="L553" s="14"/>
      <c r="M553" s="4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ht="15.75" customHeight="1" x14ac:dyDescent="0.2">
      <c r="A554" s="12"/>
      <c r="B554" s="10"/>
      <c r="C554" s="11"/>
      <c r="D554" s="13"/>
      <c r="E554" s="13"/>
      <c r="F554" s="13"/>
      <c r="G554" s="2"/>
      <c r="H554" s="2"/>
      <c r="I554" s="13"/>
      <c r="J554" s="13"/>
      <c r="K554" s="13"/>
      <c r="L554" s="14"/>
      <c r="M554" s="4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ht="15.75" customHeight="1" x14ac:dyDescent="0.2">
      <c r="A555" s="12"/>
      <c r="B555" s="10"/>
      <c r="C555" s="11"/>
      <c r="D555" s="13"/>
      <c r="E555" s="13"/>
      <c r="F555" s="13"/>
      <c r="G555" s="2"/>
      <c r="H555" s="2"/>
      <c r="I555" s="13"/>
      <c r="J555" s="13"/>
      <c r="K555" s="13"/>
      <c r="L555" s="14"/>
      <c r="M555" s="4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ht="15.75" customHeight="1" x14ac:dyDescent="0.2">
      <c r="A556" s="12"/>
      <c r="B556" s="10"/>
      <c r="C556" s="11"/>
      <c r="D556" s="13"/>
      <c r="E556" s="13"/>
      <c r="F556" s="13"/>
      <c r="G556" s="2"/>
      <c r="H556" s="2"/>
      <c r="I556" s="13"/>
      <c r="J556" s="13"/>
      <c r="K556" s="13"/>
      <c r="L556" s="14"/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ht="15.75" customHeight="1" x14ac:dyDescent="0.2">
      <c r="A557" s="12"/>
      <c r="B557" s="10"/>
      <c r="C557" s="11"/>
      <c r="D557" s="13"/>
      <c r="E557" s="13"/>
      <c r="F557" s="13"/>
      <c r="G557" s="2"/>
      <c r="H557" s="2"/>
      <c r="I557" s="13"/>
      <c r="J557" s="13"/>
      <c r="K557" s="13"/>
      <c r="L557" s="14"/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2"/>
      <c r="B558" s="10"/>
      <c r="C558" s="11"/>
      <c r="D558" s="13"/>
      <c r="E558" s="13"/>
      <c r="F558" s="13"/>
      <c r="G558" s="2"/>
      <c r="H558" s="2"/>
      <c r="I558" s="13"/>
      <c r="J558" s="13"/>
      <c r="K558" s="13"/>
      <c r="L558" s="14"/>
      <c r="M558" s="4"/>
      <c r="N558" s="2"/>
      <c r="O558" s="4"/>
      <c r="P558" s="2"/>
      <c r="Q558" s="2"/>
      <c r="R558" s="4"/>
      <c r="S558" s="2"/>
      <c r="T558" s="2"/>
      <c r="U558" s="1"/>
      <c r="V558" s="2"/>
      <c r="W558" s="2"/>
      <c r="X558" s="2"/>
      <c r="Y558" s="2"/>
      <c r="Z558" s="2"/>
    </row>
    <row r="559" spans="1:26" ht="15.75" customHeight="1" x14ac:dyDescent="0.2">
      <c r="A559" s="12"/>
      <c r="B559" s="10"/>
      <c r="C559" s="11"/>
      <c r="D559" s="13"/>
      <c r="E559" s="13"/>
      <c r="F559" s="13"/>
      <c r="G559" s="2"/>
      <c r="H559" s="2"/>
      <c r="I559" s="13"/>
      <c r="J559" s="13"/>
      <c r="K559" s="13"/>
      <c r="L559" s="14"/>
      <c r="M559" s="4"/>
      <c r="N559" s="2"/>
      <c r="O559" s="4"/>
      <c r="P559" s="2"/>
      <c r="Q559" s="2"/>
      <c r="R559" s="4"/>
      <c r="S559" s="2"/>
      <c r="T559" s="2"/>
      <c r="U559" s="1"/>
      <c r="V559" s="2"/>
      <c r="W559" s="2"/>
      <c r="X559" s="2"/>
      <c r="Y559" s="2"/>
      <c r="Z559" s="2"/>
    </row>
    <row r="560" spans="1:26" ht="15.75" customHeight="1" x14ac:dyDescent="0.2">
      <c r="A560" s="12"/>
      <c r="B560" s="10"/>
      <c r="C560" s="11"/>
      <c r="D560" s="13"/>
      <c r="E560" s="13"/>
      <c r="F560" s="13"/>
      <c r="G560" s="2"/>
      <c r="H560" s="2"/>
      <c r="I560" s="13"/>
      <c r="J560" s="13"/>
      <c r="K560" s="13"/>
      <c r="L560" s="14"/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A561" s="12"/>
      <c r="B561" s="10"/>
      <c r="C561" s="11"/>
      <c r="D561" s="13"/>
      <c r="E561" s="13"/>
      <c r="F561" s="13"/>
      <c r="G561" s="2"/>
      <c r="H561" s="2"/>
      <c r="I561" s="13"/>
      <c r="J561" s="13"/>
      <c r="K561" s="13"/>
      <c r="L561" s="14"/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12"/>
      <c r="B562" s="10"/>
      <c r="C562" s="11"/>
      <c r="D562" s="13"/>
      <c r="E562" s="13"/>
      <c r="F562" s="13"/>
      <c r="G562" s="2"/>
      <c r="H562" s="2"/>
      <c r="I562" s="13"/>
      <c r="J562" s="13"/>
      <c r="K562" s="13"/>
      <c r="L562" s="14"/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2"/>
      <c r="B563" s="10"/>
      <c r="C563" s="11"/>
      <c r="D563" s="13"/>
      <c r="E563" s="13"/>
      <c r="F563" s="13"/>
      <c r="G563" s="2"/>
      <c r="H563" s="2"/>
      <c r="I563" s="13"/>
      <c r="J563" s="13"/>
      <c r="K563" s="13"/>
      <c r="L563" s="14"/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2"/>
      <c r="B564" s="10"/>
      <c r="C564" s="11"/>
      <c r="D564" s="13"/>
      <c r="E564" s="13"/>
      <c r="F564" s="13"/>
      <c r="G564" s="2"/>
      <c r="H564" s="2"/>
      <c r="I564" s="13"/>
      <c r="J564" s="13"/>
      <c r="K564" s="13"/>
      <c r="L564" s="14"/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2"/>
      <c r="B565" s="10"/>
      <c r="C565" s="11"/>
      <c r="D565" s="13"/>
      <c r="E565" s="13"/>
      <c r="F565" s="13"/>
      <c r="G565" s="2"/>
      <c r="H565" s="2"/>
      <c r="I565" s="13"/>
      <c r="J565" s="13"/>
      <c r="K565" s="13"/>
      <c r="L565" s="14"/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2"/>
      <c r="B566" s="10"/>
      <c r="C566" s="11"/>
      <c r="D566" s="13"/>
      <c r="E566" s="13"/>
      <c r="F566" s="13"/>
      <c r="G566" s="2"/>
      <c r="H566" s="2"/>
      <c r="I566" s="13"/>
      <c r="J566" s="13"/>
      <c r="K566" s="13"/>
      <c r="L566" s="14"/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2"/>
      <c r="B567" s="10"/>
      <c r="C567" s="11"/>
      <c r="D567" s="13"/>
      <c r="E567" s="13"/>
      <c r="F567" s="13"/>
      <c r="G567" s="2"/>
      <c r="H567" s="2"/>
      <c r="I567" s="13"/>
      <c r="J567" s="13"/>
      <c r="K567" s="13"/>
      <c r="L567" s="14"/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2"/>
      <c r="B568" s="10"/>
      <c r="C568" s="11"/>
      <c r="D568" s="13"/>
      <c r="E568" s="13"/>
      <c r="F568" s="13"/>
      <c r="G568" s="2"/>
      <c r="H568" s="2"/>
      <c r="I568" s="13"/>
      <c r="J568" s="13"/>
      <c r="K568" s="13"/>
      <c r="L568" s="14"/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2"/>
      <c r="B569" s="10"/>
      <c r="C569" s="11"/>
      <c r="D569" s="13"/>
      <c r="E569" s="13"/>
      <c r="F569" s="13"/>
      <c r="G569" s="2"/>
      <c r="H569" s="2"/>
      <c r="I569" s="13"/>
      <c r="J569" s="13"/>
      <c r="K569" s="13"/>
      <c r="L569" s="14"/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2"/>
      <c r="B570" s="10"/>
      <c r="C570" s="11"/>
      <c r="D570" s="13"/>
      <c r="E570" s="13"/>
      <c r="F570" s="13"/>
      <c r="G570" s="2"/>
      <c r="H570" s="2"/>
      <c r="I570" s="13"/>
      <c r="J570" s="13"/>
      <c r="K570" s="13"/>
      <c r="L570" s="14"/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5.75" customHeight="1" x14ac:dyDescent="0.2">
      <c r="A571" s="12"/>
      <c r="B571" s="10"/>
      <c r="C571" s="11"/>
      <c r="D571" s="13"/>
      <c r="E571" s="13"/>
      <c r="F571" s="13"/>
      <c r="G571" s="2"/>
      <c r="H571" s="2"/>
      <c r="I571" s="13"/>
      <c r="J571" s="13"/>
      <c r="K571" s="13"/>
      <c r="L571" s="14"/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5.75" customHeight="1" x14ac:dyDescent="0.2">
      <c r="A572" s="12"/>
      <c r="B572" s="10"/>
      <c r="C572" s="11"/>
      <c r="D572" s="13"/>
      <c r="E572" s="13"/>
      <c r="F572" s="13"/>
      <c r="G572" s="2"/>
      <c r="H572" s="2"/>
      <c r="I572" s="13"/>
      <c r="J572" s="13"/>
      <c r="K572" s="13"/>
      <c r="L572" s="14"/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A573" s="12"/>
      <c r="B573" s="10"/>
      <c r="C573" s="11"/>
      <c r="D573" s="13"/>
      <c r="E573" s="13"/>
      <c r="F573" s="13"/>
      <c r="G573" s="2"/>
      <c r="H573" s="2"/>
      <c r="I573" s="13"/>
      <c r="J573" s="13"/>
      <c r="K573" s="13"/>
      <c r="L573" s="14"/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A574" s="12"/>
      <c r="B574" s="10"/>
      <c r="C574" s="11"/>
      <c r="D574" s="13"/>
      <c r="E574" s="13"/>
      <c r="F574" s="13"/>
      <c r="G574" s="2"/>
      <c r="H574" s="2"/>
      <c r="I574" s="13"/>
      <c r="J574" s="13"/>
      <c r="K574" s="13"/>
      <c r="L574" s="14"/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2"/>
      <c r="B575" s="10"/>
      <c r="C575" s="11"/>
      <c r="D575" s="13"/>
      <c r="E575" s="13"/>
      <c r="F575" s="13"/>
      <c r="G575" s="2"/>
      <c r="H575" s="2"/>
      <c r="I575" s="13"/>
      <c r="J575" s="13"/>
      <c r="K575" s="13"/>
      <c r="L575" s="14"/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A576" s="12"/>
      <c r="B576" s="10"/>
      <c r="C576" s="11"/>
      <c r="D576" s="13"/>
      <c r="E576" s="13"/>
      <c r="F576" s="13"/>
      <c r="G576" s="2"/>
      <c r="H576" s="2"/>
      <c r="I576" s="13"/>
      <c r="J576" s="13"/>
      <c r="K576" s="13"/>
      <c r="L576" s="14"/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2"/>
      <c r="B577" s="10"/>
      <c r="C577" s="11"/>
      <c r="D577" s="13"/>
      <c r="E577" s="13"/>
      <c r="F577" s="13"/>
      <c r="G577" s="2"/>
      <c r="H577" s="2"/>
      <c r="I577" s="13"/>
      <c r="J577" s="13"/>
      <c r="K577" s="13"/>
      <c r="L577" s="14"/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2"/>
      <c r="B578" s="10"/>
      <c r="C578" s="11"/>
      <c r="D578" s="13"/>
      <c r="E578" s="13"/>
      <c r="F578" s="13"/>
      <c r="G578" s="2"/>
      <c r="H578" s="2"/>
      <c r="I578" s="13"/>
      <c r="J578" s="13"/>
      <c r="K578" s="13"/>
      <c r="L578" s="14"/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2"/>
      <c r="B579" s="10"/>
      <c r="C579" s="11"/>
      <c r="D579" s="13"/>
      <c r="E579" s="13"/>
      <c r="F579" s="13"/>
      <c r="G579" s="2"/>
      <c r="H579" s="2"/>
      <c r="I579" s="13"/>
      <c r="J579" s="13"/>
      <c r="K579" s="13"/>
      <c r="L579" s="14"/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2"/>
      <c r="B580" s="10"/>
      <c r="C580" s="11"/>
      <c r="D580" s="13"/>
      <c r="E580" s="13"/>
      <c r="F580" s="13"/>
      <c r="G580" s="2"/>
      <c r="H580" s="2"/>
      <c r="I580" s="13"/>
      <c r="J580" s="13"/>
      <c r="K580" s="13"/>
      <c r="L580" s="14"/>
      <c r="M580" s="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2"/>
      <c r="B581" s="10"/>
      <c r="C581" s="11"/>
      <c r="D581" s="13"/>
      <c r="E581" s="13"/>
      <c r="F581" s="13"/>
      <c r="G581" s="2"/>
      <c r="H581" s="2"/>
      <c r="I581" s="13"/>
      <c r="J581" s="13"/>
      <c r="K581" s="13"/>
      <c r="L581" s="14"/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2"/>
      <c r="B582" s="10"/>
      <c r="C582" s="11"/>
      <c r="D582" s="13"/>
      <c r="E582" s="13"/>
      <c r="F582" s="13"/>
      <c r="G582" s="2"/>
      <c r="H582" s="2"/>
      <c r="I582" s="13"/>
      <c r="J582" s="13"/>
      <c r="K582" s="13"/>
      <c r="L582" s="14"/>
      <c r="M582" s="4"/>
      <c r="N582" s="2"/>
      <c r="O582" s="4"/>
      <c r="P582" s="2"/>
      <c r="Q582" s="2"/>
      <c r="R582" s="4"/>
      <c r="S582" s="2"/>
      <c r="T582" s="2"/>
      <c r="U582" s="1"/>
      <c r="V582" s="2"/>
      <c r="W582" s="2"/>
      <c r="X582" s="2"/>
      <c r="Y582" s="2"/>
      <c r="Z582" s="2"/>
    </row>
    <row r="583" spans="1:26" ht="15.75" customHeight="1" x14ac:dyDescent="0.2">
      <c r="A583" s="12"/>
      <c r="B583" s="10"/>
      <c r="C583" s="11"/>
      <c r="D583" s="13"/>
      <c r="E583" s="13"/>
      <c r="F583" s="13"/>
      <c r="G583" s="2"/>
      <c r="H583" s="2"/>
      <c r="I583" s="13"/>
      <c r="J583" s="13"/>
      <c r="K583" s="13"/>
      <c r="L583" s="14"/>
      <c r="M583" s="4"/>
      <c r="N583" s="2"/>
      <c r="O583" s="4"/>
      <c r="P583" s="2"/>
      <c r="Q583" s="2"/>
      <c r="R583" s="4"/>
      <c r="S583" s="2"/>
      <c r="T583" s="2"/>
      <c r="U583" s="1"/>
      <c r="V583" s="2"/>
      <c r="W583" s="2"/>
      <c r="X583" s="2"/>
      <c r="Y583" s="2"/>
      <c r="Z583" s="2"/>
    </row>
    <row r="584" spans="1:26" ht="15.75" customHeight="1" x14ac:dyDescent="0.2">
      <c r="A584" s="12"/>
      <c r="B584" s="10"/>
      <c r="C584" s="11"/>
      <c r="D584" s="13"/>
      <c r="E584" s="13"/>
      <c r="F584" s="13"/>
      <c r="G584" s="2"/>
      <c r="H584" s="2"/>
      <c r="I584" s="13"/>
      <c r="J584" s="13"/>
      <c r="K584" s="13"/>
      <c r="L584" s="14"/>
      <c r="M584" s="4"/>
      <c r="N584" s="2"/>
      <c r="O584" s="4"/>
      <c r="P584" s="2"/>
      <c r="Q584" s="2"/>
      <c r="R584" s="4"/>
      <c r="S584" s="2"/>
      <c r="T584" s="2"/>
      <c r="U584" s="1"/>
      <c r="V584" s="2"/>
      <c r="W584" s="2"/>
      <c r="X584" s="2"/>
      <c r="Y584" s="2"/>
      <c r="Z584" s="2"/>
    </row>
    <row r="585" spans="1:26" ht="15.75" customHeight="1" x14ac:dyDescent="0.2">
      <c r="A585" s="12"/>
      <c r="B585" s="10"/>
      <c r="C585" s="11"/>
      <c r="D585" s="13"/>
      <c r="E585" s="13"/>
      <c r="F585" s="13"/>
      <c r="G585" s="2"/>
      <c r="H585" s="2"/>
      <c r="I585" s="13"/>
      <c r="J585" s="13"/>
      <c r="K585" s="13"/>
      <c r="L585" s="14"/>
      <c r="M585" s="4"/>
      <c r="N585" s="2"/>
      <c r="O585" s="4"/>
      <c r="P585" s="2"/>
      <c r="Q585" s="2"/>
      <c r="R585" s="4"/>
      <c r="S585" s="2"/>
      <c r="T585" s="2"/>
      <c r="U585" s="1"/>
      <c r="V585" s="2"/>
      <c r="W585" s="2"/>
      <c r="X585" s="2"/>
      <c r="Y585" s="2"/>
      <c r="Z585" s="2"/>
    </row>
    <row r="586" spans="1:26" ht="15.75" customHeight="1" x14ac:dyDescent="0.2">
      <c r="A586" s="12"/>
      <c r="B586" s="10"/>
      <c r="C586" s="11"/>
      <c r="D586" s="13"/>
      <c r="E586" s="13"/>
      <c r="F586" s="13"/>
      <c r="G586" s="2"/>
      <c r="H586" s="2"/>
      <c r="I586" s="13"/>
      <c r="J586" s="13"/>
      <c r="K586" s="13"/>
      <c r="L586" s="14"/>
      <c r="M586" s="4"/>
      <c r="N586" s="2"/>
      <c r="O586" s="4"/>
      <c r="P586" s="2"/>
      <c r="Q586" s="2"/>
      <c r="R586" s="4"/>
      <c r="S586" s="2"/>
      <c r="T586" s="2"/>
      <c r="U586" s="1"/>
      <c r="V586" s="2"/>
      <c r="W586" s="2"/>
      <c r="X586" s="2"/>
      <c r="Y586" s="2"/>
      <c r="Z586" s="2"/>
    </row>
    <row r="587" spans="1:26" ht="15.75" customHeight="1" x14ac:dyDescent="0.2">
      <c r="A587" s="12"/>
      <c r="B587" s="10"/>
      <c r="C587" s="11"/>
      <c r="D587" s="13"/>
      <c r="E587" s="13"/>
      <c r="F587" s="13"/>
      <c r="G587" s="2"/>
      <c r="H587" s="2"/>
      <c r="I587" s="13"/>
      <c r="J587" s="13"/>
      <c r="K587" s="13"/>
      <c r="L587" s="14"/>
      <c r="M587" s="4"/>
      <c r="N587" s="2"/>
      <c r="O587" s="4"/>
      <c r="P587" s="2"/>
      <c r="Q587" s="2"/>
      <c r="R587" s="4"/>
      <c r="S587" s="2"/>
      <c r="T587" s="2"/>
      <c r="U587" s="1"/>
      <c r="V587" s="2"/>
      <c r="W587" s="2"/>
      <c r="X587" s="2"/>
      <c r="Y587" s="2"/>
      <c r="Z587" s="2"/>
    </row>
    <row r="588" spans="1:26" ht="15.75" customHeight="1" x14ac:dyDescent="0.2">
      <c r="A588" s="12"/>
      <c r="B588" s="10"/>
      <c r="C588" s="11"/>
      <c r="D588" s="13"/>
      <c r="E588" s="13"/>
      <c r="F588" s="13"/>
      <c r="G588" s="2"/>
      <c r="H588" s="2"/>
      <c r="I588" s="13"/>
      <c r="J588" s="13"/>
      <c r="K588" s="13"/>
      <c r="L588" s="14"/>
      <c r="M588" s="4"/>
      <c r="N588" s="2"/>
      <c r="O588" s="4"/>
      <c r="P588" s="2"/>
      <c r="Q588" s="2"/>
      <c r="R588" s="4"/>
      <c r="S588" s="2"/>
      <c r="T588" s="2"/>
      <c r="U588" s="1"/>
      <c r="V588" s="2"/>
      <c r="W588" s="2"/>
      <c r="X588" s="2"/>
      <c r="Y588" s="2"/>
      <c r="Z588" s="2"/>
    </row>
    <row r="589" spans="1:26" ht="15.75" customHeight="1" x14ac:dyDescent="0.2">
      <c r="A589" s="12"/>
      <c r="B589" s="10"/>
      <c r="C589" s="11"/>
      <c r="D589" s="13"/>
      <c r="E589" s="13"/>
      <c r="F589" s="13"/>
      <c r="G589" s="2"/>
      <c r="H589" s="2"/>
      <c r="I589" s="13"/>
      <c r="J589" s="13"/>
      <c r="K589" s="13"/>
      <c r="L589" s="14"/>
      <c r="M589" s="4"/>
      <c r="N589" s="2"/>
      <c r="O589" s="4"/>
      <c r="P589" s="2"/>
      <c r="Q589" s="2"/>
      <c r="R589" s="4"/>
      <c r="S589" s="2"/>
      <c r="T589" s="2"/>
      <c r="U589" s="1"/>
      <c r="V589" s="2"/>
      <c r="W589" s="2"/>
      <c r="X589" s="2"/>
      <c r="Y589" s="2"/>
      <c r="Z589" s="2"/>
    </row>
    <row r="590" spans="1:26" ht="15.75" customHeight="1" x14ac:dyDescent="0.2">
      <c r="A590" s="12"/>
      <c r="B590" s="10"/>
      <c r="C590" s="11"/>
      <c r="D590" s="13"/>
      <c r="E590" s="13"/>
      <c r="F590" s="13"/>
      <c r="G590" s="2"/>
      <c r="H590" s="2"/>
      <c r="I590" s="13"/>
      <c r="J590" s="13"/>
      <c r="K590" s="13"/>
      <c r="L590" s="14"/>
      <c r="M590" s="4"/>
      <c r="N590" s="2"/>
      <c r="O590" s="4"/>
      <c r="P590" s="2"/>
      <c r="Q590" s="2"/>
      <c r="R590" s="4"/>
      <c r="S590" s="2"/>
      <c r="T590" s="2"/>
      <c r="U590" s="1"/>
      <c r="V590" s="2"/>
      <c r="W590" s="2"/>
      <c r="X590" s="2"/>
      <c r="Y590" s="2"/>
      <c r="Z590" s="2"/>
    </row>
    <row r="591" spans="1:26" ht="15.75" customHeight="1" x14ac:dyDescent="0.2">
      <c r="A591" s="12"/>
      <c r="B591" s="10"/>
      <c r="C591" s="11"/>
      <c r="D591" s="13"/>
      <c r="E591" s="13"/>
      <c r="F591" s="13"/>
      <c r="G591" s="2"/>
      <c r="H591" s="2"/>
      <c r="I591" s="13"/>
      <c r="J591" s="13"/>
      <c r="K591" s="13"/>
      <c r="L591" s="14"/>
      <c r="M591" s="4"/>
      <c r="N591" s="2"/>
      <c r="O591" s="4"/>
      <c r="P591" s="2"/>
      <c r="Q591" s="2"/>
      <c r="R591" s="4"/>
      <c r="S591" s="2"/>
      <c r="T591" s="2"/>
      <c r="U591" s="1"/>
      <c r="V591" s="2"/>
      <c r="W591" s="2"/>
      <c r="X591" s="2"/>
      <c r="Y591" s="2"/>
      <c r="Z591" s="2"/>
    </row>
    <row r="592" spans="1:26" ht="15.75" customHeight="1" x14ac:dyDescent="0.2">
      <c r="A592" s="12"/>
      <c r="B592" s="10"/>
      <c r="C592" s="11"/>
      <c r="D592" s="13"/>
      <c r="E592" s="13"/>
      <c r="F592" s="13"/>
      <c r="G592" s="2"/>
      <c r="H592" s="2"/>
      <c r="I592" s="13"/>
      <c r="J592" s="13"/>
      <c r="K592" s="13"/>
      <c r="L592" s="14"/>
      <c r="M592" s="4"/>
      <c r="N592" s="2"/>
      <c r="O592" s="4"/>
      <c r="P592" s="2"/>
      <c r="Q592" s="2"/>
      <c r="R592" s="4"/>
      <c r="S592" s="2"/>
      <c r="T592" s="2"/>
      <c r="U592" s="1"/>
      <c r="V592" s="2"/>
      <c r="W592" s="2"/>
      <c r="X592" s="2"/>
      <c r="Y592" s="2"/>
      <c r="Z592" s="2"/>
    </row>
    <row r="593" spans="1:26" ht="15.75" customHeight="1" x14ac:dyDescent="0.2">
      <c r="A593" s="12"/>
      <c r="B593" s="10"/>
      <c r="C593" s="11"/>
      <c r="D593" s="13"/>
      <c r="E593" s="13"/>
      <c r="F593" s="13"/>
      <c r="G593" s="2"/>
      <c r="H593" s="2"/>
      <c r="I593" s="13"/>
      <c r="J593" s="13"/>
      <c r="K593" s="13"/>
      <c r="L593" s="14"/>
      <c r="M593" s="4"/>
      <c r="N593" s="2"/>
      <c r="O593" s="4"/>
      <c r="P593" s="2"/>
      <c r="Q593" s="2"/>
      <c r="R593" s="4"/>
      <c r="S593" s="2"/>
      <c r="T593" s="2"/>
      <c r="U593" s="1"/>
      <c r="V593" s="2"/>
      <c r="W593" s="2"/>
      <c r="X593" s="2"/>
      <c r="Y593" s="2"/>
      <c r="Z593" s="2"/>
    </row>
    <row r="594" spans="1:26" ht="15.75" customHeight="1" x14ac:dyDescent="0.2">
      <c r="A594" s="12"/>
      <c r="B594" s="10"/>
      <c r="C594" s="11"/>
      <c r="D594" s="13"/>
      <c r="E594" s="13"/>
      <c r="F594" s="13"/>
      <c r="G594" s="2"/>
      <c r="H594" s="2"/>
      <c r="I594" s="13"/>
      <c r="J594" s="13"/>
      <c r="K594" s="13"/>
      <c r="L594" s="14"/>
      <c r="M594" s="4"/>
      <c r="N594" s="2"/>
      <c r="O594" s="4"/>
      <c r="P594" s="2"/>
      <c r="Q594" s="2"/>
      <c r="R594" s="4"/>
      <c r="S594" s="2"/>
      <c r="T594" s="2"/>
      <c r="U594" s="1"/>
      <c r="V594" s="2"/>
      <c r="W594" s="2"/>
      <c r="X594" s="2"/>
      <c r="Y594" s="2"/>
      <c r="Z594" s="2"/>
    </row>
    <row r="595" spans="1:26" ht="15.75" customHeight="1" x14ac:dyDescent="0.2">
      <c r="A595" s="12"/>
      <c r="B595" s="10"/>
      <c r="C595" s="11"/>
      <c r="D595" s="13"/>
      <c r="E595" s="13"/>
      <c r="F595" s="13"/>
      <c r="G595" s="2"/>
      <c r="H595" s="2"/>
      <c r="I595" s="13"/>
      <c r="J595" s="13"/>
      <c r="K595" s="13"/>
      <c r="L595" s="14"/>
      <c r="M595" s="4"/>
      <c r="N595" s="2"/>
      <c r="O595" s="4"/>
      <c r="P595" s="2"/>
      <c r="Q595" s="2"/>
      <c r="R595" s="4"/>
      <c r="S595" s="2"/>
      <c r="T595" s="2"/>
      <c r="U595" s="1"/>
      <c r="V595" s="2"/>
      <c r="W595" s="2"/>
      <c r="X595" s="2"/>
      <c r="Y595" s="2"/>
      <c r="Z595" s="2"/>
    </row>
    <row r="596" spans="1:26" ht="15.75" customHeight="1" x14ac:dyDescent="0.2">
      <c r="A596" s="12"/>
      <c r="B596" s="10"/>
      <c r="C596" s="11"/>
      <c r="D596" s="13"/>
      <c r="E596" s="13"/>
      <c r="F596" s="13"/>
      <c r="G596" s="2"/>
      <c r="H596" s="2"/>
      <c r="I596" s="13"/>
      <c r="J596" s="13"/>
      <c r="K596" s="13"/>
      <c r="L596" s="14"/>
      <c r="M596" s="4"/>
      <c r="N596" s="2"/>
      <c r="O596" s="4"/>
      <c r="P596" s="2"/>
      <c r="Q596" s="2"/>
      <c r="R596" s="4"/>
      <c r="S596" s="2"/>
      <c r="T596" s="2"/>
      <c r="U596" s="1"/>
      <c r="V596" s="2"/>
      <c r="W596" s="2"/>
      <c r="X596" s="2"/>
      <c r="Y596" s="2"/>
      <c r="Z596" s="2"/>
    </row>
    <row r="597" spans="1:26" ht="15.75" customHeight="1" x14ac:dyDescent="0.2">
      <c r="A597" s="12"/>
      <c r="B597" s="10"/>
      <c r="C597" s="11"/>
      <c r="D597" s="13"/>
      <c r="E597" s="13"/>
      <c r="F597" s="13"/>
      <c r="G597" s="2"/>
      <c r="H597" s="2"/>
      <c r="I597" s="13"/>
      <c r="J597" s="13"/>
      <c r="K597" s="13"/>
      <c r="L597" s="14"/>
      <c r="M597" s="4"/>
      <c r="N597" s="2"/>
      <c r="O597" s="4"/>
      <c r="P597" s="2"/>
      <c r="Q597" s="2"/>
      <c r="R597" s="4"/>
      <c r="S597" s="2"/>
      <c r="T597" s="2"/>
      <c r="U597" s="1"/>
      <c r="V597" s="2"/>
      <c r="W597" s="2"/>
      <c r="X597" s="2"/>
      <c r="Y597" s="2"/>
      <c r="Z597" s="2"/>
    </row>
    <row r="598" spans="1:26" ht="15.75" customHeight="1" x14ac:dyDescent="0.2">
      <c r="A598" s="12"/>
      <c r="B598" s="10"/>
      <c r="C598" s="11"/>
      <c r="D598" s="13"/>
      <c r="E598" s="13"/>
      <c r="F598" s="13"/>
      <c r="G598" s="2"/>
      <c r="H598" s="2"/>
      <c r="I598" s="13"/>
      <c r="J598" s="13"/>
      <c r="K598" s="13"/>
      <c r="L598" s="14"/>
      <c r="M598" s="4"/>
      <c r="N598" s="2"/>
      <c r="O598" s="4"/>
      <c r="P598" s="2"/>
      <c r="Q598" s="2"/>
      <c r="R598" s="4"/>
      <c r="S598" s="2"/>
      <c r="T598" s="2"/>
      <c r="U598" s="1"/>
      <c r="V598" s="2"/>
      <c r="W598" s="2"/>
      <c r="X598" s="2"/>
      <c r="Y598" s="2"/>
      <c r="Z598" s="2"/>
    </row>
    <row r="599" spans="1:26" ht="15.75" customHeight="1" x14ac:dyDescent="0.2">
      <c r="A599" s="12"/>
      <c r="B599" s="10"/>
      <c r="C599" s="11"/>
      <c r="D599" s="13"/>
      <c r="E599" s="13"/>
      <c r="F599" s="13"/>
      <c r="G599" s="2"/>
      <c r="H599" s="2"/>
      <c r="I599" s="13"/>
      <c r="J599" s="13"/>
      <c r="K599" s="13"/>
      <c r="L599" s="14"/>
      <c r="M599" s="4"/>
      <c r="N599" s="2"/>
      <c r="O599" s="4"/>
      <c r="P599" s="2"/>
      <c r="Q599" s="2"/>
      <c r="R599" s="4"/>
      <c r="S599" s="2"/>
      <c r="T599" s="2"/>
      <c r="U599" s="1"/>
      <c r="V599" s="2"/>
      <c r="W599" s="2"/>
      <c r="X599" s="2"/>
      <c r="Y599" s="2"/>
      <c r="Z599" s="2"/>
    </row>
    <row r="600" spans="1:26" ht="15.75" customHeight="1" x14ac:dyDescent="0.2">
      <c r="A600" s="12"/>
      <c r="B600" s="10"/>
      <c r="C600" s="11"/>
      <c r="D600" s="13"/>
      <c r="E600" s="13"/>
      <c r="F600" s="13"/>
      <c r="G600" s="2"/>
      <c r="H600" s="2"/>
      <c r="I600" s="13"/>
      <c r="J600" s="13"/>
      <c r="K600" s="13"/>
      <c r="L600" s="14"/>
      <c r="M600" s="4"/>
      <c r="N600" s="2"/>
      <c r="O600" s="4"/>
      <c r="P600" s="2"/>
      <c r="Q600" s="2"/>
      <c r="R600" s="4"/>
      <c r="S600" s="2"/>
      <c r="T600" s="2"/>
      <c r="U600" s="1"/>
      <c r="V600" s="2"/>
      <c r="W600" s="2"/>
      <c r="X600" s="2"/>
      <c r="Y600" s="2"/>
      <c r="Z600" s="2"/>
    </row>
    <row r="601" spans="1:26" ht="15.75" customHeight="1" x14ac:dyDescent="0.2">
      <c r="A601" s="12"/>
      <c r="B601" s="10"/>
      <c r="C601" s="11"/>
      <c r="D601" s="13"/>
      <c r="E601" s="13"/>
      <c r="F601" s="13"/>
      <c r="G601" s="2"/>
      <c r="H601" s="2"/>
      <c r="I601" s="13"/>
      <c r="J601" s="13"/>
      <c r="K601" s="13"/>
      <c r="L601" s="14"/>
      <c r="M601" s="4"/>
      <c r="N601" s="2"/>
      <c r="O601" s="4"/>
      <c r="P601" s="2"/>
      <c r="Q601" s="2"/>
      <c r="R601" s="4"/>
      <c r="S601" s="2"/>
      <c r="T601" s="2"/>
      <c r="U601" s="1"/>
      <c r="V601" s="2"/>
      <c r="W601" s="2"/>
      <c r="X601" s="2"/>
      <c r="Y601" s="2"/>
      <c r="Z601" s="2"/>
    </row>
    <row r="602" spans="1:26" ht="15.75" customHeight="1" x14ac:dyDescent="0.2">
      <c r="A602" s="12"/>
      <c r="B602" s="10"/>
      <c r="C602" s="11"/>
      <c r="D602" s="13"/>
      <c r="E602" s="13"/>
      <c r="F602" s="13"/>
      <c r="G602" s="2"/>
      <c r="H602" s="2"/>
      <c r="I602" s="13"/>
      <c r="J602" s="13"/>
      <c r="K602" s="13"/>
      <c r="L602" s="14"/>
      <c r="M602" s="4"/>
      <c r="N602" s="2"/>
      <c r="O602" s="4"/>
      <c r="P602" s="2"/>
      <c r="Q602" s="2"/>
      <c r="R602" s="4"/>
      <c r="S602" s="2"/>
      <c r="T602" s="2"/>
      <c r="U602" s="1"/>
      <c r="V602" s="2"/>
      <c r="W602" s="2"/>
      <c r="X602" s="2"/>
      <c r="Y602" s="2"/>
      <c r="Z602" s="2"/>
    </row>
    <row r="603" spans="1:26" ht="15.75" customHeight="1" x14ac:dyDescent="0.2">
      <c r="A603" s="12"/>
      <c r="B603" s="10"/>
      <c r="C603" s="11"/>
      <c r="D603" s="13"/>
      <c r="E603" s="13"/>
      <c r="F603" s="13"/>
      <c r="G603" s="2"/>
      <c r="H603" s="2"/>
      <c r="I603" s="13"/>
      <c r="J603" s="13"/>
      <c r="K603" s="13"/>
      <c r="L603" s="14"/>
      <c r="M603" s="4"/>
      <c r="N603" s="2"/>
      <c r="O603" s="4"/>
      <c r="P603" s="2"/>
      <c r="Q603" s="2"/>
      <c r="R603" s="4"/>
      <c r="S603" s="2"/>
      <c r="T603" s="2"/>
      <c r="U603" s="1"/>
      <c r="V603" s="2"/>
      <c r="W603" s="2"/>
      <c r="X603" s="2"/>
      <c r="Y603" s="2"/>
      <c r="Z603" s="2"/>
    </row>
    <row r="604" spans="1:26" ht="15.75" customHeight="1" x14ac:dyDescent="0.2">
      <c r="A604" s="12"/>
      <c r="B604" s="10"/>
      <c r="C604" s="11"/>
      <c r="D604" s="13"/>
      <c r="E604" s="13"/>
      <c r="F604" s="13"/>
      <c r="G604" s="2"/>
      <c r="H604" s="2"/>
      <c r="I604" s="13"/>
      <c r="J604" s="13"/>
      <c r="K604" s="13"/>
      <c r="L604" s="14"/>
      <c r="M604" s="4"/>
      <c r="N604" s="2"/>
      <c r="O604" s="4"/>
      <c r="P604" s="2"/>
      <c r="Q604" s="2"/>
      <c r="R604" s="4"/>
      <c r="S604" s="2"/>
      <c r="T604" s="2"/>
      <c r="U604" s="1"/>
      <c r="V604" s="2"/>
      <c r="W604" s="2"/>
      <c r="X604" s="2"/>
      <c r="Y604" s="2"/>
      <c r="Z604" s="2"/>
    </row>
    <row r="605" spans="1:26" ht="15.75" customHeight="1" x14ac:dyDescent="0.2">
      <c r="A605" s="12"/>
      <c r="B605" s="10"/>
      <c r="C605" s="11"/>
      <c r="D605" s="13"/>
      <c r="E605" s="13"/>
      <c r="F605" s="13"/>
      <c r="G605" s="2"/>
      <c r="H605" s="2"/>
      <c r="I605" s="13"/>
      <c r="J605" s="13"/>
      <c r="K605" s="13"/>
      <c r="L605" s="14"/>
      <c r="M605" s="4"/>
      <c r="N605" s="2"/>
      <c r="O605" s="4"/>
      <c r="P605" s="2"/>
      <c r="Q605" s="2"/>
      <c r="R605" s="4"/>
      <c r="S605" s="2"/>
      <c r="T605" s="2"/>
      <c r="U605" s="1"/>
      <c r="V605" s="2"/>
      <c r="W605" s="2"/>
      <c r="X605" s="2"/>
      <c r="Y605" s="2"/>
      <c r="Z605" s="2"/>
    </row>
    <row r="606" spans="1:26" ht="15.75" customHeight="1" x14ac:dyDescent="0.2">
      <c r="A606" s="12"/>
      <c r="B606" s="10"/>
      <c r="C606" s="11"/>
      <c r="D606" s="13"/>
      <c r="E606" s="13"/>
      <c r="F606" s="13"/>
      <c r="G606" s="2"/>
      <c r="H606" s="2"/>
      <c r="I606" s="13"/>
      <c r="J606" s="13"/>
      <c r="K606" s="13"/>
      <c r="L606" s="14"/>
      <c r="M606" s="4"/>
      <c r="N606" s="2"/>
      <c r="O606" s="4"/>
      <c r="P606" s="2"/>
      <c r="Q606" s="2"/>
      <c r="R606" s="4"/>
      <c r="S606" s="2"/>
      <c r="T606" s="2"/>
      <c r="U606" s="1"/>
      <c r="V606" s="2"/>
      <c r="W606" s="2"/>
      <c r="X606" s="2"/>
      <c r="Y606" s="2"/>
      <c r="Z606" s="2"/>
    </row>
    <row r="607" spans="1:26" ht="15.75" customHeight="1" x14ac:dyDescent="0.2">
      <c r="A607" s="12"/>
      <c r="B607" s="10"/>
      <c r="C607" s="11"/>
      <c r="D607" s="13"/>
      <c r="E607" s="13"/>
      <c r="F607" s="13"/>
      <c r="G607" s="2"/>
      <c r="H607" s="2"/>
      <c r="I607" s="13"/>
      <c r="J607" s="13"/>
      <c r="K607" s="13"/>
      <c r="L607" s="14"/>
      <c r="M607" s="4"/>
      <c r="N607" s="2"/>
      <c r="O607" s="4"/>
      <c r="P607" s="2"/>
      <c r="Q607" s="2"/>
      <c r="R607" s="4"/>
      <c r="S607" s="2"/>
      <c r="T607" s="2"/>
      <c r="U607" s="1"/>
      <c r="V607" s="2"/>
      <c r="W607" s="2"/>
      <c r="X607" s="2"/>
      <c r="Y607" s="2"/>
      <c r="Z607" s="2"/>
    </row>
    <row r="608" spans="1:26" ht="15.75" customHeight="1" x14ac:dyDescent="0.2">
      <c r="A608" s="12"/>
      <c r="B608" s="10"/>
      <c r="C608" s="11"/>
      <c r="D608" s="13"/>
      <c r="E608" s="13"/>
      <c r="F608" s="13"/>
      <c r="G608" s="2"/>
      <c r="H608" s="2"/>
      <c r="I608" s="13"/>
      <c r="J608" s="13"/>
      <c r="K608" s="13"/>
      <c r="L608" s="14"/>
      <c r="M608" s="4"/>
      <c r="N608" s="2"/>
      <c r="O608" s="4"/>
      <c r="P608" s="2"/>
      <c r="Q608" s="2"/>
      <c r="R608" s="4"/>
      <c r="S608" s="2"/>
      <c r="T608" s="2"/>
      <c r="U608" s="1"/>
      <c r="V608" s="2"/>
      <c r="W608" s="2"/>
      <c r="X608" s="2"/>
      <c r="Y608" s="2"/>
      <c r="Z608" s="2"/>
    </row>
    <row r="609" spans="1:26" ht="15.75" customHeight="1" x14ac:dyDescent="0.2">
      <c r="A609" s="12"/>
      <c r="B609" s="10"/>
      <c r="C609" s="11"/>
      <c r="D609" s="13"/>
      <c r="E609" s="13"/>
      <c r="F609" s="13"/>
      <c r="G609" s="2"/>
      <c r="H609" s="2"/>
      <c r="I609" s="13"/>
      <c r="J609" s="13"/>
      <c r="K609" s="13"/>
      <c r="L609" s="14"/>
      <c r="M609" s="4"/>
      <c r="N609" s="2"/>
      <c r="O609" s="4"/>
      <c r="P609" s="2"/>
      <c r="Q609" s="2"/>
      <c r="R609" s="4"/>
      <c r="S609" s="2"/>
      <c r="T609" s="2"/>
      <c r="U609" s="1"/>
      <c r="V609" s="2"/>
      <c r="W609" s="2"/>
      <c r="X609" s="2"/>
      <c r="Y609" s="2"/>
      <c r="Z609" s="2"/>
    </row>
    <row r="610" spans="1:26" ht="15.75" customHeight="1" x14ac:dyDescent="0.2">
      <c r="A610" s="12"/>
      <c r="B610" s="10"/>
      <c r="C610" s="11"/>
      <c r="D610" s="13"/>
      <c r="E610" s="13"/>
      <c r="F610" s="13"/>
      <c r="G610" s="2"/>
      <c r="H610" s="2"/>
      <c r="I610" s="13"/>
      <c r="J610" s="13"/>
      <c r="K610" s="13"/>
      <c r="L610" s="14"/>
      <c r="M610" s="4"/>
      <c r="N610" s="2"/>
      <c r="O610" s="4"/>
      <c r="P610" s="2"/>
      <c r="Q610" s="2"/>
      <c r="R610" s="4"/>
      <c r="S610" s="2"/>
      <c r="T610" s="2"/>
      <c r="U610" s="1"/>
      <c r="V610" s="2"/>
      <c r="W610" s="2"/>
      <c r="X610" s="2"/>
      <c r="Y610" s="2"/>
      <c r="Z610" s="2"/>
    </row>
    <row r="611" spans="1:26" ht="15.75" customHeight="1" x14ac:dyDescent="0.2">
      <c r="A611" s="12"/>
      <c r="B611" s="10"/>
      <c r="C611" s="11"/>
      <c r="D611" s="13"/>
      <c r="E611" s="13"/>
      <c r="F611" s="13"/>
      <c r="G611" s="2"/>
      <c r="H611" s="2"/>
      <c r="I611" s="13"/>
      <c r="J611" s="13"/>
      <c r="K611" s="13"/>
      <c r="L611" s="14"/>
      <c r="M611" s="4"/>
      <c r="N611" s="2"/>
      <c r="O611" s="4"/>
      <c r="P611" s="2"/>
      <c r="Q611" s="2"/>
      <c r="R611" s="4"/>
      <c r="S611" s="2"/>
      <c r="T611" s="2"/>
      <c r="U611" s="1"/>
      <c r="V611" s="2"/>
      <c r="W611" s="2"/>
      <c r="X611" s="2"/>
      <c r="Y611" s="2"/>
      <c r="Z611" s="2"/>
    </row>
    <row r="612" spans="1:26" ht="15.75" customHeight="1" x14ac:dyDescent="0.2">
      <c r="A612" s="12"/>
      <c r="B612" s="10"/>
      <c r="C612" s="11"/>
      <c r="D612" s="13"/>
      <c r="E612" s="13"/>
      <c r="F612" s="13"/>
      <c r="G612" s="2"/>
      <c r="H612" s="2"/>
      <c r="I612" s="13"/>
      <c r="J612" s="13"/>
      <c r="K612" s="13"/>
      <c r="L612" s="14"/>
      <c r="M612" s="4"/>
      <c r="N612" s="2"/>
      <c r="O612" s="4"/>
      <c r="P612" s="2"/>
      <c r="Q612" s="2"/>
      <c r="R612" s="4"/>
      <c r="S612" s="2"/>
      <c r="T612" s="2"/>
      <c r="U612" s="1"/>
      <c r="V612" s="2"/>
      <c r="W612" s="2"/>
      <c r="X612" s="2"/>
      <c r="Y612" s="2"/>
      <c r="Z612" s="2"/>
    </row>
    <row r="613" spans="1:26" ht="15.75" customHeight="1" x14ac:dyDescent="0.2">
      <c r="A613" s="12"/>
      <c r="B613" s="10"/>
      <c r="C613" s="11"/>
      <c r="D613" s="13"/>
      <c r="E613" s="13"/>
      <c r="F613" s="13"/>
      <c r="G613" s="2"/>
      <c r="H613" s="2"/>
      <c r="I613" s="13"/>
      <c r="J613" s="13"/>
      <c r="K613" s="13"/>
      <c r="L613" s="14"/>
      <c r="M613" s="4"/>
      <c r="N613" s="2"/>
      <c r="O613" s="4"/>
      <c r="P613" s="2"/>
      <c r="Q613" s="2"/>
      <c r="R613" s="4"/>
      <c r="S613" s="2"/>
      <c r="T613" s="2"/>
      <c r="U613" s="1"/>
      <c r="V613" s="2"/>
      <c r="W613" s="2"/>
      <c r="X613" s="2"/>
      <c r="Y613" s="2"/>
      <c r="Z613" s="2"/>
    </row>
    <row r="614" spans="1:26" ht="15.75" customHeight="1" x14ac:dyDescent="0.2">
      <c r="A614" s="12"/>
      <c r="B614" s="10"/>
      <c r="C614" s="11"/>
      <c r="D614" s="13"/>
      <c r="E614" s="13"/>
      <c r="F614" s="13"/>
      <c r="G614" s="2"/>
      <c r="H614" s="2"/>
      <c r="I614" s="13"/>
      <c r="J614" s="13"/>
      <c r="K614" s="13"/>
      <c r="L614" s="14"/>
      <c r="M614" s="4"/>
      <c r="N614" s="2"/>
      <c r="O614" s="4"/>
      <c r="P614" s="2"/>
      <c r="Q614" s="2"/>
      <c r="R614" s="4"/>
      <c r="S614" s="2"/>
      <c r="T614" s="2"/>
      <c r="U614" s="1"/>
      <c r="V614" s="2"/>
      <c r="W614" s="2"/>
      <c r="X614" s="2"/>
      <c r="Y614" s="2"/>
      <c r="Z614" s="2"/>
    </row>
    <row r="615" spans="1:26" ht="15.75" customHeight="1" x14ac:dyDescent="0.2">
      <c r="A615" s="12"/>
      <c r="B615" s="10"/>
      <c r="C615" s="11"/>
      <c r="D615" s="13"/>
      <c r="E615" s="13"/>
      <c r="F615" s="13"/>
      <c r="G615" s="2"/>
      <c r="H615" s="2"/>
      <c r="I615" s="13"/>
      <c r="J615" s="13"/>
      <c r="K615" s="13"/>
      <c r="L615" s="14"/>
      <c r="M615" s="4"/>
      <c r="N615" s="2"/>
      <c r="O615" s="4"/>
      <c r="P615" s="2"/>
      <c r="Q615" s="2"/>
      <c r="R615" s="4"/>
      <c r="S615" s="2"/>
      <c r="T615" s="2"/>
      <c r="U615" s="1"/>
      <c r="V615" s="2"/>
      <c r="W615" s="2"/>
      <c r="X615" s="2"/>
      <c r="Y615" s="2"/>
      <c r="Z615" s="2"/>
    </row>
    <row r="616" spans="1:26" ht="15.75" customHeight="1" x14ac:dyDescent="0.2">
      <c r="A616" s="12"/>
      <c r="B616" s="10"/>
      <c r="C616" s="11"/>
      <c r="D616" s="13"/>
      <c r="E616" s="13"/>
      <c r="F616" s="13"/>
      <c r="G616" s="2"/>
      <c r="H616" s="2"/>
      <c r="I616" s="13"/>
      <c r="J616" s="13"/>
      <c r="K616" s="13"/>
      <c r="L616" s="14"/>
      <c r="M616" s="4"/>
      <c r="N616" s="2"/>
      <c r="O616" s="4"/>
      <c r="P616" s="2"/>
      <c r="Q616" s="2"/>
      <c r="R616" s="4"/>
      <c r="S616" s="2"/>
      <c r="T616" s="2"/>
      <c r="U616" s="1"/>
      <c r="V616" s="2"/>
      <c r="W616" s="2"/>
      <c r="X616" s="2"/>
      <c r="Y616" s="2"/>
      <c r="Z616" s="2"/>
    </row>
    <row r="617" spans="1:26" ht="15.75" customHeight="1" x14ac:dyDescent="0.2">
      <c r="A617" s="12"/>
      <c r="B617" s="10"/>
      <c r="C617" s="11"/>
      <c r="D617" s="13"/>
      <c r="E617" s="13"/>
      <c r="F617" s="13"/>
      <c r="G617" s="2"/>
      <c r="H617" s="2"/>
      <c r="I617" s="13"/>
      <c r="J617" s="13"/>
      <c r="K617" s="13"/>
      <c r="L617" s="14"/>
      <c r="M617" s="4"/>
      <c r="N617" s="2"/>
      <c r="O617" s="4"/>
      <c r="P617" s="2"/>
      <c r="Q617" s="2"/>
      <c r="R617" s="4"/>
      <c r="S617" s="2"/>
      <c r="T617" s="2"/>
      <c r="U617" s="1"/>
      <c r="V617" s="2"/>
      <c r="W617" s="2"/>
      <c r="X617" s="2"/>
      <c r="Y617" s="2"/>
      <c r="Z617" s="2"/>
    </row>
    <row r="618" spans="1:26" ht="15.75" customHeight="1" x14ac:dyDescent="0.2">
      <c r="A618" s="12"/>
      <c r="B618" s="10"/>
      <c r="C618" s="11"/>
      <c r="D618" s="13"/>
      <c r="E618" s="13"/>
      <c r="F618" s="13"/>
      <c r="G618" s="2"/>
      <c r="H618" s="2"/>
      <c r="I618" s="13"/>
      <c r="J618" s="13"/>
      <c r="K618" s="13"/>
      <c r="L618" s="14"/>
      <c r="M618" s="4"/>
      <c r="N618" s="2"/>
      <c r="O618" s="4"/>
      <c r="P618" s="2"/>
      <c r="Q618" s="2"/>
      <c r="R618" s="4"/>
      <c r="S618" s="2"/>
      <c r="T618" s="2"/>
      <c r="U618" s="1"/>
      <c r="V618" s="2"/>
      <c r="W618" s="2"/>
      <c r="X618" s="2"/>
      <c r="Y618" s="2"/>
      <c r="Z618" s="2"/>
    </row>
    <row r="619" spans="1:26" ht="15.75" customHeight="1" x14ac:dyDescent="0.2">
      <c r="A619" s="12"/>
      <c r="B619" s="10"/>
      <c r="C619" s="11"/>
      <c r="D619" s="13"/>
      <c r="E619" s="13"/>
      <c r="F619" s="13"/>
      <c r="G619" s="2"/>
      <c r="H619" s="2"/>
      <c r="I619" s="13"/>
      <c r="J619" s="13"/>
      <c r="K619" s="13"/>
      <c r="L619" s="14"/>
      <c r="M619" s="4"/>
      <c r="N619" s="2"/>
      <c r="O619" s="4"/>
      <c r="P619" s="2"/>
      <c r="Q619" s="2"/>
      <c r="R619" s="4"/>
      <c r="S619" s="2"/>
      <c r="T619" s="2"/>
      <c r="U619" s="1"/>
      <c r="V619" s="2"/>
      <c r="W619" s="2"/>
      <c r="X619" s="2"/>
      <c r="Y619" s="2"/>
      <c r="Z619" s="2"/>
    </row>
    <row r="620" spans="1:26" ht="15.75" customHeight="1" x14ac:dyDescent="0.2">
      <c r="A620" s="12"/>
      <c r="B620" s="10"/>
      <c r="C620" s="11"/>
      <c r="D620" s="13"/>
      <c r="E620" s="13"/>
      <c r="F620" s="13"/>
      <c r="G620" s="2"/>
      <c r="H620" s="2"/>
      <c r="I620" s="13"/>
      <c r="J620" s="13"/>
      <c r="K620" s="13"/>
      <c r="L620" s="14"/>
      <c r="M620" s="4"/>
      <c r="N620" s="2"/>
      <c r="O620" s="4"/>
      <c r="P620" s="2"/>
      <c r="Q620" s="2"/>
      <c r="R620" s="4"/>
      <c r="S620" s="2"/>
      <c r="T620" s="2"/>
      <c r="U620" s="1"/>
      <c r="V620" s="2"/>
      <c r="W620" s="2"/>
      <c r="X620" s="2"/>
      <c r="Y620" s="2"/>
      <c r="Z620" s="2"/>
    </row>
    <row r="621" spans="1:26" ht="15.75" customHeight="1" x14ac:dyDescent="0.2">
      <c r="A621" s="12"/>
      <c r="B621" s="10"/>
      <c r="C621" s="11"/>
      <c r="D621" s="13"/>
      <c r="E621" s="13"/>
      <c r="F621" s="13"/>
      <c r="G621" s="2"/>
      <c r="H621" s="2"/>
      <c r="I621" s="13"/>
      <c r="J621" s="13"/>
      <c r="K621" s="13"/>
      <c r="L621" s="14"/>
      <c r="M621" s="4"/>
      <c r="N621" s="2"/>
      <c r="O621" s="4"/>
      <c r="P621" s="2"/>
      <c r="Q621" s="2"/>
      <c r="R621" s="4"/>
      <c r="S621" s="2"/>
      <c r="T621" s="2"/>
      <c r="U621" s="1"/>
      <c r="V621" s="2"/>
      <c r="W621" s="2"/>
      <c r="X621" s="2"/>
      <c r="Y621" s="2"/>
      <c r="Z621" s="2"/>
    </row>
    <row r="622" spans="1:26" ht="15.75" customHeight="1" x14ac:dyDescent="0.2">
      <c r="A622" s="12"/>
      <c r="B622" s="10"/>
      <c r="C622" s="11"/>
      <c r="D622" s="13"/>
      <c r="E622" s="13"/>
      <c r="F622" s="13"/>
      <c r="G622" s="2"/>
      <c r="H622" s="2"/>
      <c r="I622" s="13"/>
      <c r="J622" s="13"/>
      <c r="K622" s="13"/>
      <c r="L622" s="14"/>
      <c r="M622" s="4"/>
      <c r="N622" s="2"/>
      <c r="O622" s="4"/>
      <c r="P622" s="2"/>
      <c r="Q622" s="2"/>
      <c r="R622" s="4"/>
      <c r="S622" s="2"/>
      <c r="T622" s="2"/>
      <c r="U622" s="1"/>
      <c r="V622" s="2"/>
      <c r="W622" s="2"/>
      <c r="X622" s="2"/>
      <c r="Y622" s="2"/>
      <c r="Z622" s="2"/>
    </row>
    <row r="623" spans="1:26" ht="15.75" customHeight="1" x14ac:dyDescent="0.2">
      <c r="A623" s="12"/>
      <c r="B623" s="10"/>
      <c r="C623" s="11"/>
      <c r="D623" s="13"/>
      <c r="E623" s="13"/>
      <c r="F623" s="13"/>
      <c r="G623" s="2"/>
      <c r="H623" s="2"/>
      <c r="I623" s="13"/>
      <c r="J623" s="13"/>
      <c r="K623" s="13"/>
      <c r="L623" s="14"/>
      <c r="M623" s="4"/>
      <c r="N623" s="2"/>
      <c r="O623" s="4"/>
      <c r="P623" s="2"/>
      <c r="Q623" s="2"/>
      <c r="R623" s="4"/>
      <c r="S623" s="2"/>
      <c r="T623" s="2"/>
      <c r="U623" s="1"/>
      <c r="V623" s="2"/>
      <c r="W623" s="2"/>
      <c r="X623" s="2"/>
      <c r="Y623" s="2"/>
      <c r="Z623" s="2"/>
    </row>
    <row r="624" spans="1:26" ht="15.75" customHeight="1" x14ac:dyDescent="0.2">
      <c r="A624" s="12"/>
      <c r="B624" s="10"/>
      <c r="C624" s="11"/>
      <c r="D624" s="13"/>
      <c r="E624" s="13"/>
      <c r="F624" s="13"/>
      <c r="G624" s="2"/>
      <c r="H624" s="2"/>
      <c r="I624" s="13"/>
      <c r="J624" s="13"/>
      <c r="K624" s="13"/>
      <c r="L624" s="14"/>
      <c r="M624" s="4"/>
      <c r="N624" s="2"/>
      <c r="O624" s="4"/>
      <c r="P624" s="2"/>
      <c r="Q624" s="2"/>
      <c r="R624" s="4"/>
      <c r="S624" s="2"/>
      <c r="T624" s="2"/>
      <c r="U624" s="1"/>
      <c r="V624" s="2"/>
      <c r="W624" s="2"/>
      <c r="X624" s="2"/>
      <c r="Y624" s="2"/>
      <c r="Z624" s="2"/>
    </row>
    <row r="625" spans="1:26" ht="15.75" customHeight="1" x14ac:dyDescent="0.2">
      <c r="A625" s="12"/>
      <c r="B625" s="10"/>
      <c r="C625" s="11"/>
      <c r="D625" s="13"/>
      <c r="E625" s="13"/>
      <c r="F625" s="13"/>
      <c r="G625" s="2"/>
      <c r="H625" s="2"/>
      <c r="I625" s="13"/>
      <c r="J625" s="13"/>
      <c r="K625" s="13"/>
      <c r="L625" s="14"/>
      <c r="M625" s="4"/>
      <c r="N625" s="2"/>
      <c r="O625" s="4"/>
      <c r="P625" s="2"/>
      <c r="Q625" s="2"/>
      <c r="R625" s="4"/>
      <c r="S625" s="2"/>
      <c r="T625" s="2"/>
      <c r="U625" s="1"/>
      <c r="V625" s="2"/>
      <c r="W625" s="2"/>
      <c r="X625" s="2"/>
      <c r="Y625" s="2"/>
      <c r="Z625" s="2"/>
    </row>
    <row r="626" spans="1:26" ht="15.75" customHeight="1" x14ac:dyDescent="0.2">
      <c r="A626" s="12"/>
      <c r="B626" s="10"/>
      <c r="C626" s="11"/>
      <c r="D626" s="13"/>
      <c r="E626" s="13"/>
      <c r="F626" s="13"/>
      <c r="G626" s="2"/>
      <c r="H626" s="2"/>
      <c r="I626" s="13"/>
      <c r="J626" s="13"/>
      <c r="K626" s="13"/>
      <c r="L626" s="14"/>
      <c r="M626" s="4"/>
      <c r="N626" s="2"/>
      <c r="O626" s="4"/>
      <c r="P626" s="2"/>
      <c r="Q626" s="2"/>
      <c r="R626" s="4"/>
      <c r="S626" s="2"/>
      <c r="T626" s="2"/>
      <c r="U626" s="1"/>
      <c r="V626" s="2"/>
      <c r="W626" s="2"/>
      <c r="X626" s="2"/>
      <c r="Y626" s="2"/>
      <c r="Z626" s="2"/>
    </row>
    <row r="627" spans="1:26" ht="15.75" customHeight="1" x14ac:dyDescent="0.2">
      <c r="A627" s="12"/>
      <c r="B627" s="10"/>
      <c r="C627" s="11"/>
      <c r="D627" s="13"/>
      <c r="E627" s="13"/>
      <c r="F627" s="13"/>
      <c r="G627" s="2"/>
      <c r="H627" s="2"/>
      <c r="I627" s="13"/>
      <c r="J627" s="13"/>
      <c r="K627" s="13"/>
      <c r="L627" s="14"/>
      <c r="M627" s="4"/>
      <c r="N627" s="2"/>
      <c r="O627" s="4"/>
      <c r="P627" s="2"/>
      <c r="Q627" s="2"/>
      <c r="R627" s="4"/>
      <c r="S627" s="2"/>
      <c r="T627" s="2"/>
      <c r="U627" s="1"/>
      <c r="V627" s="2"/>
      <c r="W627" s="2"/>
      <c r="X627" s="2"/>
      <c r="Y627" s="2"/>
      <c r="Z627" s="2"/>
    </row>
    <row r="628" spans="1:26" ht="15.75" customHeight="1" x14ac:dyDescent="0.2">
      <c r="A628" s="12"/>
      <c r="B628" s="10"/>
      <c r="C628" s="11"/>
      <c r="D628" s="13"/>
      <c r="E628" s="13"/>
      <c r="F628" s="13"/>
      <c r="G628" s="2"/>
      <c r="H628" s="2"/>
      <c r="I628" s="13"/>
      <c r="J628" s="13"/>
      <c r="K628" s="13"/>
      <c r="L628" s="14"/>
      <c r="M628" s="4"/>
      <c r="N628" s="2"/>
      <c r="O628" s="4"/>
      <c r="P628" s="2"/>
      <c r="Q628" s="2"/>
      <c r="R628" s="4"/>
      <c r="S628" s="2"/>
      <c r="T628" s="2"/>
      <c r="U628" s="1"/>
      <c r="V628" s="2"/>
      <c r="W628" s="2"/>
      <c r="X628" s="2"/>
      <c r="Y628" s="2"/>
      <c r="Z628" s="2"/>
    </row>
    <row r="629" spans="1:26" ht="15.75" customHeight="1" x14ac:dyDescent="0.2">
      <c r="A629" s="12"/>
      <c r="B629" s="10"/>
      <c r="C629" s="11"/>
      <c r="D629" s="13"/>
      <c r="E629" s="13"/>
      <c r="F629" s="13"/>
      <c r="G629" s="2"/>
      <c r="H629" s="2"/>
      <c r="I629" s="13"/>
      <c r="J629" s="13"/>
      <c r="K629" s="13"/>
      <c r="L629" s="14"/>
      <c r="M629" s="4"/>
      <c r="N629" s="2"/>
      <c r="O629" s="4"/>
      <c r="P629" s="2"/>
      <c r="Q629" s="2"/>
      <c r="R629" s="4"/>
      <c r="S629" s="2"/>
      <c r="T629" s="2"/>
      <c r="U629" s="1"/>
      <c r="V629" s="2"/>
      <c r="W629" s="2"/>
      <c r="X629" s="2"/>
      <c r="Y629" s="2"/>
      <c r="Z629" s="2"/>
    </row>
    <row r="630" spans="1:26" ht="15.75" customHeight="1" x14ac:dyDescent="0.2">
      <c r="A630" s="12"/>
      <c r="B630" s="10"/>
      <c r="C630" s="11"/>
      <c r="D630" s="13"/>
      <c r="E630" s="13"/>
      <c r="F630" s="13"/>
      <c r="G630" s="2"/>
      <c r="H630" s="2"/>
      <c r="I630" s="13"/>
      <c r="J630" s="13"/>
      <c r="K630" s="13"/>
      <c r="L630" s="14"/>
      <c r="M630" s="4"/>
      <c r="N630" s="2"/>
      <c r="O630" s="4"/>
      <c r="P630" s="2"/>
      <c r="Q630" s="2"/>
      <c r="R630" s="4"/>
      <c r="S630" s="2"/>
      <c r="T630" s="2"/>
      <c r="U630" s="1"/>
      <c r="V630" s="2"/>
      <c r="W630" s="2"/>
      <c r="X630" s="2"/>
      <c r="Y630" s="2"/>
      <c r="Z630" s="2"/>
    </row>
    <row r="631" spans="1:26" ht="15.75" customHeight="1" x14ac:dyDescent="0.2">
      <c r="A631" s="12"/>
      <c r="B631" s="10"/>
      <c r="C631" s="11"/>
      <c r="D631" s="13"/>
      <c r="E631" s="13"/>
      <c r="F631" s="13"/>
      <c r="G631" s="2"/>
      <c r="H631" s="2"/>
      <c r="I631" s="13"/>
      <c r="J631" s="13"/>
      <c r="K631" s="13"/>
      <c r="L631" s="14"/>
      <c r="M631" s="4"/>
      <c r="N631" s="2"/>
      <c r="O631" s="4"/>
      <c r="P631" s="2"/>
      <c r="Q631" s="2"/>
      <c r="R631" s="4"/>
      <c r="S631" s="2"/>
      <c r="T631" s="2"/>
      <c r="U631" s="1"/>
      <c r="V631" s="2"/>
      <c r="W631" s="2"/>
      <c r="X631" s="2"/>
      <c r="Y631" s="2"/>
      <c r="Z631" s="2"/>
    </row>
    <row r="632" spans="1:26" ht="15.75" customHeight="1" x14ac:dyDescent="0.2">
      <c r="A632" s="12"/>
      <c r="B632" s="10"/>
      <c r="C632" s="11"/>
      <c r="D632" s="13"/>
      <c r="E632" s="13"/>
      <c r="F632" s="13"/>
      <c r="G632" s="2"/>
      <c r="H632" s="2"/>
      <c r="I632" s="13"/>
      <c r="J632" s="13"/>
      <c r="K632" s="13"/>
      <c r="L632" s="14"/>
      <c r="M632" s="4"/>
      <c r="N632" s="2"/>
      <c r="O632" s="4"/>
      <c r="P632" s="2"/>
      <c r="Q632" s="2"/>
      <c r="R632" s="4"/>
      <c r="S632" s="2"/>
      <c r="T632" s="2"/>
      <c r="U632" s="1"/>
      <c r="V632" s="2"/>
      <c r="W632" s="2"/>
      <c r="X632" s="2"/>
      <c r="Y632" s="2"/>
      <c r="Z632" s="2"/>
    </row>
    <row r="633" spans="1:26" ht="15.75" customHeight="1" x14ac:dyDescent="0.2">
      <c r="A633" s="12"/>
      <c r="B633" s="10"/>
      <c r="C633" s="11"/>
      <c r="D633" s="13"/>
      <c r="E633" s="13"/>
      <c r="F633" s="13"/>
      <c r="G633" s="2"/>
      <c r="H633" s="2"/>
      <c r="I633" s="13"/>
      <c r="J633" s="13"/>
      <c r="K633" s="13"/>
      <c r="L633" s="14"/>
      <c r="M633" s="4"/>
      <c r="N633" s="2"/>
      <c r="O633" s="4"/>
      <c r="P633" s="2"/>
      <c r="Q633" s="2"/>
      <c r="R633" s="4"/>
      <c r="S633" s="2"/>
      <c r="T633" s="2"/>
      <c r="U633" s="1"/>
      <c r="V633" s="2"/>
      <c r="W633" s="2"/>
      <c r="X633" s="2"/>
      <c r="Y633" s="2"/>
      <c r="Z633" s="2"/>
    </row>
    <row r="634" spans="1:26" ht="15.75" customHeight="1" x14ac:dyDescent="0.2">
      <c r="A634" s="12"/>
      <c r="B634" s="10"/>
      <c r="C634" s="11"/>
      <c r="D634" s="13"/>
      <c r="E634" s="13"/>
      <c r="F634" s="13"/>
      <c r="G634" s="2"/>
      <c r="H634" s="2"/>
      <c r="I634" s="13"/>
      <c r="J634" s="13"/>
      <c r="K634" s="13"/>
      <c r="L634" s="14"/>
      <c r="M634" s="4"/>
      <c r="N634" s="2"/>
      <c r="O634" s="4"/>
      <c r="P634" s="2"/>
      <c r="Q634" s="2"/>
      <c r="R634" s="4"/>
      <c r="S634" s="2"/>
      <c r="T634" s="2"/>
      <c r="U634" s="1"/>
      <c r="V634" s="2"/>
      <c r="W634" s="2"/>
      <c r="X634" s="2"/>
      <c r="Y634" s="2"/>
      <c r="Z634" s="2"/>
    </row>
    <row r="635" spans="1:26" ht="15.75" customHeight="1" x14ac:dyDescent="0.2">
      <c r="A635" s="12"/>
      <c r="B635" s="10"/>
      <c r="C635" s="11"/>
      <c r="D635" s="13"/>
      <c r="E635" s="13"/>
      <c r="F635" s="13"/>
      <c r="G635" s="2"/>
      <c r="H635" s="2"/>
      <c r="I635" s="13"/>
      <c r="J635" s="13"/>
      <c r="K635" s="13"/>
      <c r="L635" s="14"/>
      <c r="M635" s="4"/>
      <c r="N635" s="2"/>
      <c r="O635" s="4"/>
      <c r="P635" s="2"/>
      <c r="Q635" s="2"/>
      <c r="R635" s="4"/>
      <c r="S635" s="2"/>
      <c r="T635" s="2"/>
      <c r="U635" s="1"/>
      <c r="V635" s="2"/>
      <c r="W635" s="2"/>
      <c r="X635" s="2"/>
      <c r="Y635" s="2"/>
      <c r="Z635" s="2"/>
    </row>
    <row r="636" spans="1:26" ht="15.75" customHeight="1" x14ac:dyDescent="0.2">
      <c r="A636" s="12"/>
      <c r="B636" s="10"/>
      <c r="C636" s="11"/>
      <c r="D636" s="13"/>
      <c r="E636" s="13"/>
      <c r="F636" s="13"/>
      <c r="G636" s="2"/>
      <c r="H636" s="2"/>
      <c r="I636" s="13"/>
      <c r="J636" s="13"/>
      <c r="K636" s="13"/>
      <c r="L636" s="14"/>
      <c r="M636" s="4"/>
      <c r="N636" s="2"/>
      <c r="O636" s="4"/>
      <c r="P636" s="2"/>
      <c r="Q636" s="2"/>
      <c r="R636" s="4"/>
      <c r="S636" s="2"/>
      <c r="T636" s="2"/>
      <c r="U636" s="1"/>
      <c r="V636" s="2"/>
      <c r="W636" s="2"/>
      <c r="X636" s="2"/>
      <c r="Y636" s="2"/>
      <c r="Z636" s="2"/>
    </row>
    <row r="637" spans="1:26" ht="15.75" customHeight="1" x14ac:dyDescent="0.2">
      <c r="A637" s="12"/>
      <c r="B637" s="10"/>
      <c r="C637" s="11"/>
      <c r="D637" s="13"/>
      <c r="E637" s="13"/>
      <c r="F637" s="13"/>
      <c r="G637" s="2"/>
      <c r="H637" s="2"/>
      <c r="I637" s="13"/>
      <c r="J637" s="13"/>
      <c r="K637" s="13"/>
      <c r="L637" s="14"/>
      <c r="M637" s="4"/>
      <c r="N637" s="2"/>
      <c r="O637" s="4"/>
      <c r="P637" s="2"/>
      <c r="Q637" s="2"/>
      <c r="R637" s="4"/>
      <c r="S637" s="2"/>
      <c r="T637" s="2"/>
      <c r="U637" s="1"/>
      <c r="V637" s="2"/>
      <c r="W637" s="2"/>
      <c r="X637" s="2"/>
      <c r="Y637" s="2"/>
      <c r="Z637" s="2"/>
    </row>
    <row r="638" spans="1:26" ht="15.75" customHeight="1" x14ac:dyDescent="0.2">
      <c r="A638" s="12"/>
      <c r="B638" s="10"/>
      <c r="C638" s="11"/>
      <c r="D638" s="13"/>
      <c r="E638" s="13"/>
      <c r="F638" s="13"/>
      <c r="G638" s="2"/>
      <c r="H638" s="2"/>
      <c r="I638" s="13"/>
      <c r="J638" s="13"/>
      <c r="K638" s="13"/>
      <c r="L638" s="14"/>
      <c r="M638" s="4"/>
      <c r="N638" s="2"/>
      <c r="O638" s="4"/>
      <c r="P638" s="2"/>
      <c r="Q638" s="2"/>
      <c r="R638" s="4"/>
      <c r="S638" s="2"/>
      <c r="T638" s="2"/>
      <c r="U638" s="1"/>
      <c r="V638" s="2"/>
      <c r="W638" s="2"/>
      <c r="X638" s="2"/>
      <c r="Y638" s="2"/>
      <c r="Z638" s="2"/>
    </row>
    <row r="639" spans="1:26" ht="15.75" customHeight="1" x14ac:dyDescent="0.2">
      <c r="A639" s="12"/>
      <c r="B639" s="10"/>
      <c r="C639" s="11"/>
      <c r="D639" s="13"/>
      <c r="E639" s="13"/>
      <c r="F639" s="13"/>
      <c r="G639" s="2"/>
      <c r="H639" s="2"/>
      <c r="I639" s="13"/>
      <c r="J639" s="13"/>
      <c r="K639" s="13"/>
      <c r="L639" s="14"/>
      <c r="M639" s="4"/>
      <c r="N639" s="2"/>
      <c r="O639" s="4"/>
      <c r="P639" s="2"/>
      <c r="Q639" s="2"/>
      <c r="R639" s="4"/>
      <c r="S639" s="2"/>
      <c r="T639" s="2"/>
      <c r="U639" s="1"/>
      <c r="V639" s="2"/>
      <c r="W639" s="2"/>
      <c r="X639" s="2"/>
      <c r="Y639" s="2"/>
      <c r="Z639" s="2"/>
    </row>
    <row r="640" spans="1:26" ht="15.75" customHeight="1" x14ac:dyDescent="0.2">
      <c r="A640" s="12"/>
      <c r="B640" s="10"/>
      <c r="C640" s="11"/>
      <c r="D640" s="13"/>
      <c r="E640" s="13"/>
      <c r="F640" s="13"/>
      <c r="G640" s="2"/>
      <c r="H640" s="2"/>
      <c r="I640" s="13"/>
      <c r="J640" s="13"/>
      <c r="K640" s="13"/>
      <c r="L640" s="14"/>
      <c r="M640" s="4"/>
      <c r="N640" s="2"/>
      <c r="O640" s="4"/>
      <c r="P640" s="2"/>
      <c r="Q640" s="2"/>
      <c r="R640" s="4"/>
      <c r="S640" s="2"/>
      <c r="T640" s="2"/>
      <c r="U640" s="1"/>
      <c r="V640" s="2"/>
      <c r="W640" s="2"/>
      <c r="X640" s="2"/>
      <c r="Y640" s="2"/>
      <c r="Z640" s="2"/>
    </row>
    <row r="641" spans="1:26" ht="15.75" customHeight="1" x14ac:dyDescent="0.2">
      <c r="A641" s="12"/>
      <c r="B641" s="10"/>
      <c r="C641" s="11"/>
      <c r="D641" s="13"/>
      <c r="E641" s="13"/>
      <c r="F641" s="13"/>
      <c r="G641" s="2"/>
      <c r="H641" s="2"/>
      <c r="I641" s="13"/>
      <c r="J641" s="13"/>
      <c r="K641" s="13"/>
      <c r="L641" s="14"/>
      <c r="M641" s="4"/>
      <c r="N641" s="2"/>
      <c r="O641" s="4"/>
      <c r="P641" s="2"/>
      <c r="Q641" s="2"/>
      <c r="R641" s="4"/>
      <c r="S641" s="2"/>
      <c r="T641" s="2"/>
      <c r="U641" s="1"/>
      <c r="V641" s="2"/>
      <c r="W641" s="2"/>
      <c r="X641" s="2"/>
      <c r="Y641" s="2"/>
      <c r="Z641" s="2"/>
    </row>
    <row r="642" spans="1:26" ht="15.75" customHeight="1" x14ac:dyDescent="0.2">
      <c r="A642" s="12"/>
      <c r="B642" s="10"/>
      <c r="C642" s="11"/>
      <c r="D642" s="13"/>
      <c r="E642" s="13"/>
      <c r="F642" s="13"/>
      <c r="G642" s="2"/>
      <c r="H642" s="2"/>
      <c r="I642" s="13"/>
      <c r="J642" s="13"/>
      <c r="K642" s="13"/>
      <c r="L642" s="14"/>
      <c r="M642" s="4"/>
      <c r="N642" s="2"/>
      <c r="O642" s="4"/>
      <c r="P642" s="2"/>
      <c r="Q642" s="2"/>
      <c r="R642" s="4"/>
      <c r="S642" s="2"/>
      <c r="T642" s="2"/>
      <c r="U642" s="1"/>
      <c r="V642" s="2"/>
      <c r="W642" s="2"/>
      <c r="X642" s="2"/>
      <c r="Y642" s="2"/>
      <c r="Z642" s="2"/>
    </row>
    <row r="643" spans="1:26" ht="15.75" customHeight="1" x14ac:dyDescent="0.2">
      <c r="A643" s="12"/>
      <c r="B643" s="10"/>
      <c r="C643" s="11"/>
      <c r="D643" s="13"/>
      <c r="E643" s="13"/>
      <c r="F643" s="13"/>
      <c r="G643" s="2"/>
      <c r="H643" s="2"/>
      <c r="I643" s="13"/>
      <c r="J643" s="13"/>
      <c r="K643" s="13"/>
      <c r="L643" s="14"/>
      <c r="M643" s="4"/>
      <c r="N643" s="2"/>
      <c r="O643" s="4"/>
      <c r="P643" s="2"/>
      <c r="Q643" s="2"/>
      <c r="R643" s="4"/>
      <c r="S643" s="2"/>
      <c r="T643" s="2"/>
      <c r="U643" s="1"/>
      <c r="V643" s="2"/>
      <c r="W643" s="2"/>
      <c r="X643" s="2"/>
      <c r="Y643" s="2"/>
      <c r="Z643" s="2"/>
    </row>
    <row r="644" spans="1:26" ht="15.75" customHeight="1" x14ac:dyDescent="0.2">
      <c r="A644" s="12"/>
      <c r="B644" s="10"/>
      <c r="C644" s="11"/>
      <c r="D644" s="13"/>
      <c r="E644" s="13"/>
      <c r="F644" s="13"/>
      <c r="G644" s="2"/>
      <c r="H644" s="2"/>
      <c r="I644" s="13"/>
      <c r="J644" s="13"/>
      <c r="K644" s="13"/>
      <c r="L644" s="14"/>
      <c r="M644" s="4"/>
      <c r="N644" s="2"/>
      <c r="O644" s="4"/>
      <c r="P644" s="2"/>
      <c r="Q644" s="2"/>
      <c r="R644" s="4"/>
      <c r="S644" s="2"/>
      <c r="T644" s="2"/>
      <c r="U644" s="1"/>
      <c r="V644" s="2"/>
      <c r="W644" s="2"/>
      <c r="X644" s="2"/>
      <c r="Y644" s="2"/>
      <c r="Z644" s="2"/>
    </row>
    <row r="645" spans="1:26" ht="15.75" customHeight="1" x14ac:dyDescent="0.2">
      <c r="A645" s="12"/>
      <c r="B645" s="10"/>
      <c r="C645" s="11"/>
      <c r="D645" s="13"/>
      <c r="E645" s="13"/>
      <c r="F645" s="13"/>
      <c r="G645" s="2"/>
      <c r="H645" s="2"/>
      <c r="I645" s="13"/>
      <c r="J645" s="13"/>
      <c r="K645" s="13"/>
      <c r="L645" s="14"/>
      <c r="M645" s="4"/>
      <c r="N645" s="2"/>
      <c r="O645" s="4"/>
      <c r="P645" s="2"/>
      <c r="Q645" s="2"/>
      <c r="R645" s="4"/>
      <c r="S645" s="2"/>
      <c r="T645" s="2"/>
      <c r="U645" s="1"/>
      <c r="V645" s="2"/>
      <c r="W645" s="2"/>
      <c r="X645" s="2"/>
      <c r="Y645" s="2"/>
      <c r="Z645" s="2"/>
    </row>
    <row r="646" spans="1:26" ht="15.75" customHeight="1" x14ac:dyDescent="0.2">
      <c r="A646" s="12"/>
      <c r="B646" s="10"/>
      <c r="C646" s="11"/>
      <c r="D646" s="13"/>
      <c r="E646" s="13"/>
      <c r="F646" s="13"/>
      <c r="G646" s="2"/>
      <c r="H646" s="2"/>
      <c r="I646" s="13"/>
      <c r="J646" s="13"/>
      <c r="K646" s="13"/>
      <c r="L646" s="14"/>
      <c r="M646" s="4"/>
      <c r="N646" s="2"/>
      <c r="O646" s="4"/>
      <c r="P646" s="2"/>
      <c r="Q646" s="2"/>
      <c r="R646" s="4"/>
      <c r="S646" s="2"/>
      <c r="T646" s="2"/>
      <c r="U646" s="1"/>
      <c r="V646" s="2"/>
      <c r="W646" s="2"/>
      <c r="X646" s="2"/>
      <c r="Y646" s="2"/>
      <c r="Z646" s="2"/>
    </row>
    <row r="647" spans="1:26" ht="15.75" customHeight="1" x14ac:dyDescent="0.2">
      <c r="A647" s="12"/>
      <c r="B647" s="10"/>
      <c r="C647" s="11"/>
      <c r="D647" s="13"/>
      <c r="E647" s="13"/>
      <c r="F647" s="13"/>
      <c r="G647" s="2"/>
      <c r="H647" s="2"/>
      <c r="I647" s="13"/>
      <c r="J647" s="13"/>
      <c r="K647" s="13"/>
      <c r="L647" s="14"/>
      <c r="M647" s="4"/>
      <c r="N647" s="2"/>
      <c r="O647" s="4"/>
      <c r="P647" s="2"/>
      <c r="Q647" s="2"/>
      <c r="R647" s="4"/>
      <c r="S647" s="2"/>
      <c r="T647" s="2"/>
      <c r="U647" s="1"/>
      <c r="V647" s="2"/>
      <c r="W647" s="2"/>
      <c r="X647" s="2"/>
      <c r="Y647" s="2"/>
      <c r="Z647" s="2"/>
    </row>
    <row r="648" spans="1:26" ht="15.75" customHeight="1" x14ac:dyDescent="0.2">
      <c r="A648" s="12"/>
      <c r="B648" s="10"/>
      <c r="C648" s="11"/>
      <c r="D648" s="13"/>
      <c r="E648" s="13"/>
      <c r="F648" s="13"/>
      <c r="G648" s="2"/>
      <c r="H648" s="2"/>
      <c r="I648" s="13"/>
      <c r="J648" s="13"/>
      <c r="K648" s="13"/>
      <c r="L648" s="14"/>
      <c r="M648" s="4"/>
      <c r="N648" s="2"/>
      <c r="O648" s="4"/>
      <c r="P648" s="2"/>
      <c r="Q648" s="2"/>
      <c r="R648" s="4"/>
      <c r="S648" s="2"/>
      <c r="T648" s="2"/>
      <c r="U648" s="1"/>
      <c r="V648" s="2"/>
      <c r="W648" s="2"/>
      <c r="X648" s="2"/>
      <c r="Y648" s="2"/>
      <c r="Z648" s="2"/>
    </row>
    <row r="649" spans="1:26" ht="15.75" customHeight="1" x14ac:dyDescent="0.2">
      <c r="A649" s="12"/>
      <c r="B649" s="10"/>
      <c r="C649" s="11"/>
      <c r="D649" s="13"/>
      <c r="E649" s="13"/>
      <c r="F649" s="13"/>
      <c r="G649" s="2"/>
      <c r="H649" s="2"/>
      <c r="I649" s="13"/>
      <c r="J649" s="13"/>
      <c r="K649" s="13"/>
      <c r="L649" s="14"/>
      <c r="M649" s="4"/>
      <c r="N649" s="2"/>
      <c r="O649" s="4"/>
      <c r="P649" s="2"/>
      <c r="Q649" s="2"/>
      <c r="R649" s="4"/>
      <c r="S649" s="2"/>
      <c r="T649" s="2"/>
      <c r="U649" s="1"/>
      <c r="V649" s="2"/>
      <c r="W649" s="2"/>
      <c r="X649" s="2"/>
      <c r="Y649" s="2"/>
      <c r="Z649" s="2"/>
    </row>
    <row r="650" spans="1:26" ht="15.75" customHeight="1" x14ac:dyDescent="0.2">
      <c r="A650" s="12"/>
      <c r="B650" s="10"/>
      <c r="C650" s="11"/>
      <c r="D650" s="13"/>
      <c r="E650" s="13"/>
      <c r="F650" s="13"/>
      <c r="G650" s="2"/>
      <c r="H650" s="2"/>
      <c r="I650" s="13"/>
      <c r="J650" s="13"/>
      <c r="K650" s="13"/>
      <c r="L650" s="14"/>
      <c r="M650" s="4"/>
      <c r="N650" s="2"/>
      <c r="O650" s="4"/>
      <c r="P650" s="2"/>
      <c r="Q650" s="2"/>
      <c r="R650" s="4"/>
      <c r="S650" s="2"/>
      <c r="T650" s="2"/>
      <c r="U650" s="1"/>
      <c r="V650" s="2"/>
      <c r="W650" s="2"/>
      <c r="X650" s="2"/>
      <c r="Y650" s="2"/>
      <c r="Z650" s="2"/>
    </row>
    <row r="651" spans="1:26" ht="15.75" customHeight="1" x14ac:dyDescent="0.2">
      <c r="A651" s="12"/>
      <c r="B651" s="10"/>
      <c r="C651" s="11"/>
      <c r="D651" s="13"/>
      <c r="E651" s="13"/>
      <c r="F651" s="13"/>
      <c r="G651" s="2"/>
      <c r="H651" s="2"/>
      <c r="I651" s="13"/>
      <c r="J651" s="13"/>
      <c r="K651" s="13"/>
      <c r="L651" s="14"/>
      <c r="M651" s="4"/>
      <c r="N651" s="2"/>
      <c r="O651" s="4"/>
      <c r="P651" s="2"/>
      <c r="Q651" s="2"/>
      <c r="R651" s="4"/>
      <c r="S651" s="2"/>
      <c r="T651" s="2"/>
      <c r="U651" s="1"/>
      <c r="V651" s="2"/>
      <c r="W651" s="2"/>
      <c r="X651" s="2"/>
      <c r="Y651" s="2"/>
      <c r="Z651" s="2"/>
    </row>
    <row r="652" spans="1:26" ht="15.75" customHeight="1" x14ac:dyDescent="0.2">
      <c r="A652" s="12"/>
      <c r="B652" s="10"/>
      <c r="C652" s="11"/>
      <c r="D652" s="13"/>
      <c r="E652" s="13"/>
      <c r="F652" s="13"/>
      <c r="G652" s="2"/>
      <c r="H652" s="2"/>
      <c r="I652" s="13"/>
      <c r="J652" s="13"/>
      <c r="K652" s="13"/>
      <c r="L652" s="14"/>
      <c r="M652" s="4"/>
      <c r="N652" s="2"/>
      <c r="O652" s="4"/>
      <c r="P652" s="2"/>
      <c r="Q652" s="2"/>
      <c r="R652" s="4"/>
      <c r="S652" s="2"/>
      <c r="T652" s="2"/>
      <c r="U652" s="1"/>
      <c r="V652" s="2"/>
      <c r="W652" s="2"/>
      <c r="X652" s="2"/>
      <c r="Y652" s="2"/>
      <c r="Z652" s="2"/>
    </row>
    <row r="653" spans="1:26" ht="15.75" customHeight="1" x14ac:dyDescent="0.2">
      <c r="A653" s="12"/>
      <c r="B653" s="10"/>
      <c r="C653" s="11"/>
      <c r="D653" s="13"/>
      <c r="E653" s="13"/>
      <c r="F653" s="13"/>
      <c r="G653" s="2"/>
      <c r="H653" s="2"/>
      <c r="I653" s="13"/>
      <c r="J653" s="13"/>
      <c r="K653" s="13"/>
      <c r="L653" s="14"/>
      <c r="M653" s="4"/>
      <c r="N653" s="2"/>
      <c r="O653" s="4"/>
      <c r="P653" s="2"/>
      <c r="Q653" s="2"/>
      <c r="R653" s="4"/>
      <c r="S653" s="2"/>
      <c r="T653" s="2"/>
      <c r="U653" s="1"/>
      <c r="V653" s="2"/>
      <c r="W653" s="2"/>
      <c r="X653" s="2"/>
      <c r="Y653" s="2"/>
      <c r="Z653" s="2"/>
    </row>
    <row r="654" spans="1:26" ht="15.75" customHeight="1" x14ac:dyDescent="0.2">
      <c r="A654" s="12"/>
      <c r="B654" s="10"/>
      <c r="C654" s="11"/>
      <c r="D654" s="13"/>
      <c r="E654" s="13"/>
      <c r="F654" s="13"/>
      <c r="G654" s="2"/>
      <c r="H654" s="2"/>
      <c r="I654" s="13"/>
      <c r="J654" s="13"/>
      <c r="K654" s="13"/>
      <c r="L654" s="14"/>
      <c r="M654" s="4"/>
      <c r="N654" s="2"/>
      <c r="O654" s="4"/>
      <c r="P654" s="2"/>
      <c r="Q654" s="2"/>
      <c r="R654" s="4"/>
      <c r="S654" s="2"/>
      <c r="T654" s="2"/>
      <c r="U654" s="1"/>
      <c r="V654" s="2"/>
      <c r="W654" s="2"/>
      <c r="X654" s="2"/>
      <c r="Y654" s="2"/>
      <c r="Z654" s="2"/>
    </row>
    <row r="655" spans="1:26" ht="15.75" customHeight="1" x14ac:dyDescent="0.2">
      <c r="A655" s="12"/>
      <c r="B655" s="10"/>
      <c r="C655" s="11"/>
      <c r="D655" s="13"/>
      <c r="E655" s="13"/>
      <c r="F655" s="13"/>
      <c r="G655" s="2"/>
      <c r="H655" s="2"/>
      <c r="I655" s="13"/>
      <c r="J655" s="13"/>
      <c r="K655" s="13"/>
      <c r="L655" s="14"/>
      <c r="M655" s="4"/>
      <c r="N655" s="2"/>
      <c r="O655" s="4"/>
      <c r="P655" s="2"/>
      <c r="Q655" s="2"/>
      <c r="R655" s="4"/>
      <c r="S655" s="2"/>
      <c r="T655" s="2"/>
      <c r="U655" s="1"/>
      <c r="V655" s="2"/>
      <c r="W655" s="2"/>
      <c r="X655" s="2"/>
      <c r="Y655" s="2"/>
      <c r="Z655" s="2"/>
    </row>
    <row r="656" spans="1:26" ht="15.75" customHeight="1" x14ac:dyDescent="0.2">
      <c r="A656" s="12"/>
      <c r="B656" s="10"/>
      <c r="C656" s="11"/>
      <c r="D656" s="13"/>
      <c r="E656" s="13"/>
      <c r="F656" s="13"/>
      <c r="G656" s="2"/>
      <c r="H656" s="2"/>
      <c r="I656" s="13"/>
      <c r="J656" s="13"/>
      <c r="K656" s="13"/>
      <c r="L656" s="14"/>
      <c r="M656" s="4"/>
      <c r="N656" s="2"/>
      <c r="O656" s="4"/>
      <c r="P656" s="2"/>
      <c r="Q656" s="2"/>
      <c r="R656" s="4"/>
      <c r="S656" s="2"/>
      <c r="T656" s="2"/>
      <c r="U656" s="1"/>
      <c r="V656" s="2"/>
      <c r="W656" s="2"/>
      <c r="X656" s="2"/>
      <c r="Y656" s="2"/>
      <c r="Z656" s="2"/>
    </row>
    <row r="657" spans="1:26" ht="15.75" customHeight="1" x14ac:dyDescent="0.2">
      <c r="A657" s="12"/>
      <c r="B657" s="10"/>
      <c r="C657" s="11"/>
      <c r="D657" s="13"/>
      <c r="E657" s="13"/>
      <c r="F657" s="13"/>
      <c r="G657" s="2"/>
      <c r="H657" s="2"/>
      <c r="I657" s="13"/>
      <c r="J657" s="13"/>
      <c r="K657" s="13"/>
      <c r="L657" s="14"/>
      <c r="M657" s="4"/>
      <c r="N657" s="2"/>
      <c r="O657" s="4"/>
      <c r="P657" s="2"/>
      <c r="Q657" s="2"/>
      <c r="R657" s="4"/>
      <c r="S657" s="2"/>
      <c r="T657" s="2"/>
      <c r="U657" s="1"/>
      <c r="V657" s="2"/>
      <c r="W657" s="2"/>
      <c r="X657" s="2"/>
      <c r="Y657" s="2"/>
      <c r="Z657" s="2"/>
    </row>
    <row r="658" spans="1:26" ht="15.75" customHeight="1" x14ac:dyDescent="0.2">
      <c r="A658" s="12"/>
      <c r="B658" s="10"/>
      <c r="C658" s="11"/>
      <c r="D658" s="13"/>
      <c r="E658" s="13"/>
      <c r="F658" s="13"/>
      <c r="G658" s="2"/>
      <c r="H658" s="2"/>
      <c r="I658" s="13"/>
      <c r="J658" s="13"/>
      <c r="K658" s="13"/>
      <c r="L658" s="14"/>
      <c r="M658" s="4"/>
      <c r="N658" s="2"/>
      <c r="O658" s="4"/>
      <c r="P658" s="2"/>
      <c r="Q658" s="2"/>
      <c r="R658" s="4"/>
      <c r="S658" s="2"/>
      <c r="T658" s="2"/>
      <c r="U658" s="1"/>
      <c r="V658" s="2"/>
      <c r="W658" s="2"/>
      <c r="X658" s="2"/>
      <c r="Y658" s="2"/>
      <c r="Z658" s="2"/>
    </row>
    <row r="659" spans="1:26" ht="15.75" customHeight="1" x14ac:dyDescent="0.2">
      <c r="A659" s="12"/>
      <c r="B659" s="10"/>
      <c r="C659" s="11"/>
      <c r="D659" s="13"/>
      <c r="E659" s="13"/>
      <c r="F659" s="13"/>
      <c r="G659" s="2"/>
      <c r="H659" s="2"/>
      <c r="I659" s="13"/>
      <c r="J659" s="13"/>
      <c r="K659" s="13"/>
      <c r="L659" s="14"/>
      <c r="M659" s="4"/>
      <c r="N659" s="2"/>
      <c r="O659" s="4"/>
      <c r="P659" s="2"/>
      <c r="Q659" s="2"/>
      <c r="R659" s="4"/>
      <c r="S659" s="2"/>
      <c r="T659" s="2"/>
      <c r="U659" s="1"/>
      <c r="V659" s="2"/>
      <c r="W659" s="2"/>
      <c r="X659" s="2"/>
      <c r="Y659" s="2"/>
      <c r="Z659" s="2"/>
    </row>
    <row r="660" spans="1:26" ht="15.75" customHeight="1" x14ac:dyDescent="0.2">
      <c r="A660" s="12"/>
      <c r="B660" s="10"/>
      <c r="C660" s="11"/>
      <c r="D660" s="13"/>
      <c r="E660" s="13"/>
      <c r="F660" s="13"/>
      <c r="G660" s="2"/>
      <c r="H660" s="2"/>
      <c r="I660" s="13"/>
      <c r="J660" s="13"/>
      <c r="K660" s="13"/>
      <c r="L660" s="14"/>
      <c r="M660" s="4"/>
      <c r="N660" s="2"/>
      <c r="O660" s="4"/>
      <c r="P660" s="2"/>
      <c r="Q660" s="2"/>
      <c r="R660" s="4"/>
      <c r="S660" s="2"/>
      <c r="T660" s="2"/>
      <c r="U660" s="1"/>
      <c r="V660" s="2"/>
      <c r="W660" s="2"/>
      <c r="X660" s="2"/>
      <c r="Y660" s="2"/>
      <c r="Z660" s="2"/>
    </row>
    <row r="661" spans="1:26" ht="15.75" customHeight="1" x14ac:dyDescent="0.2">
      <c r="A661" s="12"/>
      <c r="B661" s="10"/>
      <c r="C661" s="11"/>
      <c r="D661" s="13"/>
      <c r="E661" s="13"/>
      <c r="F661" s="13"/>
      <c r="G661" s="2"/>
      <c r="H661" s="2"/>
      <c r="I661" s="13"/>
      <c r="J661" s="13"/>
      <c r="K661" s="13"/>
      <c r="L661" s="14"/>
      <c r="M661" s="4"/>
      <c r="N661" s="2"/>
      <c r="O661" s="4"/>
      <c r="P661" s="2"/>
      <c r="Q661" s="2"/>
      <c r="R661" s="4"/>
      <c r="S661" s="2"/>
      <c r="T661" s="2"/>
      <c r="U661" s="1"/>
      <c r="V661" s="2"/>
      <c r="W661" s="2"/>
      <c r="X661" s="2"/>
      <c r="Y661" s="2"/>
      <c r="Z661" s="2"/>
    </row>
    <row r="662" spans="1:26" ht="15.75" customHeight="1" x14ac:dyDescent="0.2">
      <c r="A662" s="12"/>
      <c r="B662" s="10"/>
      <c r="C662" s="11"/>
      <c r="D662" s="13"/>
      <c r="E662" s="13"/>
      <c r="F662" s="13"/>
      <c r="G662" s="2"/>
      <c r="H662" s="2"/>
      <c r="I662" s="13"/>
      <c r="J662" s="13"/>
      <c r="K662" s="13"/>
      <c r="L662" s="14"/>
      <c r="M662" s="4"/>
      <c r="N662" s="2"/>
      <c r="O662" s="4"/>
      <c r="P662" s="2"/>
      <c r="Q662" s="2"/>
      <c r="R662" s="4"/>
      <c r="S662" s="2"/>
      <c r="T662" s="2"/>
      <c r="U662" s="1"/>
      <c r="V662" s="2"/>
      <c r="W662" s="2"/>
      <c r="X662" s="2"/>
      <c r="Y662" s="2"/>
      <c r="Z662" s="2"/>
    </row>
    <row r="663" spans="1:26" ht="15.75" customHeight="1" x14ac:dyDescent="0.2">
      <c r="A663" s="12"/>
      <c r="B663" s="10"/>
      <c r="C663" s="11"/>
      <c r="D663" s="13"/>
      <c r="E663" s="13"/>
      <c r="F663" s="13"/>
      <c r="G663" s="2"/>
      <c r="H663" s="2"/>
      <c r="I663" s="13"/>
      <c r="J663" s="13"/>
      <c r="K663" s="13"/>
      <c r="L663" s="14"/>
      <c r="M663" s="4"/>
      <c r="N663" s="2"/>
      <c r="O663" s="4"/>
      <c r="P663" s="2"/>
      <c r="Q663" s="2"/>
      <c r="R663" s="4"/>
      <c r="S663" s="2"/>
      <c r="T663" s="2"/>
      <c r="U663" s="1"/>
      <c r="V663" s="2"/>
      <c r="W663" s="2"/>
      <c r="X663" s="2"/>
      <c r="Y663" s="2"/>
      <c r="Z663" s="2"/>
    </row>
    <row r="664" spans="1:26" ht="15.75" customHeight="1" x14ac:dyDescent="0.2">
      <c r="A664" s="12"/>
      <c r="B664" s="10"/>
      <c r="C664" s="11"/>
      <c r="D664" s="13"/>
      <c r="E664" s="13"/>
      <c r="F664" s="13"/>
      <c r="G664" s="2"/>
      <c r="H664" s="2"/>
      <c r="I664" s="13"/>
      <c r="J664" s="13"/>
      <c r="K664" s="13"/>
      <c r="L664" s="14"/>
      <c r="M664" s="4"/>
      <c r="N664" s="2"/>
      <c r="O664" s="4"/>
      <c r="P664" s="2"/>
      <c r="Q664" s="2"/>
      <c r="R664" s="4"/>
      <c r="S664" s="2"/>
      <c r="T664" s="2"/>
      <c r="U664" s="1"/>
      <c r="V664" s="2"/>
      <c r="W664" s="2"/>
      <c r="X664" s="2"/>
      <c r="Y664" s="2"/>
      <c r="Z664" s="2"/>
    </row>
    <row r="665" spans="1:26" ht="15.75" customHeight="1" x14ac:dyDescent="0.2">
      <c r="A665" s="12"/>
      <c r="B665" s="10"/>
      <c r="C665" s="11"/>
      <c r="D665" s="13"/>
      <c r="E665" s="13"/>
      <c r="F665" s="13"/>
      <c r="G665" s="2"/>
      <c r="H665" s="2"/>
      <c r="I665" s="13"/>
      <c r="J665" s="13"/>
      <c r="K665" s="13"/>
      <c r="L665" s="14"/>
      <c r="M665" s="4"/>
      <c r="N665" s="2"/>
      <c r="O665" s="4"/>
      <c r="P665" s="2"/>
      <c r="Q665" s="2"/>
      <c r="R665" s="4"/>
      <c r="S665" s="2"/>
      <c r="T665" s="2"/>
      <c r="U665" s="1"/>
      <c r="V665" s="2"/>
      <c r="W665" s="2"/>
      <c r="X665" s="2"/>
      <c r="Y665" s="2"/>
      <c r="Z665" s="2"/>
    </row>
    <row r="666" spans="1:26" ht="15.75" customHeight="1" x14ac:dyDescent="0.2">
      <c r="A666" s="12"/>
      <c r="B666" s="10"/>
      <c r="C666" s="11"/>
      <c r="D666" s="13"/>
      <c r="E666" s="13"/>
      <c r="F666" s="13"/>
      <c r="G666" s="2"/>
      <c r="H666" s="2"/>
      <c r="I666" s="13"/>
      <c r="J666" s="13"/>
      <c r="K666" s="13"/>
      <c r="L666" s="14"/>
      <c r="M666" s="4"/>
      <c r="N666" s="2"/>
      <c r="O666" s="4"/>
      <c r="P666" s="2"/>
      <c r="Q666" s="2"/>
      <c r="R666" s="4"/>
      <c r="S666" s="2"/>
      <c r="T666" s="2"/>
      <c r="U666" s="1"/>
      <c r="V666" s="2"/>
      <c r="W666" s="2"/>
      <c r="X666" s="2"/>
      <c r="Y666" s="2"/>
      <c r="Z666" s="2"/>
    </row>
    <row r="667" spans="1:26" ht="15.75" customHeight="1" x14ac:dyDescent="0.2">
      <c r="A667" s="12"/>
      <c r="B667" s="10"/>
      <c r="C667" s="11"/>
      <c r="D667" s="13"/>
      <c r="E667" s="13"/>
      <c r="F667" s="13"/>
      <c r="G667" s="2"/>
      <c r="H667" s="2"/>
      <c r="I667" s="13"/>
      <c r="J667" s="13"/>
      <c r="K667" s="13"/>
      <c r="L667" s="14"/>
      <c r="M667" s="4"/>
      <c r="N667" s="2"/>
      <c r="O667" s="4"/>
      <c r="P667" s="2"/>
      <c r="Q667" s="2"/>
      <c r="R667" s="4"/>
      <c r="S667" s="2"/>
      <c r="T667" s="2"/>
      <c r="U667" s="1"/>
      <c r="V667" s="2"/>
      <c r="W667" s="2"/>
      <c r="X667" s="2"/>
      <c r="Y667" s="2"/>
      <c r="Z667" s="2"/>
    </row>
    <row r="668" spans="1:26" ht="15.75" customHeight="1" x14ac:dyDescent="0.2">
      <c r="A668" s="12"/>
      <c r="B668" s="10"/>
      <c r="C668" s="11"/>
      <c r="D668" s="13"/>
      <c r="E668" s="13"/>
      <c r="F668" s="13"/>
      <c r="G668" s="2"/>
      <c r="H668" s="2"/>
      <c r="I668" s="13"/>
      <c r="J668" s="13"/>
      <c r="K668" s="13"/>
      <c r="L668" s="14"/>
      <c r="M668" s="4"/>
      <c r="N668" s="2"/>
      <c r="O668" s="4"/>
      <c r="P668" s="2"/>
      <c r="Q668" s="2"/>
      <c r="R668" s="4"/>
      <c r="S668" s="2"/>
      <c r="T668" s="2"/>
      <c r="U668" s="1"/>
      <c r="V668" s="2"/>
      <c r="W668" s="2"/>
      <c r="X668" s="2"/>
      <c r="Y668" s="2"/>
      <c r="Z668" s="2"/>
    </row>
    <row r="669" spans="1:26" ht="15.75" customHeight="1" x14ac:dyDescent="0.2">
      <c r="A669" s="12"/>
      <c r="B669" s="10"/>
      <c r="C669" s="11"/>
      <c r="D669" s="13"/>
      <c r="E669" s="13"/>
      <c r="F669" s="13"/>
      <c r="G669" s="2"/>
      <c r="H669" s="2"/>
      <c r="I669" s="13"/>
      <c r="J669" s="13"/>
      <c r="K669" s="13"/>
      <c r="L669" s="14"/>
      <c r="M669" s="4"/>
      <c r="N669" s="2"/>
      <c r="O669" s="4"/>
      <c r="P669" s="2"/>
      <c r="Q669" s="2"/>
      <c r="R669" s="4"/>
      <c r="S669" s="2"/>
      <c r="T669" s="2"/>
      <c r="U669" s="1"/>
      <c r="V669" s="2"/>
      <c r="W669" s="2"/>
      <c r="X669" s="2"/>
      <c r="Y669" s="2"/>
      <c r="Z669" s="2"/>
    </row>
    <row r="670" spans="1:26" ht="15.75" customHeight="1" x14ac:dyDescent="0.2">
      <c r="A670" s="12"/>
      <c r="B670" s="10"/>
      <c r="C670" s="11"/>
      <c r="D670" s="13"/>
      <c r="E670" s="13"/>
      <c r="F670" s="13"/>
      <c r="G670" s="2"/>
      <c r="H670" s="2"/>
      <c r="I670" s="13"/>
      <c r="J670" s="13"/>
      <c r="K670" s="13"/>
      <c r="L670" s="14"/>
      <c r="M670" s="4"/>
      <c r="N670" s="2"/>
      <c r="O670" s="4"/>
      <c r="P670" s="2"/>
      <c r="Q670" s="2"/>
      <c r="R670" s="4"/>
      <c r="S670" s="2"/>
      <c r="T670" s="2"/>
      <c r="U670" s="1"/>
      <c r="V670" s="2"/>
      <c r="W670" s="2"/>
      <c r="X670" s="2"/>
      <c r="Y670" s="2"/>
      <c r="Z670" s="2"/>
    </row>
    <row r="671" spans="1:26" ht="15.75" customHeight="1" x14ac:dyDescent="0.2">
      <c r="A671" s="12"/>
      <c r="B671" s="10"/>
      <c r="C671" s="11"/>
      <c r="D671" s="13"/>
      <c r="E671" s="13"/>
      <c r="F671" s="13"/>
      <c r="G671" s="2"/>
      <c r="H671" s="2"/>
      <c r="I671" s="13"/>
      <c r="J671" s="13"/>
      <c r="K671" s="13"/>
      <c r="L671" s="14"/>
      <c r="M671" s="4"/>
      <c r="N671" s="2"/>
      <c r="O671" s="4"/>
      <c r="P671" s="2"/>
      <c r="Q671" s="2"/>
      <c r="R671" s="4"/>
      <c r="S671" s="2"/>
      <c r="T671" s="2"/>
      <c r="U671" s="1"/>
      <c r="V671" s="2"/>
      <c r="W671" s="2"/>
      <c r="X671" s="2"/>
      <c r="Y671" s="2"/>
      <c r="Z671" s="2"/>
    </row>
    <row r="672" spans="1:26" ht="15.75" customHeight="1" x14ac:dyDescent="0.2">
      <c r="A672" s="12"/>
      <c r="B672" s="10"/>
      <c r="C672" s="11"/>
      <c r="D672" s="13"/>
      <c r="E672" s="13"/>
      <c r="F672" s="13"/>
      <c r="G672" s="2"/>
      <c r="H672" s="2"/>
      <c r="I672" s="13"/>
      <c r="J672" s="13"/>
      <c r="K672" s="13"/>
      <c r="L672" s="14"/>
      <c r="M672" s="4"/>
      <c r="N672" s="2"/>
      <c r="O672" s="4"/>
      <c r="P672" s="2"/>
      <c r="Q672" s="2"/>
      <c r="R672" s="4"/>
      <c r="S672" s="2"/>
      <c r="T672" s="2"/>
      <c r="U672" s="1"/>
      <c r="V672" s="2"/>
      <c r="W672" s="2"/>
      <c r="X672" s="2"/>
      <c r="Y672" s="2"/>
      <c r="Z672" s="2"/>
    </row>
    <row r="673" spans="1:26" ht="15.75" customHeight="1" x14ac:dyDescent="0.2">
      <c r="A673" s="12"/>
      <c r="B673" s="10"/>
      <c r="C673" s="11"/>
      <c r="D673" s="13"/>
      <c r="E673" s="13"/>
      <c r="F673" s="13"/>
      <c r="G673" s="2"/>
      <c r="H673" s="2"/>
      <c r="I673" s="13"/>
      <c r="J673" s="13"/>
      <c r="K673" s="13"/>
      <c r="L673" s="14"/>
      <c r="M673" s="4"/>
      <c r="N673" s="2"/>
      <c r="O673" s="4"/>
      <c r="P673" s="2"/>
      <c r="Q673" s="2"/>
      <c r="R673" s="4"/>
      <c r="S673" s="2"/>
      <c r="T673" s="2"/>
      <c r="U673" s="1"/>
      <c r="V673" s="2"/>
      <c r="W673" s="2"/>
      <c r="X673" s="2"/>
      <c r="Y673" s="2"/>
      <c r="Z673" s="2"/>
    </row>
    <row r="674" spans="1:26" ht="15.75" customHeight="1" x14ac:dyDescent="0.2">
      <c r="A674" s="12"/>
      <c r="B674" s="10"/>
      <c r="C674" s="11"/>
      <c r="D674" s="13"/>
      <c r="E674" s="13"/>
      <c r="F674" s="13"/>
      <c r="G674" s="2"/>
      <c r="H674" s="2"/>
      <c r="I674" s="13"/>
      <c r="J674" s="13"/>
      <c r="K674" s="13"/>
      <c r="L674" s="14"/>
      <c r="M674" s="4"/>
      <c r="N674" s="2"/>
      <c r="O674" s="4"/>
      <c r="P674" s="2"/>
      <c r="Q674" s="2"/>
      <c r="R674" s="4"/>
      <c r="S674" s="2"/>
      <c r="T674" s="2"/>
      <c r="U674" s="1"/>
      <c r="V674" s="2"/>
      <c r="W674" s="2"/>
      <c r="X674" s="2"/>
      <c r="Y674" s="2"/>
      <c r="Z674" s="2"/>
    </row>
    <row r="675" spans="1:26" ht="15.75" customHeight="1" x14ac:dyDescent="0.2">
      <c r="A675" s="12"/>
      <c r="B675" s="10"/>
      <c r="C675" s="11"/>
      <c r="D675" s="13"/>
      <c r="E675" s="13"/>
      <c r="F675" s="13"/>
      <c r="G675" s="2"/>
      <c r="H675" s="2"/>
      <c r="I675" s="13"/>
      <c r="J675" s="13"/>
      <c r="K675" s="13"/>
      <c r="L675" s="14"/>
      <c r="M675" s="4"/>
      <c r="N675" s="2"/>
      <c r="O675" s="4"/>
      <c r="P675" s="2"/>
      <c r="Q675" s="2"/>
      <c r="R675" s="4"/>
      <c r="S675" s="2"/>
      <c r="T675" s="2"/>
      <c r="U675" s="1"/>
      <c r="V675" s="2"/>
      <c r="W675" s="2"/>
      <c r="X675" s="2"/>
      <c r="Y675" s="2"/>
      <c r="Z675" s="2"/>
    </row>
    <row r="676" spans="1:26" ht="15.75" customHeight="1" x14ac:dyDescent="0.2">
      <c r="A676" s="12"/>
      <c r="B676" s="10"/>
      <c r="C676" s="11"/>
      <c r="D676" s="13"/>
      <c r="E676" s="13"/>
      <c r="F676" s="13"/>
      <c r="G676" s="2"/>
      <c r="H676" s="2"/>
      <c r="I676" s="13"/>
      <c r="J676" s="13"/>
      <c r="K676" s="13"/>
      <c r="L676" s="14"/>
      <c r="M676" s="4"/>
      <c r="N676" s="2"/>
      <c r="O676" s="4"/>
      <c r="P676" s="2"/>
      <c r="Q676" s="2"/>
      <c r="R676" s="4"/>
      <c r="S676" s="2"/>
      <c r="T676" s="2"/>
      <c r="U676" s="1"/>
      <c r="V676" s="2"/>
      <c r="W676" s="2"/>
      <c r="X676" s="2"/>
      <c r="Y676" s="2"/>
      <c r="Z676" s="2"/>
    </row>
    <row r="677" spans="1:26" ht="15.75" customHeight="1" x14ac:dyDescent="0.2">
      <c r="A677" s="12"/>
      <c r="B677" s="10"/>
      <c r="C677" s="11"/>
      <c r="D677" s="13"/>
      <c r="E677" s="13"/>
      <c r="F677" s="13"/>
      <c r="G677" s="2"/>
      <c r="H677" s="2"/>
      <c r="I677" s="13"/>
      <c r="J677" s="13"/>
      <c r="K677" s="13"/>
      <c r="L677" s="14"/>
      <c r="M677" s="4"/>
      <c r="N677" s="2"/>
      <c r="O677" s="4"/>
      <c r="P677" s="2"/>
      <c r="Q677" s="2"/>
      <c r="R677" s="4"/>
      <c r="S677" s="2"/>
      <c r="T677" s="2"/>
      <c r="U677" s="1"/>
      <c r="V677" s="2"/>
      <c r="W677" s="2"/>
      <c r="X677" s="2"/>
      <c r="Y677" s="2"/>
      <c r="Z677" s="2"/>
    </row>
    <row r="678" spans="1:26" ht="15.75" customHeight="1" x14ac:dyDescent="0.2">
      <c r="A678" s="12"/>
      <c r="B678" s="10"/>
      <c r="C678" s="11"/>
      <c r="D678" s="13"/>
      <c r="E678" s="13"/>
      <c r="F678" s="13"/>
      <c r="G678" s="2"/>
      <c r="H678" s="2"/>
      <c r="I678" s="13"/>
      <c r="J678" s="13"/>
      <c r="K678" s="13"/>
      <c r="L678" s="14"/>
      <c r="M678" s="4"/>
      <c r="N678" s="2"/>
      <c r="O678" s="4"/>
      <c r="P678" s="2"/>
      <c r="Q678" s="2"/>
      <c r="R678" s="4"/>
      <c r="S678" s="2"/>
      <c r="T678" s="2"/>
      <c r="U678" s="1"/>
      <c r="V678" s="2"/>
      <c r="W678" s="2"/>
      <c r="X678" s="2"/>
      <c r="Y678" s="2"/>
      <c r="Z678" s="2"/>
    </row>
    <row r="679" spans="1:26" ht="15.75" customHeight="1" x14ac:dyDescent="0.2">
      <c r="A679" s="12"/>
      <c r="B679" s="10"/>
      <c r="C679" s="11"/>
      <c r="D679" s="13"/>
      <c r="E679" s="13"/>
      <c r="F679" s="13"/>
      <c r="G679" s="2"/>
      <c r="H679" s="2"/>
      <c r="I679" s="13"/>
      <c r="J679" s="13"/>
      <c r="K679" s="13"/>
      <c r="L679" s="14"/>
      <c r="M679" s="4"/>
      <c r="N679" s="2"/>
      <c r="O679" s="4"/>
      <c r="P679" s="2"/>
      <c r="Q679" s="2"/>
      <c r="R679" s="4"/>
      <c r="S679" s="2"/>
      <c r="T679" s="2"/>
      <c r="U679" s="1"/>
      <c r="V679" s="2"/>
      <c r="W679" s="2"/>
      <c r="X679" s="2"/>
      <c r="Y679" s="2"/>
      <c r="Z679" s="2"/>
    </row>
    <row r="680" spans="1:26" ht="15.75" customHeight="1" x14ac:dyDescent="0.2">
      <c r="A680" s="12"/>
      <c r="B680" s="10"/>
      <c r="C680" s="11"/>
      <c r="D680" s="13"/>
      <c r="E680" s="13"/>
      <c r="F680" s="13"/>
      <c r="G680" s="2"/>
      <c r="H680" s="2"/>
      <c r="I680" s="13"/>
      <c r="J680" s="13"/>
      <c r="K680" s="13"/>
      <c r="L680" s="14"/>
      <c r="M680" s="4"/>
      <c r="N680" s="2"/>
      <c r="O680" s="4"/>
      <c r="P680" s="2"/>
      <c r="Q680" s="2"/>
      <c r="R680" s="4"/>
      <c r="S680" s="2"/>
      <c r="T680" s="2"/>
      <c r="U680" s="1"/>
      <c r="V680" s="2"/>
      <c r="W680" s="2"/>
      <c r="X680" s="2"/>
      <c r="Y680" s="2"/>
      <c r="Z680" s="2"/>
    </row>
    <row r="681" spans="1:26" ht="15.75" customHeight="1" x14ac:dyDescent="0.2">
      <c r="A681" s="12"/>
      <c r="B681" s="10"/>
      <c r="C681" s="11"/>
      <c r="D681" s="13"/>
      <c r="E681" s="13"/>
      <c r="F681" s="13"/>
      <c r="G681" s="2"/>
      <c r="H681" s="2"/>
      <c r="I681" s="13"/>
      <c r="J681" s="13"/>
      <c r="K681" s="13"/>
      <c r="L681" s="14"/>
      <c r="M681" s="4"/>
      <c r="N681" s="2"/>
      <c r="O681" s="4"/>
      <c r="P681" s="2"/>
      <c r="Q681" s="2"/>
      <c r="R681" s="4"/>
      <c r="S681" s="2"/>
      <c r="T681" s="2"/>
      <c r="U681" s="1"/>
      <c r="V681" s="2"/>
      <c r="W681" s="2"/>
      <c r="X681" s="2"/>
      <c r="Y681" s="2"/>
      <c r="Z681" s="2"/>
    </row>
    <row r="682" spans="1:26" ht="15.75" customHeight="1" x14ac:dyDescent="0.2">
      <c r="A682" s="12"/>
      <c r="B682" s="10"/>
      <c r="C682" s="11"/>
      <c r="D682" s="13"/>
      <c r="E682" s="13"/>
      <c r="F682" s="13"/>
      <c r="G682" s="2"/>
      <c r="H682" s="2"/>
      <c r="I682" s="13"/>
      <c r="J682" s="13"/>
      <c r="K682" s="13"/>
      <c r="L682" s="14"/>
      <c r="M682" s="4"/>
      <c r="N682" s="2"/>
      <c r="O682" s="4"/>
      <c r="P682" s="2"/>
      <c r="Q682" s="2"/>
      <c r="R682" s="4"/>
      <c r="S682" s="2"/>
      <c r="T682" s="2"/>
      <c r="U682" s="1"/>
      <c r="V682" s="2"/>
      <c r="W682" s="2"/>
      <c r="X682" s="2"/>
      <c r="Y682" s="2"/>
      <c r="Z682" s="2"/>
    </row>
    <row r="683" spans="1:26" ht="15.75" customHeight="1" x14ac:dyDescent="0.2">
      <c r="A683" s="12"/>
      <c r="B683" s="10"/>
      <c r="C683" s="11"/>
      <c r="D683" s="13"/>
      <c r="E683" s="13"/>
      <c r="F683" s="13"/>
      <c r="G683" s="2"/>
      <c r="H683" s="2"/>
      <c r="I683" s="13"/>
      <c r="J683" s="13"/>
      <c r="K683" s="13"/>
      <c r="L683" s="14"/>
      <c r="M683" s="4"/>
      <c r="N683" s="2"/>
      <c r="O683" s="4"/>
      <c r="P683" s="2"/>
      <c r="Q683" s="2"/>
      <c r="R683" s="4"/>
      <c r="S683" s="2"/>
      <c r="T683" s="2"/>
      <c r="U683" s="1"/>
      <c r="V683" s="2"/>
      <c r="W683" s="2"/>
      <c r="X683" s="2"/>
      <c r="Y683" s="2"/>
      <c r="Z683" s="2"/>
    </row>
    <row r="684" spans="1:26" ht="15.75" customHeight="1" x14ac:dyDescent="0.2">
      <c r="A684" s="12"/>
      <c r="B684" s="10"/>
      <c r="C684" s="11"/>
      <c r="D684" s="13"/>
      <c r="E684" s="13"/>
      <c r="F684" s="13"/>
      <c r="G684" s="2"/>
      <c r="H684" s="2"/>
      <c r="I684" s="13"/>
      <c r="J684" s="13"/>
      <c r="K684" s="13"/>
      <c r="L684" s="14"/>
      <c r="M684" s="4"/>
      <c r="N684" s="2"/>
      <c r="O684" s="4"/>
      <c r="P684" s="2"/>
      <c r="Q684" s="2"/>
      <c r="R684" s="4"/>
      <c r="S684" s="2"/>
      <c r="T684" s="2"/>
      <c r="U684" s="1"/>
      <c r="V684" s="2"/>
      <c r="W684" s="2"/>
      <c r="X684" s="2"/>
      <c r="Y684" s="2"/>
      <c r="Z684" s="2"/>
    </row>
    <row r="685" spans="1:26" ht="15.75" customHeight="1" x14ac:dyDescent="0.2">
      <c r="A685" s="12"/>
      <c r="B685" s="10"/>
      <c r="C685" s="11"/>
      <c r="D685" s="13"/>
      <c r="E685" s="13"/>
      <c r="F685" s="13"/>
      <c r="G685" s="2"/>
      <c r="H685" s="2"/>
      <c r="I685" s="13"/>
      <c r="J685" s="13"/>
      <c r="K685" s="13"/>
      <c r="L685" s="14"/>
      <c r="M685" s="4"/>
      <c r="N685" s="2"/>
      <c r="O685" s="4"/>
      <c r="P685" s="2"/>
      <c r="Q685" s="2"/>
      <c r="R685" s="4"/>
      <c r="S685" s="2"/>
      <c r="T685" s="2"/>
      <c r="U685" s="1"/>
      <c r="V685" s="2"/>
      <c r="W685" s="2"/>
      <c r="X685" s="2"/>
      <c r="Y685" s="2"/>
      <c r="Z685" s="2"/>
    </row>
    <row r="686" spans="1:26" ht="15.75" customHeight="1" x14ac:dyDescent="0.2">
      <c r="A686" s="12"/>
      <c r="B686" s="10"/>
      <c r="C686" s="11"/>
      <c r="D686" s="13"/>
      <c r="E686" s="13"/>
      <c r="F686" s="13"/>
      <c r="G686" s="2"/>
      <c r="H686" s="2"/>
      <c r="I686" s="13"/>
      <c r="J686" s="13"/>
      <c r="K686" s="13"/>
      <c r="L686" s="14"/>
      <c r="M686" s="4"/>
      <c r="N686" s="2"/>
      <c r="O686" s="4"/>
      <c r="P686" s="2"/>
      <c r="Q686" s="2"/>
      <c r="R686" s="4"/>
      <c r="S686" s="2"/>
      <c r="T686" s="2"/>
      <c r="U686" s="1"/>
      <c r="V686" s="2"/>
      <c r="W686" s="2"/>
      <c r="X686" s="2"/>
      <c r="Y686" s="2"/>
      <c r="Z686" s="2"/>
    </row>
    <row r="687" spans="1:26" ht="15.75" customHeight="1" x14ac:dyDescent="0.2">
      <c r="A687" s="12"/>
      <c r="B687" s="10"/>
      <c r="C687" s="11"/>
      <c r="D687" s="13"/>
      <c r="E687" s="13"/>
      <c r="F687" s="13"/>
      <c r="G687" s="2"/>
      <c r="H687" s="2"/>
      <c r="I687" s="13"/>
      <c r="J687" s="13"/>
      <c r="K687" s="13"/>
      <c r="L687" s="14"/>
      <c r="M687" s="4"/>
      <c r="N687" s="2"/>
      <c r="O687" s="4"/>
      <c r="P687" s="2"/>
      <c r="Q687" s="2"/>
      <c r="R687" s="4"/>
      <c r="S687" s="2"/>
      <c r="T687" s="2"/>
      <c r="U687" s="1"/>
      <c r="V687" s="2"/>
      <c r="W687" s="2"/>
      <c r="X687" s="2"/>
      <c r="Y687" s="2"/>
      <c r="Z687" s="2"/>
    </row>
    <row r="688" spans="1:26" ht="15.75" customHeight="1" x14ac:dyDescent="0.2">
      <c r="A688" s="12"/>
      <c r="B688" s="10"/>
      <c r="C688" s="11"/>
      <c r="D688" s="13"/>
      <c r="E688" s="13"/>
      <c r="F688" s="13"/>
      <c r="G688" s="2"/>
      <c r="H688" s="2"/>
      <c r="I688" s="13"/>
      <c r="J688" s="13"/>
      <c r="K688" s="13"/>
      <c r="L688" s="14"/>
      <c r="M688" s="4"/>
      <c r="N688" s="2"/>
      <c r="O688" s="4"/>
      <c r="P688" s="2"/>
      <c r="Q688" s="2"/>
      <c r="R688" s="4"/>
      <c r="S688" s="2"/>
      <c r="T688" s="2"/>
      <c r="U688" s="1"/>
      <c r="V688" s="2"/>
      <c r="W688" s="2"/>
      <c r="X688" s="2"/>
      <c r="Y688" s="2"/>
      <c r="Z688" s="2"/>
    </row>
    <row r="689" spans="1:26" ht="15.75" customHeight="1" x14ac:dyDescent="0.2">
      <c r="A689" s="12"/>
      <c r="B689" s="10"/>
      <c r="C689" s="11"/>
      <c r="D689" s="13"/>
      <c r="E689" s="13"/>
      <c r="F689" s="13"/>
      <c r="G689" s="2"/>
      <c r="H689" s="2"/>
      <c r="I689" s="13"/>
      <c r="J689" s="13"/>
      <c r="K689" s="13"/>
      <c r="L689" s="14"/>
      <c r="M689" s="4"/>
      <c r="N689" s="2"/>
      <c r="O689" s="4"/>
      <c r="P689" s="2"/>
      <c r="Q689" s="2"/>
      <c r="R689" s="4"/>
      <c r="S689" s="2"/>
      <c r="T689" s="2"/>
      <c r="U689" s="1"/>
      <c r="V689" s="2"/>
      <c r="W689" s="2"/>
      <c r="X689" s="2"/>
      <c r="Y689" s="2"/>
      <c r="Z689" s="2"/>
    </row>
    <row r="690" spans="1:26" ht="15.75" customHeight="1" x14ac:dyDescent="0.2">
      <c r="A690" s="12"/>
      <c r="B690" s="10"/>
      <c r="C690" s="11"/>
      <c r="D690" s="13"/>
      <c r="E690" s="13"/>
      <c r="F690" s="13"/>
      <c r="G690" s="2"/>
      <c r="H690" s="2"/>
      <c r="I690" s="13"/>
      <c r="J690" s="13"/>
      <c r="K690" s="13"/>
      <c r="L690" s="14"/>
      <c r="M690" s="4"/>
      <c r="N690" s="2"/>
      <c r="O690" s="4"/>
      <c r="P690" s="2"/>
      <c r="Q690" s="2"/>
      <c r="R690" s="4"/>
      <c r="S690" s="2"/>
      <c r="T690" s="2"/>
      <c r="U690" s="1"/>
      <c r="V690" s="2"/>
      <c r="W690" s="2"/>
      <c r="X690" s="2"/>
      <c r="Y690" s="2"/>
      <c r="Z690" s="2"/>
    </row>
    <row r="691" spans="1:26" ht="15.75" customHeight="1" x14ac:dyDescent="0.2">
      <c r="A691" s="12"/>
      <c r="B691" s="10"/>
      <c r="C691" s="11"/>
      <c r="D691" s="13"/>
      <c r="E691" s="13"/>
      <c r="F691" s="13"/>
      <c r="G691" s="2"/>
      <c r="H691" s="2"/>
      <c r="I691" s="13"/>
      <c r="J691" s="13"/>
      <c r="K691" s="13"/>
      <c r="L691" s="14"/>
      <c r="M691" s="4"/>
      <c r="N691" s="2"/>
      <c r="O691" s="4"/>
      <c r="P691" s="2"/>
      <c r="Q691" s="2"/>
      <c r="R691" s="4"/>
      <c r="S691" s="2"/>
      <c r="T691" s="2"/>
      <c r="U691" s="1"/>
      <c r="V691" s="2"/>
      <c r="W691" s="2"/>
      <c r="X691" s="2"/>
      <c r="Y691" s="2"/>
      <c r="Z691" s="2"/>
    </row>
    <row r="692" spans="1:26" ht="15.75" customHeight="1" x14ac:dyDescent="0.2">
      <c r="A692" s="12"/>
      <c r="B692" s="10"/>
      <c r="C692" s="11"/>
      <c r="D692" s="13"/>
      <c r="E692" s="13"/>
      <c r="F692" s="13"/>
      <c r="G692" s="2"/>
      <c r="H692" s="2"/>
      <c r="I692" s="13"/>
      <c r="J692" s="13"/>
      <c r="K692" s="13"/>
      <c r="L692" s="14"/>
      <c r="M692" s="4"/>
      <c r="N692" s="2"/>
      <c r="O692" s="4"/>
      <c r="P692" s="2"/>
      <c r="Q692" s="2"/>
      <c r="R692" s="4"/>
      <c r="S692" s="2"/>
      <c r="T692" s="2"/>
      <c r="U692" s="1"/>
      <c r="V692" s="2"/>
      <c r="W692" s="2"/>
      <c r="X692" s="2"/>
      <c r="Y692" s="2"/>
      <c r="Z692" s="2"/>
    </row>
    <row r="693" spans="1:26" ht="15.75" customHeight="1" x14ac:dyDescent="0.2">
      <c r="A693" s="12"/>
      <c r="B693" s="10"/>
      <c r="C693" s="11"/>
      <c r="D693" s="13"/>
      <c r="E693" s="13"/>
      <c r="F693" s="13"/>
      <c r="G693" s="2"/>
      <c r="H693" s="2"/>
      <c r="I693" s="13"/>
      <c r="J693" s="13"/>
      <c r="K693" s="13"/>
      <c r="L693" s="14"/>
      <c r="M693" s="4"/>
      <c r="N693" s="2"/>
      <c r="O693" s="4"/>
      <c r="P693" s="2"/>
      <c r="Q693" s="2"/>
      <c r="R693" s="4"/>
      <c r="S693" s="2"/>
      <c r="T693" s="2"/>
      <c r="U693" s="1"/>
      <c r="V693" s="2"/>
      <c r="W693" s="2"/>
      <c r="X693" s="2"/>
      <c r="Y693" s="2"/>
      <c r="Z693" s="2"/>
    </row>
    <row r="694" spans="1:26" ht="15.75" customHeight="1" x14ac:dyDescent="0.2">
      <c r="A694" s="12"/>
      <c r="B694" s="10"/>
      <c r="C694" s="11"/>
      <c r="D694" s="13"/>
      <c r="E694" s="13"/>
      <c r="F694" s="13"/>
      <c r="G694" s="2"/>
      <c r="H694" s="2"/>
      <c r="I694" s="13"/>
      <c r="J694" s="13"/>
      <c r="K694" s="13"/>
      <c r="L694" s="14"/>
      <c r="M694" s="4"/>
      <c r="N694" s="2"/>
      <c r="O694" s="4"/>
      <c r="P694" s="2"/>
      <c r="Q694" s="2"/>
      <c r="R694" s="4"/>
      <c r="S694" s="2"/>
      <c r="T694" s="2"/>
      <c r="U694" s="1"/>
      <c r="V694" s="2"/>
      <c r="W694" s="2"/>
      <c r="X694" s="2"/>
      <c r="Y694" s="2"/>
      <c r="Z694" s="2"/>
    </row>
    <row r="695" spans="1:26" ht="15.75" customHeight="1" x14ac:dyDescent="0.2">
      <c r="A695" s="12"/>
      <c r="B695" s="10"/>
      <c r="C695" s="11"/>
      <c r="D695" s="13"/>
      <c r="E695" s="13"/>
      <c r="F695" s="13"/>
      <c r="G695" s="2"/>
      <c r="H695" s="2"/>
      <c r="I695" s="13"/>
      <c r="J695" s="13"/>
      <c r="K695" s="13"/>
      <c r="L695" s="14"/>
      <c r="M695" s="4"/>
      <c r="N695" s="2"/>
      <c r="O695" s="4"/>
      <c r="P695" s="2"/>
      <c r="Q695" s="2"/>
      <c r="R695" s="4"/>
      <c r="S695" s="2"/>
      <c r="T695" s="2"/>
      <c r="U695" s="1"/>
      <c r="V695" s="2"/>
      <c r="W695" s="2"/>
      <c r="X695" s="2"/>
      <c r="Y695" s="2"/>
      <c r="Z695" s="2"/>
    </row>
    <row r="696" spans="1:26" ht="15.75" customHeight="1" x14ac:dyDescent="0.2">
      <c r="A696" s="12"/>
      <c r="B696" s="10"/>
      <c r="C696" s="11"/>
      <c r="D696" s="13"/>
      <c r="E696" s="13"/>
      <c r="F696" s="13"/>
      <c r="G696" s="2"/>
      <c r="H696" s="2"/>
      <c r="I696" s="13"/>
      <c r="J696" s="13"/>
      <c r="K696" s="13"/>
      <c r="L696" s="14"/>
      <c r="M696" s="4"/>
      <c r="N696" s="2"/>
      <c r="O696" s="4"/>
      <c r="P696" s="2"/>
      <c r="Q696" s="2"/>
      <c r="R696" s="4"/>
      <c r="S696" s="2"/>
      <c r="T696" s="2"/>
      <c r="U696" s="1"/>
      <c r="V696" s="2"/>
      <c r="W696" s="2"/>
      <c r="X696" s="2"/>
      <c r="Y696" s="2"/>
      <c r="Z696" s="2"/>
    </row>
    <row r="697" spans="1:26" ht="15.75" customHeight="1" x14ac:dyDescent="0.2">
      <c r="A697" s="12"/>
      <c r="B697" s="10"/>
      <c r="C697" s="11"/>
      <c r="D697" s="13"/>
      <c r="E697" s="13"/>
      <c r="F697" s="13"/>
      <c r="G697" s="2"/>
      <c r="H697" s="2"/>
      <c r="I697" s="13"/>
      <c r="J697" s="13"/>
      <c r="K697" s="13"/>
      <c r="L697" s="14"/>
      <c r="M697" s="4"/>
      <c r="N697" s="2"/>
      <c r="O697" s="4"/>
      <c r="P697" s="2"/>
      <c r="Q697" s="2"/>
      <c r="R697" s="4"/>
      <c r="S697" s="2"/>
      <c r="T697" s="2"/>
      <c r="U697" s="1"/>
      <c r="V697" s="2"/>
      <c r="W697" s="2"/>
      <c r="X697" s="2"/>
      <c r="Y697" s="2"/>
      <c r="Z697" s="2"/>
    </row>
    <row r="698" spans="1:26" ht="15.75" customHeight="1" x14ac:dyDescent="0.2">
      <c r="A698" s="12"/>
      <c r="B698" s="10"/>
      <c r="C698" s="11"/>
      <c r="D698" s="13"/>
      <c r="E698" s="13"/>
      <c r="F698" s="13"/>
      <c r="G698" s="2"/>
      <c r="H698" s="2"/>
      <c r="I698" s="13"/>
      <c r="J698" s="13"/>
      <c r="K698" s="13"/>
      <c r="L698" s="14"/>
      <c r="M698" s="4"/>
      <c r="N698" s="2"/>
      <c r="O698" s="4"/>
      <c r="P698" s="2"/>
      <c r="Q698" s="2"/>
      <c r="R698" s="4"/>
      <c r="S698" s="2"/>
      <c r="T698" s="2"/>
      <c r="U698" s="1"/>
      <c r="V698" s="2"/>
      <c r="W698" s="2"/>
      <c r="X698" s="2"/>
      <c r="Y698" s="2"/>
      <c r="Z698" s="2"/>
    </row>
    <row r="699" spans="1:26" ht="15.75" customHeight="1" x14ac:dyDescent="0.2">
      <c r="A699" s="12"/>
      <c r="B699" s="10"/>
      <c r="C699" s="11"/>
      <c r="D699" s="13"/>
      <c r="E699" s="13"/>
      <c r="F699" s="13"/>
      <c r="G699" s="2"/>
      <c r="H699" s="2"/>
      <c r="I699" s="13"/>
      <c r="J699" s="13"/>
      <c r="K699" s="13"/>
      <c r="L699" s="14"/>
      <c r="M699" s="4"/>
      <c r="N699" s="2"/>
      <c r="O699" s="4"/>
      <c r="P699" s="2"/>
      <c r="Q699" s="2"/>
      <c r="R699" s="4"/>
      <c r="S699" s="2"/>
      <c r="T699" s="2"/>
      <c r="U699" s="1"/>
      <c r="V699" s="2"/>
      <c r="W699" s="2"/>
      <c r="X699" s="2"/>
      <c r="Y699" s="2"/>
      <c r="Z699" s="2"/>
    </row>
    <row r="700" spans="1:26" ht="15.75" customHeight="1" x14ac:dyDescent="0.2">
      <c r="A700" s="12"/>
      <c r="B700" s="10"/>
      <c r="C700" s="11"/>
      <c r="D700" s="13"/>
      <c r="E700" s="13"/>
      <c r="F700" s="13"/>
      <c r="G700" s="2"/>
      <c r="H700" s="2"/>
      <c r="I700" s="13"/>
      <c r="J700" s="13"/>
      <c r="K700" s="13"/>
      <c r="L700" s="14"/>
      <c r="M700" s="4"/>
      <c r="N700" s="2"/>
      <c r="O700" s="4"/>
      <c r="P700" s="2"/>
      <c r="Q700" s="2"/>
      <c r="R700" s="4"/>
      <c r="S700" s="2"/>
      <c r="T700" s="2"/>
      <c r="U700" s="1"/>
      <c r="V700" s="2"/>
      <c r="W700" s="2"/>
      <c r="X700" s="2"/>
      <c r="Y700" s="2"/>
      <c r="Z700" s="2"/>
    </row>
    <row r="701" spans="1:26" ht="15.75" customHeight="1" x14ac:dyDescent="0.2">
      <c r="A701" s="12"/>
      <c r="B701" s="10"/>
      <c r="C701" s="11"/>
      <c r="D701" s="13"/>
      <c r="E701" s="13"/>
      <c r="F701" s="13"/>
      <c r="G701" s="2"/>
      <c r="H701" s="2"/>
      <c r="I701" s="13"/>
      <c r="J701" s="13"/>
      <c r="K701" s="13"/>
      <c r="L701" s="14"/>
      <c r="M701" s="4"/>
      <c r="N701" s="2"/>
      <c r="O701" s="4"/>
      <c r="P701" s="2"/>
      <c r="Q701" s="2"/>
      <c r="R701" s="4"/>
      <c r="S701" s="2"/>
      <c r="T701" s="2"/>
      <c r="U701" s="1"/>
      <c r="V701" s="2"/>
      <c r="W701" s="2"/>
      <c r="X701" s="2"/>
      <c r="Y701" s="2"/>
      <c r="Z701" s="2"/>
    </row>
    <row r="702" spans="1:26" ht="15.75" customHeight="1" x14ac:dyDescent="0.2">
      <c r="A702" s="12"/>
      <c r="B702" s="10"/>
      <c r="C702" s="11"/>
      <c r="D702" s="13"/>
      <c r="E702" s="13"/>
      <c r="F702" s="13"/>
      <c r="G702" s="2"/>
      <c r="H702" s="2"/>
      <c r="I702" s="13"/>
      <c r="J702" s="13"/>
      <c r="K702" s="13"/>
      <c r="L702" s="14"/>
      <c r="M702" s="4"/>
      <c r="N702" s="2"/>
      <c r="O702" s="4"/>
      <c r="P702" s="2"/>
      <c r="Q702" s="2"/>
      <c r="R702" s="4"/>
      <c r="S702" s="2"/>
      <c r="T702" s="2"/>
      <c r="U702" s="1"/>
      <c r="V702" s="2"/>
      <c r="W702" s="2"/>
      <c r="X702" s="2"/>
      <c r="Y702" s="2"/>
      <c r="Z702" s="2"/>
    </row>
    <row r="703" spans="1:26" ht="15.75" customHeight="1" x14ac:dyDescent="0.2">
      <c r="A703" s="12"/>
      <c r="B703" s="10"/>
      <c r="C703" s="11"/>
      <c r="D703" s="13"/>
      <c r="E703" s="13"/>
      <c r="F703" s="13"/>
      <c r="G703" s="2"/>
      <c r="H703" s="2"/>
      <c r="I703" s="13"/>
      <c r="J703" s="13"/>
      <c r="K703" s="13"/>
      <c r="L703" s="14"/>
      <c r="M703" s="4"/>
      <c r="N703" s="2"/>
      <c r="O703" s="4"/>
      <c r="P703" s="2"/>
      <c r="Q703" s="2"/>
      <c r="R703" s="4"/>
      <c r="S703" s="2"/>
      <c r="T703" s="2"/>
      <c r="U703" s="1"/>
      <c r="V703" s="2"/>
      <c r="W703" s="2"/>
      <c r="X703" s="2"/>
      <c r="Y703" s="2"/>
      <c r="Z703" s="2"/>
    </row>
    <row r="704" spans="1:26" ht="15.75" customHeight="1" x14ac:dyDescent="0.2">
      <c r="A704" s="12"/>
      <c r="B704" s="10"/>
      <c r="C704" s="11"/>
      <c r="D704" s="13"/>
      <c r="E704" s="13"/>
      <c r="F704" s="13"/>
      <c r="G704" s="2"/>
      <c r="H704" s="2"/>
      <c r="I704" s="13"/>
      <c r="J704" s="13"/>
      <c r="K704" s="13"/>
      <c r="L704" s="14"/>
      <c r="M704" s="4"/>
      <c r="N704" s="2"/>
      <c r="O704" s="4"/>
      <c r="P704" s="2"/>
      <c r="Q704" s="2"/>
      <c r="R704" s="4"/>
      <c r="S704" s="2"/>
      <c r="T704" s="2"/>
      <c r="U704" s="1"/>
      <c r="V704" s="2"/>
      <c r="W704" s="2"/>
      <c r="X704" s="2"/>
      <c r="Y704" s="2"/>
      <c r="Z704" s="2"/>
    </row>
    <row r="705" spans="1:26" ht="15.75" customHeight="1" x14ac:dyDescent="0.2">
      <c r="A705" s="12"/>
      <c r="B705" s="10"/>
      <c r="C705" s="11"/>
      <c r="D705" s="13"/>
      <c r="E705" s="13"/>
      <c r="F705" s="13"/>
      <c r="G705" s="2"/>
      <c r="H705" s="2"/>
      <c r="I705" s="13"/>
      <c r="J705" s="13"/>
      <c r="K705" s="13"/>
      <c r="L705" s="14"/>
      <c r="M705" s="4"/>
      <c r="N705" s="2"/>
      <c r="O705" s="4"/>
      <c r="P705" s="2"/>
      <c r="Q705" s="2"/>
      <c r="R705" s="4"/>
      <c r="S705" s="2"/>
      <c r="T705" s="2"/>
      <c r="U705" s="1"/>
      <c r="V705" s="2"/>
      <c r="W705" s="2"/>
      <c r="X705" s="2"/>
      <c r="Y705" s="2"/>
      <c r="Z705" s="2"/>
    </row>
    <row r="706" spans="1:26" ht="15.75" customHeight="1" x14ac:dyDescent="0.2">
      <c r="A706" s="12"/>
      <c r="B706" s="10"/>
      <c r="C706" s="11"/>
      <c r="D706" s="13"/>
      <c r="E706" s="13"/>
      <c r="F706" s="13"/>
      <c r="G706" s="2"/>
      <c r="H706" s="2"/>
      <c r="I706" s="13"/>
      <c r="J706" s="13"/>
      <c r="K706" s="13"/>
      <c r="L706" s="14"/>
      <c r="M706" s="4"/>
      <c r="N706" s="2"/>
      <c r="O706" s="4"/>
      <c r="P706" s="2"/>
      <c r="Q706" s="2"/>
      <c r="R706" s="4"/>
      <c r="S706" s="2"/>
      <c r="T706" s="2"/>
      <c r="U706" s="1"/>
      <c r="V706" s="2"/>
      <c r="W706" s="2"/>
      <c r="X706" s="2"/>
      <c r="Y706" s="2"/>
      <c r="Z706" s="2"/>
    </row>
    <row r="707" spans="1:26" ht="15.75" customHeight="1" x14ac:dyDescent="0.2">
      <c r="A707" s="12"/>
      <c r="B707" s="10"/>
      <c r="C707" s="11"/>
      <c r="D707" s="13"/>
      <c r="E707" s="13"/>
      <c r="F707" s="13"/>
      <c r="G707" s="2"/>
      <c r="H707" s="2"/>
      <c r="I707" s="13"/>
      <c r="J707" s="13"/>
      <c r="K707" s="13"/>
      <c r="L707" s="14"/>
      <c r="M707" s="4"/>
      <c r="N707" s="2"/>
      <c r="O707" s="4"/>
      <c r="P707" s="2"/>
      <c r="Q707" s="2"/>
      <c r="R707" s="4"/>
      <c r="S707" s="2"/>
      <c r="T707" s="2"/>
      <c r="U707" s="1"/>
      <c r="V707" s="2"/>
      <c r="W707" s="2"/>
      <c r="X707" s="2"/>
      <c r="Y707" s="2"/>
      <c r="Z707" s="2"/>
    </row>
    <row r="708" spans="1:26" ht="15.75" customHeight="1" x14ac:dyDescent="0.2">
      <c r="A708" s="12"/>
      <c r="B708" s="10"/>
      <c r="C708" s="11"/>
      <c r="D708" s="13"/>
      <c r="E708" s="13"/>
      <c r="F708" s="13"/>
      <c r="G708" s="2"/>
      <c r="H708" s="2"/>
      <c r="I708" s="13"/>
      <c r="J708" s="13"/>
      <c r="K708" s="13"/>
      <c r="L708" s="14"/>
      <c r="M708" s="4"/>
      <c r="N708" s="2"/>
      <c r="O708" s="4"/>
      <c r="P708" s="2"/>
      <c r="Q708" s="2"/>
      <c r="R708" s="4"/>
      <c r="S708" s="2"/>
      <c r="T708" s="2"/>
      <c r="U708" s="1"/>
      <c r="V708" s="2"/>
      <c r="W708" s="2"/>
      <c r="X708" s="2"/>
      <c r="Y708" s="2"/>
      <c r="Z708" s="2"/>
    </row>
    <row r="709" spans="1:26" ht="15.75" customHeight="1" x14ac:dyDescent="0.2">
      <c r="A709" s="12"/>
      <c r="B709" s="10"/>
      <c r="C709" s="11"/>
      <c r="D709" s="13"/>
      <c r="E709" s="13"/>
      <c r="F709" s="13"/>
      <c r="G709" s="2"/>
      <c r="H709" s="2"/>
      <c r="I709" s="13"/>
      <c r="J709" s="13"/>
      <c r="K709" s="13"/>
      <c r="L709" s="14"/>
      <c r="M709" s="4"/>
      <c r="N709" s="2"/>
      <c r="O709" s="4"/>
      <c r="P709" s="2"/>
      <c r="Q709" s="2"/>
      <c r="R709" s="4"/>
      <c r="S709" s="2"/>
      <c r="T709" s="2"/>
      <c r="U709" s="1"/>
      <c r="V709" s="2"/>
      <c r="W709" s="2"/>
      <c r="X709" s="2"/>
      <c r="Y709" s="2"/>
      <c r="Z709" s="2"/>
    </row>
    <row r="710" spans="1:26" ht="15.75" customHeight="1" x14ac:dyDescent="0.2">
      <c r="A710" s="12"/>
      <c r="B710" s="10"/>
      <c r="C710" s="11"/>
      <c r="D710" s="13"/>
      <c r="E710" s="13"/>
      <c r="F710" s="13"/>
      <c r="G710" s="2"/>
      <c r="H710" s="2"/>
      <c r="I710" s="13"/>
      <c r="J710" s="13"/>
      <c r="K710" s="13"/>
      <c r="L710" s="14"/>
      <c r="M710" s="4"/>
      <c r="N710" s="2"/>
      <c r="O710" s="4"/>
      <c r="P710" s="2"/>
      <c r="Q710" s="2"/>
      <c r="R710" s="4"/>
      <c r="S710" s="2"/>
      <c r="T710" s="2"/>
      <c r="U710" s="1"/>
      <c r="V710" s="2"/>
      <c r="W710" s="2"/>
      <c r="X710" s="2"/>
      <c r="Y710" s="2"/>
      <c r="Z710" s="2"/>
    </row>
    <row r="711" spans="1:26" ht="15.75" customHeight="1" x14ac:dyDescent="0.2">
      <c r="A711" s="12"/>
      <c r="B711" s="10"/>
      <c r="C711" s="11"/>
      <c r="D711" s="13"/>
      <c r="E711" s="13"/>
      <c r="F711" s="13"/>
      <c r="G711" s="2"/>
      <c r="H711" s="2"/>
      <c r="I711" s="13"/>
      <c r="J711" s="13"/>
      <c r="K711" s="13"/>
      <c r="L711" s="14"/>
      <c r="M711" s="4"/>
      <c r="N711" s="2"/>
      <c r="O711" s="4"/>
      <c r="P711" s="2"/>
      <c r="Q711" s="2"/>
      <c r="R711" s="4"/>
      <c r="S711" s="2"/>
      <c r="T711" s="2"/>
      <c r="U711" s="1"/>
      <c r="V711" s="2"/>
      <c r="W711" s="2"/>
      <c r="X711" s="2"/>
      <c r="Y711" s="2"/>
      <c r="Z711" s="2"/>
    </row>
    <row r="712" spans="1:26" ht="15.75" customHeight="1" x14ac:dyDescent="0.2">
      <c r="A712" s="12"/>
      <c r="B712" s="10"/>
      <c r="C712" s="11"/>
      <c r="D712" s="13"/>
      <c r="E712" s="13"/>
      <c r="F712" s="13"/>
      <c r="G712" s="2"/>
      <c r="H712" s="2"/>
      <c r="I712" s="13"/>
      <c r="J712" s="13"/>
      <c r="K712" s="13"/>
      <c r="L712" s="14"/>
      <c r="M712" s="4"/>
      <c r="N712" s="2"/>
      <c r="O712" s="4"/>
      <c r="P712" s="2"/>
      <c r="Q712" s="2"/>
      <c r="R712" s="4"/>
      <c r="S712" s="2"/>
      <c r="T712" s="2"/>
      <c r="U712" s="1"/>
      <c r="V712" s="2"/>
      <c r="W712" s="2"/>
      <c r="X712" s="2"/>
      <c r="Y712" s="2"/>
      <c r="Z712" s="2"/>
    </row>
    <row r="713" spans="1:26" ht="15.75" customHeight="1" x14ac:dyDescent="0.2">
      <c r="A713" s="12"/>
      <c r="B713" s="10"/>
      <c r="C713" s="11"/>
      <c r="D713" s="13"/>
      <c r="E713" s="13"/>
      <c r="F713" s="13"/>
      <c r="G713" s="2"/>
      <c r="H713" s="2"/>
      <c r="I713" s="13"/>
      <c r="J713" s="13"/>
      <c r="K713" s="13"/>
      <c r="L713" s="14"/>
      <c r="M713" s="4"/>
      <c r="N713" s="2"/>
      <c r="O713" s="4"/>
      <c r="P713" s="2"/>
      <c r="Q713" s="2"/>
      <c r="R713" s="4"/>
      <c r="S713" s="2"/>
      <c r="T713" s="2"/>
      <c r="U713" s="1"/>
      <c r="V713" s="2"/>
      <c r="W713" s="2"/>
      <c r="X713" s="2"/>
      <c r="Y713" s="2"/>
      <c r="Z713" s="2"/>
    </row>
    <row r="714" spans="1:26" ht="15.75" customHeight="1" x14ac:dyDescent="0.2">
      <c r="A714" s="12"/>
      <c r="B714" s="10"/>
      <c r="C714" s="11"/>
      <c r="D714" s="13"/>
      <c r="E714" s="13"/>
      <c r="F714" s="13"/>
      <c r="G714" s="2"/>
      <c r="H714" s="2"/>
      <c r="I714" s="13"/>
      <c r="J714" s="13"/>
      <c r="K714" s="13"/>
      <c r="L714" s="14"/>
      <c r="M714" s="4"/>
      <c r="N714" s="2"/>
      <c r="O714" s="4"/>
      <c r="P714" s="2"/>
      <c r="Q714" s="2"/>
      <c r="R714" s="4"/>
      <c r="S714" s="2"/>
      <c r="T714" s="2"/>
      <c r="U714" s="1"/>
      <c r="V714" s="2"/>
      <c r="W714" s="2"/>
      <c r="X714" s="2"/>
      <c r="Y714" s="2"/>
      <c r="Z714" s="2"/>
    </row>
    <row r="715" spans="1:26" ht="15.75" customHeight="1" x14ac:dyDescent="0.2">
      <c r="A715" s="12"/>
      <c r="B715" s="10"/>
      <c r="C715" s="11"/>
      <c r="D715" s="13"/>
      <c r="E715" s="13"/>
      <c r="F715" s="13"/>
      <c r="G715" s="2"/>
      <c r="H715" s="2"/>
      <c r="I715" s="13"/>
      <c r="J715" s="13"/>
      <c r="K715" s="13"/>
      <c r="L715" s="14"/>
      <c r="M715" s="4"/>
      <c r="N715" s="2"/>
      <c r="O715" s="4"/>
      <c r="P715" s="2"/>
      <c r="Q715" s="2"/>
      <c r="R715" s="4"/>
      <c r="S715" s="2"/>
      <c r="T715" s="2"/>
      <c r="U715" s="1"/>
      <c r="V715" s="2"/>
      <c r="W715" s="2"/>
      <c r="X715" s="2"/>
      <c r="Y715" s="2"/>
      <c r="Z715" s="2"/>
    </row>
    <row r="716" spans="1:26" ht="15.75" customHeight="1" x14ac:dyDescent="0.2">
      <c r="A716" s="12"/>
      <c r="B716" s="10"/>
      <c r="C716" s="11"/>
      <c r="D716" s="13"/>
      <c r="E716" s="13"/>
      <c r="F716" s="13"/>
      <c r="G716" s="2"/>
      <c r="H716" s="2"/>
      <c r="I716" s="13"/>
      <c r="J716" s="13"/>
      <c r="K716" s="13"/>
      <c r="L716" s="14"/>
      <c r="M716" s="4"/>
      <c r="N716" s="2"/>
      <c r="O716" s="4"/>
      <c r="P716" s="2"/>
      <c r="Q716" s="2"/>
      <c r="R716" s="4"/>
      <c r="S716" s="2"/>
      <c r="T716" s="2"/>
      <c r="U716" s="1"/>
      <c r="V716" s="2"/>
      <c r="W716" s="2"/>
      <c r="X716" s="2"/>
      <c r="Y716" s="2"/>
      <c r="Z716" s="2"/>
    </row>
    <row r="717" spans="1:26" ht="15.75" customHeight="1" x14ac:dyDescent="0.2">
      <c r="A717" s="12"/>
      <c r="B717" s="10"/>
      <c r="C717" s="11"/>
      <c r="D717" s="13"/>
      <c r="E717" s="13"/>
      <c r="F717" s="13"/>
      <c r="G717" s="2"/>
      <c r="H717" s="2"/>
      <c r="I717" s="13"/>
      <c r="J717" s="13"/>
      <c r="K717" s="13"/>
      <c r="L717" s="14"/>
      <c r="M717" s="4"/>
      <c r="N717" s="2"/>
      <c r="O717" s="4"/>
      <c r="P717" s="2"/>
      <c r="Q717" s="2"/>
      <c r="R717" s="4"/>
      <c r="S717" s="2"/>
      <c r="T717" s="2"/>
      <c r="U717" s="1"/>
      <c r="V717" s="2"/>
      <c r="W717" s="2"/>
      <c r="X717" s="2"/>
      <c r="Y717" s="2"/>
      <c r="Z717" s="2"/>
    </row>
    <row r="718" spans="1:26" ht="15.75" customHeight="1" x14ac:dyDescent="0.2">
      <c r="A718" s="12"/>
      <c r="B718" s="10"/>
      <c r="C718" s="11"/>
      <c r="D718" s="13"/>
      <c r="E718" s="13"/>
      <c r="F718" s="13"/>
      <c r="G718" s="2"/>
      <c r="H718" s="2"/>
      <c r="I718" s="13"/>
      <c r="J718" s="13"/>
      <c r="K718" s="13"/>
      <c r="L718" s="14"/>
      <c r="M718" s="4"/>
      <c r="N718" s="2"/>
      <c r="O718" s="4"/>
      <c r="P718" s="2"/>
      <c r="Q718" s="2"/>
      <c r="R718" s="4"/>
      <c r="S718" s="2"/>
      <c r="T718" s="2"/>
      <c r="U718" s="1"/>
      <c r="V718" s="2"/>
      <c r="W718" s="2"/>
      <c r="X718" s="2"/>
      <c r="Y718" s="2"/>
      <c r="Z718" s="2"/>
    </row>
    <row r="719" spans="1:26" ht="15.75" customHeight="1" x14ac:dyDescent="0.2">
      <c r="A719" s="12"/>
      <c r="B719" s="10"/>
      <c r="C719" s="11"/>
      <c r="D719" s="13"/>
      <c r="E719" s="13"/>
      <c r="F719" s="13"/>
      <c r="G719" s="2"/>
      <c r="H719" s="2"/>
      <c r="I719" s="13"/>
      <c r="J719" s="13"/>
      <c r="K719" s="13"/>
      <c r="L719" s="14"/>
      <c r="M719" s="4"/>
      <c r="N719" s="2"/>
      <c r="O719" s="4"/>
      <c r="P719" s="2"/>
      <c r="Q719" s="2"/>
      <c r="R719" s="4"/>
      <c r="S719" s="2"/>
      <c r="T719" s="2"/>
      <c r="U719" s="1"/>
      <c r="V719" s="2"/>
      <c r="W719" s="2"/>
      <c r="X719" s="2"/>
      <c r="Y719" s="2"/>
      <c r="Z719" s="2"/>
    </row>
    <row r="720" spans="1:26" ht="15.75" customHeight="1" x14ac:dyDescent="0.2">
      <c r="A720" s="12"/>
      <c r="B720" s="10"/>
      <c r="C720" s="11"/>
      <c r="D720" s="13"/>
      <c r="E720" s="13"/>
      <c r="F720" s="13"/>
      <c r="G720" s="2"/>
      <c r="H720" s="2"/>
      <c r="I720" s="13"/>
      <c r="J720" s="13"/>
      <c r="K720" s="13"/>
      <c r="L720" s="14"/>
      <c r="M720" s="4"/>
      <c r="N720" s="2"/>
      <c r="O720" s="4"/>
      <c r="P720" s="2"/>
      <c r="Q720" s="2"/>
      <c r="R720" s="4"/>
      <c r="S720" s="2"/>
      <c r="T720" s="2"/>
      <c r="U720" s="1"/>
      <c r="V720" s="2"/>
      <c r="W720" s="2"/>
      <c r="X720" s="2"/>
      <c r="Y720" s="2"/>
      <c r="Z720" s="2"/>
    </row>
    <row r="721" spans="1:26" ht="15.75" customHeight="1" x14ac:dyDescent="0.2">
      <c r="A721" s="12"/>
      <c r="B721" s="10"/>
      <c r="C721" s="11"/>
      <c r="D721" s="13"/>
      <c r="E721" s="13"/>
      <c r="F721" s="13"/>
      <c r="G721" s="2"/>
      <c r="H721" s="2"/>
      <c r="I721" s="13"/>
      <c r="J721" s="13"/>
      <c r="K721" s="13"/>
      <c r="L721" s="14"/>
      <c r="M721" s="4"/>
      <c r="N721" s="2"/>
      <c r="O721" s="4"/>
      <c r="P721" s="2"/>
      <c r="Q721" s="2"/>
      <c r="R721" s="4"/>
      <c r="S721" s="2"/>
      <c r="T721" s="2"/>
      <c r="U721" s="1"/>
      <c r="V721" s="2"/>
      <c r="W721" s="2"/>
      <c r="X721" s="2"/>
      <c r="Y721" s="2"/>
      <c r="Z721" s="2"/>
    </row>
    <row r="722" spans="1:26" ht="15.75" customHeight="1" x14ac:dyDescent="0.2">
      <c r="A722" s="12"/>
      <c r="B722" s="10"/>
      <c r="C722" s="11"/>
      <c r="D722" s="13"/>
      <c r="E722" s="13"/>
      <c r="F722" s="13"/>
      <c r="G722" s="2"/>
      <c r="H722" s="2"/>
      <c r="I722" s="13"/>
      <c r="J722" s="13"/>
      <c r="K722" s="13"/>
      <c r="L722" s="14"/>
      <c r="M722" s="4"/>
      <c r="N722" s="2"/>
      <c r="O722" s="4"/>
      <c r="P722" s="2"/>
      <c r="Q722" s="2"/>
      <c r="R722" s="4"/>
      <c r="S722" s="2"/>
      <c r="T722" s="2"/>
      <c r="U722" s="1"/>
      <c r="V722" s="2"/>
      <c r="W722" s="2"/>
      <c r="X722" s="2"/>
      <c r="Y722" s="2"/>
      <c r="Z722" s="2"/>
    </row>
    <row r="723" spans="1:26" ht="15.75" customHeight="1" x14ac:dyDescent="0.2">
      <c r="A723" s="12"/>
      <c r="B723" s="10"/>
      <c r="C723" s="11"/>
      <c r="D723" s="13"/>
      <c r="E723" s="13"/>
      <c r="F723" s="13"/>
      <c r="G723" s="2"/>
      <c r="H723" s="2"/>
      <c r="I723" s="13"/>
      <c r="J723" s="13"/>
      <c r="K723" s="13"/>
      <c r="L723" s="14"/>
      <c r="M723" s="4"/>
      <c r="N723" s="2"/>
      <c r="O723" s="4"/>
      <c r="P723" s="2"/>
      <c r="Q723" s="2"/>
      <c r="R723" s="4"/>
      <c r="S723" s="2"/>
      <c r="T723" s="2"/>
      <c r="U723" s="1"/>
      <c r="V723" s="2"/>
      <c r="W723" s="2"/>
      <c r="X723" s="2"/>
      <c r="Y723" s="2"/>
      <c r="Z723" s="2"/>
    </row>
    <row r="724" spans="1:26" ht="15.75" customHeight="1" x14ac:dyDescent="0.2">
      <c r="A724" s="12"/>
      <c r="B724" s="10"/>
      <c r="C724" s="11"/>
      <c r="D724" s="13"/>
      <c r="E724" s="13"/>
      <c r="F724" s="13"/>
      <c r="G724" s="2"/>
      <c r="H724" s="2"/>
      <c r="I724" s="13"/>
      <c r="J724" s="13"/>
      <c r="K724" s="13"/>
      <c r="L724" s="14"/>
      <c r="M724" s="4"/>
      <c r="N724" s="2"/>
      <c r="O724" s="4"/>
      <c r="P724" s="2"/>
      <c r="Q724" s="2"/>
      <c r="R724" s="4"/>
      <c r="S724" s="2"/>
      <c r="T724" s="2"/>
      <c r="U724" s="1"/>
      <c r="V724" s="2"/>
      <c r="W724" s="2"/>
      <c r="X724" s="2"/>
      <c r="Y724" s="2"/>
      <c r="Z724" s="2"/>
    </row>
    <row r="725" spans="1:26" ht="15.75" customHeight="1" x14ac:dyDescent="0.2">
      <c r="A725" s="12"/>
      <c r="B725" s="10"/>
      <c r="C725" s="11"/>
      <c r="D725" s="13"/>
      <c r="E725" s="13"/>
      <c r="F725" s="13"/>
      <c r="G725" s="2"/>
      <c r="H725" s="2"/>
      <c r="I725" s="13"/>
      <c r="J725" s="13"/>
      <c r="K725" s="13"/>
      <c r="L725" s="14"/>
      <c r="M725" s="4"/>
      <c r="N725" s="2"/>
      <c r="O725" s="4"/>
      <c r="P725" s="2"/>
      <c r="Q725" s="2"/>
      <c r="R725" s="4"/>
      <c r="S725" s="2"/>
      <c r="T725" s="2"/>
      <c r="U725" s="1"/>
      <c r="V725" s="2"/>
      <c r="W725" s="2"/>
      <c r="X725" s="2"/>
      <c r="Y725" s="2"/>
      <c r="Z725" s="2"/>
    </row>
    <row r="726" spans="1:26" ht="15.75" customHeight="1" x14ac:dyDescent="0.2">
      <c r="A726" s="12"/>
      <c r="B726" s="10"/>
      <c r="C726" s="11"/>
      <c r="D726" s="13"/>
      <c r="E726" s="13"/>
      <c r="F726" s="13"/>
      <c r="G726" s="2"/>
      <c r="H726" s="2"/>
      <c r="I726" s="13"/>
      <c r="J726" s="13"/>
      <c r="K726" s="13"/>
      <c r="L726" s="14"/>
      <c r="M726" s="4"/>
      <c r="N726" s="2"/>
      <c r="O726" s="4"/>
      <c r="P726" s="2"/>
      <c r="Q726" s="2"/>
      <c r="R726" s="4"/>
      <c r="S726" s="2"/>
      <c r="T726" s="2"/>
      <c r="U726" s="1"/>
      <c r="V726" s="2"/>
      <c r="W726" s="2"/>
      <c r="X726" s="2"/>
      <c r="Y726" s="2"/>
      <c r="Z726" s="2"/>
    </row>
    <row r="727" spans="1:26" ht="15.75" customHeight="1" x14ac:dyDescent="0.2">
      <c r="A727" s="12"/>
      <c r="B727" s="10"/>
      <c r="C727" s="11"/>
      <c r="D727" s="13"/>
      <c r="E727" s="13"/>
      <c r="F727" s="13"/>
      <c r="G727" s="2"/>
      <c r="H727" s="2"/>
      <c r="I727" s="13"/>
      <c r="J727" s="13"/>
      <c r="K727" s="13"/>
      <c r="L727" s="14"/>
      <c r="M727" s="4"/>
      <c r="N727" s="2"/>
      <c r="O727" s="4"/>
      <c r="P727" s="2"/>
      <c r="Q727" s="2"/>
      <c r="R727" s="4"/>
      <c r="S727" s="2"/>
      <c r="T727" s="2"/>
      <c r="U727" s="1"/>
      <c r="V727" s="2"/>
      <c r="W727" s="2"/>
      <c r="X727" s="2"/>
      <c r="Y727" s="2"/>
      <c r="Z727" s="2"/>
    </row>
    <row r="728" spans="1:26" ht="15.75" customHeight="1" x14ac:dyDescent="0.2">
      <c r="A728" s="12"/>
      <c r="B728" s="10"/>
      <c r="C728" s="11"/>
      <c r="D728" s="13"/>
      <c r="E728" s="13"/>
      <c r="F728" s="13"/>
      <c r="G728" s="2"/>
      <c r="H728" s="2"/>
      <c r="I728" s="13"/>
      <c r="J728" s="13"/>
      <c r="K728" s="13"/>
      <c r="L728" s="14"/>
      <c r="M728" s="4"/>
      <c r="N728" s="2"/>
      <c r="O728" s="4"/>
      <c r="P728" s="2"/>
      <c r="Q728" s="2"/>
      <c r="R728" s="4"/>
      <c r="S728" s="2"/>
      <c r="T728" s="2"/>
      <c r="U728" s="1"/>
      <c r="V728" s="2"/>
      <c r="W728" s="2"/>
      <c r="X728" s="2"/>
      <c r="Y728" s="2"/>
      <c r="Z728" s="2"/>
    </row>
    <row r="729" spans="1:26" ht="15.75" customHeight="1" x14ac:dyDescent="0.2">
      <c r="A729" s="12"/>
      <c r="B729" s="10"/>
      <c r="C729" s="11"/>
      <c r="D729" s="13"/>
      <c r="E729" s="13"/>
      <c r="F729" s="13"/>
      <c r="G729" s="2"/>
      <c r="H729" s="2"/>
      <c r="I729" s="13"/>
      <c r="J729" s="13"/>
      <c r="K729" s="13"/>
      <c r="L729" s="14"/>
      <c r="M729" s="4"/>
      <c r="N729" s="2"/>
      <c r="O729" s="4"/>
      <c r="P729" s="2"/>
      <c r="Q729" s="2"/>
      <c r="R729" s="4"/>
      <c r="S729" s="2"/>
      <c r="T729" s="2"/>
      <c r="U729" s="1"/>
      <c r="V729" s="2"/>
      <c r="W729" s="2"/>
      <c r="X729" s="2"/>
      <c r="Y729" s="2"/>
      <c r="Z729" s="2"/>
    </row>
    <row r="730" spans="1:26" ht="15.75" customHeight="1" x14ac:dyDescent="0.2">
      <c r="A730" s="12"/>
      <c r="B730" s="10"/>
      <c r="C730" s="11"/>
      <c r="D730" s="13"/>
      <c r="E730" s="13"/>
      <c r="F730" s="13"/>
      <c r="G730" s="2"/>
      <c r="H730" s="2"/>
      <c r="I730" s="13"/>
      <c r="J730" s="13"/>
      <c r="K730" s="13"/>
      <c r="L730" s="14"/>
      <c r="M730" s="4"/>
      <c r="N730" s="2"/>
      <c r="O730" s="4"/>
      <c r="P730" s="2"/>
      <c r="Q730" s="2"/>
      <c r="R730" s="4"/>
      <c r="S730" s="2"/>
      <c r="T730" s="2"/>
      <c r="U730" s="1"/>
      <c r="V730" s="2"/>
      <c r="W730" s="2"/>
      <c r="X730" s="2"/>
      <c r="Y730" s="2"/>
      <c r="Z730" s="2"/>
    </row>
    <row r="731" spans="1:26" ht="15.75" customHeight="1" x14ac:dyDescent="0.2">
      <c r="A731" s="12"/>
      <c r="B731" s="10"/>
      <c r="C731" s="11"/>
      <c r="D731" s="13"/>
      <c r="E731" s="13"/>
      <c r="F731" s="13"/>
      <c r="G731" s="2"/>
      <c r="H731" s="2"/>
      <c r="I731" s="13"/>
      <c r="J731" s="13"/>
      <c r="K731" s="13"/>
      <c r="L731" s="14"/>
      <c r="M731" s="4"/>
      <c r="N731" s="2"/>
      <c r="O731" s="4"/>
      <c r="P731" s="2"/>
      <c r="Q731" s="2"/>
      <c r="R731" s="4"/>
      <c r="S731" s="2"/>
      <c r="T731" s="2"/>
      <c r="U731" s="1"/>
      <c r="V731" s="2"/>
      <c r="W731" s="2"/>
      <c r="X731" s="2"/>
      <c r="Y731" s="2"/>
      <c r="Z731" s="2"/>
    </row>
    <row r="732" spans="1:26" ht="15.75" customHeight="1" x14ac:dyDescent="0.2">
      <c r="A732" s="12"/>
      <c r="B732" s="10"/>
      <c r="C732" s="11"/>
      <c r="D732" s="13"/>
      <c r="E732" s="13"/>
      <c r="F732" s="13"/>
      <c r="G732" s="2"/>
      <c r="H732" s="2"/>
      <c r="I732" s="13"/>
      <c r="J732" s="13"/>
      <c r="K732" s="13"/>
      <c r="L732" s="14"/>
      <c r="M732" s="4"/>
      <c r="N732" s="2"/>
      <c r="O732" s="4"/>
      <c r="P732" s="2"/>
      <c r="Q732" s="2"/>
      <c r="R732" s="4"/>
      <c r="S732" s="2"/>
      <c r="T732" s="2"/>
      <c r="U732" s="1"/>
      <c r="V732" s="2"/>
      <c r="W732" s="2"/>
      <c r="X732" s="2"/>
      <c r="Y732" s="2"/>
      <c r="Z732" s="2"/>
    </row>
    <row r="733" spans="1:26" ht="15.75" customHeight="1" x14ac:dyDescent="0.2">
      <c r="A733" s="12"/>
      <c r="B733" s="10"/>
      <c r="C733" s="11"/>
      <c r="D733" s="13"/>
      <c r="E733" s="13"/>
      <c r="F733" s="13"/>
      <c r="G733" s="2"/>
      <c r="H733" s="2"/>
      <c r="I733" s="13"/>
      <c r="J733" s="13"/>
      <c r="K733" s="13"/>
      <c r="L733" s="14"/>
      <c r="M733" s="4"/>
      <c r="N733" s="2"/>
      <c r="O733" s="4"/>
      <c r="P733" s="2"/>
      <c r="Q733" s="2"/>
      <c r="R733" s="4"/>
      <c r="S733" s="2"/>
      <c r="T733" s="2"/>
      <c r="U733" s="1"/>
      <c r="V733" s="2"/>
      <c r="W733" s="2"/>
      <c r="X733" s="2"/>
      <c r="Y733" s="2"/>
      <c r="Z733" s="2"/>
    </row>
    <row r="734" spans="1:26" ht="15.75" customHeight="1" x14ac:dyDescent="0.2">
      <c r="A734" s="12"/>
      <c r="B734" s="10"/>
      <c r="C734" s="11"/>
      <c r="D734" s="13"/>
      <c r="E734" s="13"/>
      <c r="F734" s="13"/>
      <c r="G734" s="2"/>
      <c r="H734" s="2"/>
      <c r="I734" s="13"/>
      <c r="J734" s="13"/>
      <c r="K734" s="13"/>
      <c r="L734" s="14"/>
      <c r="M734" s="4"/>
      <c r="N734" s="2"/>
      <c r="O734" s="4"/>
      <c r="P734" s="2"/>
      <c r="Q734" s="2"/>
      <c r="R734" s="4"/>
      <c r="S734" s="2"/>
      <c r="T734" s="2"/>
      <c r="U734" s="1"/>
      <c r="V734" s="2"/>
      <c r="W734" s="2"/>
      <c r="X734" s="2"/>
      <c r="Y734" s="2"/>
      <c r="Z734" s="2"/>
    </row>
    <row r="735" spans="1:26" ht="15.75" customHeight="1" x14ac:dyDescent="0.2">
      <c r="A735" s="12"/>
      <c r="B735" s="10"/>
      <c r="C735" s="11"/>
      <c r="D735" s="13"/>
      <c r="E735" s="13"/>
      <c r="F735" s="13"/>
      <c r="G735" s="2"/>
      <c r="H735" s="2"/>
      <c r="I735" s="13"/>
      <c r="J735" s="13"/>
      <c r="K735" s="13"/>
      <c r="L735" s="14"/>
      <c r="M735" s="4"/>
      <c r="N735" s="2"/>
      <c r="O735" s="4"/>
      <c r="P735" s="2"/>
      <c r="Q735" s="2"/>
      <c r="R735" s="4"/>
      <c r="S735" s="2"/>
      <c r="T735" s="2"/>
      <c r="U735" s="1"/>
      <c r="V735" s="2"/>
      <c r="W735" s="2"/>
      <c r="X735" s="2"/>
      <c r="Y735" s="2"/>
      <c r="Z735" s="2"/>
    </row>
    <row r="736" spans="1:26" ht="15.75" customHeight="1" x14ac:dyDescent="0.2">
      <c r="A736" s="12"/>
      <c r="B736" s="10"/>
      <c r="C736" s="11"/>
      <c r="D736" s="13"/>
      <c r="E736" s="13"/>
      <c r="F736" s="13"/>
      <c r="G736" s="2"/>
      <c r="H736" s="2"/>
      <c r="I736" s="13"/>
      <c r="J736" s="13"/>
      <c r="K736" s="13"/>
      <c r="L736" s="14"/>
      <c r="M736" s="4"/>
      <c r="N736" s="2"/>
      <c r="O736" s="4"/>
      <c r="P736" s="2"/>
      <c r="Q736" s="2"/>
      <c r="R736" s="4"/>
      <c r="S736" s="2"/>
      <c r="T736" s="2"/>
      <c r="U736" s="1"/>
      <c r="V736" s="2"/>
      <c r="W736" s="2"/>
      <c r="X736" s="2"/>
      <c r="Y736" s="2"/>
      <c r="Z736" s="2"/>
    </row>
    <row r="737" spans="1:26" ht="15.75" customHeight="1" x14ac:dyDescent="0.2">
      <c r="A737" s="12"/>
      <c r="B737" s="10"/>
      <c r="C737" s="11"/>
      <c r="D737" s="13"/>
      <c r="E737" s="13"/>
      <c r="F737" s="13"/>
      <c r="G737" s="2"/>
      <c r="H737" s="2"/>
      <c r="I737" s="13"/>
      <c r="J737" s="13"/>
      <c r="K737" s="13"/>
      <c r="L737" s="14"/>
      <c r="M737" s="4"/>
      <c r="N737" s="2"/>
      <c r="O737" s="4"/>
      <c r="P737" s="2"/>
      <c r="Q737" s="2"/>
      <c r="R737" s="4"/>
      <c r="S737" s="2"/>
      <c r="T737" s="2"/>
      <c r="U737" s="1"/>
      <c r="V737" s="2"/>
      <c r="W737" s="2"/>
      <c r="X737" s="2"/>
      <c r="Y737" s="2"/>
      <c r="Z737" s="2"/>
    </row>
    <row r="738" spans="1:26" ht="15.75" customHeight="1" x14ac:dyDescent="0.2">
      <c r="A738" s="12"/>
      <c r="B738" s="10"/>
      <c r="C738" s="11"/>
      <c r="D738" s="13"/>
      <c r="E738" s="13"/>
      <c r="F738" s="13"/>
      <c r="G738" s="2"/>
      <c r="H738" s="2"/>
      <c r="I738" s="13"/>
      <c r="J738" s="13"/>
      <c r="K738" s="13"/>
      <c r="L738" s="14"/>
      <c r="M738" s="4"/>
      <c r="N738" s="2"/>
      <c r="O738" s="4"/>
      <c r="P738" s="2"/>
      <c r="Q738" s="2"/>
      <c r="R738" s="4"/>
      <c r="S738" s="2"/>
      <c r="T738" s="2"/>
      <c r="U738" s="1"/>
      <c r="V738" s="2"/>
      <c r="W738" s="2"/>
      <c r="X738" s="2"/>
      <c r="Y738" s="2"/>
      <c r="Z738" s="2"/>
    </row>
    <row r="739" spans="1:26" ht="15.75" customHeight="1" x14ac:dyDescent="0.2">
      <c r="A739" s="12"/>
      <c r="B739" s="10"/>
      <c r="C739" s="11"/>
      <c r="D739" s="13"/>
      <c r="E739" s="13"/>
      <c r="F739" s="13"/>
      <c r="G739" s="2"/>
      <c r="H739" s="2"/>
      <c r="I739" s="13"/>
      <c r="J739" s="13"/>
      <c r="K739" s="13"/>
      <c r="L739" s="14"/>
      <c r="M739" s="4"/>
      <c r="N739" s="2"/>
      <c r="O739" s="4"/>
      <c r="P739" s="2"/>
      <c r="Q739" s="2"/>
      <c r="R739" s="4"/>
      <c r="S739" s="2"/>
      <c r="T739" s="2"/>
      <c r="U739" s="1"/>
      <c r="V739" s="2"/>
      <c r="W739" s="2"/>
      <c r="X739" s="2"/>
      <c r="Y739" s="2"/>
      <c r="Z739" s="2"/>
    </row>
    <row r="740" spans="1:26" ht="15.75" customHeight="1" x14ac:dyDescent="0.2">
      <c r="A740" s="12"/>
      <c r="B740" s="10"/>
      <c r="C740" s="11"/>
      <c r="D740" s="13"/>
      <c r="E740" s="13"/>
      <c r="F740" s="13"/>
      <c r="G740" s="2"/>
      <c r="H740" s="2"/>
      <c r="I740" s="13"/>
      <c r="J740" s="13"/>
      <c r="K740" s="13"/>
      <c r="L740" s="14"/>
      <c r="M740" s="4"/>
      <c r="N740" s="2"/>
      <c r="O740" s="4"/>
      <c r="P740" s="2"/>
      <c r="Q740" s="2"/>
      <c r="R740" s="4"/>
      <c r="S740" s="2"/>
      <c r="T740" s="2"/>
      <c r="U740" s="1"/>
      <c r="V740" s="2"/>
      <c r="W740" s="2"/>
      <c r="X740" s="2"/>
      <c r="Y740" s="2"/>
      <c r="Z740" s="2"/>
    </row>
    <row r="741" spans="1:26" ht="15.75" customHeight="1" x14ac:dyDescent="0.2">
      <c r="A741" s="12"/>
      <c r="B741" s="10"/>
      <c r="C741" s="11"/>
      <c r="D741" s="13"/>
      <c r="E741" s="13"/>
      <c r="F741" s="13"/>
      <c r="G741" s="2"/>
      <c r="H741" s="2"/>
      <c r="I741" s="13"/>
      <c r="J741" s="13"/>
      <c r="K741" s="13"/>
      <c r="L741" s="14"/>
      <c r="M741" s="4"/>
      <c r="N741" s="2"/>
      <c r="O741" s="4"/>
      <c r="P741" s="2"/>
      <c r="Q741" s="2"/>
      <c r="R741" s="4"/>
      <c r="S741" s="2"/>
      <c r="T741" s="2"/>
      <c r="U741" s="1"/>
      <c r="V741" s="2"/>
      <c r="W741" s="2"/>
      <c r="X741" s="2"/>
      <c r="Y741" s="2"/>
      <c r="Z741" s="2"/>
    </row>
    <row r="742" spans="1:26" ht="15.75" customHeight="1" x14ac:dyDescent="0.2">
      <c r="A742" s="12"/>
      <c r="B742" s="10"/>
      <c r="C742" s="11"/>
      <c r="D742" s="13"/>
      <c r="E742" s="13"/>
      <c r="F742" s="13"/>
      <c r="G742" s="2"/>
      <c r="H742" s="2"/>
      <c r="I742" s="13"/>
      <c r="J742" s="13"/>
      <c r="K742" s="13"/>
      <c r="L742" s="14"/>
      <c r="M742" s="4"/>
      <c r="N742" s="2"/>
      <c r="O742" s="4"/>
      <c r="P742" s="2"/>
      <c r="Q742" s="2"/>
      <c r="R742" s="4"/>
      <c r="S742" s="2"/>
      <c r="T742" s="2"/>
      <c r="U742" s="1"/>
      <c r="V742" s="2"/>
      <c r="W742" s="2"/>
      <c r="X742" s="2"/>
      <c r="Y742" s="2"/>
      <c r="Z742" s="2"/>
    </row>
    <row r="743" spans="1:26" ht="15.75" customHeight="1" x14ac:dyDescent="0.2">
      <c r="A743" s="12"/>
      <c r="B743" s="10"/>
      <c r="C743" s="11"/>
      <c r="D743" s="13"/>
      <c r="E743" s="13"/>
      <c r="F743" s="13"/>
      <c r="G743" s="2"/>
      <c r="H743" s="2"/>
      <c r="I743" s="13"/>
      <c r="J743" s="13"/>
      <c r="K743" s="13"/>
      <c r="L743" s="14"/>
      <c r="M743" s="4"/>
      <c r="N743" s="2"/>
      <c r="O743" s="4"/>
      <c r="P743" s="2"/>
      <c r="Q743" s="2"/>
      <c r="R743" s="4"/>
      <c r="S743" s="2"/>
      <c r="T743" s="2"/>
      <c r="U743" s="1"/>
      <c r="V743" s="2"/>
      <c r="W743" s="2"/>
      <c r="X743" s="2"/>
      <c r="Y743" s="2"/>
      <c r="Z743" s="2"/>
    </row>
    <row r="744" spans="1:26" ht="15.75" customHeight="1" x14ac:dyDescent="0.2">
      <c r="A744" s="12"/>
      <c r="B744" s="10"/>
      <c r="C744" s="11"/>
      <c r="D744" s="13"/>
      <c r="E744" s="13"/>
      <c r="F744" s="13"/>
      <c r="G744" s="2"/>
      <c r="H744" s="2"/>
      <c r="I744" s="13"/>
      <c r="J744" s="13"/>
      <c r="K744" s="13"/>
      <c r="L744" s="14"/>
      <c r="M744" s="4"/>
      <c r="N744" s="2"/>
      <c r="O744" s="4"/>
      <c r="P744" s="2"/>
      <c r="Q744" s="2"/>
      <c r="R744" s="4"/>
      <c r="S744" s="2"/>
      <c r="T744" s="2"/>
      <c r="U744" s="1"/>
      <c r="V744" s="2"/>
      <c r="W744" s="2"/>
      <c r="X744" s="2"/>
      <c r="Y744" s="2"/>
      <c r="Z744" s="2"/>
    </row>
    <row r="745" spans="1:26" ht="15.75" customHeight="1" x14ac:dyDescent="0.2">
      <c r="A745" s="12"/>
      <c r="B745" s="10"/>
      <c r="C745" s="11"/>
      <c r="D745" s="13"/>
      <c r="E745" s="13"/>
      <c r="F745" s="13"/>
      <c r="G745" s="2"/>
      <c r="H745" s="2"/>
      <c r="I745" s="13"/>
      <c r="J745" s="13"/>
      <c r="K745" s="13"/>
      <c r="L745" s="14"/>
      <c r="M745" s="4"/>
      <c r="N745" s="2"/>
      <c r="O745" s="4"/>
      <c r="P745" s="2"/>
      <c r="Q745" s="2"/>
      <c r="R745" s="4"/>
      <c r="S745" s="2"/>
      <c r="T745" s="2"/>
      <c r="U745" s="1"/>
      <c r="V745" s="2"/>
      <c r="W745" s="2"/>
      <c r="X745" s="2"/>
      <c r="Y745" s="2"/>
      <c r="Z745" s="2"/>
    </row>
    <row r="746" spans="1:26" ht="15.75" customHeight="1" x14ac:dyDescent="0.2">
      <c r="A746" s="12"/>
      <c r="B746" s="10"/>
      <c r="C746" s="11"/>
      <c r="D746" s="13"/>
      <c r="E746" s="13"/>
      <c r="F746" s="13"/>
      <c r="G746" s="2"/>
      <c r="H746" s="2"/>
      <c r="I746" s="13"/>
      <c r="J746" s="13"/>
      <c r="K746" s="13"/>
      <c r="L746" s="14"/>
      <c r="M746" s="4"/>
      <c r="N746" s="2"/>
      <c r="O746" s="4"/>
      <c r="P746" s="2"/>
      <c r="Q746" s="2"/>
      <c r="R746" s="4"/>
      <c r="S746" s="2"/>
      <c r="T746" s="2"/>
      <c r="U746" s="1"/>
      <c r="V746" s="2"/>
      <c r="W746" s="2"/>
      <c r="X746" s="2"/>
      <c r="Y746" s="2"/>
      <c r="Z746" s="2"/>
    </row>
    <row r="747" spans="1:26" ht="15.75" customHeight="1" x14ac:dyDescent="0.2">
      <c r="A747" s="12"/>
      <c r="B747" s="10"/>
      <c r="C747" s="11"/>
      <c r="D747" s="13"/>
      <c r="E747" s="13"/>
      <c r="F747" s="13"/>
      <c r="G747" s="2"/>
      <c r="H747" s="2"/>
      <c r="I747" s="13"/>
      <c r="J747" s="13"/>
      <c r="K747" s="13"/>
      <c r="L747" s="14"/>
      <c r="M747" s="4"/>
      <c r="N747" s="2"/>
      <c r="O747" s="4"/>
      <c r="P747" s="2"/>
      <c r="Q747" s="2"/>
      <c r="R747" s="4"/>
      <c r="S747" s="2"/>
      <c r="T747" s="2"/>
      <c r="U747" s="1"/>
      <c r="V747" s="2"/>
      <c r="W747" s="2"/>
      <c r="X747" s="2"/>
      <c r="Y747" s="2"/>
      <c r="Z747" s="2"/>
    </row>
    <row r="748" spans="1:26" ht="15.75" customHeight="1" x14ac:dyDescent="0.2">
      <c r="A748" s="12"/>
      <c r="B748" s="10"/>
      <c r="C748" s="11"/>
      <c r="D748" s="13"/>
      <c r="E748" s="13"/>
      <c r="F748" s="13"/>
      <c r="G748" s="2"/>
      <c r="H748" s="2"/>
      <c r="I748" s="13"/>
      <c r="J748" s="13"/>
      <c r="K748" s="13"/>
      <c r="L748" s="14"/>
      <c r="M748" s="4"/>
      <c r="N748" s="2"/>
      <c r="O748" s="4"/>
      <c r="P748" s="2"/>
      <c r="Q748" s="2"/>
      <c r="R748" s="4"/>
      <c r="S748" s="2"/>
      <c r="T748" s="2"/>
      <c r="U748" s="1"/>
      <c r="V748" s="2"/>
      <c r="W748" s="2"/>
      <c r="X748" s="2"/>
      <c r="Y748" s="2"/>
      <c r="Z748" s="2"/>
    </row>
    <row r="749" spans="1:26" ht="15.75" customHeight="1" x14ac:dyDescent="0.2">
      <c r="A749" s="12"/>
      <c r="B749" s="10"/>
      <c r="C749" s="11"/>
      <c r="D749" s="13"/>
      <c r="E749" s="13"/>
      <c r="F749" s="13"/>
      <c r="G749" s="2"/>
      <c r="H749" s="2"/>
      <c r="I749" s="13"/>
      <c r="J749" s="13"/>
      <c r="K749" s="13"/>
      <c r="L749" s="14"/>
      <c r="M749" s="4"/>
      <c r="N749" s="2"/>
      <c r="O749" s="4"/>
      <c r="P749" s="2"/>
      <c r="Q749" s="2"/>
      <c r="R749" s="4"/>
      <c r="S749" s="2"/>
      <c r="T749" s="2"/>
      <c r="U749" s="1"/>
      <c r="V749" s="2"/>
      <c r="W749" s="2"/>
      <c r="X749" s="2"/>
      <c r="Y749" s="2"/>
      <c r="Z749" s="2"/>
    </row>
    <row r="750" spans="1:26" ht="15.75" customHeight="1" x14ac:dyDescent="0.2">
      <c r="A750" s="12"/>
      <c r="B750" s="10"/>
      <c r="C750" s="11"/>
      <c r="D750" s="13"/>
      <c r="E750" s="13"/>
      <c r="F750" s="13"/>
      <c r="G750" s="2"/>
      <c r="H750" s="2"/>
      <c r="I750" s="13"/>
      <c r="J750" s="13"/>
      <c r="K750" s="13"/>
      <c r="L750" s="14"/>
      <c r="M750" s="4"/>
      <c r="N750" s="2"/>
      <c r="O750" s="4"/>
      <c r="P750" s="2"/>
      <c r="Q750" s="2"/>
      <c r="R750" s="4"/>
      <c r="S750" s="2"/>
      <c r="T750" s="2"/>
      <c r="U750" s="1"/>
      <c r="V750" s="2"/>
      <c r="W750" s="2"/>
      <c r="X750" s="2"/>
      <c r="Y750" s="2"/>
      <c r="Z750" s="2"/>
    </row>
    <row r="751" spans="1:26" ht="15.75" customHeight="1" x14ac:dyDescent="0.2">
      <c r="A751" s="12"/>
      <c r="B751" s="10"/>
      <c r="C751" s="11"/>
      <c r="D751" s="13"/>
      <c r="E751" s="13"/>
      <c r="F751" s="13"/>
      <c r="G751" s="2"/>
      <c r="H751" s="2"/>
      <c r="I751" s="13"/>
      <c r="J751" s="13"/>
      <c r="K751" s="13"/>
      <c r="L751" s="14"/>
      <c r="M751" s="4"/>
      <c r="N751" s="2"/>
      <c r="O751" s="4"/>
      <c r="P751" s="2"/>
      <c r="Q751" s="2"/>
      <c r="R751" s="4"/>
      <c r="S751" s="2"/>
      <c r="T751" s="2"/>
      <c r="U751" s="1"/>
      <c r="V751" s="2"/>
      <c r="W751" s="2"/>
      <c r="X751" s="2"/>
      <c r="Y751" s="2"/>
      <c r="Z751" s="2"/>
    </row>
    <row r="752" spans="1:26" ht="15.75" customHeight="1" x14ac:dyDescent="0.2">
      <c r="A752" s="12"/>
      <c r="B752" s="10"/>
      <c r="C752" s="11"/>
      <c r="D752" s="13"/>
      <c r="E752" s="13"/>
      <c r="F752" s="13"/>
      <c r="G752" s="2"/>
      <c r="H752" s="2"/>
      <c r="I752" s="13"/>
      <c r="J752" s="13"/>
      <c r="K752" s="13"/>
      <c r="L752" s="14"/>
      <c r="M752" s="4"/>
      <c r="N752" s="2"/>
      <c r="O752" s="4"/>
      <c r="P752" s="2"/>
      <c r="Q752" s="2"/>
      <c r="R752" s="4"/>
      <c r="S752" s="2"/>
      <c r="T752" s="2"/>
      <c r="U752" s="1"/>
      <c r="V752" s="2"/>
      <c r="W752" s="2"/>
      <c r="X752" s="2"/>
      <c r="Y752" s="2"/>
      <c r="Z752" s="2"/>
    </row>
    <row r="753" spans="1:26" ht="15.75" customHeight="1" x14ac:dyDescent="0.2">
      <c r="A753" s="12"/>
      <c r="B753" s="10"/>
      <c r="C753" s="11"/>
      <c r="D753" s="13"/>
      <c r="E753" s="13"/>
      <c r="F753" s="13"/>
      <c r="G753" s="2"/>
      <c r="H753" s="2"/>
      <c r="I753" s="13"/>
      <c r="J753" s="13"/>
      <c r="K753" s="13"/>
      <c r="L753" s="14"/>
      <c r="M753" s="4"/>
      <c r="N753" s="2"/>
      <c r="O753" s="4"/>
      <c r="P753" s="2"/>
      <c r="Q753" s="2"/>
      <c r="R753" s="4"/>
      <c r="S753" s="2"/>
      <c r="T753" s="2"/>
      <c r="U753" s="1"/>
      <c r="V753" s="2"/>
      <c r="W753" s="2"/>
      <c r="X753" s="2"/>
      <c r="Y753" s="2"/>
      <c r="Z753" s="2"/>
    </row>
    <row r="754" spans="1:26" ht="15.75" customHeight="1" x14ac:dyDescent="0.2">
      <c r="A754" s="12"/>
      <c r="B754" s="10"/>
      <c r="C754" s="11"/>
      <c r="D754" s="13"/>
      <c r="E754" s="13"/>
      <c r="F754" s="13"/>
      <c r="G754" s="2"/>
      <c r="H754" s="2"/>
      <c r="I754" s="13"/>
      <c r="J754" s="13"/>
      <c r="K754" s="13"/>
      <c r="L754" s="14"/>
      <c r="M754" s="4"/>
      <c r="N754" s="2"/>
      <c r="O754" s="4"/>
      <c r="P754" s="2"/>
      <c r="Q754" s="2"/>
      <c r="R754" s="4"/>
      <c r="S754" s="2"/>
      <c r="T754" s="2"/>
      <c r="U754" s="1"/>
      <c r="V754" s="2"/>
      <c r="W754" s="2"/>
      <c r="X754" s="2"/>
      <c r="Y754" s="2"/>
      <c r="Z754" s="2"/>
    </row>
    <row r="755" spans="1:26" ht="15.75" customHeight="1" x14ac:dyDescent="0.2">
      <c r="A755" s="12"/>
      <c r="B755" s="10"/>
      <c r="C755" s="11"/>
      <c r="D755" s="13"/>
      <c r="E755" s="13"/>
      <c r="F755" s="13"/>
      <c r="G755" s="2"/>
      <c r="H755" s="2"/>
      <c r="I755" s="13"/>
      <c r="J755" s="13"/>
      <c r="K755" s="13"/>
      <c r="L755" s="14"/>
      <c r="M755" s="4"/>
      <c r="N755" s="2"/>
      <c r="O755" s="4"/>
      <c r="P755" s="2"/>
      <c r="Q755" s="2"/>
      <c r="R755" s="4"/>
      <c r="S755" s="2"/>
      <c r="T755" s="2"/>
      <c r="U755" s="1"/>
      <c r="V755" s="2"/>
      <c r="W755" s="2"/>
      <c r="X755" s="2"/>
      <c r="Y755" s="2"/>
      <c r="Z755" s="2"/>
    </row>
    <row r="756" spans="1:26" ht="15.75" customHeight="1" x14ac:dyDescent="0.2">
      <c r="A756" s="12"/>
      <c r="B756" s="10"/>
      <c r="C756" s="11"/>
      <c r="D756" s="13"/>
      <c r="E756" s="13"/>
      <c r="F756" s="13"/>
      <c r="G756" s="2"/>
      <c r="H756" s="2"/>
      <c r="I756" s="13"/>
      <c r="J756" s="13"/>
      <c r="K756" s="13"/>
      <c r="L756" s="14"/>
      <c r="M756" s="4"/>
      <c r="N756" s="2"/>
      <c r="O756" s="4"/>
      <c r="P756" s="2"/>
      <c r="Q756" s="2"/>
      <c r="R756" s="4"/>
      <c r="S756" s="2"/>
      <c r="T756" s="2"/>
      <c r="U756" s="1"/>
      <c r="V756" s="2"/>
      <c r="W756" s="2"/>
      <c r="X756" s="2"/>
      <c r="Y756" s="2"/>
      <c r="Z756" s="2"/>
    </row>
    <row r="757" spans="1:26" ht="15.75" customHeight="1" x14ac:dyDescent="0.2">
      <c r="A757" s="12"/>
      <c r="B757" s="10"/>
      <c r="C757" s="11"/>
      <c r="D757" s="13"/>
      <c r="E757" s="13"/>
      <c r="F757" s="13"/>
      <c r="G757" s="2"/>
      <c r="H757" s="2"/>
      <c r="I757" s="13"/>
      <c r="J757" s="13"/>
      <c r="K757" s="13"/>
      <c r="L757" s="14"/>
      <c r="M757" s="4"/>
      <c r="N757" s="2"/>
      <c r="O757" s="4"/>
      <c r="P757" s="2"/>
      <c r="Q757" s="2"/>
      <c r="R757" s="4"/>
      <c r="S757" s="2"/>
      <c r="T757" s="2"/>
      <c r="U757" s="1"/>
      <c r="V757" s="2"/>
      <c r="W757" s="2"/>
      <c r="X757" s="2"/>
      <c r="Y757" s="2"/>
      <c r="Z757" s="2"/>
    </row>
    <row r="758" spans="1:26" ht="15.75" customHeight="1" x14ac:dyDescent="0.2">
      <c r="A758" s="12"/>
      <c r="B758" s="10"/>
      <c r="C758" s="11"/>
      <c r="D758" s="13"/>
      <c r="E758" s="13"/>
      <c r="F758" s="13"/>
      <c r="G758" s="2"/>
      <c r="H758" s="2"/>
      <c r="I758" s="13"/>
      <c r="J758" s="13"/>
      <c r="K758" s="13"/>
      <c r="L758" s="14"/>
      <c r="M758" s="4"/>
      <c r="N758" s="2"/>
      <c r="O758" s="4"/>
      <c r="P758" s="2"/>
      <c r="Q758" s="2"/>
      <c r="R758" s="4"/>
      <c r="S758" s="2"/>
      <c r="T758" s="2"/>
      <c r="U758" s="1"/>
      <c r="V758" s="2"/>
      <c r="W758" s="2"/>
      <c r="X758" s="2"/>
      <c r="Y758" s="2"/>
      <c r="Z758" s="2"/>
    </row>
    <row r="759" spans="1:26" ht="15.75" customHeight="1" x14ac:dyDescent="0.2">
      <c r="A759" s="12"/>
      <c r="B759" s="10"/>
      <c r="C759" s="11"/>
      <c r="D759" s="13"/>
      <c r="E759" s="13"/>
      <c r="F759" s="13"/>
      <c r="G759" s="2"/>
      <c r="H759" s="2"/>
      <c r="I759" s="13"/>
      <c r="J759" s="13"/>
      <c r="K759" s="13"/>
      <c r="L759" s="14"/>
      <c r="M759" s="4"/>
      <c r="N759" s="2"/>
      <c r="O759" s="4"/>
      <c r="P759" s="2"/>
      <c r="Q759" s="2"/>
      <c r="R759" s="4"/>
      <c r="S759" s="2"/>
      <c r="T759" s="2"/>
      <c r="U759" s="1"/>
      <c r="V759" s="2"/>
      <c r="W759" s="2"/>
      <c r="X759" s="2"/>
      <c r="Y759" s="2"/>
      <c r="Z759" s="2"/>
    </row>
    <row r="760" spans="1:26" ht="15.75" customHeight="1" x14ac:dyDescent="0.2">
      <c r="A760" s="12"/>
      <c r="B760" s="10"/>
      <c r="C760" s="11"/>
      <c r="D760" s="13"/>
      <c r="E760" s="13"/>
      <c r="F760" s="13"/>
      <c r="G760" s="2"/>
      <c r="H760" s="2"/>
      <c r="I760" s="13"/>
      <c r="J760" s="13"/>
      <c r="K760" s="13"/>
      <c r="L760" s="14"/>
      <c r="M760" s="4"/>
      <c r="N760" s="2"/>
      <c r="O760" s="4"/>
      <c r="P760" s="2"/>
      <c r="Q760" s="2"/>
      <c r="R760" s="4"/>
      <c r="S760" s="2"/>
      <c r="T760" s="2"/>
      <c r="U760" s="1"/>
      <c r="V760" s="2"/>
      <c r="W760" s="2"/>
      <c r="X760" s="2"/>
      <c r="Y760" s="2"/>
      <c r="Z760" s="2"/>
    </row>
    <row r="761" spans="1:26" ht="15.75" customHeight="1" x14ac:dyDescent="0.2">
      <c r="A761" s="12"/>
      <c r="B761" s="10"/>
      <c r="C761" s="11"/>
      <c r="D761" s="13"/>
      <c r="E761" s="13"/>
      <c r="F761" s="13"/>
      <c r="G761" s="2"/>
      <c r="H761" s="2"/>
      <c r="I761" s="13"/>
      <c r="J761" s="13"/>
      <c r="K761" s="13"/>
      <c r="L761" s="14"/>
      <c r="M761" s="4"/>
      <c r="N761" s="2"/>
      <c r="O761" s="4"/>
      <c r="P761" s="2"/>
      <c r="Q761" s="2"/>
      <c r="R761" s="4"/>
      <c r="S761" s="2"/>
      <c r="T761" s="2"/>
      <c r="U761" s="1"/>
      <c r="V761" s="2"/>
      <c r="W761" s="2"/>
      <c r="X761" s="2"/>
      <c r="Y761" s="2"/>
      <c r="Z761" s="2"/>
    </row>
    <row r="762" spans="1:26" ht="15.75" customHeight="1" x14ac:dyDescent="0.2">
      <c r="A762" s="12"/>
      <c r="B762" s="10"/>
      <c r="C762" s="11"/>
      <c r="D762" s="13"/>
      <c r="E762" s="13"/>
      <c r="F762" s="13"/>
      <c r="G762" s="2"/>
      <c r="H762" s="2"/>
      <c r="I762" s="13"/>
      <c r="J762" s="13"/>
      <c r="K762" s="13"/>
      <c r="L762" s="14"/>
      <c r="M762" s="4"/>
      <c r="N762" s="2"/>
      <c r="O762" s="4"/>
      <c r="P762" s="2"/>
      <c r="Q762" s="2"/>
      <c r="R762" s="4"/>
      <c r="S762" s="2"/>
      <c r="T762" s="2"/>
      <c r="U762" s="1"/>
      <c r="V762" s="2"/>
      <c r="W762" s="2"/>
      <c r="X762" s="2"/>
      <c r="Y762" s="2"/>
      <c r="Z762" s="2"/>
    </row>
    <row r="763" spans="1:26" ht="15.75" customHeight="1" x14ac:dyDescent="0.2">
      <c r="A763" s="12"/>
      <c r="B763" s="10"/>
      <c r="C763" s="11"/>
      <c r="D763" s="13"/>
      <c r="E763" s="13"/>
      <c r="F763" s="13"/>
      <c r="G763" s="2"/>
      <c r="H763" s="2"/>
      <c r="I763" s="13"/>
      <c r="J763" s="13"/>
      <c r="K763" s="13"/>
      <c r="L763" s="14"/>
      <c r="M763" s="4"/>
      <c r="N763" s="2"/>
      <c r="O763" s="4"/>
      <c r="P763" s="2"/>
      <c r="Q763" s="2"/>
      <c r="R763" s="4"/>
      <c r="S763" s="2"/>
      <c r="T763" s="2"/>
      <c r="U763" s="1"/>
      <c r="V763" s="2"/>
      <c r="W763" s="2"/>
      <c r="X763" s="2"/>
      <c r="Y763" s="2"/>
      <c r="Z763" s="2"/>
    </row>
    <row r="764" spans="1:26" ht="15.75" customHeight="1" x14ac:dyDescent="0.2">
      <c r="A764" s="12"/>
      <c r="B764" s="10"/>
      <c r="C764" s="11"/>
      <c r="D764" s="13"/>
      <c r="E764" s="13"/>
      <c r="F764" s="13"/>
      <c r="G764" s="2"/>
      <c r="H764" s="2"/>
      <c r="I764" s="13"/>
      <c r="J764" s="13"/>
      <c r="K764" s="13"/>
      <c r="L764" s="14"/>
      <c r="M764" s="4"/>
      <c r="N764" s="2"/>
      <c r="O764" s="4"/>
      <c r="P764" s="2"/>
      <c r="Q764" s="2"/>
      <c r="R764" s="4"/>
      <c r="S764" s="2"/>
      <c r="T764" s="2"/>
      <c r="U764" s="1"/>
      <c r="V764" s="2"/>
      <c r="W764" s="2"/>
      <c r="X764" s="2"/>
      <c r="Y764" s="2"/>
      <c r="Z764" s="2"/>
    </row>
    <row r="765" spans="1:26" ht="15.75" customHeight="1" x14ac:dyDescent="0.2">
      <c r="A765" s="12"/>
      <c r="B765" s="10"/>
      <c r="C765" s="11"/>
      <c r="D765" s="13"/>
      <c r="E765" s="13"/>
      <c r="F765" s="13"/>
      <c r="G765" s="2"/>
      <c r="H765" s="2"/>
      <c r="I765" s="13"/>
      <c r="J765" s="13"/>
      <c r="K765" s="13"/>
      <c r="L765" s="14"/>
      <c r="M765" s="4"/>
      <c r="N765" s="2"/>
      <c r="O765" s="4"/>
      <c r="P765" s="2"/>
      <c r="Q765" s="2"/>
      <c r="R765" s="4"/>
      <c r="S765" s="2"/>
      <c r="T765" s="2"/>
      <c r="U765" s="1"/>
      <c r="V765" s="2"/>
      <c r="W765" s="2"/>
      <c r="X765" s="2"/>
      <c r="Y765" s="2"/>
      <c r="Z765" s="2"/>
    </row>
    <row r="766" spans="1:26" ht="15.75" customHeight="1" x14ac:dyDescent="0.2">
      <c r="A766" s="12"/>
      <c r="B766" s="10"/>
      <c r="C766" s="11"/>
      <c r="D766" s="13"/>
      <c r="E766" s="13"/>
      <c r="F766" s="13"/>
      <c r="G766" s="2"/>
      <c r="H766" s="2"/>
      <c r="I766" s="13"/>
      <c r="J766" s="13"/>
      <c r="K766" s="13"/>
      <c r="L766" s="14"/>
      <c r="M766" s="4"/>
      <c r="N766" s="2"/>
      <c r="O766" s="4"/>
      <c r="P766" s="2"/>
      <c r="Q766" s="2"/>
      <c r="R766" s="4"/>
      <c r="S766" s="2"/>
      <c r="T766" s="2"/>
      <c r="U766" s="1"/>
      <c r="V766" s="2"/>
      <c r="W766" s="2"/>
      <c r="X766" s="2"/>
      <c r="Y766" s="2"/>
      <c r="Z766" s="2"/>
    </row>
    <row r="767" spans="1:26" ht="15.75" customHeight="1" x14ac:dyDescent="0.2">
      <c r="A767" s="12"/>
      <c r="B767" s="10"/>
      <c r="C767" s="11"/>
      <c r="D767" s="13"/>
      <c r="E767" s="13"/>
      <c r="F767" s="13"/>
      <c r="G767" s="2"/>
      <c r="H767" s="2"/>
      <c r="I767" s="13"/>
      <c r="J767" s="13"/>
      <c r="K767" s="13"/>
      <c r="L767" s="14"/>
      <c r="M767" s="4"/>
      <c r="N767" s="2"/>
      <c r="O767" s="4"/>
      <c r="P767" s="2"/>
      <c r="Q767" s="2"/>
      <c r="R767" s="4"/>
      <c r="S767" s="2"/>
      <c r="T767" s="2"/>
      <c r="U767" s="1"/>
      <c r="V767" s="2"/>
      <c r="W767" s="2"/>
      <c r="X767" s="2"/>
      <c r="Y767" s="2"/>
      <c r="Z767" s="2"/>
    </row>
    <row r="768" spans="1:26" ht="15.75" customHeight="1" x14ac:dyDescent="0.2">
      <c r="A768" s="12"/>
      <c r="B768" s="10"/>
      <c r="C768" s="11"/>
      <c r="D768" s="13"/>
      <c r="E768" s="13"/>
      <c r="F768" s="13"/>
      <c r="G768" s="2"/>
      <c r="H768" s="2"/>
      <c r="I768" s="13"/>
      <c r="J768" s="13"/>
      <c r="K768" s="13"/>
      <c r="L768" s="14"/>
      <c r="M768" s="4"/>
      <c r="N768" s="2"/>
      <c r="O768" s="4"/>
      <c r="P768" s="2"/>
      <c r="Q768" s="2"/>
      <c r="R768" s="4"/>
      <c r="S768" s="2"/>
      <c r="T768" s="2"/>
      <c r="U768" s="1"/>
      <c r="V768" s="2"/>
      <c r="W768" s="2"/>
      <c r="X768" s="2"/>
      <c r="Y768" s="2"/>
      <c r="Z768" s="2"/>
    </row>
    <row r="769" spans="1:26" ht="15.75" customHeight="1" x14ac:dyDescent="0.2">
      <c r="A769" s="12"/>
      <c r="B769" s="10"/>
      <c r="C769" s="11"/>
      <c r="D769" s="13"/>
      <c r="E769" s="13"/>
      <c r="F769" s="13"/>
      <c r="G769" s="2"/>
      <c r="H769" s="2"/>
      <c r="I769" s="13"/>
      <c r="J769" s="13"/>
      <c r="K769" s="13"/>
      <c r="L769" s="14"/>
      <c r="M769" s="4"/>
      <c r="N769" s="2"/>
      <c r="O769" s="4"/>
      <c r="P769" s="2"/>
      <c r="Q769" s="2"/>
      <c r="R769" s="4"/>
      <c r="S769" s="2"/>
      <c r="T769" s="2"/>
      <c r="U769" s="1"/>
      <c r="V769" s="2"/>
      <c r="W769" s="2"/>
      <c r="X769" s="2"/>
      <c r="Y769" s="2"/>
      <c r="Z769" s="2"/>
    </row>
    <row r="770" spans="1:26" ht="15.75" customHeight="1" x14ac:dyDescent="0.2">
      <c r="A770" s="12"/>
      <c r="B770" s="10"/>
      <c r="C770" s="11"/>
      <c r="D770" s="13"/>
      <c r="E770" s="13"/>
      <c r="F770" s="13"/>
      <c r="G770" s="2"/>
      <c r="H770" s="2"/>
      <c r="I770" s="13"/>
      <c r="J770" s="13"/>
      <c r="K770" s="13"/>
      <c r="L770" s="14"/>
      <c r="M770" s="4"/>
      <c r="N770" s="2"/>
      <c r="O770" s="4"/>
      <c r="P770" s="2"/>
      <c r="Q770" s="2"/>
      <c r="R770" s="4"/>
      <c r="S770" s="2"/>
      <c r="T770" s="2"/>
      <c r="U770" s="1"/>
      <c r="V770" s="2"/>
      <c r="W770" s="2"/>
      <c r="X770" s="2"/>
      <c r="Y770" s="2"/>
      <c r="Z770" s="2"/>
    </row>
    <row r="771" spans="1:26" ht="15.75" customHeight="1" x14ac:dyDescent="0.2">
      <c r="A771" s="12"/>
      <c r="B771" s="10"/>
      <c r="C771" s="11"/>
      <c r="D771" s="13"/>
      <c r="E771" s="13"/>
      <c r="F771" s="13"/>
      <c r="G771" s="2"/>
      <c r="H771" s="2"/>
      <c r="I771" s="13"/>
      <c r="J771" s="13"/>
      <c r="K771" s="13"/>
      <c r="L771" s="14"/>
      <c r="M771" s="4"/>
      <c r="N771" s="2"/>
      <c r="O771" s="4"/>
      <c r="P771" s="2"/>
      <c r="Q771" s="2"/>
      <c r="R771" s="4"/>
      <c r="S771" s="2"/>
      <c r="T771" s="2"/>
      <c r="U771" s="1"/>
      <c r="V771" s="2"/>
      <c r="W771" s="2"/>
      <c r="X771" s="2"/>
      <c r="Y771" s="2"/>
      <c r="Z771" s="2"/>
    </row>
    <row r="772" spans="1:26" ht="15.75" customHeight="1" x14ac:dyDescent="0.2">
      <c r="A772" s="12"/>
      <c r="B772" s="10"/>
      <c r="C772" s="11"/>
      <c r="D772" s="13"/>
      <c r="E772" s="13"/>
      <c r="F772" s="13"/>
      <c r="G772" s="2"/>
      <c r="H772" s="2"/>
      <c r="I772" s="13"/>
      <c r="J772" s="13"/>
      <c r="K772" s="13"/>
      <c r="L772" s="14"/>
      <c r="M772" s="4"/>
      <c r="N772" s="2"/>
      <c r="O772" s="4"/>
      <c r="P772" s="2"/>
      <c r="Q772" s="2"/>
      <c r="R772" s="4"/>
      <c r="S772" s="2"/>
      <c r="T772" s="2"/>
      <c r="U772" s="1"/>
      <c r="V772" s="2"/>
      <c r="W772" s="2"/>
      <c r="X772" s="2"/>
      <c r="Y772" s="2"/>
      <c r="Z772" s="2"/>
    </row>
    <row r="773" spans="1:26" ht="15.75" customHeight="1" x14ac:dyDescent="0.2">
      <c r="A773" s="12"/>
      <c r="B773" s="10"/>
      <c r="C773" s="11"/>
      <c r="D773" s="13"/>
      <c r="E773" s="13"/>
      <c r="F773" s="13"/>
      <c r="G773" s="2"/>
      <c r="H773" s="2"/>
      <c r="I773" s="13"/>
      <c r="J773" s="13"/>
      <c r="K773" s="13"/>
      <c r="L773" s="14"/>
      <c r="M773" s="4"/>
      <c r="N773" s="2"/>
      <c r="O773" s="4"/>
      <c r="P773" s="2"/>
      <c r="Q773" s="2"/>
      <c r="R773" s="4"/>
      <c r="S773" s="2"/>
      <c r="T773" s="2"/>
      <c r="U773" s="1"/>
      <c r="V773" s="2"/>
      <c r="W773" s="2"/>
      <c r="X773" s="2"/>
      <c r="Y773" s="2"/>
      <c r="Z773" s="2"/>
    </row>
    <row r="774" spans="1:26" ht="15.75" customHeight="1" x14ac:dyDescent="0.2">
      <c r="A774" s="12"/>
      <c r="B774" s="10"/>
      <c r="C774" s="11"/>
      <c r="D774" s="13"/>
      <c r="E774" s="13"/>
      <c r="F774" s="13"/>
      <c r="G774" s="2"/>
      <c r="H774" s="2"/>
      <c r="I774" s="13"/>
      <c r="J774" s="13"/>
      <c r="K774" s="13"/>
      <c r="L774" s="14"/>
      <c r="M774" s="4"/>
      <c r="N774" s="2"/>
      <c r="O774" s="4"/>
      <c r="P774" s="2"/>
      <c r="Q774" s="2"/>
      <c r="R774" s="4"/>
      <c r="S774" s="2"/>
      <c r="T774" s="2"/>
      <c r="U774" s="1"/>
      <c r="V774" s="2"/>
      <c r="W774" s="2"/>
      <c r="X774" s="2"/>
      <c r="Y774" s="2"/>
      <c r="Z774" s="2"/>
    </row>
    <row r="775" spans="1:26" ht="15.75" customHeight="1" x14ac:dyDescent="0.2">
      <c r="A775" s="12"/>
      <c r="B775" s="10"/>
      <c r="C775" s="11"/>
      <c r="D775" s="13"/>
      <c r="E775" s="13"/>
      <c r="F775" s="13"/>
      <c r="G775" s="2"/>
      <c r="H775" s="2"/>
      <c r="I775" s="13"/>
      <c r="J775" s="13"/>
      <c r="K775" s="13"/>
      <c r="L775" s="14"/>
      <c r="M775" s="4"/>
      <c r="N775" s="2"/>
      <c r="O775" s="4"/>
      <c r="P775" s="2"/>
      <c r="Q775" s="2"/>
      <c r="R775" s="4"/>
      <c r="S775" s="2"/>
      <c r="T775" s="2"/>
      <c r="U775" s="1"/>
      <c r="V775" s="2"/>
      <c r="W775" s="2"/>
      <c r="X775" s="2"/>
      <c r="Y775" s="2"/>
      <c r="Z775" s="2"/>
    </row>
    <row r="776" spans="1:26" ht="15.75" customHeight="1" x14ac:dyDescent="0.2">
      <c r="A776" s="12"/>
      <c r="B776" s="10"/>
      <c r="C776" s="11"/>
      <c r="D776" s="13"/>
      <c r="E776" s="13"/>
      <c r="F776" s="13"/>
      <c r="G776" s="2"/>
      <c r="H776" s="2"/>
      <c r="I776" s="13"/>
      <c r="J776" s="13"/>
      <c r="K776" s="13"/>
      <c r="L776" s="14"/>
      <c r="M776" s="4"/>
      <c r="N776" s="2"/>
      <c r="O776" s="4"/>
      <c r="P776" s="2"/>
      <c r="Q776" s="2"/>
      <c r="R776" s="4"/>
      <c r="S776" s="2"/>
      <c r="T776" s="2"/>
      <c r="U776" s="1"/>
      <c r="V776" s="2"/>
      <c r="W776" s="2"/>
      <c r="X776" s="2"/>
      <c r="Y776" s="2"/>
      <c r="Z776" s="2"/>
    </row>
    <row r="777" spans="1:26" ht="15.75" customHeight="1" x14ac:dyDescent="0.2">
      <c r="A777" s="12"/>
      <c r="B777" s="10"/>
      <c r="C777" s="11"/>
      <c r="D777" s="13"/>
      <c r="E777" s="13"/>
      <c r="F777" s="13"/>
      <c r="G777" s="2"/>
      <c r="H777" s="2"/>
      <c r="I777" s="13"/>
      <c r="J777" s="13"/>
      <c r="K777" s="13"/>
      <c r="L777" s="14"/>
      <c r="M777" s="4"/>
      <c r="N777" s="2"/>
      <c r="O777" s="4"/>
      <c r="P777" s="2"/>
      <c r="Q777" s="2"/>
      <c r="R777" s="4"/>
      <c r="S777" s="2"/>
      <c r="T777" s="2"/>
      <c r="U777" s="1"/>
      <c r="V777" s="2"/>
      <c r="W777" s="2"/>
      <c r="X777" s="2"/>
      <c r="Y777" s="2"/>
      <c r="Z777" s="2"/>
    </row>
    <row r="778" spans="1:26" ht="15.75" customHeight="1" x14ac:dyDescent="0.2">
      <c r="A778" s="12"/>
      <c r="B778" s="10"/>
      <c r="C778" s="11"/>
      <c r="D778" s="13"/>
      <c r="E778" s="13"/>
      <c r="F778" s="13"/>
      <c r="G778" s="2"/>
      <c r="H778" s="2"/>
      <c r="I778" s="13"/>
      <c r="J778" s="13"/>
      <c r="K778" s="13"/>
      <c r="L778" s="14"/>
      <c r="M778" s="4"/>
      <c r="N778" s="2"/>
      <c r="O778" s="4"/>
      <c r="P778" s="2"/>
      <c r="Q778" s="2"/>
      <c r="R778" s="4"/>
      <c r="S778" s="2"/>
      <c r="T778" s="2"/>
      <c r="U778" s="1"/>
      <c r="V778" s="2"/>
      <c r="W778" s="2"/>
      <c r="X778" s="2"/>
      <c r="Y778" s="2"/>
      <c r="Z778" s="2"/>
    </row>
    <row r="779" spans="1:26" ht="15.75" customHeight="1" x14ac:dyDescent="0.2">
      <c r="A779" s="12"/>
      <c r="B779" s="10"/>
      <c r="C779" s="11"/>
      <c r="D779" s="13"/>
      <c r="E779" s="13"/>
      <c r="F779" s="13"/>
      <c r="G779" s="2"/>
      <c r="H779" s="2"/>
      <c r="I779" s="13"/>
      <c r="J779" s="13"/>
      <c r="K779" s="13"/>
      <c r="L779" s="14"/>
      <c r="M779" s="4"/>
      <c r="N779" s="2"/>
      <c r="O779" s="4"/>
      <c r="P779" s="2"/>
      <c r="Q779" s="2"/>
      <c r="R779" s="4"/>
      <c r="S779" s="2"/>
      <c r="T779" s="2"/>
      <c r="U779" s="1"/>
      <c r="V779" s="2"/>
      <c r="W779" s="2"/>
      <c r="X779" s="2"/>
      <c r="Y779" s="2"/>
      <c r="Z779" s="2"/>
    </row>
    <row r="780" spans="1:26" ht="15.75" customHeight="1" x14ac:dyDescent="0.2">
      <c r="A780" s="12"/>
      <c r="B780" s="10"/>
      <c r="C780" s="11"/>
      <c r="D780" s="13"/>
      <c r="E780" s="13"/>
      <c r="F780" s="13"/>
      <c r="G780" s="2"/>
      <c r="H780" s="2"/>
      <c r="I780" s="13"/>
      <c r="J780" s="13"/>
      <c r="K780" s="13"/>
      <c r="L780" s="14"/>
      <c r="M780" s="4"/>
      <c r="N780" s="2"/>
      <c r="O780" s="4"/>
      <c r="P780" s="2"/>
      <c r="Q780" s="2"/>
      <c r="R780" s="4"/>
      <c r="S780" s="2"/>
      <c r="T780" s="2"/>
      <c r="U780" s="1"/>
      <c r="V780" s="2"/>
      <c r="W780" s="2"/>
      <c r="X780" s="2"/>
      <c r="Y780" s="2"/>
      <c r="Z780" s="2"/>
    </row>
    <row r="781" spans="1:26" ht="15.75" customHeight="1" x14ac:dyDescent="0.2">
      <c r="A781" s="12"/>
      <c r="B781" s="10"/>
      <c r="C781" s="11"/>
      <c r="D781" s="13"/>
      <c r="E781" s="13"/>
      <c r="F781" s="13"/>
      <c r="G781" s="2"/>
      <c r="H781" s="2"/>
      <c r="I781" s="13"/>
      <c r="J781" s="13"/>
      <c r="K781" s="13"/>
      <c r="L781" s="14"/>
      <c r="M781" s="4"/>
      <c r="N781" s="2"/>
      <c r="O781" s="4"/>
      <c r="P781" s="2"/>
      <c r="Q781" s="2"/>
      <c r="R781" s="4"/>
      <c r="S781" s="2"/>
      <c r="T781" s="2"/>
      <c r="U781" s="1"/>
      <c r="V781" s="2"/>
      <c r="W781" s="2"/>
      <c r="X781" s="2"/>
      <c r="Y781" s="2"/>
      <c r="Z781" s="2"/>
    </row>
    <row r="782" spans="1:26" ht="15.75" customHeight="1" x14ac:dyDescent="0.2">
      <c r="A782" s="12"/>
      <c r="B782" s="10"/>
      <c r="C782" s="11"/>
      <c r="D782" s="13"/>
      <c r="E782" s="13"/>
      <c r="F782" s="13"/>
      <c r="G782" s="2"/>
      <c r="H782" s="2"/>
      <c r="I782" s="13"/>
      <c r="J782" s="13"/>
      <c r="K782" s="13"/>
      <c r="L782" s="14"/>
      <c r="M782" s="4"/>
      <c r="N782" s="2"/>
      <c r="O782" s="4"/>
      <c r="P782" s="2"/>
      <c r="Q782" s="2"/>
      <c r="R782" s="4"/>
      <c r="S782" s="2"/>
      <c r="T782" s="2"/>
      <c r="U782" s="1"/>
      <c r="V782" s="2"/>
      <c r="W782" s="2"/>
      <c r="X782" s="2"/>
      <c r="Y782" s="2"/>
      <c r="Z782" s="2"/>
    </row>
    <row r="783" spans="1:26" ht="15.75" customHeight="1" x14ac:dyDescent="0.2">
      <c r="A783" s="12"/>
      <c r="B783" s="10"/>
      <c r="C783" s="11"/>
      <c r="D783" s="13"/>
      <c r="E783" s="13"/>
      <c r="F783" s="13"/>
      <c r="G783" s="2"/>
      <c r="H783" s="2"/>
      <c r="I783" s="13"/>
      <c r="J783" s="13"/>
      <c r="K783" s="13"/>
      <c r="L783" s="14"/>
      <c r="M783" s="4"/>
      <c r="N783" s="2"/>
      <c r="O783" s="4"/>
      <c r="P783" s="2"/>
      <c r="Q783" s="2"/>
      <c r="R783" s="4"/>
      <c r="S783" s="2"/>
      <c r="T783" s="2"/>
      <c r="U783" s="1"/>
      <c r="V783" s="2"/>
      <c r="W783" s="2"/>
      <c r="X783" s="2"/>
      <c r="Y783" s="2"/>
      <c r="Z783" s="2"/>
    </row>
    <row r="784" spans="1:26" ht="15.75" customHeight="1" x14ac:dyDescent="0.2">
      <c r="A784" s="12"/>
      <c r="B784" s="10"/>
      <c r="C784" s="11"/>
      <c r="D784" s="13"/>
      <c r="E784" s="13"/>
      <c r="F784" s="13"/>
      <c r="G784" s="2"/>
      <c r="H784" s="2"/>
      <c r="I784" s="13"/>
      <c r="J784" s="13"/>
      <c r="K784" s="13"/>
      <c r="L784" s="14"/>
      <c r="M784" s="4"/>
      <c r="N784" s="2"/>
      <c r="O784" s="4"/>
      <c r="P784" s="2"/>
      <c r="Q784" s="2"/>
      <c r="R784" s="4"/>
      <c r="S784" s="2"/>
      <c r="T784" s="2"/>
      <c r="U784" s="1"/>
      <c r="V784" s="2"/>
      <c r="W784" s="2"/>
      <c r="X784" s="2"/>
      <c r="Y784" s="2"/>
      <c r="Z784" s="2"/>
    </row>
    <row r="785" spans="1:26" ht="15.75" customHeight="1" x14ac:dyDescent="0.2">
      <c r="A785" s="12"/>
      <c r="B785" s="10"/>
      <c r="C785" s="11"/>
      <c r="D785" s="13"/>
      <c r="E785" s="13"/>
      <c r="F785" s="13"/>
      <c r="G785" s="2"/>
      <c r="H785" s="2"/>
      <c r="I785" s="13"/>
      <c r="J785" s="13"/>
      <c r="K785" s="13"/>
      <c r="L785" s="14"/>
      <c r="M785" s="4"/>
      <c r="N785" s="2"/>
      <c r="O785" s="4"/>
      <c r="P785" s="2"/>
      <c r="Q785" s="2"/>
      <c r="R785" s="4"/>
      <c r="S785" s="2"/>
      <c r="T785" s="2"/>
      <c r="U785" s="1"/>
      <c r="V785" s="2"/>
      <c r="W785" s="2"/>
      <c r="X785" s="2"/>
      <c r="Y785" s="2"/>
      <c r="Z785" s="2"/>
    </row>
    <row r="786" spans="1:26" ht="15.75" customHeight="1" x14ac:dyDescent="0.2">
      <c r="A786" s="12"/>
      <c r="B786" s="10"/>
      <c r="C786" s="11"/>
      <c r="D786" s="13"/>
      <c r="E786" s="13"/>
      <c r="F786" s="13"/>
      <c r="G786" s="2"/>
      <c r="H786" s="2"/>
      <c r="I786" s="13"/>
      <c r="J786" s="13"/>
      <c r="K786" s="13"/>
      <c r="L786" s="14"/>
      <c r="M786" s="4"/>
      <c r="N786" s="2"/>
      <c r="O786" s="4"/>
      <c r="P786" s="2"/>
      <c r="Q786" s="2"/>
      <c r="R786" s="4"/>
      <c r="S786" s="2"/>
      <c r="T786" s="2"/>
      <c r="U786" s="1"/>
      <c r="V786" s="2"/>
      <c r="W786" s="2"/>
      <c r="X786" s="2"/>
      <c r="Y786" s="2"/>
      <c r="Z786" s="2"/>
    </row>
    <row r="787" spans="1:26" ht="15.75" customHeight="1" x14ac:dyDescent="0.2">
      <c r="A787" s="12"/>
      <c r="B787" s="10"/>
      <c r="C787" s="11"/>
      <c r="D787" s="13"/>
      <c r="E787" s="13"/>
      <c r="F787" s="13"/>
      <c r="G787" s="2"/>
      <c r="H787" s="2"/>
      <c r="I787" s="13"/>
      <c r="J787" s="13"/>
      <c r="K787" s="13"/>
      <c r="L787" s="14"/>
      <c r="M787" s="4"/>
      <c r="N787" s="2"/>
      <c r="O787" s="4"/>
      <c r="P787" s="2"/>
      <c r="Q787" s="2"/>
      <c r="R787" s="4"/>
      <c r="S787" s="2"/>
      <c r="T787" s="2"/>
      <c r="U787" s="1"/>
      <c r="V787" s="2"/>
      <c r="W787" s="2"/>
      <c r="X787" s="2"/>
      <c r="Y787" s="2"/>
      <c r="Z787" s="2"/>
    </row>
    <row r="788" spans="1:26" ht="15.75" customHeight="1" x14ac:dyDescent="0.2">
      <c r="A788" s="12"/>
      <c r="B788" s="10"/>
      <c r="C788" s="11"/>
      <c r="D788" s="13"/>
      <c r="E788" s="13"/>
      <c r="F788" s="13"/>
      <c r="G788" s="2"/>
      <c r="H788" s="2"/>
      <c r="I788" s="13"/>
      <c r="J788" s="13"/>
      <c r="K788" s="13"/>
      <c r="L788" s="14"/>
      <c r="M788" s="4"/>
      <c r="N788" s="2"/>
      <c r="O788" s="4"/>
      <c r="P788" s="2"/>
      <c r="Q788" s="2"/>
      <c r="R788" s="4"/>
      <c r="S788" s="2"/>
      <c r="T788" s="2"/>
      <c r="U788" s="1"/>
      <c r="V788" s="2"/>
      <c r="W788" s="2"/>
      <c r="X788" s="2"/>
      <c r="Y788" s="2"/>
      <c r="Z788" s="2"/>
    </row>
    <row r="789" spans="1:26" ht="15.75" customHeight="1" x14ac:dyDescent="0.2">
      <c r="A789" s="12"/>
      <c r="B789" s="10"/>
      <c r="C789" s="11"/>
      <c r="D789" s="13"/>
      <c r="E789" s="13"/>
      <c r="F789" s="13"/>
      <c r="G789" s="2"/>
      <c r="H789" s="2"/>
      <c r="I789" s="13"/>
      <c r="J789" s="13"/>
      <c r="K789" s="13"/>
      <c r="L789" s="14"/>
      <c r="M789" s="4"/>
      <c r="N789" s="2"/>
      <c r="O789" s="4"/>
      <c r="P789" s="2"/>
      <c r="Q789" s="2"/>
      <c r="R789" s="4"/>
      <c r="S789" s="2"/>
      <c r="T789" s="2"/>
      <c r="U789" s="1"/>
      <c r="V789" s="2"/>
      <c r="W789" s="2"/>
      <c r="X789" s="2"/>
      <c r="Y789" s="2"/>
      <c r="Z789" s="2"/>
    </row>
    <row r="790" spans="1:26" ht="15.75" customHeight="1" x14ac:dyDescent="0.2">
      <c r="A790" s="12"/>
      <c r="B790" s="10"/>
      <c r="C790" s="11"/>
      <c r="D790" s="13"/>
      <c r="E790" s="13"/>
      <c r="F790" s="13"/>
      <c r="G790" s="2"/>
      <c r="H790" s="2"/>
      <c r="I790" s="13"/>
      <c r="J790" s="13"/>
      <c r="K790" s="13"/>
      <c r="L790" s="14"/>
      <c r="M790" s="4"/>
      <c r="N790" s="2"/>
      <c r="O790" s="4"/>
      <c r="P790" s="2"/>
      <c r="Q790" s="2"/>
      <c r="R790" s="4"/>
      <c r="S790" s="2"/>
      <c r="T790" s="2"/>
      <c r="U790" s="1"/>
      <c r="V790" s="2"/>
      <c r="W790" s="2"/>
      <c r="X790" s="2"/>
      <c r="Y790" s="2"/>
      <c r="Z790" s="2"/>
    </row>
    <row r="791" spans="1:26" ht="15.75" customHeight="1" x14ac:dyDescent="0.2">
      <c r="A791" s="12"/>
      <c r="B791" s="10"/>
      <c r="C791" s="11"/>
      <c r="D791" s="13"/>
      <c r="E791" s="13"/>
      <c r="F791" s="13"/>
      <c r="G791" s="2"/>
      <c r="H791" s="2"/>
      <c r="I791" s="13"/>
      <c r="J791" s="13"/>
      <c r="K791" s="13"/>
      <c r="L791" s="14"/>
      <c r="M791" s="4"/>
      <c r="N791" s="2"/>
      <c r="O791" s="4"/>
      <c r="P791" s="2"/>
      <c r="Q791" s="2"/>
      <c r="R791" s="4"/>
      <c r="S791" s="2"/>
      <c r="T791" s="2"/>
      <c r="U791" s="1"/>
      <c r="V791" s="2"/>
      <c r="W791" s="2"/>
      <c r="X791" s="2"/>
      <c r="Y791" s="2"/>
      <c r="Z791" s="2"/>
    </row>
    <row r="792" spans="1:26" ht="15.75" customHeight="1" x14ac:dyDescent="0.2">
      <c r="A792" s="12"/>
      <c r="B792" s="10"/>
      <c r="C792" s="11"/>
      <c r="D792" s="13"/>
      <c r="E792" s="13"/>
      <c r="F792" s="13"/>
      <c r="G792" s="2"/>
      <c r="H792" s="2"/>
      <c r="I792" s="13"/>
      <c r="J792" s="13"/>
      <c r="K792" s="13"/>
      <c r="L792" s="14"/>
      <c r="M792" s="4"/>
      <c r="N792" s="2"/>
      <c r="O792" s="4"/>
      <c r="P792" s="2"/>
      <c r="Q792" s="2"/>
      <c r="R792" s="4"/>
      <c r="S792" s="2"/>
      <c r="T792" s="2"/>
      <c r="U792" s="1"/>
      <c r="V792" s="2"/>
      <c r="W792" s="2"/>
      <c r="X792" s="2"/>
      <c r="Y792" s="2"/>
      <c r="Z792" s="2"/>
    </row>
    <row r="793" spans="1:26" ht="15.75" customHeight="1" x14ac:dyDescent="0.2">
      <c r="A793" s="12"/>
      <c r="B793" s="10"/>
      <c r="C793" s="11"/>
      <c r="D793" s="13"/>
      <c r="E793" s="13"/>
      <c r="F793" s="13"/>
      <c r="G793" s="2"/>
      <c r="H793" s="2"/>
      <c r="I793" s="13"/>
      <c r="J793" s="13"/>
      <c r="K793" s="13"/>
      <c r="L793" s="14"/>
      <c r="M793" s="4"/>
      <c r="N793" s="2"/>
      <c r="O793" s="4"/>
      <c r="P793" s="2"/>
      <c r="Q793" s="2"/>
      <c r="R793" s="4"/>
      <c r="S793" s="2"/>
      <c r="T793" s="2"/>
      <c r="U793" s="1"/>
      <c r="V793" s="2"/>
      <c r="W793" s="2"/>
      <c r="X793" s="2"/>
      <c r="Y793" s="2"/>
      <c r="Z793" s="2"/>
    </row>
    <row r="794" spans="1:26" ht="15.75" customHeight="1" x14ac:dyDescent="0.2">
      <c r="A794" s="12"/>
      <c r="B794" s="10"/>
      <c r="C794" s="11"/>
      <c r="D794" s="13"/>
      <c r="E794" s="13"/>
      <c r="F794" s="13"/>
      <c r="G794" s="2"/>
      <c r="H794" s="2"/>
      <c r="I794" s="13"/>
      <c r="J794" s="13"/>
      <c r="K794" s="13"/>
      <c r="L794" s="14"/>
      <c r="M794" s="4"/>
      <c r="N794" s="2"/>
      <c r="O794" s="4"/>
      <c r="P794" s="2"/>
      <c r="Q794" s="2"/>
      <c r="R794" s="4"/>
      <c r="S794" s="2"/>
      <c r="T794" s="2"/>
      <c r="U794" s="1"/>
      <c r="V794" s="2"/>
      <c r="W794" s="2"/>
      <c r="X794" s="2"/>
      <c r="Y794" s="2"/>
      <c r="Z794" s="2"/>
    </row>
    <row r="795" spans="1:26" ht="15.75" customHeight="1" x14ac:dyDescent="0.2">
      <c r="A795" s="12"/>
      <c r="B795" s="10"/>
      <c r="C795" s="11"/>
      <c r="D795" s="13"/>
      <c r="E795" s="13"/>
      <c r="F795" s="13"/>
      <c r="G795" s="2"/>
      <c r="H795" s="2"/>
      <c r="I795" s="13"/>
      <c r="J795" s="13"/>
      <c r="K795" s="13"/>
      <c r="L795" s="14"/>
      <c r="M795" s="4"/>
      <c r="N795" s="2"/>
      <c r="O795" s="4"/>
      <c r="P795" s="2"/>
      <c r="Q795" s="2"/>
      <c r="R795" s="4"/>
      <c r="S795" s="2"/>
      <c r="T795" s="2"/>
      <c r="U795" s="1"/>
      <c r="V795" s="2"/>
      <c r="W795" s="2"/>
      <c r="X795" s="2"/>
      <c r="Y795" s="2"/>
      <c r="Z795" s="2"/>
    </row>
    <row r="796" spans="1:26" ht="15.75" customHeight="1" x14ac:dyDescent="0.2">
      <c r="A796" s="12"/>
      <c r="B796" s="10"/>
      <c r="C796" s="11"/>
      <c r="D796" s="13"/>
      <c r="E796" s="13"/>
      <c r="F796" s="13"/>
      <c r="G796" s="2"/>
      <c r="H796" s="2"/>
      <c r="I796" s="13"/>
      <c r="J796" s="13"/>
      <c r="K796" s="13"/>
      <c r="L796" s="14"/>
      <c r="M796" s="4"/>
      <c r="N796" s="2"/>
      <c r="O796" s="4"/>
      <c r="P796" s="2"/>
      <c r="Q796" s="2"/>
      <c r="R796" s="4"/>
      <c r="S796" s="2"/>
      <c r="T796" s="2"/>
      <c r="U796" s="1"/>
      <c r="V796" s="2"/>
      <c r="W796" s="2"/>
      <c r="X796" s="2"/>
      <c r="Y796" s="2"/>
      <c r="Z796" s="2"/>
    </row>
    <row r="797" spans="1:26" ht="15.75" customHeight="1" x14ac:dyDescent="0.2">
      <c r="A797" s="12"/>
      <c r="B797" s="10"/>
      <c r="C797" s="11"/>
      <c r="D797" s="13"/>
      <c r="E797" s="13"/>
      <c r="F797" s="13"/>
      <c r="G797" s="2"/>
      <c r="H797" s="2"/>
      <c r="I797" s="13"/>
      <c r="J797" s="13"/>
      <c r="K797" s="13"/>
      <c r="L797" s="14"/>
      <c r="M797" s="4"/>
      <c r="N797" s="2"/>
      <c r="O797" s="4"/>
      <c r="P797" s="2"/>
      <c r="Q797" s="2"/>
      <c r="R797" s="4"/>
      <c r="S797" s="2"/>
      <c r="T797" s="2"/>
      <c r="U797" s="1"/>
      <c r="V797" s="2"/>
      <c r="W797" s="2"/>
      <c r="X797" s="2"/>
      <c r="Y797" s="2"/>
      <c r="Z797" s="2"/>
    </row>
    <row r="798" spans="1:26" ht="15.75" customHeight="1" x14ac:dyDescent="0.2">
      <c r="A798" s="12"/>
      <c r="B798" s="10"/>
      <c r="C798" s="11"/>
      <c r="D798" s="13"/>
      <c r="E798" s="13"/>
      <c r="F798" s="13"/>
      <c r="G798" s="2"/>
      <c r="H798" s="2"/>
      <c r="I798" s="13"/>
      <c r="J798" s="13"/>
      <c r="K798" s="13"/>
      <c r="L798" s="14"/>
      <c r="M798" s="4"/>
      <c r="N798" s="2"/>
      <c r="O798" s="4"/>
      <c r="P798" s="2"/>
      <c r="Q798" s="2"/>
      <c r="R798" s="4"/>
      <c r="S798" s="2"/>
      <c r="T798" s="2"/>
      <c r="U798" s="1"/>
      <c r="V798" s="2"/>
      <c r="W798" s="2"/>
      <c r="X798" s="2"/>
      <c r="Y798" s="2"/>
      <c r="Z798" s="2"/>
    </row>
    <row r="799" spans="1:26" ht="15.75" customHeight="1" x14ac:dyDescent="0.2">
      <c r="A799" s="12"/>
      <c r="B799" s="10"/>
      <c r="C799" s="11"/>
      <c r="D799" s="13"/>
      <c r="E799" s="13"/>
      <c r="F799" s="13"/>
      <c r="G799" s="2"/>
      <c r="H799" s="2"/>
      <c r="I799" s="13"/>
      <c r="J799" s="13"/>
      <c r="K799" s="13"/>
      <c r="L799" s="14"/>
      <c r="M799" s="4"/>
      <c r="N799" s="2"/>
      <c r="O799" s="4"/>
      <c r="P799" s="2"/>
      <c r="Q799" s="2"/>
      <c r="R799" s="4"/>
      <c r="S799" s="2"/>
      <c r="T799" s="2"/>
      <c r="U799" s="1"/>
      <c r="V799" s="2"/>
      <c r="W799" s="2"/>
      <c r="X799" s="2"/>
      <c r="Y799" s="2"/>
      <c r="Z799" s="2"/>
    </row>
    <row r="800" spans="1:26" ht="15.75" customHeight="1" x14ac:dyDescent="0.2">
      <c r="A800" s="12"/>
      <c r="B800" s="10"/>
      <c r="C800" s="11"/>
      <c r="D800" s="13"/>
      <c r="E800" s="13"/>
      <c r="F800" s="13"/>
      <c r="G800" s="2"/>
      <c r="H800" s="2"/>
      <c r="I800" s="13"/>
      <c r="J800" s="13"/>
      <c r="K800" s="13"/>
      <c r="L800" s="14"/>
      <c r="M800" s="4"/>
      <c r="N800" s="2"/>
      <c r="O800" s="4"/>
      <c r="P800" s="2"/>
      <c r="Q800" s="2"/>
      <c r="R800" s="4"/>
      <c r="S800" s="2"/>
      <c r="T800" s="2"/>
      <c r="U800" s="1"/>
      <c r="V800" s="2"/>
      <c r="W800" s="2"/>
      <c r="X800" s="2"/>
      <c r="Y800" s="2"/>
      <c r="Z800" s="2"/>
    </row>
    <row r="801" spans="1:26" ht="15.75" customHeight="1" x14ac:dyDescent="0.2">
      <c r="A801" s="12"/>
      <c r="B801" s="10"/>
      <c r="C801" s="11"/>
      <c r="D801" s="13"/>
      <c r="E801" s="13"/>
      <c r="F801" s="13"/>
      <c r="G801" s="2"/>
      <c r="H801" s="2"/>
      <c r="I801" s="13"/>
      <c r="J801" s="13"/>
      <c r="K801" s="13"/>
      <c r="L801" s="14"/>
      <c r="M801" s="4"/>
      <c r="N801" s="2"/>
      <c r="O801" s="4"/>
      <c r="P801" s="2"/>
      <c r="Q801" s="2"/>
      <c r="R801" s="4"/>
      <c r="S801" s="2"/>
      <c r="T801" s="2"/>
      <c r="U801" s="1"/>
      <c r="V801" s="2"/>
      <c r="W801" s="2"/>
      <c r="X801" s="2"/>
      <c r="Y801" s="2"/>
      <c r="Z801" s="2"/>
    </row>
    <row r="802" spans="1:26" ht="15.75" customHeight="1" x14ac:dyDescent="0.2">
      <c r="A802" s="12"/>
      <c r="B802" s="10"/>
      <c r="C802" s="11"/>
      <c r="D802" s="13"/>
      <c r="E802" s="13"/>
      <c r="F802" s="13"/>
      <c r="G802" s="2"/>
      <c r="H802" s="2"/>
      <c r="I802" s="13"/>
      <c r="J802" s="13"/>
      <c r="K802" s="13"/>
      <c r="L802" s="14"/>
      <c r="M802" s="4"/>
      <c r="N802" s="2"/>
      <c r="O802" s="4"/>
      <c r="P802" s="2"/>
      <c r="Q802" s="2"/>
      <c r="R802" s="4"/>
      <c r="S802" s="2"/>
      <c r="T802" s="2"/>
      <c r="U802" s="1"/>
      <c r="V802" s="2"/>
      <c r="W802" s="2"/>
      <c r="X802" s="2"/>
      <c r="Y802" s="2"/>
      <c r="Z802" s="2"/>
    </row>
    <row r="803" spans="1:26" ht="15.75" customHeight="1" x14ac:dyDescent="0.2">
      <c r="A803" s="12"/>
      <c r="B803" s="10"/>
      <c r="C803" s="11"/>
      <c r="D803" s="13"/>
      <c r="E803" s="13"/>
      <c r="F803" s="13"/>
      <c r="G803" s="2"/>
      <c r="H803" s="2"/>
      <c r="I803" s="13"/>
      <c r="J803" s="13"/>
      <c r="K803" s="13"/>
      <c r="L803" s="14"/>
      <c r="M803" s="4"/>
      <c r="N803" s="2"/>
      <c r="O803" s="4"/>
      <c r="P803" s="2"/>
      <c r="Q803" s="2"/>
      <c r="R803" s="4"/>
      <c r="S803" s="2"/>
      <c r="T803" s="2"/>
      <c r="U803" s="1"/>
      <c r="V803" s="2"/>
      <c r="W803" s="2"/>
      <c r="X803" s="2"/>
      <c r="Y803" s="2"/>
      <c r="Z803" s="2"/>
    </row>
    <row r="804" spans="1:26" ht="15.75" customHeight="1" x14ac:dyDescent="0.2">
      <c r="A804" s="12"/>
      <c r="B804" s="10"/>
      <c r="C804" s="11"/>
      <c r="D804" s="13"/>
      <c r="E804" s="13"/>
      <c r="F804" s="13"/>
      <c r="G804" s="2"/>
      <c r="H804" s="2"/>
      <c r="I804" s="13"/>
      <c r="J804" s="13"/>
      <c r="K804" s="13"/>
      <c r="L804" s="14"/>
      <c r="M804" s="4"/>
      <c r="N804" s="2"/>
      <c r="O804" s="4"/>
      <c r="P804" s="2"/>
      <c r="Q804" s="2"/>
      <c r="R804" s="4"/>
      <c r="S804" s="2"/>
      <c r="T804" s="2"/>
      <c r="U804" s="1"/>
      <c r="V804" s="2"/>
      <c r="W804" s="2"/>
      <c r="X804" s="2"/>
      <c r="Y804" s="2"/>
      <c r="Z804" s="2"/>
    </row>
    <row r="805" spans="1:26" ht="15.75" customHeight="1" x14ac:dyDescent="0.2">
      <c r="A805" s="12"/>
      <c r="B805" s="10"/>
      <c r="C805" s="11"/>
      <c r="D805" s="13"/>
      <c r="E805" s="13"/>
      <c r="F805" s="13"/>
      <c r="G805" s="2"/>
      <c r="H805" s="2"/>
      <c r="I805" s="13"/>
      <c r="J805" s="13"/>
      <c r="K805" s="13"/>
      <c r="L805" s="14"/>
      <c r="M805" s="4"/>
      <c r="N805" s="2"/>
      <c r="O805" s="4"/>
      <c r="P805" s="2"/>
      <c r="Q805" s="2"/>
      <c r="R805" s="4"/>
      <c r="S805" s="2"/>
      <c r="T805" s="2"/>
      <c r="U805" s="1"/>
      <c r="V805" s="2"/>
      <c r="W805" s="2"/>
      <c r="X805" s="2"/>
      <c r="Y805" s="2"/>
      <c r="Z805" s="2"/>
    </row>
    <row r="806" spans="1:26" ht="15.75" customHeight="1" x14ac:dyDescent="0.2">
      <c r="A806" s="12"/>
      <c r="B806" s="10"/>
      <c r="C806" s="11"/>
      <c r="D806" s="13"/>
      <c r="E806" s="13"/>
      <c r="F806" s="13"/>
      <c r="G806" s="2"/>
      <c r="H806" s="2"/>
      <c r="I806" s="13"/>
      <c r="J806" s="13"/>
      <c r="K806" s="13"/>
      <c r="L806" s="14"/>
      <c r="M806" s="4"/>
      <c r="N806" s="2"/>
      <c r="O806" s="4"/>
      <c r="P806" s="2"/>
      <c r="Q806" s="2"/>
      <c r="R806" s="4"/>
      <c r="S806" s="2"/>
      <c r="T806" s="2"/>
      <c r="U806" s="1"/>
      <c r="V806" s="2"/>
      <c r="W806" s="2"/>
      <c r="X806" s="2"/>
      <c r="Y806" s="2"/>
      <c r="Z806" s="2"/>
    </row>
    <row r="807" spans="1:26" ht="15.75" customHeight="1" x14ac:dyDescent="0.2">
      <c r="A807" s="12"/>
      <c r="B807" s="10"/>
      <c r="C807" s="11"/>
      <c r="D807" s="13"/>
      <c r="E807" s="13"/>
      <c r="F807" s="13"/>
      <c r="G807" s="2"/>
      <c r="H807" s="2"/>
      <c r="I807" s="13"/>
      <c r="J807" s="13"/>
      <c r="K807" s="13"/>
      <c r="L807" s="14"/>
      <c r="M807" s="4"/>
      <c r="N807" s="2"/>
      <c r="O807" s="4"/>
      <c r="P807" s="2"/>
      <c r="Q807" s="2"/>
      <c r="R807" s="4"/>
      <c r="S807" s="2"/>
      <c r="T807" s="2"/>
      <c r="U807" s="1"/>
      <c r="V807" s="2"/>
      <c r="W807" s="2"/>
      <c r="X807" s="2"/>
      <c r="Y807" s="2"/>
      <c r="Z807" s="2"/>
    </row>
    <row r="808" spans="1:26" ht="15.75" customHeight="1" x14ac:dyDescent="0.2">
      <c r="A808" s="12"/>
      <c r="B808" s="10"/>
      <c r="C808" s="11"/>
      <c r="D808" s="13"/>
      <c r="E808" s="13"/>
      <c r="F808" s="13"/>
      <c r="G808" s="2"/>
      <c r="H808" s="2"/>
      <c r="I808" s="13"/>
      <c r="J808" s="13"/>
      <c r="K808" s="13"/>
      <c r="L808" s="14"/>
      <c r="M808" s="4"/>
      <c r="N808" s="2"/>
      <c r="O808" s="4"/>
      <c r="P808" s="2"/>
      <c r="Q808" s="2"/>
      <c r="R808" s="4"/>
      <c r="S808" s="2"/>
      <c r="T808" s="2"/>
      <c r="U808" s="1"/>
      <c r="V808" s="2"/>
      <c r="W808" s="2"/>
      <c r="X808" s="2"/>
      <c r="Y808" s="2"/>
      <c r="Z808" s="2"/>
    </row>
    <row r="809" spans="1:26" ht="15.75" customHeight="1" x14ac:dyDescent="0.2">
      <c r="A809" s="12"/>
      <c r="B809" s="10"/>
      <c r="C809" s="11"/>
      <c r="D809" s="13"/>
      <c r="E809" s="13"/>
      <c r="F809" s="13"/>
      <c r="G809" s="2"/>
      <c r="H809" s="2"/>
      <c r="I809" s="13"/>
      <c r="J809" s="13"/>
      <c r="K809" s="13"/>
      <c r="L809" s="14"/>
      <c r="M809" s="4"/>
      <c r="N809" s="2"/>
      <c r="O809" s="4"/>
      <c r="P809" s="2"/>
      <c r="Q809" s="2"/>
      <c r="R809" s="4"/>
      <c r="S809" s="2"/>
      <c r="T809" s="2"/>
      <c r="U809" s="1"/>
      <c r="V809" s="2"/>
      <c r="W809" s="2"/>
      <c r="X809" s="2"/>
      <c r="Y809" s="2"/>
      <c r="Z809" s="2"/>
    </row>
    <row r="810" spans="1:26" ht="15.75" customHeight="1" x14ac:dyDescent="0.2">
      <c r="A810" s="12"/>
      <c r="B810" s="10"/>
      <c r="C810" s="11"/>
      <c r="D810" s="13"/>
      <c r="E810" s="13"/>
      <c r="F810" s="13"/>
      <c r="G810" s="2"/>
      <c r="H810" s="2"/>
      <c r="I810" s="13"/>
      <c r="J810" s="13"/>
      <c r="K810" s="13"/>
      <c r="L810" s="14"/>
      <c r="M810" s="4"/>
      <c r="N810" s="2"/>
      <c r="O810" s="4"/>
      <c r="P810" s="2"/>
      <c r="Q810" s="2"/>
      <c r="R810" s="4"/>
      <c r="S810" s="2"/>
      <c r="T810" s="2"/>
      <c r="U810" s="1"/>
      <c r="V810" s="2"/>
      <c r="W810" s="2"/>
      <c r="X810" s="2"/>
      <c r="Y810" s="2"/>
      <c r="Z810" s="2"/>
    </row>
    <row r="811" spans="1:26" ht="15.75" customHeight="1" x14ac:dyDescent="0.2">
      <c r="A811" s="12"/>
      <c r="B811" s="10"/>
      <c r="C811" s="11"/>
      <c r="D811" s="13"/>
      <c r="E811" s="13"/>
      <c r="F811" s="13"/>
      <c r="G811" s="2"/>
      <c r="H811" s="2"/>
      <c r="I811" s="13"/>
      <c r="J811" s="13"/>
      <c r="K811" s="13"/>
      <c r="L811" s="14"/>
      <c r="M811" s="4"/>
      <c r="N811" s="2"/>
      <c r="O811" s="4"/>
      <c r="P811" s="2"/>
      <c r="Q811" s="2"/>
      <c r="R811" s="4"/>
      <c r="S811" s="2"/>
      <c r="T811" s="2"/>
      <c r="U811" s="1"/>
      <c r="V811" s="2"/>
      <c r="W811" s="2"/>
      <c r="X811" s="2"/>
      <c r="Y811" s="2"/>
      <c r="Z811" s="2"/>
    </row>
    <row r="812" spans="1:26" ht="15.75" customHeight="1" x14ac:dyDescent="0.2">
      <c r="A812" s="12"/>
      <c r="B812" s="10"/>
      <c r="C812" s="11"/>
      <c r="D812" s="13"/>
      <c r="E812" s="13"/>
      <c r="F812" s="13"/>
      <c r="G812" s="2"/>
      <c r="H812" s="2"/>
      <c r="I812" s="13"/>
      <c r="J812" s="13"/>
      <c r="K812" s="13"/>
      <c r="L812" s="14"/>
      <c r="M812" s="4"/>
      <c r="N812" s="2"/>
      <c r="O812" s="4"/>
      <c r="P812" s="2"/>
      <c r="Q812" s="2"/>
      <c r="R812" s="4"/>
      <c r="S812" s="2"/>
      <c r="T812" s="2"/>
      <c r="U812" s="1"/>
      <c r="V812" s="2"/>
      <c r="W812" s="2"/>
      <c r="X812" s="2"/>
      <c r="Y812" s="2"/>
      <c r="Z812" s="2"/>
    </row>
    <row r="813" spans="1:26" ht="15.75" customHeight="1" x14ac:dyDescent="0.2">
      <c r="A813" s="12"/>
      <c r="B813" s="10"/>
      <c r="C813" s="11"/>
      <c r="D813" s="13"/>
      <c r="E813" s="13"/>
      <c r="F813" s="13"/>
      <c r="G813" s="2"/>
      <c r="H813" s="2"/>
      <c r="I813" s="13"/>
      <c r="J813" s="13"/>
      <c r="K813" s="13"/>
      <c r="L813" s="14"/>
      <c r="M813" s="4"/>
      <c r="N813" s="2"/>
      <c r="O813" s="4"/>
      <c r="P813" s="2"/>
      <c r="Q813" s="2"/>
      <c r="R813" s="4"/>
      <c r="S813" s="2"/>
      <c r="T813" s="2"/>
      <c r="U813" s="1"/>
      <c r="V813" s="2"/>
      <c r="W813" s="2"/>
      <c r="X813" s="2"/>
      <c r="Y813" s="2"/>
      <c r="Z813" s="2"/>
    </row>
    <row r="814" spans="1:26" ht="15.75" customHeight="1" x14ac:dyDescent="0.2">
      <c r="A814" s="12"/>
      <c r="B814" s="10"/>
      <c r="C814" s="11"/>
      <c r="D814" s="13"/>
      <c r="E814" s="13"/>
      <c r="F814" s="13"/>
      <c r="G814" s="2"/>
      <c r="H814" s="2"/>
      <c r="I814" s="13"/>
      <c r="J814" s="13"/>
      <c r="K814" s="13"/>
      <c r="L814" s="14"/>
      <c r="M814" s="4"/>
      <c r="N814" s="2"/>
      <c r="O814" s="4"/>
      <c r="P814" s="2"/>
      <c r="Q814" s="2"/>
      <c r="R814" s="4"/>
      <c r="S814" s="2"/>
      <c r="T814" s="2"/>
      <c r="U814" s="1"/>
      <c r="V814" s="2"/>
      <c r="W814" s="2"/>
      <c r="X814" s="2"/>
      <c r="Y814" s="2"/>
      <c r="Z814" s="2"/>
    </row>
    <row r="815" spans="1:26" ht="15.75" customHeight="1" x14ac:dyDescent="0.2">
      <c r="A815" s="12"/>
      <c r="B815" s="10"/>
      <c r="C815" s="11"/>
      <c r="D815" s="13"/>
      <c r="E815" s="13"/>
      <c r="F815" s="13"/>
      <c r="G815" s="2"/>
      <c r="H815" s="2"/>
      <c r="I815" s="13"/>
      <c r="J815" s="13"/>
      <c r="K815" s="13"/>
      <c r="L815" s="14"/>
      <c r="M815" s="4"/>
      <c r="N815" s="2"/>
      <c r="O815" s="4"/>
      <c r="P815" s="2"/>
      <c r="Q815" s="2"/>
      <c r="R815" s="4"/>
      <c r="S815" s="2"/>
      <c r="T815" s="2"/>
      <c r="U815" s="1"/>
      <c r="V815" s="2"/>
      <c r="W815" s="2"/>
      <c r="X815" s="2"/>
      <c r="Y815" s="2"/>
      <c r="Z815" s="2"/>
    </row>
    <row r="816" spans="1:26" ht="15.75" customHeight="1" x14ac:dyDescent="0.2">
      <c r="A816" s="12"/>
      <c r="B816" s="10"/>
      <c r="C816" s="11"/>
      <c r="D816" s="13"/>
      <c r="E816" s="13"/>
      <c r="F816" s="13"/>
      <c r="G816" s="2"/>
      <c r="H816" s="2"/>
      <c r="I816" s="13"/>
      <c r="J816" s="13"/>
      <c r="K816" s="13"/>
      <c r="L816" s="14"/>
      <c r="M816" s="4"/>
      <c r="N816" s="2"/>
      <c r="O816" s="4"/>
      <c r="P816" s="2"/>
      <c r="Q816" s="2"/>
      <c r="R816" s="4"/>
      <c r="S816" s="2"/>
      <c r="T816" s="2"/>
      <c r="U816" s="1"/>
      <c r="V816" s="2"/>
      <c r="W816" s="2"/>
      <c r="X816" s="2"/>
      <c r="Y816" s="2"/>
      <c r="Z816" s="2"/>
    </row>
    <row r="817" spans="1:26" ht="15.75" customHeight="1" x14ac:dyDescent="0.2">
      <c r="A817" s="12"/>
      <c r="B817" s="10"/>
      <c r="C817" s="11"/>
      <c r="D817" s="13"/>
      <c r="E817" s="13"/>
      <c r="F817" s="13"/>
      <c r="G817" s="2"/>
      <c r="H817" s="2"/>
      <c r="I817" s="13"/>
      <c r="J817" s="13"/>
      <c r="K817" s="13"/>
      <c r="L817" s="14"/>
      <c r="M817" s="4"/>
      <c r="N817" s="2"/>
      <c r="O817" s="4"/>
      <c r="P817" s="2"/>
      <c r="Q817" s="2"/>
      <c r="R817" s="4"/>
      <c r="S817" s="2"/>
      <c r="T817" s="2"/>
      <c r="U817" s="1"/>
      <c r="V817" s="2"/>
      <c r="W817" s="2"/>
      <c r="X817" s="2"/>
      <c r="Y817" s="2"/>
      <c r="Z817" s="2"/>
    </row>
    <row r="818" spans="1:26" ht="15.75" customHeight="1" x14ac:dyDescent="0.2">
      <c r="A818" s="12"/>
      <c r="B818" s="10"/>
      <c r="C818" s="11"/>
      <c r="D818" s="13"/>
      <c r="E818" s="13"/>
      <c r="F818" s="13"/>
      <c r="G818" s="2"/>
      <c r="H818" s="2"/>
      <c r="I818" s="13"/>
      <c r="J818" s="13"/>
      <c r="K818" s="13"/>
      <c r="L818" s="14"/>
      <c r="M818" s="4"/>
      <c r="N818" s="2"/>
      <c r="O818" s="4"/>
      <c r="P818" s="2"/>
      <c r="Q818" s="2"/>
      <c r="R818" s="4"/>
      <c r="S818" s="2"/>
      <c r="T818" s="2"/>
      <c r="U818" s="1"/>
      <c r="V818" s="2"/>
      <c r="W818" s="2"/>
      <c r="X818" s="2"/>
      <c r="Y818" s="2"/>
      <c r="Z818" s="2"/>
    </row>
    <row r="819" spans="1:26" ht="15.75" customHeight="1" x14ac:dyDescent="0.2">
      <c r="A819" s="12"/>
      <c r="B819" s="10"/>
      <c r="C819" s="11"/>
      <c r="D819" s="13"/>
      <c r="E819" s="13"/>
      <c r="F819" s="13"/>
      <c r="G819" s="2"/>
      <c r="H819" s="2"/>
      <c r="I819" s="13"/>
      <c r="J819" s="13"/>
      <c r="K819" s="13"/>
      <c r="L819" s="14"/>
      <c r="M819" s="4"/>
      <c r="N819" s="2"/>
      <c r="O819" s="4"/>
      <c r="P819" s="2"/>
      <c r="Q819" s="2"/>
      <c r="R819" s="4"/>
      <c r="S819" s="2"/>
      <c r="T819" s="2"/>
      <c r="U819" s="1"/>
      <c r="V819" s="2"/>
      <c r="W819" s="2"/>
      <c r="X819" s="2"/>
      <c r="Y819" s="2"/>
      <c r="Z819" s="2"/>
    </row>
    <row r="820" spans="1:26" ht="15.75" customHeight="1" x14ac:dyDescent="0.2">
      <c r="A820" s="12"/>
      <c r="B820" s="10"/>
      <c r="C820" s="11"/>
      <c r="D820" s="13"/>
      <c r="E820" s="13"/>
      <c r="F820" s="13"/>
      <c r="G820" s="2"/>
      <c r="H820" s="2"/>
      <c r="I820" s="13"/>
      <c r="J820" s="13"/>
      <c r="K820" s="13"/>
      <c r="L820" s="14"/>
      <c r="M820" s="4"/>
      <c r="N820" s="2"/>
      <c r="O820" s="4"/>
      <c r="P820" s="2"/>
      <c r="Q820" s="2"/>
      <c r="R820" s="4"/>
      <c r="S820" s="2"/>
      <c r="T820" s="2"/>
      <c r="U820" s="1"/>
      <c r="V820" s="2"/>
      <c r="W820" s="2"/>
      <c r="X820" s="2"/>
      <c r="Y820" s="2"/>
      <c r="Z820" s="2"/>
    </row>
    <row r="821" spans="1:26" ht="15.75" customHeight="1" x14ac:dyDescent="0.2">
      <c r="A821" s="12"/>
      <c r="B821" s="10"/>
      <c r="C821" s="11"/>
      <c r="D821" s="13"/>
      <c r="E821" s="13"/>
      <c r="F821" s="13"/>
      <c r="G821" s="2"/>
      <c r="H821" s="2"/>
      <c r="I821" s="13"/>
      <c r="J821" s="13"/>
      <c r="K821" s="13"/>
      <c r="L821" s="14"/>
      <c r="M821" s="4"/>
      <c r="N821" s="2"/>
      <c r="O821" s="4"/>
      <c r="P821" s="2"/>
      <c r="Q821" s="2"/>
      <c r="R821" s="4"/>
      <c r="S821" s="2"/>
      <c r="T821" s="2"/>
      <c r="U821" s="1"/>
      <c r="V821" s="2"/>
      <c r="W821" s="2"/>
      <c r="X821" s="2"/>
      <c r="Y821" s="2"/>
      <c r="Z821" s="2"/>
    </row>
    <row r="822" spans="1:26" ht="15.75" customHeight="1" x14ac:dyDescent="0.2">
      <c r="A822" s="12"/>
      <c r="B822" s="10"/>
      <c r="C822" s="11"/>
      <c r="D822" s="13"/>
      <c r="E822" s="13"/>
      <c r="F822" s="13"/>
      <c r="G822" s="2"/>
      <c r="H822" s="2"/>
      <c r="I822" s="13"/>
      <c r="J822" s="13"/>
      <c r="K822" s="13"/>
      <c r="L822" s="14"/>
      <c r="M822" s="4"/>
      <c r="N822" s="2"/>
      <c r="O822" s="4"/>
      <c r="P822" s="2"/>
      <c r="Q822" s="2"/>
      <c r="R822" s="4"/>
      <c r="S822" s="2"/>
      <c r="T822" s="2"/>
      <c r="U822" s="1"/>
      <c r="V822" s="2"/>
      <c r="W822" s="2"/>
      <c r="X822" s="2"/>
      <c r="Y822" s="2"/>
      <c r="Z822" s="2"/>
    </row>
    <row r="823" spans="1:26" ht="15.75" customHeight="1" x14ac:dyDescent="0.2">
      <c r="A823" s="12"/>
      <c r="B823" s="10"/>
      <c r="C823" s="11"/>
      <c r="D823" s="13"/>
      <c r="E823" s="13"/>
      <c r="F823" s="13"/>
      <c r="G823" s="2"/>
      <c r="H823" s="2"/>
      <c r="I823" s="13"/>
      <c r="J823" s="13"/>
      <c r="K823" s="13"/>
      <c r="L823" s="14"/>
      <c r="M823" s="4"/>
      <c r="N823" s="2"/>
      <c r="O823" s="4"/>
      <c r="P823" s="2"/>
      <c r="Q823" s="2"/>
      <c r="R823" s="4"/>
      <c r="S823" s="2"/>
      <c r="T823" s="2"/>
      <c r="U823" s="1"/>
      <c r="V823" s="2"/>
      <c r="W823" s="2"/>
      <c r="X823" s="2"/>
      <c r="Y823" s="2"/>
      <c r="Z823" s="2"/>
    </row>
    <row r="824" spans="1:26" ht="15.75" customHeight="1" x14ac:dyDescent="0.2">
      <c r="A824" s="12"/>
      <c r="B824" s="10"/>
      <c r="C824" s="11"/>
      <c r="D824" s="13"/>
      <c r="E824" s="13"/>
      <c r="F824" s="13"/>
      <c r="G824" s="2"/>
      <c r="H824" s="2"/>
      <c r="I824" s="13"/>
      <c r="J824" s="13"/>
      <c r="K824" s="13"/>
      <c r="L824" s="14"/>
      <c r="M824" s="4"/>
      <c r="N824" s="2"/>
      <c r="O824" s="4"/>
      <c r="P824" s="2"/>
      <c r="Q824" s="2"/>
      <c r="R824" s="4"/>
      <c r="S824" s="2"/>
      <c r="T824" s="2"/>
      <c r="U824" s="1"/>
      <c r="V824" s="2"/>
      <c r="W824" s="2"/>
      <c r="X824" s="2"/>
      <c r="Y824" s="2"/>
      <c r="Z824" s="2"/>
    </row>
    <row r="825" spans="1:26" ht="15.75" customHeight="1" x14ac:dyDescent="0.2">
      <c r="A825" s="12"/>
      <c r="B825" s="10"/>
      <c r="C825" s="11"/>
      <c r="D825" s="13"/>
      <c r="E825" s="13"/>
      <c r="F825" s="13"/>
      <c r="G825" s="2"/>
      <c r="H825" s="2"/>
      <c r="I825" s="13"/>
      <c r="J825" s="13"/>
      <c r="K825" s="13"/>
      <c r="L825" s="14"/>
      <c r="M825" s="4"/>
      <c r="N825" s="2"/>
      <c r="O825" s="4"/>
      <c r="P825" s="2"/>
      <c r="Q825" s="2"/>
      <c r="R825" s="4"/>
      <c r="S825" s="2"/>
      <c r="T825" s="2"/>
      <c r="U825" s="1"/>
      <c r="V825" s="2"/>
      <c r="W825" s="2"/>
      <c r="X825" s="2"/>
      <c r="Y825" s="2"/>
      <c r="Z825" s="2"/>
    </row>
    <row r="826" spans="1:26" ht="15.75" customHeight="1" x14ac:dyDescent="0.2">
      <c r="A826" s="12"/>
      <c r="B826" s="10"/>
      <c r="C826" s="11"/>
      <c r="D826" s="13"/>
      <c r="E826" s="13"/>
      <c r="F826" s="13"/>
      <c r="G826" s="2"/>
      <c r="H826" s="2"/>
      <c r="I826" s="13"/>
      <c r="J826" s="13"/>
      <c r="K826" s="13"/>
      <c r="L826" s="14"/>
      <c r="M826" s="4"/>
      <c r="N826" s="2"/>
      <c r="O826" s="4"/>
      <c r="P826" s="2"/>
      <c r="Q826" s="2"/>
      <c r="R826" s="4"/>
      <c r="S826" s="2"/>
      <c r="T826" s="2"/>
      <c r="U826" s="1"/>
      <c r="V826" s="2"/>
      <c r="W826" s="2"/>
      <c r="X826" s="2"/>
      <c r="Y826" s="2"/>
      <c r="Z826" s="2"/>
    </row>
    <row r="827" spans="1:26" ht="15.75" customHeight="1" x14ac:dyDescent="0.2">
      <c r="A827" s="12"/>
      <c r="B827" s="10"/>
      <c r="C827" s="11"/>
      <c r="D827" s="13"/>
      <c r="E827" s="13"/>
      <c r="F827" s="13"/>
      <c r="G827" s="2"/>
      <c r="H827" s="2"/>
      <c r="I827" s="13"/>
      <c r="J827" s="13"/>
      <c r="K827" s="13"/>
      <c r="L827" s="14"/>
      <c r="M827" s="4"/>
      <c r="N827" s="2"/>
      <c r="O827" s="4"/>
      <c r="P827" s="2"/>
      <c r="Q827" s="2"/>
      <c r="R827" s="4"/>
      <c r="S827" s="2"/>
      <c r="T827" s="2"/>
      <c r="U827" s="1"/>
      <c r="V827" s="2"/>
      <c r="W827" s="2"/>
      <c r="X827" s="2"/>
      <c r="Y827" s="2"/>
      <c r="Z827" s="2"/>
    </row>
    <row r="828" spans="1:26" ht="15.75" customHeight="1" x14ac:dyDescent="0.2">
      <c r="A828" s="12"/>
      <c r="B828" s="10"/>
      <c r="C828" s="11"/>
      <c r="D828" s="13"/>
      <c r="E828" s="13"/>
      <c r="F828" s="13"/>
      <c r="G828" s="2"/>
      <c r="H828" s="2"/>
      <c r="I828" s="13"/>
      <c r="J828" s="13"/>
      <c r="K828" s="13"/>
      <c r="L828" s="14"/>
      <c r="M828" s="4"/>
      <c r="N828" s="2"/>
      <c r="O828" s="4"/>
      <c r="P828" s="2"/>
      <c r="Q828" s="2"/>
      <c r="R828" s="4"/>
      <c r="S828" s="2"/>
      <c r="T828" s="2"/>
      <c r="U828" s="1"/>
      <c r="V828" s="2"/>
      <c r="W828" s="2"/>
      <c r="X828" s="2"/>
      <c r="Y828" s="2"/>
      <c r="Z828" s="2"/>
    </row>
    <row r="829" spans="1:26" ht="15.75" customHeight="1" x14ac:dyDescent="0.2">
      <c r="A829" s="12"/>
      <c r="B829" s="10"/>
      <c r="C829" s="11"/>
      <c r="D829" s="13"/>
      <c r="E829" s="13"/>
      <c r="F829" s="13"/>
      <c r="G829" s="2"/>
      <c r="H829" s="2"/>
      <c r="I829" s="13"/>
      <c r="J829" s="13"/>
      <c r="K829" s="13"/>
      <c r="L829" s="14"/>
      <c r="M829" s="4"/>
      <c r="N829" s="2"/>
      <c r="O829" s="4"/>
      <c r="P829" s="2"/>
      <c r="Q829" s="2"/>
      <c r="R829" s="4"/>
      <c r="S829" s="2"/>
      <c r="T829" s="2"/>
      <c r="U829" s="1"/>
      <c r="V829" s="2"/>
      <c r="W829" s="2"/>
      <c r="X829" s="2"/>
      <c r="Y829" s="2"/>
      <c r="Z829" s="2"/>
    </row>
    <row r="830" spans="1:26" ht="15.75" customHeight="1" x14ac:dyDescent="0.2">
      <c r="A830" s="12"/>
      <c r="B830" s="10"/>
      <c r="C830" s="11"/>
      <c r="D830" s="13"/>
      <c r="E830" s="13"/>
      <c r="F830" s="13"/>
      <c r="G830" s="2"/>
      <c r="H830" s="2"/>
      <c r="I830" s="13"/>
      <c r="J830" s="13"/>
      <c r="K830" s="13"/>
      <c r="L830" s="14"/>
      <c r="M830" s="4"/>
      <c r="N830" s="2"/>
      <c r="O830" s="4"/>
      <c r="P830" s="2"/>
      <c r="Q830" s="2"/>
      <c r="R830" s="4"/>
      <c r="S830" s="2"/>
      <c r="T830" s="2"/>
      <c r="U830" s="1"/>
      <c r="V830" s="2"/>
      <c r="W830" s="2"/>
      <c r="X830" s="2"/>
      <c r="Y830" s="2"/>
      <c r="Z830" s="2"/>
    </row>
    <row r="831" spans="1:26" ht="15.75" customHeight="1" x14ac:dyDescent="0.2">
      <c r="A831" s="12"/>
      <c r="B831" s="10"/>
      <c r="C831" s="11"/>
      <c r="D831" s="13"/>
      <c r="E831" s="13"/>
      <c r="F831" s="13"/>
      <c r="G831" s="2"/>
      <c r="H831" s="2"/>
      <c r="I831" s="13"/>
      <c r="J831" s="13"/>
      <c r="K831" s="13"/>
      <c r="L831" s="14"/>
      <c r="M831" s="4"/>
      <c r="N831" s="2"/>
      <c r="O831" s="4"/>
      <c r="P831" s="2"/>
      <c r="Q831" s="2"/>
      <c r="R831" s="4"/>
      <c r="S831" s="2"/>
      <c r="T831" s="2"/>
      <c r="U831" s="1"/>
      <c r="V831" s="2"/>
      <c r="W831" s="2"/>
      <c r="X831" s="2"/>
      <c r="Y831" s="2"/>
      <c r="Z831" s="2"/>
    </row>
    <row r="832" spans="1:26" ht="15.75" customHeight="1" x14ac:dyDescent="0.2">
      <c r="A832" s="12"/>
      <c r="B832" s="10"/>
      <c r="C832" s="11"/>
      <c r="D832" s="13"/>
      <c r="E832" s="13"/>
      <c r="F832" s="13"/>
      <c r="G832" s="2"/>
      <c r="H832" s="2"/>
      <c r="I832" s="13"/>
      <c r="J832" s="13"/>
      <c r="K832" s="13"/>
      <c r="L832" s="14"/>
      <c r="M832" s="4"/>
      <c r="N832" s="2"/>
      <c r="O832" s="4"/>
      <c r="P832" s="2"/>
      <c r="Q832" s="2"/>
      <c r="R832" s="4"/>
      <c r="S832" s="2"/>
      <c r="T832" s="2"/>
      <c r="U832" s="1"/>
      <c r="V832" s="2"/>
      <c r="W832" s="2"/>
      <c r="X832" s="2"/>
      <c r="Y832" s="2"/>
      <c r="Z832" s="2"/>
    </row>
    <row r="833" spans="1:26" ht="15.75" customHeight="1" x14ac:dyDescent="0.2">
      <c r="A833" s="12"/>
      <c r="B833" s="10"/>
      <c r="C833" s="11"/>
      <c r="D833" s="13"/>
      <c r="E833" s="13"/>
      <c r="F833" s="13"/>
      <c r="G833" s="2"/>
      <c r="H833" s="2"/>
      <c r="I833" s="13"/>
      <c r="J833" s="13"/>
      <c r="K833" s="13"/>
      <c r="L833" s="14"/>
      <c r="M833" s="4"/>
      <c r="N833" s="2"/>
      <c r="O833" s="4"/>
      <c r="P833" s="2"/>
      <c r="Q833" s="2"/>
      <c r="R833" s="4"/>
      <c r="S833" s="2"/>
      <c r="T833" s="2"/>
      <c r="U833" s="1"/>
      <c r="V833" s="2"/>
      <c r="W833" s="2"/>
      <c r="X833" s="2"/>
      <c r="Y833" s="2"/>
      <c r="Z833" s="2"/>
    </row>
    <row r="834" spans="1:26" ht="15.75" customHeight="1" x14ac:dyDescent="0.2">
      <c r="A834" s="12"/>
      <c r="B834" s="10"/>
      <c r="C834" s="11"/>
      <c r="D834" s="13"/>
      <c r="E834" s="13"/>
      <c r="F834" s="13"/>
      <c r="G834" s="2"/>
      <c r="H834" s="2"/>
      <c r="I834" s="13"/>
      <c r="J834" s="13"/>
      <c r="K834" s="13"/>
      <c r="L834" s="14"/>
      <c r="M834" s="4"/>
      <c r="N834" s="2"/>
      <c r="O834" s="4"/>
      <c r="P834" s="2"/>
      <c r="Q834" s="2"/>
      <c r="R834" s="4"/>
      <c r="S834" s="2"/>
      <c r="T834" s="2"/>
      <c r="U834" s="1"/>
      <c r="V834" s="2"/>
      <c r="W834" s="2"/>
      <c r="X834" s="2"/>
      <c r="Y834" s="2"/>
      <c r="Z834" s="2"/>
    </row>
    <row r="835" spans="1:26" ht="15.75" customHeight="1" x14ac:dyDescent="0.2">
      <c r="A835" s="12"/>
      <c r="B835" s="10"/>
      <c r="C835" s="11"/>
      <c r="D835" s="13"/>
      <c r="E835" s="13"/>
      <c r="F835" s="13"/>
      <c r="G835" s="2"/>
      <c r="H835" s="2"/>
      <c r="I835" s="13"/>
      <c r="J835" s="13"/>
      <c r="K835" s="13"/>
      <c r="L835" s="14"/>
      <c r="M835" s="4"/>
      <c r="N835" s="2"/>
      <c r="O835" s="4"/>
      <c r="P835" s="2"/>
      <c r="Q835" s="2"/>
      <c r="R835" s="4"/>
      <c r="S835" s="2"/>
      <c r="T835" s="2"/>
      <c r="U835" s="1"/>
      <c r="V835" s="2"/>
      <c r="W835" s="2"/>
      <c r="X835" s="2"/>
      <c r="Y835" s="2"/>
      <c r="Z835" s="2"/>
    </row>
    <row r="836" spans="1:26" ht="15.75" customHeight="1" x14ac:dyDescent="0.2">
      <c r="A836" s="12"/>
      <c r="B836" s="10"/>
      <c r="C836" s="11"/>
      <c r="D836" s="13"/>
      <c r="E836" s="13"/>
      <c r="F836" s="13"/>
      <c r="G836" s="2"/>
      <c r="H836" s="2"/>
      <c r="I836" s="13"/>
      <c r="J836" s="13"/>
      <c r="K836" s="13"/>
      <c r="L836" s="14"/>
      <c r="M836" s="4"/>
      <c r="N836" s="2"/>
      <c r="O836" s="4"/>
      <c r="P836" s="2"/>
      <c r="Q836" s="2"/>
      <c r="R836" s="4"/>
      <c r="S836" s="2"/>
      <c r="T836" s="2"/>
      <c r="U836" s="1"/>
      <c r="V836" s="2"/>
      <c r="W836" s="2"/>
      <c r="X836" s="2"/>
      <c r="Y836" s="2"/>
      <c r="Z836" s="2"/>
    </row>
    <row r="837" spans="1:26" ht="15.75" customHeight="1" x14ac:dyDescent="0.2">
      <c r="A837" s="12"/>
      <c r="B837" s="10"/>
      <c r="C837" s="11"/>
      <c r="D837" s="13"/>
      <c r="E837" s="13"/>
      <c r="F837" s="13"/>
      <c r="G837" s="2"/>
      <c r="H837" s="2"/>
      <c r="I837" s="13"/>
      <c r="J837" s="13"/>
      <c r="K837" s="13"/>
      <c r="L837" s="14"/>
      <c r="M837" s="4"/>
      <c r="N837" s="2"/>
      <c r="O837" s="4"/>
      <c r="P837" s="2"/>
      <c r="Q837" s="2"/>
      <c r="R837" s="4"/>
      <c r="S837" s="2"/>
      <c r="T837" s="2"/>
      <c r="U837" s="1"/>
      <c r="V837" s="2"/>
      <c r="W837" s="2"/>
      <c r="X837" s="2"/>
      <c r="Y837" s="2"/>
      <c r="Z837" s="2"/>
    </row>
    <row r="838" spans="1:26" ht="15.75" customHeight="1" x14ac:dyDescent="0.2">
      <c r="A838" s="12"/>
      <c r="B838" s="10"/>
      <c r="C838" s="11"/>
      <c r="D838" s="13"/>
      <c r="E838" s="13"/>
      <c r="F838" s="13"/>
      <c r="G838" s="2"/>
      <c r="H838" s="2"/>
      <c r="I838" s="13"/>
      <c r="J838" s="13"/>
      <c r="K838" s="13"/>
      <c r="L838" s="14"/>
      <c r="M838" s="4"/>
      <c r="N838" s="2"/>
      <c r="O838" s="4"/>
      <c r="P838" s="2"/>
      <c r="Q838" s="2"/>
      <c r="R838" s="4"/>
      <c r="S838" s="2"/>
      <c r="T838" s="2"/>
      <c r="U838" s="1"/>
      <c r="V838" s="2"/>
      <c r="W838" s="2"/>
      <c r="X838" s="2"/>
      <c r="Y838" s="2"/>
      <c r="Z838" s="2"/>
    </row>
    <row r="839" spans="1:26" ht="15.75" customHeight="1" x14ac:dyDescent="0.2">
      <c r="A839" s="12"/>
      <c r="B839" s="10"/>
      <c r="C839" s="11"/>
      <c r="D839" s="13"/>
      <c r="E839" s="13"/>
      <c r="F839" s="13"/>
      <c r="G839" s="2"/>
      <c r="H839" s="2"/>
      <c r="I839" s="13"/>
      <c r="J839" s="13"/>
      <c r="K839" s="13"/>
      <c r="L839" s="14"/>
      <c r="M839" s="4"/>
      <c r="N839" s="2"/>
      <c r="O839" s="4"/>
      <c r="P839" s="2"/>
      <c r="Q839" s="2"/>
      <c r="R839" s="4"/>
      <c r="S839" s="2"/>
      <c r="T839" s="2"/>
      <c r="U839" s="1"/>
      <c r="V839" s="2"/>
      <c r="W839" s="2"/>
      <c r="X839" s="2"/>
      <c r="Y839" s="2"/>
      <c r="Z839" s="2"/>
    </row>
    <row r="840" spans="1:26" ht="15.75" customHeight="1" x14ac:dyDescent="0.2">
      <c r="A840" s="12"/>
      <c r="B840" s="10"/>
      <c r="C840" s="11"/>
      <c r="D840" s="13"/>
      <c r="E840" s="13"/>
      <c r="F840" s="13"/>
      <c r="G840" s="2"/>
      <c r="H840" s="2"/>
      <c r="I840" s="13"/>
      <c r="J840" s="13"/>
      <c r="K840" s="13"/>
      <c r="L840" s="14"/>
      <c r="M840" s="4"/>
      <c r="N840" s="2"/>
      <c r="O840" s="4"/>
      <c r="P840" s="2"/>
      <c r="Q840" s="2"/>
      <c r="R840" s="4"/>
      <c r="S840" s="2"/>
      <c r="T840" s="2"/>
      <c r="U840" s="1"/>
      <c r="V840" s="2"/>
      <c r="W840" s="2"/>
      <c r="X840" s="2"/>
      <c r="Y840" s="2"/>
      <c r="Z840" s="2"/>
    </row>
    <row r="841" spans="1:26" ht="15.75" customHeight="1" x14ac:dyDescent="0.2">
      <c r="A841" s="12"/>
      <c r="B841" s="10"/>
      <c r="C841" s="11"/>
      <c r="D841" s="13"/>
      <c r="E841" s="13"/>
      <c r="F841" s="13"/>
      <c r="G841" s="2"/>
      <c r="H841" s="2"/>
      <c r="I841" s="13"/>
      <c r="J841" s="13"/>
      <c r="K841" s="13"/>
      <c r="L841" s="14"/>
      <c r="M841" s="4"/>
      <c r="N841" s="2"/>
      <c r="O841" s="4"/>
      <c r="P841" s="2"/>
      <c r="Q841" s="2"/>
      <c r="R841" s="4"/>
      <c r="S841" s="2"/>
      <c r="T841" s="2"/>
      <c r="U841" s="1"/>
      <c r="V841" s="2"/>
      <c r="W841" s="2"/>
      <c r="X841" s="2"/>
      <c r="Y841" s="2"/>
      <c r="Z841" s="2"/>
    </row>
    <row r="842" spans="1:26" ht="15.75" customHeight="1" x14ac:dyDescent="0.2">
      <c r="A842" s="12"/>
      <c r="B842" s="10"/>
      <c r="C842" s="11"/>
      <c r="D842" s="13"/>
      <c r="E842" s="13"/>
      <c r="F842" s="13"/>
      <c r="G842" s="2"/>
      <c r="H842" s="2"/>
      <c r="I842" s="13"/>
      <c r="J842" s="13"/>
      <c r="K842" s="13"/>
      <c r="L842" s="14"/>
      <c r="M842" s="4"/>
      <c r="N842" s="2"/>
      <c r="O842" s="4"/>
      <c r="P842" s="2"/>
      <c r="Q842" s="2"/>
      <c r="R842" s="4"/>
      <c r="S842" s="2"/>
      <c r="T842" s="2"/>
      <c r="U842" s="1"/>
      <c r="V842" s="2"/>
      <c r="W842" s="2"/>
      <c r="X842" s="2"/>
      <c r="Y842" s="2"/>
      <c r="Z842" s="2"/>
    </row>
    <row r="843" spans="1:26" ht="15.75" customHeight="1" x14ac:dyDescent="0.2">
      <c r="A843" s="12"/>
      <c r="B843" s="10"/>
      <c r="C843" s="11"/>
      <c r="D843" s="13"/>
      <c r="E843" s="13"/>
      <c r="F843" s="13"/>
      <c r="G843" s="2"/>
      <c r="H843" s="2"/>
      <c r="I843" s="13"/>
      <c r="J843" s="13"/>
      <c r="K843" s="13"/>
      <c r="L843" s="14"/>
      <c r="M843" s="4"/>
      <c r="N843" s="2"/>
      <c r="O843" s="4"/>
      <c r="P843" s="2"/>
      <c r="Q843" s="2"/>
      <c r="R843" s="4"/>
      <c r="S843" s="2"/>
      <c r="T843" s="2"/>
      <c r="U843" s="1"/>
      <c r="V843" s="2"/>
      <c r="W843" s="2"/>
      <c r="X843" s="2"/>
      <c r="Y843" s="2"/>
      <c r="Z843" s="2"/>
    </row>
    <row r="844" spans="1:26" ht="15.75" customHeight="1" x14ac:dyDescent="0.2">
      <c r="A844" s="12"/>
      <c r="B844" s="10"/>
      <c r="C844" s="11"/>
      <c r="D844" s="13"/>
      <c r="E844" s="13"/>
      <c r="F844" s="13"/>
      <c r="G844" s="2"/>
      <c r="H844" s="2"/>
      <c r="I844" s="13"/>
      <c r="J844" s="13"/>
      <c r="K844" s="13"/>
      <c r="L844" s="14"/>
      <c r="M844" s="4"/>
      <c r="N844" s="2"/>
      <c r="O844" s="4"/>
      <c r="P844" s="2"/>
      <c r="Q844" s="2"/>
      <c r="R844" s="4"/>
      <c r="S844" s="2"/>
      <c r="T844" s="2"/>
      <c r="U844" s="1"/>
      <c r="V844" s="2"/>
      <c r="W844" s="2"/>
      <c r="X844" s="2"/>
      <c r="Y844" s="2"/>
      <c r="Z844" s="2"/>
    </row>
    <row r="845" spans="1:26" ht="15.75" customHeight="1" x14ac:dyDescent="0.2">
      <c r="A845" s="12"/>
      <c r="B845" s="10"/>
      <c r="C845" s="11"/>
      <c r="D845" s="13"/>
      <c r="E845" s="13"/>
      <c r="F845" s="13"/>
      <c r="G845" s="2"/>
      <c r="H845" s="2"/>
      <c r="I845" s="13"/>
      <c r="J845" s="13"/>
      <c r="K845" s="13"/>
      <c r="L845" s="14"/>
      <c r="M845" s="4"/>
      <c r="N845" s="2"/>
      <c r="O845" s="4"/>
      <c r="P845" s="2"/>
      <c r="Q845" s="2"/>
      <c r="R845" s="4"/>
      <c r="S845" s="2"/>
      <c r="T845" s="2"/>
      <c r="U845" s="1"/>
      <c r="V845" s="2"/>
      <c r="W845" s="2"/>
      <c r="X845" s="2"/>
      <c r="Y845" s="2"/>
      <c r="Z845" s="2"/>
    </row>
    <row r="846" spans="1:26" ht="15.75" customHeight="1" x14ac:dyDescent="0.2">
      <c r="A846" s="12"/>
      <c r="B846" s="10"/>
      <c r="C846" s="11"/>
      <c r="D846" s="13"/>
      <c r="E846" s="13"/>
      <c r="F846" s="13"/>
      <c r="G846" s="2"/>
      <c r="H846" s="2"/>
      <c r="I846" s="13"/>
      <c r="J846" s="13"/>
      <c r="K846" s="13"/>
      <c r="L846" s="14"/>
      <c r="M846" s="4"/>
      <c r="N846" s="2"/>
      <c r="O846" s="4"/>
      <c r="P846" s="2"/>
      <c r="Q846" s="2"/>
      <c r="R846" s="4"/>
      <c r="S846" s="2"/>
      <c r="T846" s="2"/>
      <c r="U846" s="1"/>
      <c r="V846" s="2"/>
      <c r="W846" s="2"/>
      <c r="X846" s="2"/>
      <c r="Y846" s="2"/>
      <c r="Z846" s="2"/>
    </row>
    <row r="847" spans="1:26" ht="15.75" customHeight="1" x14ac:dyDescent="0.2">
      <c r="A847" s="12"/>
      <c r="B847" s="10"/>
      <c r="C847" s="11"/>
      <c r="D847" s="13"/>
      <c r="E847" s="13"/>
      <c r="F847" s="13"/>
      <c r="G847" s="2"/>
      <c r="H847" s="2"/>
      <c r="I847" s="13"/>
      <c r="J847" s="13"/>
      <c r="K847" s="13"/>
      <c r="L847" s="14"/>
      <c r="M847" s="4"/>
      <c r="N847" s="2"/>
      <c r="O847" s="4"/>
      <c r="P847" s="2"/>
      <c r="Q847" s="2"/>
      <c r="R847" s="4"/>
      <c r="S847" s="2"/>
      <c r="T847" s="2"/>
      <c r="U847" s="1"/>
      <c r="V847" s="2"/>
      <c r="W847" s="2"/>
      <c r="X847" s="2"/>
      <c r="Y847" s="2"/>
      <c r="Z847" s="2"/>
    </row>
    <row r="848" spans="1:26" ht="15.75" customHeight="1" x14ac:dyDescent="0.2">
      <c r="A848" s="12"/>
      <c r="B848" s="10"/>
      <c r="C848" s="11"/>
      <c r="D848" s="13"/>
      <c r="E848" s="13"/>
      <c r="F848" s="13"/>
      <c r="G848" s="2"/>
      <c r="H848" s="2"/>
      <c r="I848" s="13"/>
      <c r="J848" s="13"/>
      <c r="K848" s="13"/>
      <c r="L848" s="14"/>
      <c r="M848" s="4"/>
      <c r="N848" s="2"/>
      <c r="O848" s="4"/>
      <c r="P848" s="2"/>
      <c r="Q848" s="2"/>
      <c r="R848" s="4"/>
      <c r="S848" s="2"/>
      <c r="T848" s="2"/>
      <c r="U848" s="1"/>
      <c r="V848" s="2"/>
      <c r="W848" s="2"/>
      <c r="X848" s="2"/>
      <c r="Y848" s="2"/>
      <c r="Z848" s="2"/>
    </row>
    <row r="849" spans="1:26" ht="15.75" customHeight="1" x14ac:dyDescent="0.2">
      <c r="A849" s="12"/>
      <c r="B849" s="10"/>
      <c r="C849" s="11"/>
      <c r="D849" s="13"/>
      <c r="E849" s="13"/>
      <c r="F849" s="13"/>
      <c r="G849" s="2"/>
      <c r="H849" s="2"/>
      <c r="I849" s="13"/>
      <c r="J849" s="13"/>
      <c r="K849" s="13"/>
      <c r="L849" s="14"/>
      <c r="M849" s="4"/>
      <c r="N849" s="2"/>
      <c r="O849" s="4"/>
      <c r="P849" s="2"/>
      <c r="Q849" s="2"/>
      <c r="R849" s="4"/>
      <c r="S849" s="2"/>
      <c r="T849" s="2"/>
      <c r="U849" s="1"/>
      <c r="V849" s="2"/>
      <c r="W849" s="2"/>
      <c r="X849" s="2"/>
      <c r="Y849" s="2"/>
      <c r="Z849" s="2"/>
    </row>
    <row r="850" spans="1:26" ht="15.75" customHeight="1" x14ac:dyDescent="0.2">
      <c r="A850" s="12"/>
      <c r="B850" s="10"/>
      <c r="C850" s="11"/>
      <c r="D850" s="13"/>
      <c r="E850" s="13"/>
      <c r="F850" s="13"/>
      <c r="G850" s="2"/>
      <c r="H850" s="2"/>
      <c r="I850" s="13"/>
      <c r="J850" s="13"/>
      <c r="K850" s="13"/>
      <c r="L850" s="14"/>
      <c r="M850" s="4"/>
      <c r="N850" s="2"/>
      <c r="O850" s="4"/>
      <c r="P850" s="2"/>
      <c r="Q850" s="2"/>
      <c r="R850" s="4"/>
      <c r="S850" s="2"/>
      <c r="T850" s="2"/>
      <c r="U850" s="1"/>
      <c r="V850" s="2"/>
      <c r="W850" s="2"/>
      <c r="X850" s="2"/>
      <c r="Y850" s="2"/>
      <c r="Z850" s="2"/>
    </row>
    <row r="851" spans="1:26" ht="15.75" customHeight="1" x14ac:dyDescent="0.2">
      <c r="A851" s="12"/>
      <c r="B851" s="10"/>
      <c r="C851" s="11"/>
      <c r="D851" s="13"/>
      <c r="E851" s="13"/>
      <c r="F851" s="13"/>
      <c r="G851" s="2"/>
      <c r="H851" s="2"/>
      <c r="I851" s="13"/>
      <c r="J851" s="13"/>
      <c r="K851" s="13"/>
      <c r="L851" s="14"/>
      <c r="M851" s="4"/>
      <c r="N851" s="2"/>
      <c r="O851" s="4"/>
      <c r="P851" s="2"/>
      <c r="Q851" s="2"/>
      <c r="R851" s="4"/>
      <c r="S851" s="2"/>
      <c r="T851" s="2"/>
      <c r="U851" s="1"/>
      <c r="V851" s="2"/>
      <c r="W851" s="2"/>
      <c r="X851" s="2"/>
      <c r="Y851" s="2"/>
      <c r="Z851" s="2"/>
    </row>
    <row r="852" spans="1:26" ht="15.75" customHeight="1" x14ac:dyDescent="0.2">
      <c r="A852" s="12"/>
      <c r="B852" s="10"/>
      <c r="C852" s="11"/>
      <c r="D852" s="13"/>
      <c r="E852" s="13"/>
      <c r="F852" s="13"/>
      <c r="G852" s="2"/>
      <c r="H852" s="2"/>
      <c r="I852" s="13"/>
      <c r="J852" s="13"/>
      <c r="K852" s="13"/>
      <c r="L852" s="14"/>
      <c r="M852" s="4"/>
      <c r="N852" s="2"/>
      <c r="O852" s="4"/>
      <c r="P852" s="2"/>
      <c r="Q852" s="2"/>
      <c r="R852" s="4"/>
      <c r="S852" s="2"/>
      <c r="T852" s="2"/>
      <c r="U852" s="1"/>
      <c r="V852" s="2"/>
      <c r="W852" s="2"/>
      <c r="X852" s="2"/>
      <c r="Y852" s="2"/>
      <c r="Z852" s="2"/>
    </row>
    <row r="853" spans="1:26" ht="15.75" customHeight="1" x14ac:dyDescent="0.2">
      <c r="A853" s="12"/>
      <c r="B853" s="10"/>
      <c r="C853" s="11"/>
      <c r="D853" s="13"/>
      <c r="E853" s="13"/>
      <c r="F853" s="13"/>
      <c r="G853" s="2"/>
      <c r="H853" s="2"/>
      <c r="I853" s="13"/>
      <c r="J853" s="13"/>
      <c r="K853" s="13"/>
      <c r="L853" s="14"/>
      <c r="M853" s="4"/>
      <c r="N853" s="2"/>
      <c r="O853" s="4"/>
      <c r="P853" s="2"/>
      <c r="Q853" s="2"/>
      <c r="R853" s="4"/>
      <c r="S853" s="2"/>
      <c r="T853" s="2"/>
      <c r="U853" s="1"/>
      <c r="V853" s="2"/>
      <c r="W853" s="2"/>
      <c r="X853" s="2"/>
      <c r="Y853" s="2"/>
      <c r="Z853" s="2"/>
    </row>
    <row r="854" spans="1:26" ht="15.75" customHeight="1" x14ac:dyDescent="0.2">
      <c r="A854" s="12"/>
      <c r="B854" s="10"/>
      <c r="C854" s="11"/>
      <c r="D854" s="13"/>
      <c r="E854" s="13"/>
      <c r="F854" s="13"/>
      <c r="G854" s="2"/>
      <c r="H854" s="2"/>
      <c r="I854" s="13"/>
      <c r="J854" s="13"/>
      <c r="K854" s="13"/>
      <c r="L854" s="14"/>
      <c r="M854" s="4"/>
      <c r="N854" s="2"/>
      <c r="O854" s="4"/>
      <c r="P854" s="2"/>
      <c r="Q854" s="2"/>
      <c r="R854" s="4"/>
      <c r="S854" s="2"/>
      <c r="T854" s="2"/>
      <c r="U854" s="1"/>
      <c r="V854" s="2"/>
      <c r="W854" s="2"/>
      <c r="X854" s="2"/>
      <c r="Y854" s="2"/>
      <c r="Z854" s="2"/>
    </row>
    <row r="855" spans="1:26" ht="15.75" customHeight="1" x14ac:dyDescent="0.2">
      <c r="A855" s="12"/>
      <c r="B855" s="10"/>
      <c r="C855" s="11"/>
      <c r="D855" s="13"/>
      <c r="E855" s="13"/>
      <c r="F855" s="13"/>
      <c r="G855" s="2"/>
      <c r="H855" s="2"/>
      <c r="I855" s="13"/>
      <c r="J855" s="13"/>
      <c r="K855" s="13"/>
      <c r="L855" s="14"/>
      <c r="M855" s="4"/>
      <c r="N855" s="2"/>
      <c r="O855" s="4"/>
      <c r="P855" s="2"/>
      <c r="Q855" s="2"/>
      <c r="R855" s="4"/>
      <c r="S855" s="2"/>
      <c r="T855" s="2"/>
      <c r="U855" s="1"/>
      <c r="V855" s="2"/>
      <c r="W855" s="2"/>
      <c r="X855" s="2"/>
      <c r="Y855" s="2"/>
      <c r="Z855" s="2"/>
    </row>
    <row r="856" spans="1:26" ht="15.75" customHeight="1" x14ac:dyDescent="0.2">
      <c r="A856" s="12"/>
      <c r="B856" s="10"/>
      <c r="C856" s="11"/>
      <c r="D856" s="13"/>
      <c r="E856" s="13"/>
      <c r="F856" s="13"/>
      <c r="G856" s="2"/>
      <c r="H856" s="2"/>
      <c r="I856" s="13"/>
      <c r="J856" s="13"/>
      <c r="K856" s="13"/>
      <c r="L856" s="14"/>
      <c r="M856" s="4"/>
      <c r="N856" s="2"/>
      <c r="O856" s="4"/>
      <c r="P856" s="2"/>
      <c r="Q856" s="2"/>
      <c r="R856" s="4"/>
      <c r="S856" s="2"/>
      <c r="T856" s="2"/>
      <c r="U856" s="1"/>
      <c r="V856" s="2"/>
      <c r="W856" s="2"/>
      <c r="X856" s="2"/>
      <c r="Y856" s="2"/>
      <c r="Z856" s="2"/>
    </row>
    <row r="857" spans="1:26" ht="15.75" customHeight="1" x14ac:dyDescent="0.2">
      <c r="A857" s="12"/>
      <c r="B857" s="10"/>
      <c r="C857" s="11"/>
      <c r="D857" s="13"/>
      <c r="E857" s="13"/>
      <c r="F857" s="13"/>
      <c r="G857" s="2"/>
      <c r="H857" s="2"/>
      <c r="I857" s="13"/>
      <c r="J857" s="13"/>
      <c r="K857" s="13"/>
      <c r="L857" s="14"/>
      <c r="M857" s="4"/>
      <c r="N857" s="2"/>
      <c r="O857" s="4"/>
      <c r="P857" s="2"/>
      <c r="Q857" s="2"/>
      <c r="R857" s="4"/>
      <c r="S857" s="2"/>
      <c r="T857" s="2"/>
      <c r="U857" s="1"/>
      <c r="V857" s="2"/>
      <c r="W857" s="2"/>
      <c r="X857" s="2"/>
      <c r="Y857" s="2"/>
      <c r="Z857" s="2"/>
    </row>
    <row r="858" spans="1:26" ht="15.75" customHeight="1" x14ac:dyDescent="0.2">
      <c r="A858" s="12"/>
      <c r="B858" s="10"/>
      <c r="C858" s="11"/>
      <c r="D858" s="13"/>
      <c r="E858" s="13"/>
      <c r="F858" s="13"/>
      <c r="G858" s="2"/>
      <c r="H858" s="2"/>
      <c r="I858" s="13"/>
      <c r="J858" s="13"/>
      <c r="K858" s="13"/>
      <c r="L858" s="14"/>
      <c r="M858" s="4"/>
      <c r="N858" s="2"/>
      <c r="O858" s="4"/>
      <c r="P858" s="2"/>
      <c r="Q858" s="2"/>
      <c r="R858" s="4"/>
      <c r="S858" s="2"/>
      <c r="T858" s="2"/>
      <c r="U858" s="1"/>
      <c r="V858" s="2"/>
      <c r="W858" s="2"/>
      <c r="X858" s="2"/>
      <c r="Y858" s="2"/>
      <c r="Z858" s="2"/>
    </row>
    <row r="859" spans="1:26" ht="15.75" customHeight="1" x14ac:dyDescent="0.2">
      <c r="A859" s="12"/>
      <c r="B859" s="10"/>
      <c r="C859" s="11"/>
      <c r="D859" s="13"/>
      <c r="E859" s="13"/>
      <c r="F859" s="13"/>
      <c r="G859" s="2"/>
      <c r="H859" s="2"/>
      <c r="I859" s="13"/>
      <c r="J859" s="13"/>
      <c r="K859" s="13"/>
      <c r="L859" s="14"/>
      <c r="M859" s="4"/>
      <c r="N859" s="2"/>
      <c r="O859" s="4"/>
      <c r="P859" s="2"/>
      <c r="Q859" s="2"/>
      <c r="R859" s="4"/>
      <c r="S859" s="2"/>
      <c r="T859" s="2"/>
      <c r="U859" s="1"/>
      <c r="V859" s="2"/>
      <c r="W859" s="2"/>
      <c r="X859" s="2"/>
      <c r="Y859" s="2"/>
      <c r="Z859" s="2"/>
    </row>
    <row r="860" spans="1:26" ht="15.75" customHeight="1" x14ac:dyDescent="0.2">
      <c r="A860" s="12"/>
      <c r="B860" s="10"/>
      <c r="C860" s="11"/>
      <c r="D860" s="13"/>
      <c r="E860" s="13"/>
      <c r="F860" s="13"/>
      <c r="G860" s="2"/>
      <c r="H860" s="2"/>
      <c r="I860" s="13"/>
      <c r="J860" s="13"/>
      <c r="K860" s="13"/>
      <c r="L860" s="14"/>
      <c r="M860" s="4"/>
      <c r="N860" s="2"/>
      <c r="O860" s="4"/>
      <c r="P860" s="2"/>
      <c r="Q860" s="2"/>
      <c r="R860" s="4"/>
      <c r="S860" s="2"/>
      <c r="T860" s="2"/>
      <c r="U860" s="1"/>
      <c r="V860" s="2"/>
      <c r="W860" s="2"/>
      <c r="X860" s="2"/>
      <c r="Y860" s="2"/>
      <c r="Z860" s="2"/>
    </row>
    <row r="861" spans="1:26" ht="15.75" customHeight="1" x14ac:dyDescent="0.2">
      <c r="A861" s="12"/>
      <c r="B861" s="10"/>
      <c r="C861" s="11"/>
      <c r="D861" s="13"/>
      <c r="E861" s="13"/>
      <c r="F861" s="13"/>
      <c r="G861" s="2"/>
      <c r="H861" s="2"/>
      <c r="I861" s="13"/>
      <c r="J861" s="13"/>
      <c r="K861" s="13"/>
      <c r="L861" s="14"/>
      <c r="M861" s="4"/>
      <c r="N861" s="2"/>
      <c r="O861" s="4"/>
      <c r="P861" s="2"/>
      <c r="Q861" s="2"/>
      <c r="R861" s="4"/>
      <c r="S861" s="2"/>
      <c r="T861" s="2"/>
      <c r="U861" s="1"/>
      <c r="V861" s="2"/>
      <c r="W861" s="2"/>
      <c r="X861" s="2"/>
      <c r="Y861" s="2"/>
      <c r="Z861" s="2"/>
    </row>
    <row r="862" spans="1:26" ht="15.75" customHeight="1" x14ac:dyDescent="0.2">
      <c r="A862" s="12"/>
      <c r="B862" s="10"/>
      <c r="C862" s="11"/>
      <c r="D862" s="13"/>
      <c r="E862" s="13"/>
      <c r="F862" s="13"/>
      <c r="G862" s="2"/>
      <c r="H862" s="2"/>
      <c r="I862" s="13"/>
      <c r="J862" s="13"/>
      <c r="K862" s="13"/>
      <c r="L862" s="14"/>
      <c r="M862" s="4"/>
      <c r="N862" s="2"/>
      <c r="O862" s="4"/>
      <c r="P862" s="2"/>
      <c r="Q862" s="2"/>
      <c r="R862" s="4"/>
      <c r="S862" s="2"/>
      <c r="T862" s="2"/>
      <c r="U862" s="1"/>
      <c r="V862" s="2"/>
      <c r="W862" s="2"/>
      <c r="X862" s="2"/>
      <c r="Y862" s="2"/>
      <c r="Z862" s="2"/>
    </row>
    <row r="863" spans="1:26" ht="15.75" customHeight="1" x14ac:dyDescent="0.2">
      <c r="A863" s="12"/>
      <c r="B863" s="10"/>
      <c r="C863" s="11"/>
      <c r="D863" s="13"/>
      <c r="E863" s="13"/>
      <c r="F863" s="13"/>
      <c r="G863" s="2"/>
      <c r="H863" s="2"/>
      <c r="I863" s="13"/>
      <c r="J863" s="13"/>
      <c r="K863" s="13"/>
      <c r="L863" s="14"/>
      <c r="M863" s="4"/>
      <c r="N863" s="2"/>
      <c r="O863" s="4"/>
      <c r="P863" s="2"/>
      <c r="Q863" s="2"/>
      <c r="R863" s="4"/>
      <c r="S863" s="2"/>
      <c r="T863" s="2"/>
      <c r="U863" s="1"/>
      <c r="V863" s="2"/>
      <c r="W863" s="2"/>
      <c r="X863" s="2"/>
      <c r="Y863" s="2"/>
      <c r="Z863" s="2"/>
    </row>
    <row r="864" spans="1:26" ht="15.75" customHeight="1" x14ac:dyDescent="0.2">
      <c r="A864" s="12"/>
      <c r="B864" s="10"/>
      <c r="C864" s="11"/>
      <c r="D864" s="13"/>
      <c r="E864" s="13"/>
      <c r="F864" s="13"/>
      <c r="G864" s="2"/>
      <c r="H864" s="2"/>
      <c r="I864" s="13"/>
      <c r="J864" s="13"/>
      <c r="K864" s="13"/>
      <c r="L864" s="14"/>
      <c r="M864" s="4"/>
      <c r="N864" s="2"/>
      <c r="O864" s="4"/>
      <c r="P864" s="2"/>
      <c r="Q864" s="2"/>
      <c r="R864" s="4"/>
      <c r="S864" s="2"/>
      <c r="T864" s="2"/>
      <c r="U864" s="1"/>
      <c r="V864" s="2"/>
      <c r="W864" s="2"/>
      <c r="X864" s="2"/>
      <c r="Y864" s="2"/>
      <c r="Z864" s="2"/>
    </row>
    <row r="865" spans="1:26" ht="15.75" customHeight="1" x14ac:dyDescent="0.2">
      <c r="A865" s="12"/>
      <c r="B865" s="10"/>
      <c r="C865" s="11"/>
      <c r="D865" s="13"/>
      <c r="E865" s="13"/>
      <c r="F865" s="13"/>
      <c r="G865" s="2"/>
      <c r="H865" s="2"/>
      <c r="I865" s="13"/>
      <c r="J865" s="13"/>
      <c r="K865" s="13"/>
      <c r="L865" s="14"/>
      <c r="M865" s="4"/>
      <c r="N865" s="2"/>
      <c r="O865" s="4"/>
      <c r="P865" s="2"/>
      <c r="Q865" s="2"/>
      <c r="R865" s="4"/>
      <c r="S865" s="2"/>
      <c r="T865" s="2"/>
      <c r="U865" s="1"/>
      <c r="V865" s="2"/>
      <c r="W865" s="2"/>
      <c r="X865" s="2"/>
      <c r="Y865" s="2"/>
      <c r="Z865" s="2"/>
    </row>
    <row r="866" spans="1:26" ht="15.75" customHeight="1" x14ac:dyDescent="0.2">
      <c r="A866" s="12"/>
      <c r="B866" s="10"/>
      <c r="C866" s="11"/>
      <c r="D866" s="13"/>
      <c r="E866" s="13"/>
      <c r="F866" s="13"/>
      <c r="G866" s="2"/>
      <c r="H866" s="2"/>
      <c r="I866" s="13"/>
      <c r="J866" s="13"/>
      <c r="K866" s="13"/>
      <c r="L866" s="14"/>
      <c r="M866" s="4"/>
      <c r="N866" s="2"/>
      <c r="O866" s="4"/>
      <c r="P866" s="2"/>
      <c r="Q866" s="2"/>
      <c r="R866" s="4"/>
      <c r="S866" s="2"/>
      <c r="T866" s="2"/>
      <c r="U866" s="1"/>
      <c r="V866" s="2"/>
      <c r="W866" s="2"/>
      <c r="X866" s="2"/>
      <c r="Y866" s="2"/>
      <c r="Z866" s="2"/>
    </row>
    <row r="867" spans="1:26" ht="15.75" customHeight="1" x14ac:dyDescent="0.2">
      <c r="A867" s="12"/>
      <c r="B867" s="10"/>
      <c r="C867" s="11"/>
      <c r="D867" s="13"/>
      <c r="E867" s="13"/>
      <c r="F867" s="13"/>
      <c r="G867" s="2"/>
      <c r="H867" s="2"/>
      <c r="I867" s="13"/>
      <c r="J867" s="13"/>
      <c r="K867" s="13"/>
      <c r="L867" s="14"/>
      <c r="M867" s="4"/>
      <c r="N867" s="2"/>
      <c r="O867" s="4"/>
      <c r="P867" s="2"/>
      <c r="Q867" s="2"/>
      <c r="R867" s="4"/>
      <c r="S867" s="2"/>
      <c r="T867" s="2"/>
      <c r="U867" s="1"/>
      <c r="V867" s="2"/>
      <c r="W867" s="2"/>
      <c r="X867" s="2"/>
      <c r="Y867" s="2"/>
      <c r="Z867" s="2"/>
    </row>
    <row r="868" spans="1:26" ht="15.75" customHeight="1" x14ac:dyDescent="0.2">
      <c r="A868" s="12"/>
      <c r="B868" s="10"/>
      <c r="C868" s="11"/>
      <c r="D868" s="13"/>
      <c r="E868" s="13"/>
      <c r="F868" s="13"/>
      <c r="G868" s="2"/>
      <c r="H868" s="2"/>
      <c r="I868" s="13"/>
      <c r="J868" s="13"/>
      <c r="K868" s="13"/>
      <c r="L868" s="14"/>
      <c r="M868" s="4"/>
      <c r="N868" s="2"/>
      <c r="O868" s="4"/>
      <c r="P868" s="2"/>
      <c r="Q868" s="2"/>
      <c r="R868" s="4"/>
      <c r="S868" s="2"/>
      <c r="T868" s="2"/>
      <c r="U868" s="1"/>
      <c r="V868" s="2"/>
      <c r="W868" s="2"/>
      <c r="X868" s="2"/>
      <c r="Y868" s="2"/>
      <c r="Z868" s="2"/>
    </row>
    <row r="869" spans="1:26" ht="15.75" customHeight="1" x14ac:dyDescent="0.2">
      <c r="A869" s="12"/>
      <c r="B869" s="10"/>
      <c r="C869" s="11"/>
      <c r="D869" s="13"/>
      <c r="E869" s="13"/>
      <c r="F869" s="13"/>
      <c r="G869" s="2"/>
      <c r="H869" s="2"/>
      <c r="I869" s="13"/>
      <c r="J869" s="13"/>
      <c r="K869" s="13"/>
      <c r="L869" s="14"/>
      <c r="M869" s="4"/>
      <c r="N869" s="2"/>
      <c r="O869" s="4"/>
      <c r="P869" s="2"/>
      <c r="Q869" s="2"/>
      <c r="R869" s="4"/>
      <c r="S869" s="2"/>
      <c r="T869" s="2"/>
      <c r="U869" s="1"/>
      <c r="V869" s="2"/>
      <c r="W869" s="2"/>
      <c r="X869" s="2"/>
      <c r="Y869" s="2"/>
      <c r="Z869" s="2"/>
    </row>
    <row r="870" spans="1:26" ht="15.75" customHeight="1" x14ac:dyDescent="0.2">
      <c r="A870" s="12"/>
      <c r="B870" s="10"/>
      <c r="C870" s="11"/>
      <c r="D870" s="13"/>
      <c r="E870" s="13"/>
      <c r="F870" s="13"/>
      <c r="G870" s="2"/>
      <c r="H870" s="2"/>
      <c r="I870" s="13"/>
      <c r="J870" s="13"/>
      <c r="K870" s="13"/>
      <c r="L870" s="14"/>
      <c r="M870" s="4"/>
      <c r="N870" s="2"/>
      <c r="O870" s="4"/>
      <c r="P870" s="2"/>
      <c r="Q870" s="2"/>
      <c r="R870" s="4"/>
      <c r="S870" s="2"/>
      <c r="T870" s="2"/>
      <c r="U870" s="1"/>
      <c r="V870" s="2"/>
      <c r="W870" s="2"/>
      <c r="X870" s="2"/>
      <c r="Y870" s="2"/>
      <c r="Z870" s="2"/>
    </row>
    <row r="871" spans="1:26" ht="15.75" customHeight="1" x14ac:dyDescent="0.2">
      <c r="A871" s="12"/>
      <c r="B871" s="10"/>
      <c r="C871" s="11"/>
      <c r="D871" s="13"/>
      <c r="E871" s="13"/>
      <c r="F871" s="13"/>
      <c r="G871" s="2"/>
      <c r="H871" s="2"/>
      <c r="I871" s="13"/>
      <c r="J871" s="13"/>
      <c r="K871" s="13"/>
      <c r="L871" s="14"/>
      <c r="M871" s="4"/>
      <c r="N871" s="2"/>
      <c r="O871" s="4"/>
      <c r="P871" s="2"/>
      <c r="Q871" s="2"/>
      <c r="R871" s="4"/>
      <c r="S871" s="2"/>
      <c r="T871" s="2"/>
      <c r="U871" s="1"/>
      <c r="V871" s="2"/>
      <c r="W871" s="2"/>
      <c r="X871" s="2"/>
      <c r="Y871" s="2"/>
      <c r="Z871" s="2"/>
    </row>
    <row r="872" spans="1:26" ht="15.75" customHeight="1" x14ac:dyDescent="0.2">
      <c r="A872" s="12"/>
      <c r="B872" s="10"/>
      <c r="C872" s="11"/>
      <c r="D872" s="13"/>
      <c r="E872" s="13"/>
      <c r="F872" s="13"/>
      <c r="G872" s="2"/>
      <c r="H872" s="2"/>
      <c r="I872" s="13"/>
      <c r="J872" s="13"/>
      <c r="K872" s="13"/>
      <c r="L872" s="14"/>
      <c r="M872" s="4"/>
      <c r="N872" s="2"/>
      <c r="O872" s="4"/>
      <c r="P872" s="2"/>
      <c r="Q872" s="2"/>
      <c r="R872" s="4"/>
      <c r="S872" s="2"/>
      <c r="T872" s="2"/>
      <c r="U872" s="1"/>
      <c r="V872" s="2"/>
      <c r="W872" s="2"/>
      <c r="X872" s="2"/>
      <c r="Y872" s="2"/>
      <c r="Z872" s="2"/>
    </row>
    <row r="873" spans="1:26" ht="15.75" customHeight="1" x14ac:dyDescent="0.2">
      <c r="A873" s="12"/>
      <c r="B873" s="10"/>
      <c r="C873" s="11"/>
      <c r="D873" s="13"/>
      <c r="E873" s="13"/>
      <c r="F873" s="13"/>
      <c r="G873" s="2"/>
      <c r="H873" s="2"/>
      <c r="I873" s="13"/>
      <c r="J873" s="13"/>
      <c r="K873" s="13"/>
      <c r="L873" s="14"/>
      <c r="M873" s="4"/>
      <c r="N873" s="2"/>
      <c r="O873" s="4"/>
      <c r="P873" s="2"/>
      <c r="Q873" s="2"/>
      <c r="R873" s="4"/>
      <c r="S873" s="2"/>
      <c r="T873" s="2"/>
      <c r="U873" s="1"/>
      <c r="V873" s="2"/>
      <c r="W873" s="2"/>
      <c r="X873" s="2"/>
      <c r="Y873" s="2"/>
      <c r="Z873" s="2"/>
    </row>
    <row r="874" spans="1:26" ht="15.75" customHeight="1" x14ac:dyDescent="0.2">
      <c r="A874" s="12"/>
      <c r="B874" s="10"/>
      <c r="C874" s="11"/>
      <c r="D874" s="13"/>
      <c r="E874" s="13"/>
      <c r="F874" s="13"/>
      <c r="G874" s="2"/>
      <c r="H874" s="2"/>
      <c r="I874" s="13"/>
      <c r="J874" s="13"/>
      <c r="K874" s="13"/>
      <c r="L874" s="14"/>
      <c r="M874" s="4"/>
      <c r="N874" s="2"/>
      <c r="O874" s="4"/>
      <c r="P874" s="2"/>
      <c r="Q874" s="2"/>
      <c r="R874" s="4"/>
      <c r="S874" s="2"/>
      <c r="T874" s="2"/>
      <c r="U874" s="1"/>
      <c r="V874" s="2"/>
      <c r="W874" s="2"/>
      <c r="X874" s="2"/>
      <c r="Y874" s="2"/>
      <c r="Z874" s="2"/>
    </row>
    <row r="875" spans="1:26" ht="15.75" customHeight="1" x14ac:dyDescent="0.2">
      <c r="A875" s="12"/>
      <c r="B875" s="10"/>
      <c r="C875" s="11"/>
      <c r="D875" s="13"/>
      <c r="E875" s="13"/>
      <c r="F875" s="13"/>
      <c r="G875" s="2"/>
      <c r="H875" s="2"/>
      <c r="I875" s="13"/>
      <c r="J875" s="13"/>
      <c r="K875" s="13"/>
      <c r="L875" s="14"/>
      <c r="M875" s="4"/>
      <c r="N875" s="2"/>
      <c r="O875" s="4"/>
      <c r="P875" s="2"/>
      <c r="Q875" s="2"/>
      <c r="R875" s="4"/>
      <c r="S875" s="2"/>
      <c r="T875" s="2"/>
      <c r="U875" s="1"/>
      <c r="V875" s="2"/>
      <c r="W875" s="2"/>
      <c r="X875" s="2"/>
      <c r="Y875" s="2"/>
      <c r="Z875" s="2"/>
    </row>
    <row r="876" spans="1:26" ht="15.75" customHeight="1" x14ac:dyDescent="0.2">
      <c r="A876" s="12"/>
      <c r="B876" s="10"/>
      <c r="C876" s="11"/>
      <c r="D876" s="13"/>
      <c r="E876" s="13"/>
      <c r="F876" s="13"/>
      <c r="G876" s="2"/>
      <c r="H876" s="2"/>
      <c r="I876" s="13"/>
      <c r="J876" s="13"/>
      <c r="K876" s="13"/>
      <c r="L876" s="14"/>
      <c r="M876" s="4"/>
      <c r="N876" s="2"/>
      <c r="O876" s="4"/>
      <c r="P876" s="2"/>
      <c r="Q876" s="2"/>
      <c r="R876" s="4"/>
      <c r="S876" s="2"/>
      <c r="T876" s="2"/>
      <c r="U876" s="1"/>
      <c r="V876" s="2"/>
      <c r="W876" s="2"/>
      <c r="X876" s="2"/>
      <c r="Y876" s="2"/>
      <c r="Z876" s="2"/>
    </row>
    <row r="877" spans="1:26" ht="15.75" customHeight="1" x14ac:dyDescent="0.2">
      <c r="A877" s="12"/>
      <c r="B877" s="10"/>
      <c r="C877" s="11"/>
      <c r="D877" s="13"/>
      <c r="E877" s="13"/>
      <c r="F877" s="13"/>
      <c r="G877" s="2"/>
      <c r="H877" s="2"/>
      <c r="I877" s="13"/>
      <c r="J877" s="13"/>
      <c r="K877" s="13"/>
      <c r="L877" s="14"/>
      <c r="M877" s="4"/>
      <c r="N877" s="2"/>
      <c r="O877" s="4"/>
      <c r="P877" s="2"/>
      <c r="Q877" s="2"/>
      <c r="R877" s="4"/>
      <c r="S877" s="2"/>
      <c r="T877" s="2"/>
      <c r="U877" s="1"/>
      <c r="V877" s="2"/>
      <c r="W877" s="2"/>
      <c r="X877" s="2"/>
      <c r="Y877" s="2"/>
      <c r="Z877" s="2"/>
    </row>
    <row r="878" spans="1:26" ht="15.75" customHeight="1" x14ac:dyDescent="0.2">
      <c r="A878" s="12"/>
      <c r="B878" s="10"/>
      <c r="C878" s="11"/>
      <c r="D878" s="13"/>
      <c r="E878" s="13"/>
      <c r="F878" s="13"/>
      <c r="G878" s="2"/>
      <c r="H878" s="2"/>
      <c r="I878" s="13"/>
      <c r="J878" s="13"/>
      <c r="K878" s="13"/>
      <c r="L878" s="14"/>
      <c r="M878" s="4"/>
      <c r="N878" s="2"/>
      <c r="O878" s="4"/>
      <c r="P878" s="2"/>
      <c r="Q878" s="2"/>
      <c r="R878" s="4"/>
      <c r="S878" s="2"/>
      <c r="T878" s="2"/>
      <c r="U878" s="1"/>
      <c r="V878" s="2"/>
      <c r="W878" s="2"/>
      <c r="X878" s="2"/>
      <c r="Y878" s="2"/>
      <c r="Z878" s="2"/>
    </row>
    <row r="879" spans="1:26" ht="15.75" customHeight="1" x14ac:dyDescent="0.2">
      <c r="A879" s="12"/>
      <c r="B879" s="10"/>
      <c r="C879" s="11"/>
      <c r="D879" s="13"/>
      <c r="E879" s="13"/>
      <c r="F879" s="13"/>
      <c r="G879" s="2"/>
      <c r="H879" s="2"/>
      <c r="I879" s="13"/>
      <c r="J879" s="13"/>
      <c r="K879" s="13"/>
      <c r="L879" s="14"/>
      <c r="M879" s="4"/>
      <c r="N879" s="2"/>
      <c r="O879" s="4"/>
      <c r="P879" s="2"/>
      <c r="Q879" s="2"/>
      <c r="R879" s="4"/>
      <c r="S879" s="2"/>
      <c r="T879" s="2"/>
      <c r="U879" s="1"/>
      <c r="V879" s="2"/>
      <c r="W879" s="2"/>
      <c r="X879" s="2"/>
      <c r="Y879" s="2"/>
      <c r="Z879" s="2"/>
    </row>
    <row r="880" spans="1:26" ht="15.75" customHeight="1" x14ac:dyDescent="0.2">
      <c r="A880" s="12"/>
      <c r="B880" s="10"/>
      <c r="C880" s="11"/>
      <c r="D880" s="13"/>
      <c r="E880" s="13"/>
      <c r="F880" s="13"/>
      <c r="G880" s="2"/>
      <c r="H880" s="2"/>
      <c r="I880" s="13"/>
      <c r="J880" s="13"/>
      <c r="K880" s="13"/>
      <c r="L880" s="14"/>
      <c r="M880" s="4"/>
      <c r="N880" s="2"/>
      <c r="O880" s="4"/>
      <c r="P880" s="2"/>
      <c r="Q880" s="2"/>
      <c r="R880" s="4"/>
      <c r="S880" s="2"/>
      <c r="T880" s="2"/>
      <c r="U880" s="1"/>
      <c r="V880" s="2"/>
      <c r="W880" s="2"/>
      <c r="X880" s="2"/>
      <c r="Y880" s="2"/>
      <c r="Z880" s="2"/>
    </row>
    <row r="881" spans="1:26" ht="15.75" customHeight="1" x14ac:dyDescent="0.2">
      <c r="A881" s="12"/>
      <c r="B881" s="10"/>
      <c r="C881" s="11"/>
      <c r="D881" s="13"/>
      <c r="E881" s="13"/>
      <c r="F881" s="13"/>
      <c r="G881" s="2"/>
      <c r="H881" s="2"/>
      <c r="I881" s="13"/>
      <c r="J881" s="13"/>
      <c r="K881" s="13"/>
      <c r="L881" s="14"/>
      <c r="M881" s="4"/>
      <c r="N881" s="2"/>
      <c r="O881" s="4"/>
      <c r="P881" s="2"/>
      <c r="Q881" s="2"/>
      <c r="R881" s="4"/>
      <c r="S881" s="2"/>
      <c r="T881" s="2"/>
      <c r="U881" s="1"/>
      <c r="V881" s="2"/>
      <c r="W881" s="2"/>
      <c r="X881" s="2"/>
      <c r="Y881" s="2"/>
      <c r="Z881" s="2"/>
    </row>
    <row r="882" spans="1:26" ht="15.75" customHeight="1" x14ac:dyDescent="0.2">
      <c r="A882" s="12"/>
      <c r="B882" s="10"/>
      <c r="C882" s="11"/>
      <c r="D882" s="13"/>
      <c r="E882" s="13"/>
      <c r="F882" s="13"/>
      <c r="G882" s="2"/>
      <c r="H882" s="2"/>
      <c r="I882" s="13"/>
      <c r="J882" s="13"/>
      <c r="K882" s="13"/>
      <c r="L882" s="14"/>
      <c r="M882" s="4"/>
      <c r="N882" s="2"/>
      <c r="O882" s="4"/>
      <c r="P882" s="2"/>
      <c r="Q882" s="2"/>
      <c r="R882" s="4"/>
      <c r="S882" s="2"/>
      <c r="T882" s="2"/>
      <c r="U882" s="1"/>
      <c r="V882" s="2"/>
      <c r="W882" s="2"/>
      <c r="X882" s="2"/>
      <c r="Y882" s="2"/>
      <c r="Z882" s="2"/>
    </row>
    <row r="883" spans="1:26" ht="15.75" customHeight="1" x14ac:dyDescent="0.2">
      <c r="A883" s="12"/>
      <c r="B883" s="10"/>
      <c r="C883" s="11"/>
      <c r="D883" s="13"/>
      <c r="E883" s="13"/>
      <c r="F883" s="13"/>
      <c r="G883" s="2"/>
      <c r="H883" s="2"/>
      <c r="I883" s="13"/>
      <c r="J883" s="13"/>
      <c r="K883" s="13"/>
      <c r="L883" s="14"/>
      <c r="M883" s="4"/>
      <c r="N883" s="2"/>
      <c r="O883" s="4"/>
      <c r="P883" s="2"/>
      <c r="Q883" s="2"/>
      <c r="R883" s="4"/>
      <c r="S883" s="2"/>
      <c r="T883" s="2"/>
      <c r="U883" s="1"/>
      <c r="V883" s="2"/>
      <c r="W883" s="2"/>
      <c r="X883" s="2"/>
      <c r="Y883" s="2"/>
      <c r="Z883" s="2"/>
    </row>
    <row r="884" spans="1:26" ht="15.75" customHeight="1" x14ac:dyDescent="0.2">
      <c r="A884" s="12"/>
      <c r="B884" s="10"/>
      <c r="C884" s="11"/>
      <c r="D884" s="13"/>
      <c r="E884" s="13"/>
      <c r="F884" s="13"/>
      <c r="G884" s="2"/>
      <c r="H884" s="2"/>
      <c r="I884" s="13"/>
      <c r="J884" s="13"/>
      <c r="K884" s="13"/>
      <c r="L884" s="14"/>
      <c r="M884" s="4"/>
      <c r="N884" s="2"/>
      <c r="O884" s="4"/>
      <c r="P884" s="2"/>
      <c r="Q884" s="2"/>
      <c r="R884" s="4"/>
      <c r="S884" s="2"/>
      <c r="T884" s="2"/>
      <c r="U884" s="1"/>
      <c r="V884" s="2"/>
      <c r="W884" s="2"/>
      <c r="X884" s="2"/>
      <c r="Y884" s="2"/>
      <c r="Z884" s="2"/>
    </row>
    <row r="885" spans="1:26" ht="15.75" customHeight="1" x14ac:dyDescent="0.2">
      <c r="A885" s="12"/>
      <c r="B885" s="10"/>
      <c r="C885" s="11"/>
      <c r="D885" s="13"/>
      <c r="E885" s="13"/>
      <c r="F885" s="13"/>
      <c r="G885" s="2"/>
      <c r="H885" s="2"/>
      <c r="I885" s="13"/>
      <c r="J885" s="13"/>
      <c r="K885" s="13"/>
      <c r="L885" s="14"/>
      <c r="M885" s="4"/>
      <c r="N885" s="2"/>
      <c r="O885" s="4"/>
      <c r="P885" s="2"/>
      <c r="Q885" s="2"/>
      <c r="R885" s="4"/>
      <c r="S885" s="2"/>
      <c r="T885" s="2"/>
      <c r="U885" s="1"/>
      <c r="V885" s="2"/>
      <c r="W885" s="2"/>
      <c r="X885" s="2"/>
      <c r="Y885" s="2"/>
      <c r="Z885" s="2"/>
    </row>
    <row r="886" spans="1:26" ht="15.75" customHeight="1" x14ac:dyDescent="0.2">
      <c r="A886" s="12"/>
      <c r="B886" s="10"/>
      <c r="C886" s="11"/>
      <c r="D886" s="13"/>
      <c r="E886" s="13"/>
      <c r="F886" s="13"/>
      <c r="G886" s="2"/>
      <c r="H886" s="2"/>
      <c r="I886" s="13"/>
      <c r="J886" s="13"/>
      <c r="K886" s="13"/>
      <c r="L886" s="14"/>
      <c r="M886" s="4"/>
      <c r="N886" s="2"/>
      <c r="O886" s="4"/>
      <c r="P886" s="2"/>
      <c r="Q886" s="2"/>
      <c r="R886" s="4"/>
      <c r="S886" s="2"/>
      <c r="T886" s="2"/>
      <c r="U886" s="1"/>
      <c r="V886" s="2"/>
      <c r="W886" s="2"/>
      <c r="X886" s="2"/>
      <c r="Y886" s="2"/>
      <c r="Z886" s="2"/>
    </row>
    <row r="887" spans="1:26" ht="15.75" customHeight="1" x14ac:dyDescent="0.2">
      <c r="A887" s="12"/>
      <c r="B887" s="10"/>
      <c r="C887" s="11"/>
      <c r="D887" s="13"/>
      <c r="E887" s="13"/>
      <c r="F887" s="13"/>
      <c r="G887" s="2"/>
      <c r="H887" s="2"/>
      <c r="I887" s="13"/>
      <c r="J887" s="13"/>
      <c r="K887" s="13"/>
      <c r="L887" s="14"/>
      <c r="M887" s="4"/>
      <c r="N887" s="2"/>
      <c r="O887" s="4"/>
      <c r="P887" s="2"/>
      <c r="Q887" s="2"/>
      <c r="R887" s="4"/>
      <c r="S887" s="2"/>
      <c r="T887" s="2"/>
      <c r="U887" s="1"/>
      <c r="V887" s="2"/>
      <c r="W887" s="2"/>
      <c r="X887" s="2"/>
      <c r="Y887" s="2"/>
      <c r="Z887" s="2"/>
    </row>
    <row r="888" spans="1:26" ht="15.75" customHeight="1" x14ac:dyDescent="0.2">
      <c r="A888" s="12"/>
      <c r="B888" s="10"/>
      <c r="C888" s="11"/>
      <c r="D888" s="13"/>
      <c r="E888" s="13"/>
      <c r="F888" s="13"/>
      <c r="G888" s="2"/>
      <c r="H888" s="2"/>
      <c r="I888" s="13"/>
      <c r="J888" s="13"/>
      <c r="K888" s="13"/>
      <c r="L888" s="14"/>
      <c r="M888" s="4"/>
      <c r="N888" s="2"/>
      <c r="O888" s="4"/>
      <c r="P888" s="2"/>
      <c r="Q888" s="2"/>
      <c r="R888" s="4"/>
      <c r="S888" s="2"/>
      <c r="T888" s="2"/>
      <c r="U888" s="1"/>
      <c r="V888" s="2"/>
      <c r="W888" s="2"/>
      <c r="X888" s="2"/>
      <c r="Y888" s="2"/>
      <c r="Z888" s="2"/>
    </row>
    <row r="889" spans="1:26" ht="15.75" customHeight="1" x14ac:dyDescent="0.2">
      <c r="A889" s="12"/>
      <c r="B889" s="10"/>
      <c r="C889" s="11"/>
      <c r="D889" s="13"/>
      <c r="E889" s="13"/>
      <c r="F889" s="13"/>
      <c r="G889" s="2"/>
      <c r="H889" s="2"/>
      <c r="I889" s="13"/>
      <c r="J889" s="13"/>
      <c r="K889" s="13"/>
      <c r="L889" s="14"/>
      <c r="M889" s="4"/>
      <c r="N889" s="2"/>
      <c r="O889" s="4"/>
      <c r="P889" s="2"/>
      <c r="Q889" s="2"/>
      <c r="R889" s="4"/>
      <c r="S889" s="2"/>
      <c r="T889" s="2"/>
      <c r="U889" s="1"/>
      <c r="V889" s="2"/>
      <c r="W889" s="2"/>
      <c r="X889" s="2"/>
      <c r="Y889" s="2"/>
      <c r="Z889" s="2"/>
    </row>
    <row r="890" spans="1:26" ht="15.75" customHeight="1" x14ac:dyDescent="0.2">
      <c r="A890" s="12"/>
      <c r="B890" s="10"/>
      <c r="C890" s="11"/>
      <c r="D890" s="13"/>
      <c r="E890" s="13"/>
      <c r="F890" s="13"/>
      <c r="G890" s="2"/>
      <c r="H890" s="2"/>
      <c r="I890" s="13"/>
      <c r="J890" s="13"/>
      <c r="K890" s="13"/>
      <c r="L890" s="14"/>
      <c r="M890" s="4"/>
      <c r="N890" s="2"/>
      <c r="O890" s="4"/>
      <c r="P890" s="2"/>
      <c r="Q890" s="2"/>
      <c r="R890" s="4"/>
      <c r="S890" s="2"/>
      <c r="T890" s="2"/>
      <c r="U890" s="1"/>
      <c r="V890" s="2"/>
      <c r="W890" s="2"/>
      <c r="X890" s="2"/>
      <c r="Y890" s="2"/>
      <c r="Z890" s="2"/>
    </row>
    <row r="891" spans="1:26" ht="15.75" customHeight="1" x14ac:dyDescent="0.2">
      <c r="A891" s="12"/>
      <c r="B891" s="10"/>
      <c r="C891" s="11"/>
      <c r="D891" s="13"/>
      <c r="E891" s="13"/>
      <c r="F891" s="13"/>
      <c r="G891" s="2"/>
      <c r="H891" s="2"/>
      <c r="I891" s="13"/>
      <c r="J891" s="13"/>
      <c r="K891" s="13"/>
      <c r="L891" s="14"/>
      <c r="M891" s="4"/>
      <c r="N891" s="2"/>
      <c r="O891" s="4"/>
      <c r="P891" s="2"/>
      <c r="Q891" s="2"/>
      <c r="R891" s="4"/>
      <c r="S891" s="2"/>
      <c r="T891" s="2"/>
      <c r="U891" s="1"/>
      <c r="V891" s="2"/>
      <c r="W891" s="2"/>
      <c r="X891" s="2"/>
      <c r="Y891" s="2"/>
      <c r="Z891" s="2"/>
    </row>
    <row r="892" spans="1:26" ht="15.75" customHeight="1" x14ac:dyDescent="0.2">
      <c r="A892" s="12"/>
      <c r="B892" s="10"/>
      <c r="C892" s="11"/>
      <c r="D892" s="13"/>
      <c r="E892" s="13"/>
      <c r="F892" s="13"/>
      <c r="G892" s="2"/>
      <c r="H892" s="2"/>
      <c r="I892" s="13"/>
      <c r="J892" s="13"/>
      <c r="K892" s="13"/>
      <c r="L892" s="14"/>
      <c r="M892" s="4"/>
      <c r="N892" s="2"/>
      <c r="O892" s="4"/>
      <c r="P892" s="2"/>
      <c r="Q892" s="2"/>
      <c r="R892" s="4"/>
      <c r="S892" s="2"/>
      <c r="T892" s="2"/>
      <c r="U892" s="1"/>
      <c r="V892" s="2"/>
      <c r="W892" s="2"/>
      <c r="X892" s="2"/>
      <c r="Y892" s="2"/>
      <c r="Z892" s="2"/>
    </row>
    <row r="893" spans="1:26" ht="15.75" customHeight="1" x14ac:dyDescent="0.2">
      <c r="A893" s="12"/>
      <c r="B893" s="10"/>
      <c r="C893" s="11"/>
      <c r="D893" s="13"/>
      <c r="E893" s="13"/>
      <c r="F893" s="13"/>
      <c r="G893" s="2"/>
      <c r="H893" s="2"/>
      <c r="I893" s="13"/>
      <c r="J893" s="13"/>
      <c r="K893" s="13"/>
      <c r="L893" s="14"/>
      <c r="M893" s="4"/>
      <c r="N893" s="2"/>
      <c r="O893" s="4"/>
      <c r="P893" s="2"/>
      <c r="Q893" s="2"/>
      <c r="R893" s="4"/>
      <c r="S893" s="2"/>
      <c r="T893" s="2"/>
      <c r="U893" s="1"/>
      <c r="V893" s="2"/>
      <c r="W893" s="2"/>
      <c r="X893" s="2"/>
      <c r="Y893" s="2"/>
      <c r="Z893" s="2"/>
    </row>
    <row r="894" spans="1:26" ht="15.75" customHeight="1" x14ac:dyDescent="0.2">
      <c r="A894" s="12"/>
      <c r="B894" s="10"/>
      <c r="C894" s="11"/>
      <c r="D894" s="13"/>
      <c r="E894" s="13"/>
      <c r="F894" s="13"/>
      <c r="G894" s="2"/>
      <c r="H894" s="2"/>
      <c r="I894" s="13"/>
      <c r="J894" s="13"/>
      <c r="K894" s="13"/>
      <c r="L894" s="14"/>
      <c r="M894" s="4"/>
      <c r="N894" s="2"/>
      <c r="O894" s="4"/>
      <c r="P894" s="2"/>
      <c r="Q894" s="2"/>
      <c r="R894" s="4"/>
      <c r="S894" s="2"/>
      <c r="T894" s="2"/>
      <c r="U894" s="1"/>
      <c r="V894" s="2"/>
      <c r="W894" s="2"/>
      <c r="X894" s="2"/>
      <c r="Y894" s="2"/>
      <c r="Z894" s="2"/>
    </row>
    <row r="895" spans="1:26" ht="15.75" customHeight="1" x14ac:dyDescent="0.2">
      <c r="A895" s="12"/>
      <c r="B895" s="10"/>
      <c r="C895" s="11"/>
      <c r="D895" s="13"/>
      <c r="E895" s="13"/>
      <c r="F895" s="13"/>
      <c r="G895" s="2"/>
      <c r="H895" s="2"/>
      <c r="I895" s="13"/>
      <c r="J895" s="13"/>
      <c r="K895" s="13"/>
      <c r="L895" s="14"/>
      <c r="M895" s="4"/>
      <c r="N895" s="2"/>
      <c r="O895" s="4"/>
      <c r="P895" s="2"/>
      <c r="Q895" s="2"/>
      <c r="R895" s="4"/>
      <c r="S895" s="2"/>
      <c r="T895" s="2"/>
      <c r="U895" s="1"/>
      <c r="V895" s="2"/>
      <c r="W895" s="2"/>
      <c r="X895" s="2"/>
      <c r="Y895" s="2"/>
      <c r="Z895" s="2"/>
    </row>
    <row r="896" spans="1:26" ht="15.75" customHeight="1" x14ac:dyDescent="0.2">
      <c r="A896" s="12"/>
      <c r="B896" s="10"/>
      <c r="C896" s="11"/>
      <c r="D896" s="13"/>
      <c r="E896" s="13"/>
      <c r="F896" s="13"/>
      <c r="G896" s="2"/>
      <c r="H896" s="2"/>
      <c r="I896" s="13"/>
      <c r="J896" s="13"/>
      <c r="K896" s="13"/>
      <c r="L896" s="14"/>
      <c r="M896" s="4"/>
      <c r="N896" s="2"/>
      <c r="O896" s="4"/>
      <c r="P896" s="2"/>
      <c r="Q896" s="2"/>
      <c r="R896" s="4"/>
      <c r="S896" s="2"/>
      <c r="T896" s="2"/>
      <c r="U896" s="1"/>
      <c r="V896" s="2"/>
      <c r="W896" s="2"/>
      <c r="X896" s="2"/>
      <c r="Y896" s="2"/>
      <c r="Z896" s="2"/>
    </row>
    <row r="897" spans="1:26" ht="15.75" customHeight="1" x14ac:dyDescent="0.2">
      <c r="A897" s="12"/>
      <c r="B897" s="10"/>
      <c r="C897" s="11"/>
      <c r="D897" s="13"/>
      <c r="E897" s="13"/>
      <c r="F897" s="13"/>
      <c r="G897" s="2"/>
      <c r="H897" s="2"/>
      <c r="I897" s="13"/>
      <c r="J897" s="13"/>
      <c r="K897" s="13"/>
      <c r="L897" s="14"/>
      <c r="M897" s="4"/>
      <c r="N897" s="2"/>
      <c r="O897" s="4"/>
      <c r="P897" s="2"/>
      <c r="Q897" s="2"/>
      <c r="R897" s="4"/>
      <c r="S897" s="2"/>
      <c r="T897" s="2"/>
      <c r="U897" s="1"/>
      <c r="V897" s="2"/>
      <c r="W897" s="2"/>
      <c r="X897" s="2"/>
      <c r="Y897" s="2"/>
      <c r="Z897" s="2"/>
    </row>
    <row r="898" spans="1:26" ht="15.75" customHeight="1" x14ac:dyDescent="0.2">
      <c r="A898" s="12"/>
      <c r="B898" s="10"/>
      <c r="C898" s="11"/>
      <c r="D898" s="13"/>
      <c r="E898" s="13"/>
      <c r="F898" s="13"/>
      <c r="G898" s="2"/>
      <c r="H898" s="2"/>
      <c r="I898" s="13"/>
      <c r="J898" s="13"/>
      <c r="K898" s="13"/>
      <c r="L898" s="14"/>
      <c r="M898" s="4"/>
      <c r="N898" s="2"/>
      <c r="O898" s="4"/>
      <c r="P898" s="2"/>
      <c r="Q898" s="2"/>
      <c r="R898" s="4"/>
      <c r="S898" s="2"/>
      <c r="T898" s="2"/>
      <c r="U898" s="1"/>
      <c r="V898" s="2"/>
      <c r="W898" s="2"/>
      <c r="X898" s="2"/>
      <c r="Y898" s="2"/>
      <c r="Z898" s="2"/>
    </row>
    <row r="899" spans="1:26" ht="15.75" customHeight="1" x14ac:dyDescent="0.2">
      <c r="A899" s="12"/>
      <c r="B899" s="10"/>
      <c r="C899" s="11"/>
      <c r="D899" s="13"/>
      <c r="E899" s="13"/>
      <c r="F899" s="13"/>
      <c r="G899" s="2"/>
      <c r="H899" s="2"/>
      <c r="I899" s="13"/>
      <c r="J899" s="13"/>
      <c r="K899" s="13"/>
      <c r="L899" s="14"/>
      <c r="M899" s="4"/>
      <c r="N899" s="2"/>
      <c r="O899" s="4"/>
      <c r="P899" s="2"/>
      <c r="Q899" s="2"/>
      <c r="R899" s="4"/>
      <c r="S899" s="2"/>
      <c r="T899" s="2"/>
      <c r="U899" s="1"/>
      <c r="V899" s="2"/>
      <c r="W899" s="2"/>
      <c r="X899" s="2"/>
      <c r="Y899" s="2"/>
      <c r="Z899" s="2"/>
    </row>
    <row r="900" spans="1:26" ht="15.75" customHeight="1" x14ac:dyDescent="0.2">
      <c r="A900" s="12"/>
      <c r="B900" s="10"/>
      <c r="C900" s="11"/>
      <c r="D900" s="13"/>
      <c r="E900" s="13"/>
      <c r="F900" s="13"/>
      <c r="G900" s="2"/>
      <c r="H900" s="2"/>
      <c r="I900" s="13"/>
      <c r="J900" s="13"/>
      <c r="K900" s="13"/>
      <c r="L900" s="14"/>
      <c r="M900" s="4"/>
      <c r="N900" s="2"/>
      <c r="O900" s="4"/>
      <c r="P900" s="2"/>
      <c r="Q900" s="2"/>
      <c r="R900" s="4"/>
      <c r="S900" s="2"/>
      <c r="T900" s="2"/>
      <c r="U900" s="1"/>
      <c r="V900" s="2"/>
      <c r="W900" s="2"/>
      <c r="X900" s="2"/>
      <c r="Y900" s="2"/>
      <c r="Z900" s="2"/>
    </row>
    <row r="901" spans="1:26" ht="15.75" customHeight="1" x14ac:dyDescent="0.2">
      <c r="A901" s="12"/>
      <c r="B901" s="10"/>
      <c r="C901" s="11"/>
      <c r="D901" s="13"/>
      <c r="E901" s="13"/>
      <c r="F901" s="13"/>
      <c r="G901" s="2"/>
      <c r="H901" s="2"/>
      <c r="I901" s="13"/>
      <c r="J901" s="13"/>
      <c r="K901" s="13"/>
      <c r="L901" s="14"/>
      <c r="M901" s="4"/>
      <c r="N901" s="2"/>
      <c r="O901" s="4"/>
      <c r="P901" s="2"/>
      <c r="Q901" s="2"/>
      <c r="R901" s="4"/>
      <c r="S901" s="2"/>
      <c r="T901" s="2"/>
      <c r="U901" s="1"/>
      <c r="V901" s="2"/>
      <c r="W901" s="2"/>
      <c r="X901" s="2"/>
      <c r="Y901" s="2"/>
      <c r="Z901" s="2"/>
    </row>
    <row r="902" spans="1:26" ht="15.75" customHeight="1" x14ac:dyDescent="0.2">
      <c r="A902" s="12"/>
      <c r="B902" s="10"/>
      <c r="C902" s="11"/>
      <c r="D902" s="13"/>
      <c r="E902" s="13"/>
      <c r="F902" s="13"/>
      <c r="G902" s="2"/>
      <c r="H902" s="2"/>
      <c r="I902" s="13"/>
      <c r="J902" s="13"/>
      <c r="K902" s="13"/>
      <c r="L902" s="14"/>
      <c r="M902" s="4"/>
      <c r="N902" s="2"/>
      <c r="O902" s="4"/>
      <c r="P902" s="2"/>
      <c r="Q902" s="2"/>
      <c r="R902" s="4"/>
      <c r="S902" s="2"/>
      <c r="T902" s="2"/>
      <c r="U902" s="1"/>
      <c r="V902" s="2"/>
      <c r="W902" s="2"/>
      <c r="X902" s="2"/>
      <c r="Y902" s="2"/>
      <c r="Z902" s="2"/>
    </row>
    <row r="903" spans="1:26" ht="15.75" customHeight="1" x14ac:dyDescent="0.2">
      <c r="A903" s="12"/>
      <c r="B903" s="10"/>
      <c r="C903" s="11"/>
      <c r="D903" s="13"/>
      <c r="E903" s="13"/>
      <c r="F903" s="13"/>
      <c r="G903" s="2"/>
      <c r="H903" s="2"/>
      <c r="I903" s="13"/>
      <c r="J903" s="13"/>
      <c r="K903" s="13"/>
      <c r="L903" s="14"/>
      <c r="M903" s="4"/>
      <c r="N903" s="2"/>
      <c r="O903" s="4"/>
      <c r="P903" s="2"/>
      <c r="Q903" s="2"/>
      <c r="R903" s="4"/>
      <c r="S903" s="2"/>
      <c r="T903" s="2"/>
      <c r="U903" s="1"/>
      <c r="V903" s="2"/>
      <c r="W903" s="2"/>
      <c r="X903" s="2"/>
      <c r="Y903" s="2"/>
      <c r="Z903" s="2"/>
    </row>
    <row r="904" spans="1:26" ht="15.75" customHeight="1" x14ac:dyDescent="0.2">
      <c r="A904" s="12"/>
      <c r="B904" s="10"/>
      <c r="C904" s="11"/>
      <c r="D904" s="13"/>
      <c r="E904" s="13"/>
      <c r="F904" s="13"/>
      <c r="G904" s="2"/>
      <c r="H904" s="2"/>
      <c r="I904" s="13"/>
      <c r="J904" s="13"/>
      <c r="K904" s="13"/>
      <c r="L904" s="14"/>
      <c r="M904" s="4"/>
      <c r="N904" s="2"/>
      <c r="O904" s="4"/>
      <c r="P904" s="2"/>
      <c r="Q904" s="2"/>
      <c r="R904" s="4"/>
      <c r="S904" s="2"/>
      <c r="T904" s="2"/>
      <c r="U904" s="1"/>
      <c r="V904" s="2"/>
      <c r="W904" s="2"/>
      <c r="X904" s="2"/>
      <c r="Y904" s="2"/>
      <c r="Z904" s="2"/>
    </row>
    <row r="905" spans="1:26" ht="15.75" customHeight="1" x14ac:dyDescent="0.2">
      <c r="A905" s="12"/>
      <c r="B905" s="10"/>
      <c r="C905" s="11"/>
      <c r="D905" s="13"/>
      <c r="E905" s="13"/>
      <c r="F905" s="13"/>
      <c r="G905" s="2"/>
      <c r="H905" s="2"/>
      <c r="I905" s="13"/>
      <c r="J905" s="13"/>
      <c r="K905" s="13"/>
      <c r="L905" s="14"/>
      <c r="M905" s="4"/>
      <c r="N905" s="2"/>
      <c r="O905" s="4"/>
      <c r="P905" s="2"/>
      <c r="Q905" s="2"/>
      <c r="R905" s="4"/>
      <c r="S905" s="2"/>
      <c r="T905" s="2"/>
      <c r="U905" s="1"/>
      <c r="V905" s="2"/>
      <c r="W905" s="2"/>
      <c r="X905" s="2"/>
      <c r="Y905" s="2"/>
      <c r="Z905" s="2"/>
    </row>
    <row r="906" spans="1:26" ht="15.75" customHeight="1" x14ac:dyDescent="0.2">
      <c r="A906" s="12"/>
      <c r="B906" s="10"/>
      <c r="C906" s="11"/>
      <c r="D906" s="13"/>
      <c r="E906" s="13"/>
      <c r="F906" s="13"/>
      <c r="G906" s="2"/>
      <c r="H906" s="2"/>
      <c r="I906" s="13"/>
      <c r="J906" s="13"/>
      <c r="K906" s="13"/>
      <c r="L906" s="14"/>
      <c r="M906" s="4"/>
      <c r="N906" s="2"/>
      <c r="O906" s="4"/>
      <c r="P906" s="2"/>
      <c r="Q906" s="2"/>
      <c r="R906" s="4"/>
      <c r="S906" s="2"/>
      <c r="T906" s="2"/>
      <c r="U906" s="1"/>
      <c r="V906" s="2"/>
      <c r="W906" s="2"/>
      <c r="X906" s="2"/>
      <c r="Y906" s="2"/>
      <c r="Z906" s="2"/>
    </row>
    <row r="907" spans="1:26" ht="15.75" customHeight="1" x14ac:dyDescent="0.2">
      <c r="A907" s="12"/>
      <c r="B907" s="10"/>
      <c r="C907" s="11"/>
      <c r="D907" s="13"/>
      <c r="E907" s="13"/>
      <c r="F907" s="13"/>
      <c r="G907" s="2"/>
      <c r="H907" s="2"/>
      <c r="I907" s="13"/>
      <c r="J907" s="13"/>
      <c r="K907" s="13"/>
      <c r="L907" s="14"/>
      <c r="M907" s="4"/>
      <c r="N907" s="2"/>
      <c r="O907" s="4"/>
      <c r="P907" s="2"/>
      <c r="Q907" s="2"/>
      <c r="R907" s="4"/>
      <c r="S907" s="2"/>
      <c r="T907" s="2"/>
      <c r="U907" s="1"/>
      <c r="V907" s="2"/>
      <c r="W907" s="2"/>
      <c r="X907" s="2"/>
      <c r="Y907" s="2"/>
      <c r="Z907" s="2"/>
    </row>
    <row r="908" spans="1:26" ht="15.75" customHeight="1" x14ac:dyDescent="0.2">
      <c r="A908" s="12"/>
      <c r="B908" s="10"/>
      <c r="C908" s="11"/>
      <c r="D908" s="13"/>
      <c r="E908" s="13"/>
      <c r="F908" s="13"/>
      <c r="G908" s="2"/>
      <c r="H908" s="2"/>
      <c r="I908" s="13"/>
      <c r="J908" s="13"/>
      <c r="K908" s="13"/>
      <c r="L908" s="14"/>
      <c r="M908" s="4"/>
      <c r="N908" s="2"/>
      <c r="O908" s="4"/>
      <c r="P908" s="2"/>
      <c r="Q908" s="2"/>
      <c r="R908" s="4"/>
      <c r="S908" s="2"/>
      <c r="T908" s="2"/>
      <c r="U908" s="1"/>
      <c r="V908" s="2"/>
      <c r="W908" s="2"/>
      <c r="X908" s="2"/>
      <c r="Y908" s="2"/>
      <c r="Z908" s="2"/>
    </row>
    <row r="909" spans="1:26" ht="15.75" customHeight="1" x14ac:dyDescent="0.2">
      <c r="A909" s="12"/>
      <c r="B909" s="10"/>
      <c r="C909" s="11"/>
      <c r="D909" s="13"/>
      <c r="E909" s="13"/>
      <c r="F909" s="13"/>
      <c r="G909" s="2"/>
      <c r="H909" s="2"/>
      <c r="I909" s="13"/>
      <c r="J909" s="13"/>
      <c r="K909" s="13"/>
      <c r="L909" s="14"/>
      <c r="M909" s="4"/>
      <c r="N909" s="2"/>
      <c r="O909" s="4"/>
      <c r="P909" s="2"/>
      <c r="Q909" s="2"/>
      <c r="R909" s="4"/>
      <c r="S909" s="2"/>
      <c r="T909" s="2"/>
      <c r="U909" s="1"/>
      <c r="V909" s="2"/>
      <c r="W909" s="2"/>
      <c r="X909" s="2"/>
      <c r="Y909" s="2"/>
      <c r="Z909" s="2"/>
    </row>
    <row r="910" spans="1:26" ht="15.75" customHeight="1" x14ac:dyDescent="0.2">
      <c r="A910" s="12"/>
      <c r="B910" s="10"/>
      <c r="C910" s="11"/>
      <c r="D910" s="13"/>
      <c r="E910" s="13"/>
      <c r="F910" s="13"/>
      <c r="G910" s="2"/>
      <c r="H910" s="2"/>
      <c r="I910" s="13"/>
      <c r="J910" s="13"/>
      <c r="K910" s="13"/>
      <c r="L910" s="14"/>
      <c r="M910" s="4"/>
      <c r="N910" s="2"/>
      <c r="O910" s="4"/>
      <c r="P910" s="2"/>
      <c r="Q910" s="2"/>
      <c r="R910" s="4"/>
      <c r="S910" s="2"/>
      <c r="T910" s="2"/>
      <c r="U910" s="1"/>
      <c r="V910" s="2"/>
      <c r="W910" s="2"/>
      <c r="X910" s="2"/>
      <c r="Y910" s="2"/>
      <c r="Z910" s="2"/>
    </row>
    <row r="911" spans="1:26" ht="15.75" customHeight="1" x14ac:dyDescent="0.2">
      <c r="A911" s="12"/>
      <c r="B911" s="10"/>
      <c r="C911" s="11"/>
      <c r="D911" s="13"/>
      <c r="E911" s="13"/>
      <c r="F911" s="13"/>
      <c r="G911" s="2"/>
      <c r="H911" s="2"/>
      <c r="I911" s="13"/>
      <c r="J911" s="13"/>
      <c r="K911" s="13"/>
      <c r="L911" s="14"/>
      <c r="M911" s="4"/>
      <c r="N911" s="2"/>
      <c r="O911" s="4"/>
      <c r="P911" s="2"/>
      <c r="Q911" s="2"/>
      <c r="R911" s="4"/>
      <c r="S911" s="2"/>
      <c r="T911" s="2"/>
      <c r="U911" s="1"/>
      <c r="V911" s="2"/>
      <c r="W911" s="2"/>
      <c r="X911" s="2"/>
      <c r="Y911" s="2"/>
      <c r="Z911" s="2"/>
    </row>
    <row r="912" spans="1:26" ht="15.75" customHeight="1" x14ac:dyDescent="0.2">
      <c r="A912" s="12"/>
      <c r="B912" s="10"/>
      <c r="C912" s="11"/>
      <c r="D912" s="13"/>
      <c r="E912" s="13"/>
      <c r="F912" s="13"/>
      <c r="G912" s="2"/>
      <c r="H912" s="2"/>
      <c r="I912" s="13"/>
      <c r="J912" s="13"/>
      <c r="K912" s="13"/>
      <c r="L912" s="14"/>
      <c r="M912" s="4"/>
      <c r="N912" s="2"/>
      <c r="O912" s="4"/>
      <c r="P912" s="2"/>
      <c r="Q912" s="2"/>
      <c r="R912" s="4"/>
      <c r="S912" s="2"/>
      <c r="T912" s="2"/>
      <c r="U912" s="1"/>
      <c r="V912" s="2"/>
      <c r="W912" s="2"/>
      <c r="X912" s="2"/>
      <c r="Y912" s="2"/>
      <c r="Z912" s="2"/>
    </row>
    <row r="913" spans="1:26" ht="15.75" customHeight="1" x14ac:dyDescent="0.2">
      <c r="A913" s="12"/>
      <c r="B913" s="10"/>
      <c r="C913" s="11"/>
      <c r="D913" s="13"/>
      <c r="E913" s="13"/>
      <c r="F913" s="13"/>
      <c r="G913" s="2"/>
      <c r="H913" s="2"/>
      <c r="I913" s="13"/>
      <c r="J913" s="13"/>
      <c r="K913" s="13"/>
      <c r="L913" s="14"/>
      <c r="M913" s="4"/>
      <c r="N913" s="2"/>
      <c r="O913" s="4"/>
      <c r="P913" s="2"/>
      <c r="Q913" s="2"/>
      <c r="R913" s="4"/>
      <c r="S913" s="2"/>
      <c r="T913" s="2"/>
      <c r="U913" s="1"/>
      <c r="V913" s="2"/>
      <c r="W913" s="2"/>
      <c r="X913" s="2"/>
      <c r="Y913" s="2"/>
      <c r="Z913" s="2"/>
    </row>
    <row r="914" spans="1:26" ht="15.75" customHeight="1" x14ac:dyDescent="0.2">
      <c r="A914" s="12"/>
      <c r="B914" s="10"/>
      <c r="C914" s="11"/>
      <c r="D914" s="13"/>
      <c r="E914" s="13"/>
      <c r="F914" s="13"/>
      <c r="G914" s="2"/>
      <c r="H914" s="2"/>
      <c r="I914" s="13"/>
      <c r="J914" s="13"/>
      <c r="K914" s="13"/>
      <c r="L914" s="14"/>
      <c r="M914" s="4"/>
      <c r="N914" s="2"/>
      <c r="O914" s="4"/>
      <c r="P914" s="2"/>
      <c r="Q914" s="2"/>
      <c r="R914" s="4"/>
      <c r="S914" s="2"/>
      <c r="T914" s="2"/>
      <c r="U914" s="1"/>
      <c r="V914" s="2"/>
      <c r="W914" s="2"/>
      <c r="X914" s="2"/>
      <c r="Y914" s="2"/>
      <c r="Z914" s="2"/>
    </row>
    <row r="915" spans="1:26" ht="15.75" customHeight="1" x14ac:dyDescent="0.2">
      <c r="A915" s="12"/>
      <c r="B915" s="10"/>
      <c r="C915" s="11"/>
      <c r="D915" s="13"/>
      <c r="E915" s="13"/>
      <c r="F915" s="13"/>
      <c r="G915" s="2"/>
      <c r="H915" s="2"/>
      <c r="I915" s="13"/>
      <c r="J915" s="13"/>
      <c r="K915" s="13"/>
      <c r="L915" s="14"/>
      <c r="M915" s="4"/>
      <c r="N915" s="2"/>
      <c r="O915" s="4"/>
      <c r="P915" s="2"/>
      <c r="Q915" s="2"/>
      <c r="R915" s="4"/>
      <c r="S915" s="2"/>
      <c r="T915" s="2"/>
      <c r="U915" s="1"/>
      <c r="V915" s="2"/>
      <c r="W915" s="2"/>
      <c r="X915" s="2"/>
      <c r="Y915" s="2"/>
      <c r="Z915" s="2"/>
    </row>
    <row r="916" spans="1:26" ht="15.75" customHeight="1" x14ac:dyDescent="0.2">
      <c r="A916" s="12"/>
      <c r="B916" s="10"/>
      <c r="C916" s="11"/>
      <c r="D916" s="13"/>
      <c r="E916" s="13"/>
      <c r="F916" s="13"/>
      <c r="G916" s="2"/>
      <c r="H916" s="2"/>
      <c r="I916" s="13"/>
      <c r="J916" s="13"/>
      <c r="K916" s="13"/>
      <c r="L916" s="14"/>
      <c r="M916" s="4"/>
      <c r="N916" s="2"/>
      <c r="O916" s="4"/>
      <c r="P916" s="2"/>
      <c r="Q916" s="2"/>
      <c r="R916" s="4"/>
      <c r="S916" s="2"/>
      <c r="T916" s="2"/>
      <c r="U916" s="1"/>
      <c r="V916" s="2"/>
      <c r="W916" s="2"/>
      <c r="X916" s="2"/>
      <c r="Y916" s="2"/>
      <c r="Z916" s="2"/>
    </row>
    <row r="917" spans="1:26" ht="15.75" customHeight="1" x14ac:dyDescent="0.2">
      <c r="A917" s="12"/>
      <c r="B917" s="10"/>
      <c r="C917" s="11"/>
      <c r="D917" s="13"/>
      <c r="E917" s="13"/>
      <c r="F917" s="13"/>
      <c r="G917" s="2"/>
      <c r="H917" s="2"/>
      <c r="I917" s="13"/>
      <c r="J917" s="13"/>
      <c r="K917" s="13"/>
      <c r="L917" s="14"/>
      <c r="M917" s="4"/>
      <c r="N917" s="2"/>
      <c r="O917" s="4"/>
      <c r="P917" s="2"/>
      <c r="Q917" s="2"/>
      <c r="R917" s="4"/>
      <c r="S917" s="2"/>
      <c r="T917" s="2"/>
      <c r="U917" s="1"/>
      <c r="V917" s="2"/>
      <c r="W917" s="2"/>
      <c r="X917" s="2"/>
      <c r="Y917" s="2"/>
      <c r="Z917" s="2"/>
    </row>
    <row r="918" spans="1:26" ht="15.75" customHeight="1" x14ac:dyDescent="0.2">
      <c r="A918" s="12"/>
      <c r="B918" s="10"/>
      <c r="C918" s="11"/>
      <c r="D918" s="13"/>
      <c r="E918" s="13"/>
      <c r="F918" s="13"/>
      <c r="G918" s="2"/>
      <c r="H918" s="2"/>
      <c r="I918" s="13"/>
      <c r="J918" s="13"/>
      <c r="K918" s="13"/>
      <c r="L918" s="14"/>
      <c r="M918" s="4"/>
      <c r="N918" s="2"/>
      <c r="O918" s="4"/>
      <c r="P918" s="2"/>
      <c r="Q918" s="2"/>
      <c r="R918" s="4"/>
      <c r="S918" s="2"/>
      <c r="T918" s="2"/>
      <c r="U918" s="1"/>
      <c r="V918" s="2"/>
      <c r="W918" s="2"/>
      <c r="X918" s="2"/>
      <c r="Y918" s="2"/>
      <c r="Z918" s="2"/>
    </row>
    <row r="919" spans="1:26" ht="15.75" customHeight="1" x14ac:dyDescent="0.2">
      <c r="A919" s="12"/>
      <c r="B919" s="10"/>
      <c r="C919" s="11"/>
      <c r="D919" s="13"/>
      <c r="E919" s="13"/>
      <c r="F919" s="13"/>
      <c r="G919" s="2"/>
      <c r="H919" s="2"/>
      <c r="I919" s="13"/>
      <c r="J919" s="13"/>
      <c r="K919" s="13"/>
      <c r="L919" s="14"/>
      <c r="M919" s="4"/>
      <c r="N919" s="2"/>
      <c r="O919" s="4"/>
      <c r="P919" s="2"/>
      <c r="Q919" s="2"/>
      <c r="R919" s="4"/>
      <c r="S919" s="2"/>
      <c r="T919" s="2"/>
      <c r="U919" s="1"/>
      <c r="V919" s="2"/>
      <c r="W919" s="2"/>
      <c r="X919" s="2"/>
      <c r="Y919" s="2"/>
      <c r="Z919" s="2"/>
    </row>
    <row r="920" spans="1:26" ht="15.75" customHeight="1" x14ac:dyDescent="0.2">
      <c r="A920" s="12"/>
      <c r="B920" s="10"/>
      <c r="C920" s="11"/>
      <c r="D920" s="13"/>
      <c r="E920" s="13"/>
      <c r="F920" s="13"/>
      <c r="G920" s="2"/>
      <c r="H920" s="2"/>
      <c r="I920" s="13"/>
      <c r="J920" s="13"/>
      <c r="K920" s="13"/>
      <c r="L920" s="14"/>
      <c r="M920" s="4"/>
      <c r="N920" s="2"/>
      <c r="O920" s="4"/>
      <c r="P920" s="2"/>
      <c r="Q920" s="2"/>
      <c r="R920" s="4"/>
      <c r="S920" s="2"/>
      <c r="T920" s="2"/>
      <c r="U920" s="1"/>
      <c r="V920" s="2"/>
      <c r="W920" s="2"/>
      <c r="X920" s="2"/>
      <c r="Y920" s="2"/>
      <c r="Z920" s="2"/>
    </row>
    <row r="921" spans="1:26" ht="15.75" customHeight="1" x14ac:dyDescent="0.2">
      <c r="A921" s="12"/>
      <c r="B921" s="10"/>
      <c r="C921" s="11"/>
      <c r="D921" s="13"/>
      <c r="E921" s="13"/>
      <c r="F921" s="13"/>
      <c r="G921" s="2"/>
      <c r="H921" s="2"/>
      <c r="I921" s="13"/>
      <c r="J921" s="13"/>
      <c r="K921" s="13"/>
      <c r="L921" s="14"/>
      <c r="M921" s="4"/>
      <c r="N921" s="2"/>
      <c r="O921" s="4"/>
      <c r="P921" s="2"/>
      <c r="Q921" s="2"/>
      <c r="R921" s="4"/>
      <c r="S921" s="2"/>
      <c r="T921" s="2"/>
      <c r="U921" s="1"/>
      <c r="V921" s="2"/>
      <c r="W921" s="2"/>
      <c r="X921" s="2"/>
      <c r="Y921" s="2"/>
      <c r="Z921" s="2"/>
    </row>
    <row r="922" spans="1:26" ht="15.75" customHeight="1" x14ac:dyDescent="0.2">
      <c r="A922" s="12"/>
      <c r="B922" s="10"/>
      <c r="C922" s="11"/>
      <c r="D922" s="13"/>
      <c r="E922" s="13"/>
      <c r="F922" s="13"/>
      <c r="G922" s="2"/>
      <c r="H922" s="2"/>
      <c r="I922" s="13"/>
      <c r="J922" s="13"/>
      <c r="K922" s="13"/>
      <c r="L922" s="14"/>
      <c r="M922" s="4"/>
      <c r="N922" s="2"/>
      <c r="O922" s="4"/>
      <c r="P922" s="2"/>
      <c r="Q922" s="2"/>
      <c r="R922" s="4"/>
      <c r="S922" s="2"/>
      <c r="T922" s="2"/>
      <c r="U922" s="1"/>
      <c r="V922" s="2"/>
      <c r="W922" s="2"/>
      <c r="X922" s="2"/>
      <c r="Y922" s="2"/>
      <c r="Z922" s="2"/>
    </row>
    <row r="923" spans="1:26" ht="15.75" customHeight="1" x14ac:dyDescent="0.2">
      <c r="A923" s="12"/>
      <c r="B923" s="10"/>
      <c r="C923" s="11"/>
      <c r="D923" s="13"/>
      <c r="E923" s="13"/>
      <c r="F923" s="13"/>
      <c r="G923" s="2"/>
      <c r="H923" s="2"/>
      <c r="I923" s="13"/>
      <c r="J923" s="13"/>
      <c r="K923" s="13"/>
      <c r="L923" s="14"/>
      <c r="M923" s="4"/>
      <c r="N923" s="2"/>
      <c r="O923" s="4"/>
      <c r="P923" s="2"/>
      <c r="Q923" s="2"/>
      <c r="R923" s="4"/>
      <c r="S923" s="2"/>
      <c r="T923" s="2"/>
      <c r="U923" s="1"/>
      <c r="V923" s="2"/>
      <c r="W923" s="2"/>
      <c r="X923" s="2"/>
      <c r="Y923" s="2"/>
      <c r="Z923" s="2"/>
    </row>
    <row r="924" spans="1:26" ht="15.75" customHeight="1" x14ac:dyDescent="0.2">
      <c r="A924" s="12"/>
      <c r="B924" s="10"/>
      <c r="C924" s="11"/>
      <c r="D924" s="13"/>
      <c r="E924" s="13"/>
      <c r="F924" s="13"/>
      <c r="G924" s="2"/>
      <c r="H924" s="2"/>
      <c r="I924" s="13"/>
      <c r="J924" s="13"/>
      <c r="K924" s="13"/>
      <c r="L924" s="14"/>
      <c r="M924" s="4"/>
      <c r="N924" s="2"/>
      <c r="O924" s="4"/>
      <c r="P924" s="2"/>
      <c r="Q924" s="2"/>
      <c r="R924" s="4"/>
      <c r="S924" s="2"/>
      <c r="T924" s="2"/>
      <c r="U924" s="1"/>
      <c r="V924" s="2"/>
      <c r="W924" s="2"/>
      <c r="X924" s="2"/>
      <c r="Y924" s="2"/>
      <c r="Z924" s="2"/>
    </row>
    <row r="925" spans="1:26" ht="15.75" customHeight="1" x14ac:dyDescent="0.2">
      <c r="A925" s="12"/>
      <c r="B925" s="10"/>
      <c r="C925" s="11"/>
      <c r="D925" s="13"/>
      <c r="E925" s="13"/>
      <c r="F925" s="13"/>
      <c r="G925" s="2"/>
      <c r="H925" s="2"/>
      <c r="I925" s="13"/>
      <c r="J925" s="13"/>
      <c r="K925" s="13"/>
      <c r="L925" s="14"/>
      <c r="M925" s="4"/>
      <c r="N925" s="2"/>
      <c r="O925" s="4"/>
      <c r="P925" s="2"/>
      <c r="Q925" s="2"/>
      <c r="R925" s="4"/>
      <c r="S925" s="2"/>
      <c r="T925" s="2"/>
      <c r="U925" s="1"/>
      <c r="V925" s="2"/>
      <c r="W925" s="2"/>
      <c r="X925" s="2"/>
      <c r="Y925" s="2"/>
      <c r="Z925" s="2"/>
    </row>
    <row r="926" spans="1:26" ht="15.75" customHeight="1" x14ac:dyDescent="0.2">
      <c r="A926" s="12"/>
      <c r="B926" s="10"/>
      <c r="C926" s="11"/>
      <c r="D926" s="13"/>
      <c r="E926" s="13"/>
      <c r="F926" s="13"/>
      <c r="G926" s="2"/>
      <c r="H926" s="2"/>
      <c r="I926" s="13"/>
      <c r="J926" s="13"/>
      <c r="K926" s="13"/>
      <c r="L926" s="14"/>
      <c r="M926" s="4"/>
      <c r="N926" s="2"/>
      <c r="O926" s="4"/>
      <c r="P926" s="2"/>
      <c r="Q926" s="2"/>
      <c r="R926" s="4"/>
      <c r="S926" s="2"/>
      <c r="T926" s="2"/>
      <c r="U926" s="1"/>
      <c r="V926" s="2"/>
      <c r="W926" s="2"/>
      <c r="X926" s="2"/>
      <c r="Y926" s="2"/>
      <c r="Z926" s="2"/>
    </row>
    <row r="927" spans="1:26" ht="15.75" customHeight="1" x14ac:dyDescent="0.2">
      <c r="A927" s="12"/>
      <c r="B927" s="10"/>
      <c r="C927" s="11"/>
      <c r="D927" s="13"/>
      <c r="E927" s="13"/>
      <c r="F927" s="13"/>
      <c r="G927" s="2"/>
      <c r="H927" s="2"/>
      <c r="I927" s="13"/>
      <c r="J927" s="13"/>
      <c r="K927" s="13"/>
      <c r="L927" s="14"/>
      <c r="M927" s="4"/>
      <c r="N927" s="2"/>
      <c r="O927" s="4"/>
      <c r="P927" s="2"/>
      <c r="Q927" s="2"/>
      <c r="R927" s="4"/>
      <c r="S927" s="2"/>
      <c r="T927" s="2"/>
      <c r="U927" s="1"/>
      <c r="V927" s="2"/>
      <c r="W927" s="2"/>
      <c r="X927" s="2"/>
      <c r="Y927" s="2"/>
      <c r="Z927" s="2"/>
    </row>
    <row r="928" spans="1:26" ht="15.75" customHeight="1" x14ac:dyDescent="0.2">
      <c r="A928" s="12"/>
      <c r="B928" s="10"/>
      <c r="C928" s="11"/>
      <c r="D928" s="13"/>
      <c r="E928" s="13"/>
      <c r="F928" s="13"/>
      <c r="G928" s="2"/>
      <c r="H928" s="2"/>
      <c r="I928" s="13"/>
      <c r="J928" s="13"/>
      <c r="K928" s="13"/>
      <c r="L928" s="14"/>
      <c r="M928" s="4"/>
      <c r="N928" s="2"/>
      <c r="O928" s="4"/>
      <c r="P928" s="2"/>
      <c r="Q928" s="2"/>
      <c r="R928" s="4"/>
      <c r="S928" s="2"/>
      <c r="T928" s="2"/>
      <c r="U928" s="1"/>
      <c r="V928" s="2"/>
      <c r="W928" s="2"/>
      <c r="X928" s="2"/>
      <c r="Y928" s="2"/>
      <c r="Z928" s="2"/>
    </row>
    <row r="929" spans="1:26" ht="15.75" customHeight="1" x14ac:dyDescent="0.2">
      <c r="A929" s="12"/>
      <c r="B929" s="10"/>
      <c r="C929" s="11"/>
      <c r="D929" s="13"/>
      <c r="E929" s="13"/>
      <c r="F929" s="13"/>
      <c r="G929" s="2"/>
      <c r="H929" s="2"/>
      <c r="I929" s="13"/>
      <c r="J929" s="13"/>
      <c r="K929" s="13"/>
      <c r="L929" s="14"/>
      <c r="M929" s="4"/>
      <c r="N929" s="2"/>
      <c r="O929" s="4"/>
      <c r="P929" s="2"/>
      <c r="Q929" s="2"/>
      <c r="R929" s="4"/>
      <c r="S929" s="2"/>
      <c r="T929" s="2"/>
      <c r="U929" s="1"/>
      <c r="V929" s="2"/>
      <c r="W929" s="2"/>
      <c r="X929" s="2"/>
      <c r="Y929" s="2"/>
      <c r="Z929" s="2"/>
    </row>
    <row r="930" spans="1:26" ht="15.75" customHeight="1" x14ac:dyDescent="0.2">
      <c r="A930" s="12"/>
      <c r="B930" s="10"/>
      <c r="C930" s="11"/>
      <c r="D930" s="13"/>
      <c r="E930" s="13"/>
      <c r="F930" s="13"/>
      <c r="G930" s="2"/>
      <c r="H930" s="2"/>
      <c r="I930" s="13"/>
      <c r="J930" s="13"/>
      <c r="K930" s="13"/>
      <c r="L930" s="14"/>
      <c r="M930" s="4"/>
      <c r="N930" s="2"/>
      <c r="O930" s="4"/>
      <c r="P930" s="2"/>
      <c r="Q930" s="2"/>
      <c r="R930" s="4"/>
      <c r="S930" s="2"/>
      <c r="T930" s="2"/>
      <c r="U930" s="1"/>
      <c r="V930" s="2"/>
      <c r="W930" s="2"/>
      <c r="X930" s="2"/>
      <c r="Y930" s="2"/>
      <c r="Z930" s="2"/>
    </row>
    <row r="931" spans="1:26" ht="15.75" customHeight="1" x14ac:dyDescent="0.2">
      <c r="A931" s="12"/>
      <c r="B931" s="10"/>
      <c r="C931" s="11"/>
      <c r="D931" s="13"/>
      <c r="E931" s="13"/>
      <c r="F931" s="13"/>
      <c r="G931" s="2"/>
      <c r="H931" s="2"/>
      <c r="I931" s="13"/>
      <c r="J931" s="13"/>
      <c r="K931" s="13"/>
      <c r="L931" s="14"/>
      <c r="M931" s="4"/>
      <c r="N931" s="2"/>
      <c r="O931" s="4"/>
      <c r="P931" s="2"/>
      <c r="Q931" s="2"/>
      <c r="R931" s="4"/>
      <c r="S931" s="2"/>
      <c r="T931" s="2"/>
      <c r="U931" s="1"/>
      <c r="V931" s="2"/>
      <c r="W931" s="2"/>
      <c r="X931" s="2"/>
      <c r="Y931" s="2"/>
      <c r="Z931" s="2"/>
    </row>
    <row r="932" spans="1:26" ht="15.75" customHeight="1" x14ac:dyDescent="0.2">
      <c r="A932" s="12"/>
      <c r="B932" s="10"/>
      <c r="C932" s="11"/>
      <c r="D932" s="13"/>
      <c r="E932" s="13"/>
      <c r="F932" s="13"/>
      <c r="G932" s="2"/>
      <c r="H932" s="2"/>
      <c r="I932" s="13"/>
      <c r="J932" s="13"/>
      <c r="K932" s="13"/>
      <c r="L932" s="14"/>
      <c r="M932" s="4"/>
      <c r="N932" s="2"/>
      <c r="O932" s="4"/>
      <c r="P932" s="2"/>
      <c r="Q932" s="2"/>
      <c r="R932" s="4"/>
      <c r="S932" s="2"/>
      <c r="T932" s="2"/>
      <c r="U932" s="1"/>
      <c r="V932" s="2"/>
      <c r="W932" s="2"/>
      <c r="X932" s="2"/>
      <c r="Y932" s="2"/>
      <c r="Z932" s="2"/>
    </row>
    <row r="933" spans="1:26" ht="15.75" customHeight="1" x14ac:dyDescent="0.2">
      <c r="A933" s="12"/>
      <c r="B933" s="10"/>
      <c r="C933" s="11"/>
      <c r="D933" s="13"/>
      <c r="E933" s="13"/>
      <c r="F933" s="13"/>
      <c r="G933" s="2"/>
      <c r="H933" s="2"/>
      <c r="I933" s="13"/>
      <c r="J933" s="13"/>
      <c r="K933" s="13"/>
      <c r="L933" s="14"/>
      <c r="M933" s="4"/>
      <c r="N933" s="2"/>
      <c r="O933" s="4"/>
      <c r="P933" s="2"/>
      <c r="Q933" s="2"/>
      <c r="R933" s="4"/>
      <c r="S933" s="2"/>
      <c r="T933" s="2"/>
      <c r="U933" s="1"/>
      <c r="V933" s="2"/>
      <c r="W933" s="2"/>
      <c r="X933" s="2"/>
      <c r="Y933" s="2"/>
      <c r="Z933" s="2"/>
    </row>
    <row r="934" spans="1:26" ht="15.75" customHeight="1" x14ac:dyDescent="0.2">
      <c r="A934" s="12"/>
      <c r="B934" s="10"/>
      <c r="C934" s="11"/>
      <c r="D934" s="13"/>
      <c r="E934" s="13"/>
      <c r="F934" s="13"/>
      <c r="G934" s="2"/>
      <c r="H934" s="2"/>
      <c r="I934" s="13"/>
      <c r="J934" s="13"/>
      <c r="K934" s="13"/>
      <c r="L934" s="14"/>
      <c r="M934" s="4"/>
      <c r="N934" s="2"/>
      <c r="O934" s="4"/>
      <c r="P934" s="2"/>
      <c r="Q934" s="2"/>
      <c r="R934" s="4"/>
      <c r="S934" s="2"/>
      <c r="T934" s="2"/>
      <c r="U934" s="1"/>
      <c r="V934" s="2"/>
      <c r="W934" s="2"/>
      <c r="X934" s="2"/>
      <c r="Y934" s="2"/>
      <c r="Z934" s="2"/>
    </row>
    <row r="935" spans="1:26" ht="15.75" customHeight="1" x14ac:dyDescent="0.2">
      <c r="A935" s="12"/>
      <c r="B935" s="10"/>
      <c r="C935" s="11"/>
      <c r="D935" s="13"/>
      <c r="E935" s="13"/>
      <c r="F935" s="13"/>
      <c r="G935" s="2"/>
      <c r="H935" s="2"/>
      <c r="I935" s="13"/>
      <c r="J935" s="13"/>
      <c r="K935" s="13"/>
      <c r="L935" s="14"/>
      <c r="M935" s="4"/>
      <c r="N935" s="2"/>
      <c r="O935" s="4"/>
      <c r="P935" s="2"/>
      <c r="Q935" s="2"/>
      <c r="R935" s="4"/>
      <c r="S935" s="2"/>
      <c r="T935" s="2"/>
      <c r="U935" s="1"/>
      <c r="V935" s="2"/>
      <c r="W935" s="2"/>
      <c r="X935" s="2"/>
      <c r="Y935" s="2"/>
      <c r="Z935" s="2"/>
    </row>
    <row r="936" spans="1:26" ht="15.75" customHeight="1" x14ac:dyDescent="0.2">
      <c r="A936" s="12"/>
      <c r="B936" s="10"/>
      <c r="C936" s="11"/>
      <c r="D936" s="13"/>
      <c r="E936" s="13"/>
      <c r="F936" s="13"/>
      <c r="G936" s="2"/>
      <c r="H936" s="2"/>
      <c r="I936" s="13"/>
      <c r="J936" s="13"/>
      <c r="K936" s="13"/>
      <c r="L936" s="14"/>
      <c r="M936" s="4"/>
      <c r="N936" s="2"/>
      <c r="O936" s="4"/>
      <c r="P936" s="2"/>
      <c r="Q936" s="2"/>
      <c r="R936" s="4"/>
      <c r="S936" s="2"/>
      <c r="T936" s="2"/>
      <c r="U936" s="1"/>
      <c r="V936" s="2"/>
      <c r="W936" s="2"/>
      <c r="X936" s="2"/>
      <c r="Y936" s="2"/>
      <c r="Z936" s="2"/>
    </row>
    <row r="937" spans="1:26" ht="15.75" customHeight="1" x14ac:dyDescent="0.2">
      <c r="A937" s="12"/>
      <c r="B937" s="10"/>
      <c r="C937" s="11"/>
      <c r="D937" s="13"/>
      <c r="E937" s="13"/>
      <c r="F937" s="13"/>
      <c r="G937" s="2"/>
      <c r="H937" s="2"/>
      <c r="I937" s="13"/>
      <c r="J937" s="13"/>
      <c r="K937" s="13"/>
      <c r="L937" s="14"/>
      <c r="M937" s="4"/>
      <c r="N937" s="2"/>
      <c r="O937" s="4"/>
      <c r="P937" s="2"/>
      <c r="Q937" s="2"/>
      <c r="R937" s="4"/>
      <c r="S937" s="2"/>
      <c r="T937" s="2"/>
      <c r="U937" s="1"/>
      <c r="V937" s="2"/>
      <c r="W937" s="2"/>
      <c r="X937" s="2"/>
      <c r="Y937" s="2"/>
      <c r="Z937" s="2"/>
    </row>
    <row r="938" spans="1:26" ht="15.75" customHeight="1" x14ac:dyDescent="0.2">
      <c r="A938" s="12"/>
      <c r="B938" s="10"/>
      <c r="C938" s="11"/>
      <c r="D938" s="13"/>
      <c r="E938" s="13"/>
      <c r="F938" s="13"/>
      <c r="G938" s="2"/>
      <c r="H938" s="2"/>
      <c r="I938" s="13"/>
      <c r="J938" s="13"/>
      <c r="K938" s="13"/>
      <c r="L938" s="14"/>
      <c r="M938" s="4"/>
      <c r="N938" s="2"/>
      <c r="O938" s="4"/>
      <c r="P938" s="2"/>
      <c r="Q938" s="2"/>
      <c r="R938" s="4"/>
      <c r="S938" s="2"/>
      <c r="T938" s="2"/>
      <c r="U938" s="1"/>
      <c r="V938" s="2"/>
      <c r="W938" s="2"/>
      <c r="X938" s="2"/>
      <c r="Y938" s="2"/>
      <c r="Z938" s="2"/>
    </row>
    <row r="939" spans="1:26" ht="15.75" customHeight="1" x14ac:dyDescent="0.2">
      <c r="A939" s="12"/>
      <c r="B939" s="10"/>
      <c r="C939" s="11"/>
      <c r="D939" s="13"/>
      <c r="E939" s="13"/>
      <c r="F939" s="13"/>
      <c r="G939" s="2"/>
      <c r="H939" s="2"/>
      <c r="I939" s="13"/>
      <c r="J939" s="13"/>
      <c r="K939" s="13"/>
      <c r="L939" s="14"/>
      <c r="M939" s="4"/>
      <c r="N939" s="2"/>
      <c r="O939" s="4"/>
      <c r="P939" s="2"/>
      <c r="Q939" s="2"/>
      <c r="R939" s="4"/>
      <c r="S939" s="2"/>
      <c r="T939" s="2"/>
      <c r="U939" s="1"/>
      <c r="V939" s="2"/>
      <c r="W939" s="2"/>
      <c r="X939" s="2"/>
      <c r="Y939" s="2"/>
      <c r="Z939" s="2"/>
    </row>
    <row r="940" spans="1:26" ht="15.75" customHeight="1" x14ac:dyDescent="0.2">
      <c r="A940" s="12"/>
      <c r="B940" s="10"/>
      <c r="C940" s="11"/>
      <c r="D940" s="13"/>
      <c r="E940" s="13"/>
      <c r="F940" s="13"/>
      <c r="G940" s="2"/>
      <c r="H940" s="2"/>
      <c r="I940" s="13"/>
      <c r="J940" s="13"/>
      <c r="K940" s="13"/>
      <c r="L940" s="14"/>
      <c r="M940" s="4"/>
      <c r="N940" s="2"/>
      <c r="O940" s="4"/>
      <c r="P940" s="2"/>
      <c r="Q940" s="2"/>
      <c r="R940" s="4"/>
      <c r="S940" s="2"/>
      <c r="T940" s="2"/>
      <c r="U940" s="1"/>
      <c r="V940" s="2"/>
      <c r="W940" s="2"/>
      <c r="X940" s="2"/>
      <c r="Y940" s="2"/>
      <c r="Z940" s="2"/>
    </row>
    <row r="941" spans="1:26" ht="15.75" customHeight="1" x14ac:dyDescent="0.2">
      <c r="A941" s="12"/>
      <c r="B941" s="10"/>
      <c r="C941" s="11"/>
      <c r="D941" s="13"/>
      <c r="E941" s="13"/>
      <c r="F941" s="13"/>
      <c r="G941" s="2"/>
      <c r="H941" s="2"/>
      <c r="I941" s="13"/>
      <c r="J941" s="13"/>
      <c r="K941" s="13"/>
      <c r="L941" s="14"/>
      <c r="M941" s="4"/>
      <c r="N941" s="2"/>
      <c r="O941" s="4"/>
      <c r="P941" s="2"/>
      <c r="Q941" s="2"/>
      <c r="R941" s="4"/>
      <c r="S941" s="2"/>
      <c r="T941" s="2"/>
      <c r="U941" s="1"/>
      <c r="V941" s="2"/>
      <c r="W941" s="2"/>
      <c r="X941" s="2"/>
      <c r="Y941" s="2"/>
      <c r="Z941" s="2"/>
    </row>
    <row r="942" spans="1:26" ht="15.75" customHeight="1" x14ac:dyDescent="0.2">
      <c r="A942" s="12"/>
      <c r="B942" s="10"/>
      <c r="C942" s="11"/>
      <c r="D942" s="13"/>
      <c r="E942" s="13"/>
      <c r="F942" s="13"/>
      <c r="G942" s="2"/>
      <c r="H942" s="2"/>
      <c r="I942" s="13"/>
      <c r="J942" s="13"/>
      <c r="K942" s="13"/>
      <c r="L942" s="14"/>
      <c r="M942" s="4"/>
      <c r="N942" s="2"/>
      <c r="O942" s="4"/>
      <c r="P942" s="2"/>
      <c r="Q942" s="2"/>
      <c r="R942" s="4"/>
      <c r="S942" s="2"/>
      <c r="T942" s="2"/>
      <c r="U942" s="1"/>
      <c r="V942" s="2"/>
      <c r="W942" s="2"/>
      <c r="X942" s="2"/>
      <c r="Y942" s="2"/>
      <c r="Z942" s="2"/>
    </row>
    <row r="943" spans="1:26" ht="15.75" customHeight="1" x14ac:dyDescent="0.2">
      <c r="A943" s="12"/>
      <c r="B943" s="10"/>
      <c r="C943" s="11"/>
      <c r="D943" s="13"/>
      <c r="E943" s="13"/>
      <c r="F943" s="13"/>
      <c r="G943" s="2"/>
      <c r="H943" s="2"/>
      <c r="I943" s="13"/>
      <c r="J943" s="13"/>
      <c r="K943" s="13"/>
      <c r="L943" s="14"/>
      <c r="M943" s="4"/>
      <c r="N943" s="2"/>
      <c r="O943" s="4"/>
      <c r="P943" s="2"/>
      <c r="Q943" s="2"/>
      <c r="R943" s="4"/>
      <c r="S943" s="2"/>
      <c r="T943" s="2"/>
      <c r="U943" s="1"/>
      <c r="V943" s="2"/>
      <c r="W943" s="2"/>
      <c r="X943" s="2"/>
      <c r="Y943" s="2"/>
      <c r="Z943" s="2"/>
    </row>
    <row r="944" spans="1:26" ht="15.75" customHeight="1" x14ac:dyDescent="0.2">
      <c r="A944" s="12"/>
      <c r="B944" s="10"/>
      <c r="C944" s="11"/>
      <c r="D944" s="13"/>
      <c r="E944" s="13"/>
      <c r="F944" s="13"/>
      <c r="G944" s="2"/>
      <c r="H944" s="2"/>
      <c r="I944" s="13"/>
      <c r="J944" s="13"/>
      <c r="K944" s="13"/>
      <c r="L944" s="14"/>
      <c r="M944" s="4"/>
      <c r="N944" s="2"/>
      <c r="O944" s="4"/>
      <c r="P944" s="2"/>
      <c r="Q944" s="2"/>
      <c r="R944" s="4"/>
      <c r="S944" s="2"/>
      <c r="T944" s="2"/>
      <c r="U944" s="1"/>
      <c r="V944" s="2"/>
      <c r="W944" s="2"/>
      <c r="X944" s="2"/>
      <c r="Y944" s="2"/>
      <c r="Z944" s="2"/>
    </row>
    <row r="945" spans="1:26" ht="15.75" customHeight="1" x14ac:dyDescent="0.2">
      <c r="A945" s="12"/>
      <c r="B945" s="10"/>
      <c r="C945" s="11"/>
      <c r="D945" s="13"/>
      <c r="E945" s="13"/>
      <c r="F945" s="13"/>
      <c r="G945" s="2"/>
      <c r="H945" s="2"/>
      <c r="I945" s="13"/>
      <c r="J945" s="13"/>
      <c r="K945" s="13"/>
      <c r="L945" s="14"/>
      <c r="M945" s="4"/>
      <c r="N945" s="2"/>
      <c r="O945" s="4"/>
      <c r="P945" s="2"/>
      <c r="Q945" s="2"/>
      <c r="R945" s="4"/>
      <c r="S945" s="2"/>
      <c r="T945" s="2"/>
      <c r="U945" s="1"/>
      <c r="V945" s="2"/>
      <c r="W945" s="2"/>
      <c r="X945" s="2"/>
      <c r="Y945" s="2"/>
      <c r="Z945" s="2"/>
    </row>
    <row r="946" spans="1:26" ht="15.75" customHeight="1" x14ac:dyDescent="0.2">
      <c r="A946" s="12"/>
      <c r="B946" s="10"/>
      <c r="C946" s="11"/>
      <c r="D946" s="13"/>
      <c r="E946" s="13"/>
      <c r="F946" s="13"/>
      <c r="G946" s="2"/>
      <c r="H946" s="2"/>
      <c r="I946" s="13"/>
      <c r="J946" s="13"/>
      <c r="K946" s="13"/>
      <c r="L946" s="14"/>
      <c r="M946" s="4"/>
      <c r="N946" s="2"/>
      <c r="O946" s="4"/>
      <c r="P946" s="2"/>
      <c r="Q946" s="2"/>
      <c r="R946" s="4"/>
      <c r="S946" s="2"/>
      <c r="T946" s="2"/>
      <c r="U946" s="1"/>
      <c r="V946" s="2"/>
      <c r="W946" s="2"/>
      <c r="X946" s="2"/>
      <c r="Y946" s="2"/>
      <c r="Z946" s="2"/>
    </row>
    <row r="947" spans="1:26" ht="15.75" customHeight="1" x14ac:dyDescent="0.2">
      <c r="A947" s="12"/>
      <c r="B947" s="10"/>
      <c r="C947" s="11"/>
      <c r="D947" s="13"/>
      <c r="E947" s="13"/>
      <c r="F947" s="13"/>
      <c r="G947" s="2"/>
      <c r="H947" s="2"/>
      <c r="I947" s="13"/>
      <c r="J947" s="13"/>
      <c r="K947" s="13"/>
      <c r="L947" s="14"/>
      <c r="M947" s="4"/>
      <c r="N947" s="2"/>
      <c r="O947" s="4"/>
      <c r="P947" s="2"/>
      <c r="Q947" s="2"/>
      <c r="R947" s="4"/>
      <c r="S947" s="2"/>
      <c r="T947" s="2"/>
      <c r="U947" s="1"/>
      <c r="V947" s="2"/>
      <c r="W947" s="2"/>
      <c r="X947" s="2"/>
      <c r="Y947" s="2"/>
      <c r="Z947" s="2"/>
    </row>
    <row r="948" spans="1:26" ht="15.75" customHeight="1" x14ac:dyDescent="0.2">
      <c r="A948" s="12"/>
      <c r="B948" s="10"/>
      <c r="C948" s="11"/>
      <c r="D948" s="13"/>
      <c r="E948" s="13"/>
      <c r="F948" s="13"/>
      <c r="G948" s="2"/>
      <c r="H948" s="2"/>
      <c r="I948" s="13"/>
      <c r="J948" s="13"/>
      <c r="K948" s="13"/>
      <c r="L948" s="14"/>
      <c r="M948" s="4"/>
      <c r="N948" s="2"/>
      <c r="O948" s="4"/>
      <c r="P948" s="2"/>
      <c r="Q948" s="2"/>
      <c r="R948" s="4"/>
      <c r="S948" s="2"/>
      <c r="T948" s="2"/>
      <c r="U948" s="1"/>
      <c r="V948" s="2"/>
      <c r="W948" s="2"/>
      <c r="X948" s="2"/>
      <c r="Y948" s="2"/>
      <c r="Z948" s="2"/>
    </row>
    <row r="949" spans="1:26" ht="15.75" customHeight="1" x14ac:dyDescent="0.2">
      <c r="A949" s="12"/>
      <c r="B949" s="10"/>
      <c r="C949" s="11"/>
      <c r="D949" s="13"/>
      <c r="E949" s="13"/>
      <c r="F949" s="13"/>
      <c r="G949" s="2"/>
      <c r="H949" s="2"/>
      <c r="I949" s="13"/>
      <c r="J949" s="13"/>
      <c r="K949" s="13"/>
      <c r="L949" s="14"/>
      <c r="M949" s="4"/>
      <c r="N949" s="2"/>
      <c r="O949" s="4"/>
      <c r="P949" s="2"/>
      <c r="Q949" s="2"/>
      <c r="R949" s="4"/>
      <c r="S949" s="2"/>
      <c r="T949" s="2"/>
      <c r="U949" s="1"/>
      <c r="V949" s="2"/>
      <c r="W949" s="2"/>
      <c r="X949" s="2"/>
      <c r="Y949" s="2"/>
      <c r="Z949" s="2"/>
    </row>
    <row r="950" spans="1:26" ht="15.75" customHeight="1" x14ac:dyDescent="0.2">
      <c r="A950" s="12"/>
      <c r="B950" s="10"/>
      <c r="C950" s="11"/>
      <c r="D950" s="13"/>
      <c r="E950" s="13"/>
      <c r="F950" s="13"/>
      <c r="G950" s="2"/>
      <c r="H950" s="2"/>
      <c r="I950" s="13"/>
      <c r="J950" s="13"/>
      <c r="K950" s="13"/>
      <c r="L950" s="14"/>
      <c r="M950" s="4"/>
      <c r="N950" s="2"/>
      <c r="O950" s="4"/>
      <c r="P950" s="2"/>
      <c r="Q950" s="2"/>
      <c r="R950" s="4"/>
      <c r="S950" s="2"/>
      <c r="T950" s="2"/>
      <c r="U950" s="1"/>
      <c r="V950" s="2"/>
      <c r="W950" s="2"/>
      <c r="X950" s="2"/>
      <c r="Y950" s="2"/>
      <c r="Z950" s="2"/>
    </row>
    <row r="951" spans="1:26" ht="15.75" customHeight="1" x14ac:dyDescent="0.2">
      <c r="A951" s="12"/>
      <c r="B951" s="10"/>
      <c r="C951" s="11"/>
      <c r="D951" s="13"/>
      <c r="E951" s="13"/>
      <c r="F951" s="13"/>
      <c r="G951" s="2"/>
      <c r="H951" s="2"/>
      <c r="I951" s="13"/>
      <c r="J951" s="13"/>
      <c r="K951" s="13"/>
      <c r="L951" s="14"/>
      <c r="M951" s="4"/>
      <c r="N951" s="2"/>
      <c r="O951" s="4"/>
      <c r="P951" s="2"/>
      <c r="Q951" s="2"/>
      <c r="R951" s="4"/>
      <c r="S951" s="2"/>
      <c r="T951" s="2"/>
      <c r="U951" s="1"/>
      <c r="V951" s="2"/>
      <c r="W951" s="2"/>
      <c r="X951" s="2"/>
      <c r="Y951" s="2"/>
      <c r="Z951" s="2"/>
    </row>
    <row r="952" spans="1:26" ht="15.75" customHeight="1" x14ac:dyDescent="0.2">
      <c r="A952" s="12"/>
      <c r="B952" s="10"/>
      <c r="C952" s="11"/>
      <c r="D952" s="13"/>
      <c r="E952" s="13"/>
      <c r="F952" s="13"/>
      <c r="G952" s="2"/>
      <c r="H952" s="2"/>
      <c r="I952" s="13"/>
      <c r="J952" s="13"/>
      <c r="K952" s="13"/>
      <c r="L952" s="14"/>
      <c r="M952" s="4"/>
      <c r="N952" s="2"/>
      <c r="O952" s="4"/>
      <c r="P952" s="2"/>
      <c r="Q952" s="2"/>
      <c r="R952" s="4"/>
      <c r="S952" s="2"/>
      <c r="T952" s="2"/>
      <c r="U952" s="1"/>
      <c r="V952" s="2"/>
      <c r="W952" s="2"/>
      <c r="X952" s="2"/>
      <c r="Y952" s="2"/>
      <c r="Z952" s="2"/>
    </row>
    <row r="953" spans="1:26" ht="15.75" customHeight="1" x14ac:dyDescent="0.2">
      <c r="A953" s="12"/>
      <c r="B953" s="10"/>
      <c r="C953" s="11"/>
      <c r="D953" s="13"/>
      <c r="E953" s="13"/>
      <c r="F953" s="13"/>
      <c r="G953" s="2"/>
      <c r="H953" s="2"/>
      <c r="I953" s="13"/>
      <c r="J953" s="13"/>
      <c r="K953" s="13"/>
      <c r="L953" s="14"/>
      <c r="M953" s="4"/>
      <c r="N953" s="2"/>
      <c r="O953" s="4"/>
      <c r="P953" s="2"/>
      <c r="Q953" s="2"/>
      <c r="R953" s="4"/>
      <c r="S953" s="2"/>
      <c r="T953" s="2"/>
      <c r="U953" s="1"/>
      <c r="V953" s="2"/>
      <c r="W953" s="2"/>
      <c r="X953" s="2"/>
      <c r="Y953" s="2"/>
      <c r="Z953" s="2"/>
    </row>
    <row r="954" spans="1:26" ht="15.75" customHeight="1" x14ac:dyDescent="0.2">
      <c r="A954" s="12"/>
      <c r="B954" s="10"/>
      <c r="C954" s="11"/>
      <c r="D954" s="13"/>
      <c r="E954" s="13"/>
      <c r="F954" s="13"/>
      <c r="G954" s="2"/>
      <c r="H954" s="2"/>
      <c r="I954" s="13"/>
      <c r="J954" s="13"/>
      <c r="K954" s="13"/>
      <c r="L954" s="14"/>
      <c r="M954" s="4"/>
      <c r="N954" s="2"/>
      <c r="O954" s="4"/>
      <c r="P954" s="2"/>
      <c r="Q954" s="2"/>
      <c r="R954" s="4"/>
      <c r="S954" s="2"/>
      <c r="T954" s="2"/>
      <c r="U954" s="1"/>
      <c r="V954" s="2"/>
      <c r="W954" s="2"/>
      <c r="X954" s="2"/>
      <c r="Y954" s="2"/>
      <c r="Z954" s="2"/>
    </row>
    <row r="955" spans="1:26" ht="15.75" customHeight="1" x14ac:dyDescent="0.2">
      <c r="A955" s="12"/>
      <c r="B955" s="10"/>
      <c r="C955" s="11"/>
      <c r="D955" s="13"/>
      <c r="E955" s="13"/>
      <c r="F955" s="13"/>
      <c r="G955" s="2"/>
      <c r="H955" s="2"/>
      <c r="I955" s="13"/>
      <c r="J955" s="13"/>
      <c r="K955" s="13"/>
      <c r="L955" s="14"/>
      <c r="M955" s="4"/>
      <c r="N955" s="2"/>
      <c r="O955" s="4"/>
      <c r="P955" s="2"/>
      <c r="Q955" s="2"/>
      <c r="R955" s="4"/>
      <c r="S955" s="2"/>
      <c r="T955" s="2"/>
      <c r="U955" s="1"/>
      <c r="V955" s="2"/>
      <c r="W955" s="2"/>
      <c r="X955" s="2"/>
      <c r="Y955" s="2"/>
      <c r="Z955" s="2"/>
    </row>
    <row r="956" spans="1:26" ht="15.75" customHeight="1" x14ac:dyDescent="0.2">
      <c r="A956" s="12"/>
      <c r="B956" s="10"/>
      <c r="C956" s="11"/>
      <c r="D956" s="13"/>
      <c r="E956" s="13"/>
      <c r="F956" s="13"/>
      <c r="G956" s="2"/>
      <c r="H956" s="2"/>
      <c r="I956" s="13"/>
      <c r="J956" s="13"/>
      <c r="K956" s="13"/>
      <c r="L956" s="14"/>
      <c r="M956" s="4"/>
      <c r="N956" s="2"/>
      <c r="O956" s="4"/>
      <c r="P956" s="2"/>
      <c r="Q956" s="2"/>
      <c r="R956" s="4"/>
      <c r="S956" s="2"/>
      <c r="T956" s="2"/>
      <c r="U956" s="1"/>
      <c r="V956" s="2"/>
      <c r="W956" s="2"/>
      <c r="X956" s="2"/>
      <c r="Y956" s="2"/>
      <c r="Z956" s="2"/>
    </row>
    <row r="957" spans="1:26" ht="15.75" customHeight="1" x14ac:dyDescent="0.2">
      <c r="A957" s="12"/>
      <c r="B957" s="10"/>
      <c r="C957" s="11"/>
      <c r="D957" s="13"/>
      <c r="E957" s="13"/>
      <c r="F957" s="13"/>
      <c r="G957" s="2"/>
      <c r="H957" s="2"/>
      <c r="I957" s="13"/>
      <c r="J957" s="13"/>
      <c r="K957" s="13"/>
      <c r="L957" s="14"/>
      <c r="M957" s="4"/>
      <c r="N957" s="2"/>
      <c r="O957" s="4"/>
      <c r="P957" s="2"/>
      <c r="Q957" s="2"/>
      <c r="R957" s="4"/>
      <c r="S957" s="2"/>
      <c r="T957" s="2"/>
      <c r="U957" s="1"/>
      <c r="V957" s="2"/>
      <c r="W957" s="2"/>
      <c r="X957" s="2"/>
      <c r="Y957" s="2"/>
      <c r="Z957" s="2"/>
    </row>
    <row r="958" spans="1:26" ht="15.75" customHeight="1" x14ac:dyDescent="0.2">
      <c r="A958" s="12"/>
      <c r="B958" s="10"/>
      <c r="C958" s="11"/>
      <c r="D958" s="13"/>
      <c r="E958" s="13"/>
      <c r="F958" s="13"/>
      <c r="G958" s="2"/>
      <c r="H958" s="2"/>
      <c r="I958" s="13"/>
      <c r="J958" s="13"/>
      <c r="K958" s="13"/>
      <c r="L958" s="14"/>
      <c r="M958" s="4"/>
      <c r="N958" s="2"/>
      <c r="O958" s="4"/>
      <c r="P958" s="2"/>
      <c r="Q958" s="2"/>
      <c r="R958" s="4"/>
      <c r="S958" s="2"/>
      <c r="T958" s="2"/>
      <c r="U958" s="1"/>
      <c r="V958" s="2"/>
      <c r="W958" s="2"/>
      <c r="X958" s="2"/>
      <c r="Y958" s="2"/>
      <c r="Z958" s="2"/>
    </row>
    <row r="959" spans="1:26" ht="15.75" customHeight="1" x14ac:dyDescent="0.2">
      <c r="A959" s="12"/>
      <c r="B959" s="10"/>
      <c r="C959" s="11"/>
      <c r="D959" s="13"/>
      <c r="E959" s="13"/>
      <c r="F959" s="13"/>
      <c r="G959" s="2"/>
      <c r="H959" s="2"/>
      <c r="I959" s="13"/>
      <c r="J959" s="13"/>
      <c r="K959" s="13"/>
      <c r="L959" s="14"/>
      <c r="M959" s="4"/>
      <c r="N959" s="2"/>
      <c r="O959" s="4"/>
      <c r="P959" s="2"/>
      <c r="Q959" s="2"/>
      <c r="R959" s="4"/>
      <c r="S959" s="2"/>
      <c r="T959" s="2"/>
      <c r="U959" s="1"/>
      <c r="V959" s="2"/>
      <c r="W959" s="2"/>
      <c r="X959" s="2"/>
      <c r="Y959" s="2"/>
      <c r="Z959" s="2"/>
    </row>
    <row r="960" spans="1:26" ht="15.75" customHeight="1" x14ac:dyDescent="0.2">
      <c r="A960" s="12"/>
      <c r="B960" s="10"/>
      <c r="C960" s="11"/>
      <c r="D960" s="13"/>
      <c r="E960" s="13"/>
      <c r="F960" s="13"/>
      <c r="G960" s="2"/>
      <c r="H960" s="2"/>
      <c r="I960" s="13"/>
      <c r="J960" s="13"/>
      <c r="K960" s="13"/>
      <c r="L960" s="14"/>
      <c r="M960" s="4"/>
      <c r="N960" s="2"/>
      <c r="O960" s="4"/>
      <c r="P960" s="2"/>
      <c r="Q960" s="2"/>
      <c r="R960" s="4"/>
      <c r="S960" s="2"/>
      <c r="T960" s="2"/>
      <c r="U960" s="1"/>
      <c r="V960" s="2"/>
      <c r="W960" s="2"/>
      <c r="X960" s="2"/>
      <c r="Y960" s="2"/>
      <c r="Z960" s="2"/>
    </row>
    <row r="961" spans="1:26" ht="15.75" customHeight="1" x14ac:dyDescent="0.2">
      <c r="A961" s="12"/>
      <c r="B961" s="10"/>
      <c r="C961" s="11"/>
      <c r="D961" s="13"/>
      <c r="E961" s="13"/>
      <c r="F961" s="13"/>
      <c r="G961" s="2"/>
      <c r="H961" s="2"/>
      <c r="I961" s="13"/>
      <c r="J961" s="13"/>
      <c r="K961" s="13"/>
      <c r="L961" s="14"/>
      <c r="M961" s="4"/>
      <c r="N961" s="2"/>
      <c r="O961" s="4"/>
      <c r="P961" s="2"/>
      <c r="Q961" s="2"/>
      <c r="R961" s="4"/>
      <c r="S961" s="2"/>
      <c r="T961" s="2"/>
      <c r="U961" s="1"/>
      <c r="V961" s="2"/>
      <c r="W961" s="2"/>
      <c r="X961" s="2"/>
      <c r="Y961" s="2"/>
      <c r="Z961" s="2"/>
    </row>
    <row r="962" spans="1:26" ht="15.75" customHeight="1" x14ac:dyDescent="0.2">
      <c r="A962" s="12"/>
      <c r="B962" s="10"/>
      <c r="C962" s="11"/>
      <c r="D962" s="13"/>
      <c r="E962" s="13"/>
      <c r="F962" s="13"/>
      <c r="G962" s="2"/>
      <c r="H962" s="2"/>
      <c r="I962" s="13"/>
      <c r="J962" s="13"/>
      <c r="K962" s="13"/>
      <c r="L962" s="14"/>
      <c r="M962" s="4"/>
      <c r="N962" s="2"/>
      <c r="O962" s="4"/>
      <c r="P962" s="2"/>
      <c r="Q962" s="2"/>
      <c r="R962" s="4"/>
      <c r="S962" s="2"/>
      <c r="T962" s="2"/>
      <c r="U962" s="1"/>
      <c r="V962" s="2"/>
      <c r="W962" s="2"/>
      <c r="X962" s="2"/>
      <c r="Y962" s="2"/>
      <c r="Z962" s="2"/>
    </row>
    <row r="963" spans="1:26" ht="15.75" customHeight="1" x14ac:dyDescent="0.2">
      <c r="A963" s="12"/>
      <c r="B963" s="10"/>
      <c r="C963" s="11"/>
      <c r="D963" s="13"/>
      <c r="E963" s="13"/>
      <c r="F963" s="13"/>
      <c r="G963" s="2"/>
      <c r="H963" s="2"/>
      <c r="I963" s="13"/>
      <c r="J963" s="13"/>
      <c r="K963" s="13"/>
      <c r="L963" s="14"/>
      <c r="M963" s="4"/>
      <c r="N963" s="2"/>
      <c r="O963" s="4"/>
      <c r="P963" s="2"/>
      <c r="Q963" s="2"/>
      <c r="R963" s="4"/>
      <c r="S963" s="2"/>
      <c r="T963" s="2"/>
      <c r="U963" s="1"/>
      <c r="V963" s="2"/>
      <c r="W963" s="2"/>
      <c r="X963" s="2"/>
      <c r="Y963" s="2"/>
      <c r="Z963" s="2"/>
    </row>
    <row r="964" spans="1:26" ht="15.75" customHeight="1" x14ac:dyDescent="0.2">
      <c r="A964" s="12"/>
      <c r="B964" s="10"/>
      <c r="C964" s="11"/>
      <c r="D964" s="13"/>
      <c r="E964" s="13"/>
      <c r="F964" s="13"/>
      <c r="G964" s="2"/>
      <c r="H964" s="2"/>
      <c r="I964" s="13"/>
      <c r="J964" s="13"/>
      <c r="K964" s="13"/>
      <c r="L964" s="14"/>
      <c r="M964" s="4"/>
      <c r="N964" s="2"/>
      <c r="O964" s="4"/>
      <c r="P964" s="2"/>
      <c r="Q964" s="2"/>
      <c r="R964" s="4"/>
      <c r="S964" s="2"/>
      <c r="T964" s="2"/>
      <c r="U964" s="1"/>
      <c r="V964" s="2"/>
      <c r="W964" s="2"/>
      <c r="X964" s="2"/>
      <c r="Y964" s="2"/>
      <c r="Z964" s="2"/>
    </row>
    <row r="965" spans="1:26" ht="15.75" customHeight="1" x14ac:dyDescent="0.2">
      <c r="A965" s="12"/>
      <c r="B965" s="10"/>
      <c r="C965" s="11"/>
      <c r="D965" s="13"/>
      <c r="E965" s="13"/>
      <c r="F965" s="13"/>
      <c r="G965" s="2"/>
      <c r="H965" s="2"/>
      <c r="I965" s="13"/>
      <c r="J965" s="13"/>
      <c r="K965" s="13"/>
      <c r="L965" s="14"/>
      <c r="M965" s="4"/>
      <c r="N965" s="2"/>
      <c r="O965" s="4"/>
      <c r="P965" s="2"/>
      <c r="Q965" s="2"/>
      <c r="R965" s="4"/>
      <c r="S965" s="2"/>
      <c r="T965" s="2"/>
      <c r="U965" s="1"/>
      <c r="V965" s="2"/>
      <c r="W965" s="2"/>
      <c r="X965" s="2"/>
      <c r="Y965" s="2"/>
      <c r="Z965" s="2"/>
    </row>
    <row r="966" spans="1:26" ht="15.75" customHeight="1" x14ac:dyDescent="0.2">
      <c r="A966" s="12"/>
      <c r="B966" s="10"/>
      <c r="C966" s="11"/>
      <c r="D966" s="13"/>
      <c r="E966" s="13"/>
      <c r="F966" s="13"/>
      <c r="G966" s="2"/>
      <c r="H966" s="2"/>
      <c r="I966" s="13"/>
      <c r="J966" s="13"/>
      <c r="K966" s="13"/>
      <c r="L966" s="14"/>
      <c r="M966" s="4"/>
      <c r="N966" s="2"/>
      <c r="O966" s="4"/>
      <c r="P966" s="2"/>
      <c r="Q966" s="2"/>
      <c r="R966" s="4"/>
      <c r="S966" s="2"/>
      <c r="T966" s="2"/>
      <c r="U966" s="1"/>
      <c r="V966" s="2"/>
      <c r="W966" s="2"/>
      <c r="X966" s="2"/>
      <c r="Y966" s="2"/>
      <c r="Z966" s="2"/>
    </row>
    <row r="967" spans="1:26" ht="15.75" customHeight="1" x14ac:dyDescent="0.2">
      <c r="A967" s="12"/>
      <c r="B967" s="10"/>
      <c r="C967" s="11"/>
      <c r="D967" s="13"/>
      <c r="E967" s="13"/>
      <c r="F967" s="13"/>
      <c r="G967" s="2"/>
      <c r="H967" s="2"/>
      <c r="I967" s="13"/>
      <c r="J967" s="13"/>
      <c r="K967" s="13"/>
      <c r="L967" s="14"/>
      <c r="M967" s="4"/>
      <c r="N967" s="2"/>
      <c r="O967" s="4"/>
      <c r="P967" s="2"/>
      <c r="Q967" s="2"/>
      <c r="R967" s="4"/>
      <c r="S967" s="2"/>
      <c r="T967" s="2"/>
      <c r="U967" s="1"/>
      <c r="V967" s="2"/>
      <c r="W967" s="2"/>
      <c r="X967" s="2"/>
      <c r="Y967" s="2"/>
      <c r="Z967" s="2"/>
    </row>
    <row r="968" spans="1:26" ht="15.75" customHeight="1" x14ac:dyDescent="0.2">
      <c r="A968" s="12"/>
      <c r="B968" s="10"/>
      <c r="C968" s="11"/>
      <c r="D968" s="13"/>
      <c r="E968" s="13"/>
      <c r="F968" s="13"/>
      <c r="G968" s="2"/>
      <c r="H968" s="2"/>
      <c r="I968" s="13"/>
      <c r="J968" s="13"/>
      <c r="K968" s="13"/>
      <c r="L968" s="14"/>
      <c r="M968" s="4"/>
      <c r="N968" s="2"/>
      <c r="O968" s="4"/>
      <c r="P968" s="2"/>
      <c r="Q968" s="2"/>
      <c r="R968" s="4"/>
      <c r="S968" s="2"/>
      <c r="T968" s="2"/>
      <c r="U968" s="1"/>
      <c r="V968" s="2"/>
      <c r="W968" s="2"/>
      <c r="X968" s="2"/>
      <c r="Y968" s="2"/>
      <c r="Z968" s="2"/>
    </row>
    <row r="969" spans="1:26" ht="15.75" customHeight="1" x14ac:dyDescent="0.2">
      <c r="A969" s="12"/>
      <c r="B969" s="10"/>
      <c r="C969" s="11"/>
      <c r="D969" s="13"/>
      <c r="E969" s="13"/>
      <c r="F969" s="13"/>
      <c r="G969" s="2"/>
      <c r="H969" s="2"/>
      <c r="I969" s="13"/>
      <c r="J969" s="13"/>
      <c r="K969" s="13"/>
      <c r="L969" s="14"/>
      <c r="M969" s="4"/>
      <c r="N969" s="2"/>
      <c r="O969" s="4"/>
      <c r="P969" s="2"/>
      <c r="Q969" s="2"/>
      <c r="R969" s="4"/>
      <c r="S969" s="2"/>
      <c r="T969" s="2"/>
      <c r="U969" s="1"/>
      <c r="V969" s="2"/>
      <c r="W969" s="2"/>
      <c r="X969" s="2"/>
      <c r="Y969" s="2"/>
      <c r="Z969" s="2"/>
    </row>
    <row r="970" spans="1:26" ht="15.75" customHeight="1" x14ac:dyDescent="0.2">
      <c r="A970" s="12"/>
      <c r="B970" s="10"/>
      <c r="C970" s="11"/>
      <c r="D970" s="13"/>
      <c r="E970" s="13"/>
      <c r="F970" s="13"/>
      <c r="G970" s="2"/>
      <c r="H970" s="2"/>
      <c r="I970" s="13"/>
      <c r="J970" s="13"/>
      <c r="K970" s="13"/>
      <c r="L970" s="14"/>
      <c r="M970" s="4"/>
      <c r="N970" s="2"/>
      <c r="O970" s="4"/>
      <c r="P970" s="2"/>
      <c r="Q970" s="2"/>
      <c r="R970" s="4"/>
      <c r="S970" s="2"/>
      <c r="T970" s="2"/>
      <c r="U970" s="1"/>
      <c r="V970" s="2"/>
      <c r="W970" s="2"/>
      <c r="X970" s="2"/>
      <c r="Y970" s="2"/>
      <c r="Z970" s="2"/>
    </row>
    <row r="971" spans="1:26" ht="15.75" customHeight="1" x14ac:dyDescent="0.2">
      <c r="A971" s="12"/>
      <c r="B971" s="10"/>
      <c r="C971" s="11"/>
      <c r="D971" s="13"/>
      <c r="E971" s="13"/>
      <c r="F971" s="13"/>
      <c r="G971" s="2"/>
      <c r="H971" s="2"/>
      <c r="I971" s="13"/>
      <c r="J971" s="13"/>
      <c r="K971" s="13"/>
      <c r="L971" s="14"/>
      <c r="M971" s="4"/>
      <c r="N971" s="2"/>
      <c r="O971" s="4"/>
      <c r="P971" s="2"/>
      <c r="Q971" s="2"/>
      <c r="R971" s="4"/>
      <c r="S971" s="2"/>
      <c r="T971" s="2"/>
      <c r="U971" s="1"/>
      <c r="V971" s="2"/>
      <c r="W971" s="2"/>
      <c r="X971" s="2"/>
      <c r="Y971" s="2"/>
      <c r="Z971" s="2"/>
    </row>
    <row r="972" spans="1:26" ht="15.75" customHeight="1" x14ac:dyDescent="0.2">
      <c r="A972" s="12"/>
      <c r="B972" s="10"/>
      <c r="C972" s="11"/>
      <c r="D972" s="13"/>
      <c r="E972" s="13"/>
      <c r="F972" s="13"/>
      <c r="G972" s="2"/>
      <c r="H972" s="2"/>
      <c r="I972" s="13"/>
      <c r="J972" s="13"/>
      <c r="K972" s="13"/>
      <c r="L972" s="14"/>
      <c r="M972" s="4"/>
      <c r="N972" s="2"/>
      <c r="O972" s="4"/>
      <c r="P972" s="2"/>
      <c r="Q972" s="2"/>
      <c r="R972" s="4"/>
      <c r="S972" s="2"/>
      <c r="T972" s="2"/>
      <c r="U972" s="1"/>
      <c r="V972" s="2"/>
      <c r="W972" s="2"/>
      <c r="X972" s="2"/>
      <c r="Y972" s="2"/>
      <c r="Z972" s="2"/>
    </row>
    <row r="973" spans="1:26" ht="15.75" customHeight="1" x14ac:dyDescent="0.2">
      <c r="A973" s="12"/>
      <c r="B973" s="10"/>
      <c r="C973" s="11"/>
      <c r="D973" s="13"/>
      <c r="E973" s="13"/>
      <c r="F973" s="13"/>
      <c r="G973" s="2"/>
      <c r="H973" s="2"/>
      <c r="I973" s="13"/>
      <c r="J973" s="13"/>
      <c r="K973" s="13"/>
      <c r="L973" s="14"/>
      <c r="M973" s="4"/>
      <c r="N973" s="2"/>
      <c r="O973" s="4"/>
      <c r="P973" s="2"/>
      <c r="Q973" s="2"/>
      <c r="R973" s="4"/>
      <c r="S973" s="2"/>
      <c r="T973" s="2"/>
      <c r="U973" s="1"/>
      <c r="V973" s="2"/>
      <c r="W973" s="2"/>
      <c r="X973" s="2"/>
      <c r="Y973" s="2"/>
      <c r="Z973" s="2"/>
    </row>
    <row r="974" spans="1:26" ht="15.75" customHeight="1" x14ac:dyDescent="0.2">
      <c r="A974" s="12"/>
      <c r="B974" s="10"/>
      <c r="C974" s="11"/>
      <c r="D974" s="13"/>
      <c r="E974" s="13"/>
      <c r="F974" s="13"/>
      <c r="G974" s="2"/>
      <c r="H974" s="2"/>
      <c r="I974" s="13"/>
      <c r="J974" s="13"/>
      <c r="K974" s="13"/>
      <c r="L974" s="14"/>
      <c r="M974" s="4"/>
      <c r="N974" s="2"/>
      <c r="O974" s="4"/>
      <c r="P974" s="2"/>
      <c r="Q974" s="2"/>
      <c r="R974" s="4"/>
      <c r="S974" s="2"/>
      <c r="T974" s="2"/>
      <c r="U974" s="1"/>
      <c r="V974" s="2"/>
      <c r="W974" s="2"/>
      <c r="X974" s="2"/>
      <c r="Y974" s="2"/>
      <c r="Z974" s="2"/>
    </row>
    <row r="975" spans="1:26" ht="15.75" customHeight="1" x14ac:dyDescent="0.2">
      <c r="A975" s="12"/>
      <c r="B975" s="10"/>
      <c r="C975" s="11"/>
      <c r="D975" s="13"/>
      <c r="E975" s="13"/>
      <c r="F975" s="13"/>
      <c r="G975" s="2"/>
      <c r="H975" s="2"/>
      <c r="I975" s="13"/>
      <c r="J975" s="13"/>
      <c r="K975" s="13"/>
      <c r="L975" s="14"/>
      <c r="M975" s="4"/>
      <c r="N975" s="2"/>
      <c r="O975" s="4"/>
      <c r="P975" s="2"/>
      <c r="Q975" s="2"/>
      <c r="R975" s="4"/>
      <c r="S975" s="2"/>
      <c r="T975" s="2"/>
      <c r="U975" s="1"/>
      <c r="V975" s="2"/>
      <c r="W975" s="2"/>
      <c r="X975" s="2"/>
      <c r="Y975" s="2"/>
      <c r="Z975" s="2"/>
    </row>
    <row r="976" spans="1:26" ht="15.75" customHeight="1" x14ac:dyDescent="0.2">
      <c r="A976" s="12"/>
      <c r="B976" s="10"/>
      <c r="C976" s="11"/>
      <c r="D976" s="13"/>
      <c r="E976" s="13"/>
      <c r="F976" s="13"/>
      <c r="G976" s="2"/>
      <c r="H976" s="2"/>
      <c r="I976" s="13"/>
      <c r="J976" s="13"/>
      <c r="K976" s="13"/>
      <c r="L976" s="14"/>
      <c r="M976" s="4"/>
      <c r="N976" s="2"/>
      <c r="O976" s="4"/>
      <c r="P976" s="2"/>
      <c r="Q976" s="2"/>
      <c r="R976" s="4"/>
      <c r="S976" s="2"/>
      <c r="T976" s="2"/>
      <c r="U976" s="1"/>
      <c r="V976" s="2"/>
      <c r="W976" s="2"/>
      <c r="X976" s="2"/>
      <c r="Y976" s="2"/>
      <c r="Z976" s="2"/>
    </row>
    <row r="977" spans="1:26" ht="15.75" customHeight="1" x14ac:dyDescent="0.2">
      <c r="A977" s="12"/>
      <c r="B977" s="10"/>
      <c r="C977" s="11"/>
      <c r="D977" s="13"/>
      <c r="E977" s="13"/>
      <c r="F977" s="13"/>
      <c r="G977" s="2"/>
      <c r="H977" s="2"/>
      <c r="I977" s="13"/>
      <c r="J977" s="13"/>
      <c r="K977" s="13"/>
      <c r="L977" s="14"/>
      <c r="M977" s="4"/>
      <c r="N977" s="2"/>
      <c r="O977" s="4"/>
      <c r="P977" s="2"/>
      <c r="Q977" s="2"/>
      <c r="R977" s="4"/>
      <c r="S977" s="2"/>
      <c r="T977" s="2"/>
      <c r="U977" s="1"/>
      <c r="V977" s="2"/>
      <c r="W977" s="2"/>
      <c r="X977" s="2"/>
      <c r="Y977" s="2"/>
      <c r="Z977" s="2"/>
    </row>
    <row r="978" spans="1:26" ht="15.75" customHeight="1" x14ac:dyDescent="0.2">
      <c r="A978" s="12"/>
      <c r="B978" s="10"/>
      <c r="C978" s="11"/>
      <c r="D978" s="13"/>
      <c r="E978" s="13"/>
      <c r="F978" s="13"/>
      <c r="G978" s="2"/>
      <c r="H978" s="2"/>
      <c r="I978" s="13"/>
      <c r="J978" s="13"/>
      <c r="K978" s="13"/>
      <c r="L978" s="14"/>
      <c r="M978" s="4"/>
      <c r="N978" s="2"/>
      <c r="O978" s="4"/>
      <c r="P978" s="2"/>
      <c r="Q978" s="2"/>
      <c r="R978" s="4"/>
      <c r="S978" s="2"/>
      <c r="T978" s="2"/>
      <c r="U978" s="1"/>
      <c r="V978" s="2"/>
      <c r="W978" s="2"/>
      <c r="X978" s="2"/>
      <c r="Y978" s="2"/>
      <c r="Z978" s="2"/>
    </row>
    <row r="979" spans="1:26" ht="15.75" customHeight="1" x14ac:dyDescent="0.2">
      <c r="A979" s="12"/>
      <c r="B979" s="10"/>
      <c r="C979" s="11"/>
      <c r="D979" s="13"/>
      <c r="E979" s="13"/>
      <c r="F979" s="13"/>
      <c r="G979" s="2"/>
      <c r="H979" s="2"/>
      <c r="I979" s="13"/>
      <c r="J979" s="13"/>
      <c r="K979" s="13"/>
      <c r="L979" s="14"/>
      <c r="M979" s="4"/>
      <c r="N979" s="2"/>
      <c r="O979" s="4"/>
      <c r="P979" s="2"/>
      <c r="Q979" s="2"/>
      <c r="R979" s="4"/>
      <c r="S979" s="2"/>
      <c r="T979" s="2"/>
      <c r="U979" s="1"/>
      <c r="V979" s="2"/>
      <c r="W979" s="2"/>
      <c r="X979" s="2"/>
      <c r="Y979" s="2"/>
      <c r="Z979" s="2"/>
    </row>
    <row r="980" spans="1:26" ht="15.75" customHeight="1" x14ac:dyDescent="0.2">
      <c r="A980" s="12"/>
      <c r="B980" s="10"/>
      <c r="C980" s="11"/>
      <c r="D980" s="13"/>
      <c r="E980" s="13"/>
      <c r="F980" s="13"/>
      <c r="G980" s="2"/>
      <c r="H980" s="2"/>
      <c r="I980" s="13"/>
      <c r="J980" s="13"/>
      <c r="K980" s="13"/>
      <c r="L980" s="14"/>
      <c r="M980" s="4"/>
      <c r="N980" s="2"/>
      <c r="O980" s="4"/>
      <c r="P980" s="2"/>
      <c r="Q980" s="2"/>
      <c r="R980" s="4"/>
      <c r="S980" s="2"/>
      <c r="T980" s="2"/>
      <c r="U980" s="1"/>
      <c r="V980" s="2"/>
      <c r="W980" s="2"/>
      <c r="X980" s="2"/>
      <c r="Y980" s="2"/>
      <c r="Z980" s="2"/>
    </row>
    <row r="981" spans="1:26" ht="15.75" customHeight="1" x14ac:dyDescent="0.2">
      <c r="A981" s="12"/>
      <c r="B981" s="10"/>
      <c r="C981" s="11"/>
      <c r="D981" s="13"/>
      <c r="E981" s="13"/>
      <c r="F981" s="13"/>
      <c r="G981" s="2"/>
      <c r="H981" s="2"/>
      <c r="I981" s="13"/>
      <c r="J981" s="13"/>
      <c r="K981" s="13"/>
      <c r="L981" s="14"/>
      <c r="M981" s="4"/>
      <c r="N981" s="2"/>
      <c r="O981" s="4"/>
      <c r="P981" s="2"/>
      <c r="Q981" s="2"/>
      <c r="R981" s="4"/>
      <c r="S981" s="2"/>
      <c r="T981" s="2"/>
      <c r="U981" s="1"/>
      <c r="V981" s="2"/>
      <c r="W981" s="2"/>
      <c r="X981" s="2"/>
      <c r="Y981" s="2"/>
      <c r="Z981" s="2"/>
    </row>
    <row r="982" spans="1:26" ht="15.75" customHeight="1" x14ac:dyDescent="0.2">
      <c r="A982" s="12"/>
      <c r="B982" s="10"/>
      <c r="C982" s="11"/>
      <c r="D982" s="13"/>
      <c r="E982" s="13"/>
      <c r="F982" s="13"/>
      <c r="G982" s="2"/>
      <c r="H982" s="2"/>
      <c r="I982" s="13"/>
      <c r="J982" s="13"/>
      <c r="K982" s="13"/>
      <c r="L982" s="14"/>
      <c r="M982" s="4"/>
      <c r="N982" s="2"/>
      <c r="O982" s="4"/>
      <c r="P982" s="2"/>
      <c r="Q982" s="2"/>
      <c r="R982" s="4"/>
      <c r="S982" s="2"/>
      <c r="T982" s="2"/>
      <c r="U982" s="1"/>
      <c r="V982" s="2"/>
      <c r="W982" s="2"/>
      <c r="X982" s="2"/>
      <c r="Y982" s="2"/>
      <c r="Z982" s="2"/>
    </row>
    <row r="983" spans="1:26" ht="15.75" customHeight="1" x14ac:dyDescent="0.2">
      <c r="A983" s="12"/>
      <c r="B983" s="10"/>
      <c r="C983" s="11"/>
      <c r="D983" s="13"/>
      <c r="E983" s="13"/>
      <c r="F983" s="13"/>
      <c r="G983" s="2"/>
      <c r="H983" s="2"/>
      <c r="I983" s="13"/>
      <c r="J983" s="13"/>
      <c r="K983" s="13"/>
      <c r="L983" s="14"/>
      <c r="M983" s="4"/>
      <c r="N983" s="2"/>
      <c r="O983" s="4"/>
      <c r="P983" s="2"/>
      <c r="Q983" s="2"/>
      <c r="R983" s="4"/>
      <c r="S983" s="2"/>
      <c r="T983" s="2"/>
      <c r="U983" s="1"/>
      <c r="V983" s="2"/>
      <c r="W983" s="2"/>
      <c r="X983" s="2"/>
      <c r="Y983" s="2"/>
      <c r="Z983" s="2"/>
    </row>
    <row r="984" spans="1:26" ht="15.75" customHeight="1" x14ac:dyDescent="0.2">
      <c r="A984" s="12"/>
      <c r="B984" s="10"/>
      <c r="C984" s="11"/>
      <c r="D984" s="13"/>
      <c r="E984" s="13"/>
      <c r="F984" s="13"/>
      <c r="G984" s="2"/>
      <c r="H984" s="2"/>
      <c r="I984" s="13"/>
      <c r="J984" s="13"/>
      <c r="K984" s="13"/>
      <c r="L984" s="14"/>
      <c r="M984" s="4"/>
      <c r="N984" s="2"/>
      <c r="O984" s="4"/>
      <c r="P984" s="2"/>
      <c r="Q984" s="2"/>
      <c r="R984" s="4"/>
      <c r="S984" s="2"/>
      <c r="T984" s="2"/>
      <c r="U984" s="1"/>
      <c r="V984" s="2"/>
      <c r="W984" s="2"/>
      <c r="X984" s="2"/>
      <c r="Y984" s="2"/>
      <c r="Z984" s="2"/>
    </row>
    <row r="985" spans="1:26" ht="15.75" customHeight="1" x14ac:dyDescent="0.2">
      <c r="A985" s="12"/>
      <c r="B985" s="10"/>
      <c r="C985" s="11"/>
      <c r="D985" s="13"/>
      <c r="E985" s="13"/>
      <c r="F985" s="13"/>
      <c r="G985" s="2"/>
      <c r="H985" s="2"/>
      <c r="I985" s="13"/>
      <c r="J985" s="13"/>
      <c r="K985" s="13"/>
      <c r="L985" s="14"/>
      <c r="M985" s="4"/>
      <c r="N985" s="2"/>
      <c r="O985" s="4"/>
      <c r="P985" s="2"/>
      <c r="Q985" s="2"/>
      <c r="R985" s="4"/>
      <c r="S985" s="2"/>
      <c r="T985" s="2"/>
      <c r="U985" s="1"/>
      <c r="V985" s="2"/>
      <c r="W985" s="2"/>
      <c r="X985" s="2"/>
      <c r="Y985" s="2"/>
      <c r="Z985" s="2"/>
    </row>
    <row r="986" spans="1:26" ht="15.75" customHeight="1" x14ac:dyDescent="0.2">
      <c r="A986" s="12"/>
      <c r="B986" s="10"/>
      <c r="C986" s="11"/>
      <c r="D986" s="13"/>
      <c r="E986" s="13"/>
      <c r="F986" s="13"/>
      <c r="G986" s="2"/>
      <c r="H986" s="2"/>
      <c r="I986" s="13"/>
      <c r="J986" s="13"/>
      <c r="K986" s="13"/>
      <c r="L986" s="14"/>
      <c r="M986" s="4"/>
      <c r="N986" s="2"/>
      <c r="O986" s="4"/>
      <c r="P986" s="2"/>
      <c r="Q986" s="2"/>
      <c r="R986" s="4"/>
      <c r="S986" s="2"/>
      <c r="T986" s="2"/>
      <c r="U986" s="1"/>
      <c r="V986" s="2"/>
      <c r="W986" s="2"/>
      <c r="X986" s="2"/>
      <c r="Y986" s="2"/>
      <c r="Z986" s="2"/>
    </row>
    <row r="987" spans="1:26" ht="15.75" customHeight="1" x14ac:dyDescent="0.2">
      <c r="A987" s="12"/>
      <c r="B987" s="10"/>
      <c r="C987" s="11"/>
      <c r="D987" s="13"/>
      <c r="E987" s="13"/>
      <c r="F987" s="13"/>
      <c r="G987" s="2"/>
      <c r="H987" s="2"/>
      <c r="I987" s="13"/>
      <c r="J987" s="13"/>
      <c r="K987" s="13"/>
      <c r="L987" s="14"/>
      <c r="M987" s="4"/>
      <c r="N987" s="2"/>
      <c r="O987" s="4"/>
      <c r="P987" s="2"/>
      <c r="Q987" s="2"/>
      <c r="R987" s="4"/>
      <c r="S987" s="2"/>
      <c r="T987" s="2"/>
      <c r="U987" s="1"/>
      <c r="V987" s="2"/>
      <c r="W987" s="2"/>
      <c r="X987" s="2"/>
      <c r="Y987" s="2"/>
      <c r="Z987" s="2"/>
    </row>
    <row r="988" spans="1:26" ht="15.75" customHeight="1" x14ac:dyDescent="0.2">
      <c r="A988" s="12"/>
      <c r="B988" s="10"/>
      <c r="C988" s="11"/>
      <c r="D988" s="13"/>
      <c r="E988" s="13"/>
      <c r="F988" s="13"/>
      <c r="G988" s="2"/>
      <c r="H988" s="2"/>
      <c r="I988" s="13"/>
      <c r="J988" s="13"/>
      <c r="K988" s="13"/>
      <c r="L988" s="14"/>
      <c r="M988" s="4"/>
      <c r="N988" s="2"/>
      <c r="O988" s="4"/>
      <c r="P988" s="2"/>
      <c r="Q988" s="2"/>
      <c r="R988" s="4"/>
      <c r="S988" s="2"/>
      <c r="T988" s="2"/>
      <c r="U988" s="1"/>
      <c r="V988" s="2"/>
      <c r="W988" s="2"/>
      <c r="X988" s="2"/>
      <c r="Y988" s="2"/>
      <c r="Z988" s="2"/>
    </row>
    <row r="989" spans="1:26" ht="15.75" customHeight="1" x14ac:dyDescent="0.2">
      <c r="A989" s="12"/>
      <c r="B989" s="10"/>
      <c r="C989" s="11"/>
      <c r="D989" s="13"/>
      <c r="E989" s="13"/>
      <c r="F989" s="13"/>
      <c r="G989" s="2"/>
      <c r="H989" s="2"/>
      <c r="I989" s="13"/>
      <c r="J989" s="13"/>
      <c r="K989" s="13"/>
      <c r="L989" s="14"/>
      <c r="M989" s="4"/>
      <c r="N989" s="2"/>
      <c r="O989" s="4"/>
      <c r="P989" s="2"/>
      <c r="Q989" s="2"/>
      <c r="R989" s="4"/>
      <c r="S989" s="2"/>
      <c r="T989" s="2"/>
      <c r="U989" s="1"/>
      <c r="V989" s="2"/>
      <c r="W989" s="2"/>
      <c r="X989" s="2"/>
      <c r="Y989" s="2"/>
      <c r="Z989" s="2"/>
    </row>
    <row r="990" spans="1:26" ht="15.75" customHeight="1" x14ac:dyDescent="0.2">
      <c r="A990" s="12"/>
      <c r="B990" s="10"/>
      <c r="C990" s="11"/>
      <c r="D990" s="13"/>
      <c r="E990" s="13"/>
      <c r="F990" s="13"/>
      <c r="G990" s="2"/>
      <c r="H990" s="2"/>
      <c r="I990" s="13"/>
      <c r="J990" s="13"/>
      <c r="K990" s="13"/>
      <c r="L990" s="14"/>
      <c r="M990" s="4"/>
      <c r="N990" s="2"/>
      <c r="O990" s="4"/>
      <c r="P990" s="2"/>
      <c r="Q990" s="2"/>
      <c r="R990" s="4"/>
      <c r="S990" s="2"/>
      <c r="T990" s="2"/>
      <c r="U990" s="1"/>
      <c r="V990" s="2"/>
      <c r="W990" s="2"/>
      <c r="X990" s="2"/>
      <c r="Y990" s="2"/>
      <c r="Z990" s="2"/>
    </row>
    <row r="991" spans="1:26" ht="15.75" customHeight="1" x14ac:dyDescent="0.2">
      <c r="A991" s="12"/>
      <c r="B991" s="10"/>
      <c r="C991" s="11"/>
      <c r="D991" s="13"/>
      <c r="E991" s="13"/>
      <c r="F991" s="13"/>
      <c r="G991" s="2"/>
      <c r="H991" s="2"/>
      <c r="I991" s="13"/>
      <c r="J991" s="13"/>
      <c r="K991" s="13"/>
      <c r="L991" s="14"/>
      <c r="M991" s="4"/>
      <c r="N991" s="2"/>
      <c r="O991" s="4"/>
      <c r="P991" s="2"/>
      <c r="Q991" s="2"/>
      <c r="R991" s="4"/>
      <c r="S991" s="2"/>
      <c r="T991" s="2"/>
      <c r="U991" s="1"/>
      <c r="V991" s="2"/>
      <c r="W991" s="2"/>
      <c r="X991" s="2"/>
      <c r="Y991" s="2"/>
      <c r="Z991" s="2"/>
    </row>
    <row r="992" spans="1:26" ht="15.75" customHeight="1" x14ac:dyDescent="0.2">
      <c r="A992" s="12"/>
      <c r="B992" s="10"/>
      <c r="C992" s="11"/>
      <c r="D992" s="13"/>
      <c r="E992" s="13"/>
      <c r="F992" s="13"/>
      <c r="G992" s="2"/>
      <c r="H992" s="2"/>
      <c r="I992" s="13"/>
      <c r="J992" s="13"/>
      <c r="K992" s="13"/>
      <c r="L992" s="14"/>
      <c r="M992" s="4"/>
      <c r="N992" s="2"/>
      <c r="O992" s="4"/>
      <c r="P992" s="2"/>
      <c r="Q992" s="2"/>
      <c r="R992" s="4"/>
      <c r="S992" s="2"/>
      <c r="T992" s="2"/>
      <c r="U992" s="1"/>
      <c r="V992" s="2"/>
      <c r="W992" s="2"/>
      <c r="X992" s="2"/>
      <c r="Y992" s="2"/>
      <c r="Z992" s="2"/>
    </row>
    <row r="993" spans="1:26" ht="15.75" customHeight="1" x14ac:dyDescent="0.2">
      <c r="A993" s="12"/>
      <c r="B993" s="10"/>
      <c r="C993" s="11"/>
      <c r="D993" s="13"/>
      <c r="E993" s="13"/>
      <c r="F993" s="13"/>
      <c r="G993" s="2"/>
      <c r="H993" s="2"/>
      <c r="I993" s="13"/>
      <c r="J993" s="13"/>
      <c r="K993" s="13"/>
      <c r="L993" s="14"/>
      <c r="M993" s="4"/>
      <c r="N993" s="2"/>
      <c r="O993" s="4"/>
      <c r="P993" s="2"/>
      <c r="Q993" s="2"/>
      <c r="R993" s="4"/>
      <c r="S993" s="2"/>
      <c r="T993" s="2"/>
      <c r="U993" s="1"/>
      <c r="V993" s="2"/>
      <c r="W993" s="2"/>
      <c r="X993" s="2"/>
      <c r="Y993" s="2"/>
      <c r="Z993" s="2"/>
    </row>
    <row r="994" spans="1:26" ht="15.75" customHeight="1" x14ac:dyDescent="0.2">
      <c r="A994" s="12"/>
      <c r="B994" s="10"/>
      <c r="C994" s="11"/>
      <c r="D994" s="13"/>
      <c r="E994" s="13"/>
      <c r="F994" s="13"/>
      <c r="G994" s="2"/>
      <c r="H994" s="2"/>
      <c r="I994" s="13"/>
      <c r="J994" s="13"/>
      <c r="K994" s="13"/>
      <c r="L994" s="14"/>
      <c r="M994" s="4"/>
      <c r="N994" s="2"/>
      <c r="O994" s="4"/>
      <c r="P994" s="2"/>
      <c r="Q994" s="2"/>
      <c r="R994" s="4"/>
      <c r="S994" s="2"/>
      <c r="T994" s="2"/>
      <c r="U994" s="1"/>
      <c r="V994" s="2"/>
      <c r="W994" s="2"/>
      <c r="X994" s="2"/>
      <c r="Y994" s="2"/>
      <c r="Z994" s="2"/>
    </row>
    <row r="995" spans="1:26" ht="15.75" customHeight="1" x14ac:dyDescent="0.2">
      <c r="A995" s="12"/>
      <c r="B995" s="10"/>
      <c r="C995" s="11"/>
      <c r="D995" s="13"/>
      <c r="E995" s="13"/>
      <c r="F995" s="13"/>
      <c r="G995" s="2"/>
      <c r="H995" s="2"/>
      <c r="I995" s="13"/>
      <c r="J995" s="13"/>
      <c r="K995" s="13"/>
      <c r="L995" s="14"/>
      <c r="M995" s="4"/>
      <c r="N995" s="2"/>
      <c r="O995" s="4"/>
      <c r="P995" s="2"/>
      <c r="Q995" s="2"/>
      <c r="R995" s="4"/>
      <c r="S995" s="2"/>
      <c r="T995" s="2"/>
      <c r="U995" s="1"/>
      <c r="V995" s="2"/>
      <c r="W995" s="2"/>
      <c r="X995" s="2"/>
      <c r="Y995" s="2"/>
      <c r="Z995" s="2"/>
    </row>
    <row r="996" spans="1:26" ht="15.75" customHeight="1" x14ac:dyDescent="0.2">
      <c r="A996" s="12"/>
      <c r="B996" s="10"/>
      <c r="C996" s="11"/>
      <c r="D996" s="13"/>
      <c r="E996" s="13"/>
      <c r="F996" s="13"/>
      <c r="G996" s="2"/>
      <c r="H996" s="2"/>
      <c r="I996" s="13"/>
      <c r="J996" s="13"/>
      <c r="K996" s="13"/>
      <c r="L996" s="14"/>
      <c r="M996" s="4"/>
      <c r="N996" s="2"/>
      <c r="O996" s="4"/>
      <c r="P996" s="2"/>
      <c r="Q996" s="2"/>
      <c r="R996" s="4"/>
      <c r="S996" s="2"/>
      <c r="T996" s="2"/>
      <c r="U996" s="1"/>
      <c r="V996" s="2"/>
      <c r="W996" s="2"/>
      <c r="X996" s="2"/>
      <c r="Y996" s="2"/>
      <c r="Z996" s="2"/>
    </row>
    <row r="997" spans="1:26" ht="15.75" customHeight="1" x14ac:dyDescent="0.2">
      <c r="A997" s="12"/>
      <c r="B997" s="10"/>
      <c r="C997" s="11"/>
      <c r="D997" s="13"/>
      <c r="E997" s="13"/>
      <c r="F997" s="13"/>
      <c r="G997" s="2"/>
      <c r="H997" s="2"/>
      <c r="I997" s="13"/>
      <c r="J997" s="13"/>
      <c r="K997" s="13"/>
      <c r="L997" s="14"/>
      <c r="M997" s="4"/>
      <c r="N997" s="2"/>
      <c r="O997" s="4"/>
      <c r="P997" s="2"/>
      <c r="Q997" s="2"/>
      <c r="R997" s="4"/>
      <c r="S997" s="2"/>
      <c r="T997" s="2"/>
      <c r="U997" s="1"/>
      <c r="V997" s="2"/>
      <c r="W997" s="2"/>
      <c r="X997" s="2"/>
      <c r="Y997" s="2"/>
      <c r="Z997" s="2"/>
    </row>
    <row r="998" spans="1:26" ht="15.75" customHeight="1" x14ac:dyDescent="0.2">
      <c r="A998" s="12"/>
      <c r="B998" s="10"/>
      <c r="C998" s="11"/>
      <c r="D998" s="13"/>
      <c r="E998" s="13"/>
      <c r="F998" s="13"/>
      <c r="G998" s="2"/>
      <c r="H998" s="2"/>
      <c r="I998" s="13"/>
      <c r="J998" s="13"/>
      <c r="K998" s="13"/>
      <c r="L998" s="14"/>
      <c r="M998" s="4"/>
      <c r="N998" s="2"/>
      <c r="O998" s="4"/>
      <c r="P998" s="2"/>
      <c r="Q998" s="2"/>
      <c r="R998" s="4"/>
      <c r="S998" s="2"/>
      <c r="T998" s="2"/>
      <c r="U998" s="1"/>
      <c r="V998" s="2"/>
      <c r="W998" s="2"/>
      <c r="X998" s="2"/>
      <c r="Y998" s="2"/>
      <c r="Z998" s="2"/>
    </row>
    <row r="999" spans="1:26" ht="15.75" customHeight="1" x14ac:dyDescent="0.2">
      <c r="A999" s="12"/>
      <c r="B999" s="10"/>
      <c r="C999" s="11"/>
      <c r="D999" s="13"/>
      <c r="E999" s="13"/>
      <c r="F999" s="13"/>
      <c r="G999" s="2"/>
      <c r="H999" s="2"/>
      <c r="I999" s="13"/>
      <c r="J999" s="13"/>
      <c r="K999" s="13"/>
      <c r="L999" s="14"/>
      <c r="M999" s="4"/>
      <c r="N999" s="2"/>
      <c r="O999" s="4"/>
      <c r="P999" s="2"/>
      <c r="Q999" s="2"/>
      <c r="R999" s="4"/>
      <c r="S999" s="2"/>
      <c r="T999" s="2"/>
      <c r="U999" s="1"/>
      <c r="V999" s="2"/>
      <c r="W999" s="2"/>
      <c r="X999" s="2"/>
      <c r="Y999" s="2"/>
      <c r="Z999" s="2"/>
    </row>
    <row r="1000" spans="1:26" ht="15.75" customHeight="1" x14ac:dyDescent="0.2">
      <c r="A1000" s="12"/>
      <c r="B1000" s="10"/>
      <c r="C1000" s="11"/>
      <c r="D1000" s="13"/>
      <c r="E1000" s="13"/>
      <c r="F1000" s="13"/>
      <c r="G1000" s="2"/>
      <c r="H1000" s="2"/>
      <c r="I1000" s="13"/>
      <c r="J1000" s="13"/>
      <c r="K1000" s="13"/>
      <c r="L1000" s="14"/>
      <c r="M1000" s="4"/>
      <c r="N1000" s="2"/>
      <c r="O1000" s="4"/>
      <c r="P1000" s="2"/>
      <c r="Q1000" s="2"/>
      <c r="R1000" s="4"/>
      <c r="S1000" s="2"/>
      <c r="T1000" s="2"/>
      <c r="U1000" s="1"/>
      <c r="V1000" s="2"/>
      <c r="W1000" s="2"/>
      <c r="X1000" s="2"/>
      <c r="Y1000" s="2"/>
      <c r="Z1000" s="2"/>
    </row>
    <row r="1001" spans="1:26" ht="15.75" customHeight="1" x14ac:dyDescent="0.2">
      <c r="A1001" s="12"/>
      <c r="B1001" s="10"/>
      <c r="C1001" s="11"/>
      <c r="D1001" s="13"/>
      <c r="E1001" s="13"/>
      <c r="F1001" s="13"/>
      <c r="G1001" s="2"/>
      <c r="H1001" s="2"/>
      <c r="I1001" s="13"/>
      <c r="J1001" s="13"/>
      <c r="K1001" s="13"/>
      <c r="L1001" s="14"/>
      <c r="M1001" s="4"/>
      <c r="N1001" s="2"/>
      <c r="O1001" s="4"/>
      <c r="P1001" s="2"/>
      <c r="Q1001" s="2"/>
      <c r="R1001" s="4"/>
      <c r="S1001" s="2"/>
      <c r="T1001" s="2"/>
      <c r="U1001" s="1"/>
      <c r="V1001" s="2"/>
      <c r="W1001" s="2"/>
      <c r="X1001" s="2"/>
      <c r="Y1001" s="2"/>
      <c r="Z1001" s="2"/>
    </row>
    <row r="1002" spans="1:26" ht="15.75" customHeight="1" x14ac:dyDescent="0.2">
      <c r="A1002" s="12"/>
      <c r="B1002" s="10"/>
      <c r="C1002" s="11"/>
      <c r="D1002" s="13"/>
      <c r="E1002" s="13"/>
      <c r="F1002" s="13"/>
      <c r="G1002" s="2"/>
      <c r="H1002" s="2"/>
      <c r="I1002" s="13"/>
      <c r="J1002" s="13"/>
      <c r="K1002" s="13"/>
      <c r="L1002" s="14"/>
      <c r="M1002" s="4"/>
      <c r="N1002" s="2"/>
      <c r="O1002" s="4"/>
      <c r="P1002" s="2"/>
      <c r="Q1002" s="2"/>
      <c r="R1002" s="4"/>
      <c r="S1002" s="2"/>
      <c r="T1002" s="2"/>
      <c r="U1002" s="1"/>
      <c r="V1002" s="2"/>
      <c r="W1002" s="2"/>
      <c r="X1002" s="2"/>
      <c r="Y1002" s="2"/>
      <c r="Z1002" s="2"/>
    </row>
    <row r="1003" spans="1:26" ht="15.75" customHeight="1" x14ac:dyDescent="0.2">
      <c r="A1003" s="12"/>
      <c r="B1003" s="10"/>
      <c r="C1003" s="11"/>
      <c r="D1003" s="13"/>
      <c r="E1003" s="13"/>
      <c r="F1003" s="13"/>
      <c r="G1003" s="2"/>
      <c r="H1003" s="2"/>
      <c r="I1003" s="13"/>
      <c r="J1003" s="13"/>
      <c r="K1003" s="13"/>
      <c r="L1003" s="14"/>
      <c r="M1003" s="4"/>
      <c r="N1003" s="2"/>
      <c r="O1003" s="4"/>
      <c r="P1003" s="2"/>
      <c r="Q1003" s="2"/>
      <c r="R1003" s="4"/>
      <c r="S1003" s="2"/>
      <c r="T1003" s="2"/>
      <c r="U1003" s="1"/>
      <c r="V1003" s="2"/>
      <c r="W1003" s="2"/>
      <c r="X1003" s="2"/>
      <c r="Y1003" s="2"/>
      <c r="Z1003" s="2"/>
    </row>
    <row r="1004" spans="1:26" ht="15.75" customHeight="1" x14ac:dyDescent="0.2">
      <c r="A1004" s="12"/>
      <c r="B1004" s="10"/>
      <c r="C1004" s="11"/>
      <c r="D1004" s="13"/>
      <c r="E1004" s="13"/>
      <c r="F1004" s="13"/>
      <c r="G1004" s="2"/>
      <c r="H1004" s="2"/>
      <c r="I1004" s="13"/>
      <c r="J1004" s="13"/>
      <c r="K1004" s="13"/>
      <c r="L1004" s="14"/>
      <c r="M1004" s="4"/>
      <c r="N1004" s="2"/>
      <c r="O1004" s="4"/>
      <c r="P1004" s="2"/>
      <c r="Q1004" s="2"/>
      <c r="R1004" s="4"/>
      <c r="S1004" s="2"/>
      <c r="T1004" s="2"/>
      <c r="U1004" s="1"/>
      <c r="V1004" s="2"/>
      <c r="W1004" s="2"/>
      <c r="X1004" s="2"/>
      <c r="Y1004" s="2"/>
      <c r="Z1004" s="2"/>
    </row>
    <row r="1005" spans="1:26" ht="15.75" customHeight="1" x14ac:dyDescent="0.2">
      <c r="A1005" s="12"/>
      <c r="B1005" s="10"/>
      <c r="C1005" s="11"/>
      <c r="D1005" s="13"/>
      <c r="E1005" s="13"/>
      <c r="F1005" s="13"/>
      <c r="G1005" s="2"/>
      <c r="H1005" s="2"/>
      <c r="I1005" s="13"/>
      <c r="J1005" s="13"/>
      <c r="K1005" s="13"/>
      <c r="L1005" s="14"/>
      <c r="M1005" s="4"/>
      <c r="N1005" s="2"/>
      <c r="O1005" s="4"/>
      <c r="P1005" s="2"/>
      <c r="Q1005" s="2"/>
      <c r="R1005" s="4"/>
      <c r="S1005" s="2"/>
      <c r="T1005" s="2"/>
      <c r="U1005" s="1"/>
      <c r="V1005" s="2"/>
      <c r="W1005" s="2"/>
      <c r="X1005" s="2"/>
      <c r="Y1005" s="2"/>
      <c r="Z1005" s="2"/>
    </row>
    <row r="1006" spans="1:26" ht="15.75" customHeight="1" x14ac:dyDescent="0.2">
      <c r="A1006" s="12"/>
      <c r="B1006" s="10"/>
      <c r="C1006" s="11"/>
      <c r="D1006" s="13"/>
      <c r="E1006" s="13"/>
      <c r="F1006" s="13"/>
      <c r="G1006" s="2"/>
      <c r="H1006" s="2"/>
      <c r="I1006" s="13"/>
      <c r="J1006" s="13"/>
      <c r="K1006" s="13"/>
      <c r="L1006" s="14"/>
      <c r="M1006" s="4"/>
      <c r="N1006" s="2"/>
      <c r="O1006" s="4"/>
      <c r="P1006" s="2"/>
      <c r="Q1006" s="2"/>
      <c r="R1006" s="4"/>
      <c r="S1006" s="2"/>
      <c r="T1006" s="2"/>
      <c r="U1006" s="1"/>
      <c r="V1006" s="2"/>
      <c r="W1006" s="2"/>
      <c r="X1006" s="2"/>
      <c r="Y1006" s="2"/>
      <c r="Z1006" s="2"/>
    </row>
    <row r="1007" spans="1:26" ht="15.75" customHeight="1" x14ac:dyDescent="0.2">
      <c r="A1007" s="12"/>
      <c r="B1007" s="10"/>
      <c r="C1007" s="11"/>
      <c r="D1007" s="13"/>
      <c r="E1007" s="13"/>
      <c r="F1007" s="13"/>
      <c r="G1007" s="2"/>
      <c r="H1007" s="2"/>
      <c r="I1007" s="13"/>
      <c r="J1007" s="13"/>
      <c r="K1007" s="13"/>
      <c r="L1007" s="14"/>
      <c r="M1007" s="4"/>
      <c r="N1007" s="2"/>
      <c r="O1007" s="4"/>
      <c r="P1007" s="2"/>
      <c r="Q1007" s="2"/>
      <c r="R1007" s="4"/>
      <c r="S1007" s="2"/>
      <c r="T1007" s="2"/>
      <c r="U1007" s="1"/>
      <c r="V1007" s="2"/>
      <c r="W1007" s="2"/>
      <c r="X1007" s="2"/>
      <c r="Y1007" s="2"/>
      <c r="Z1007" s="2"/>
    </row>
    <row r="1008" spans="1:26" ht="15.75" customHeight="1" x14ac:dyDescent="0.2">
      <c r="A1008" s="12"/>
      <c r="B1008" s="10"/>
      <c r="C1008" s="11"/>
      <c r="D1008" s="13"/>
      <c r="E1008" s="13"/>
      <c r="F1008" s="13"/>
      <c r="G1008" s="2"/>
      <c r="H1008" s="2"/>
      <c r="I1008" s="13"/>
      <c r="J1008" s="13"/>
      <c r="K1008" s="13"/>
      <c r="L1008" s="14"/>
      <c r="M1008" s="4"/>
      <c r="N1008" s="2"/>
      <c r="O1008" s="4"/>
      <c r="P1008" s="2"/>
      <c r="Q1008" s="2"/>
      <c r="R1008" s="4"/>
      <c r="S1008" s="2"/>
      <c r="T1008" s="2"/>
      <c r="U1008" s="1"/>
      <c r="V1008" s="2"/>
      <c r="W1008" s="2"/>
      <c r="X1008" s="2"/>
      <c r="Y1008" s="2"/>
      <c r="Z1008" s="2"/>
    </row>
    <row r="1009" spans="1:26" ht="15.75" customHeight="1" x14ac:dyDescent="0.2">
      <c r="A1009" s="12"/>
      <c r="B1009" s="10"/>
      <c r="C1009" s="11"/>
      <c r="D1009" s="13"/>
      <c r="E1009" s="13"/>
      <c r="F1009" s="13"/>
      <c r="G1009" s="2"/>
      <c r="H1009" s="2"/>
      <c r="I1009" s="13"/>
      <c r="J1009" s="13"/>
      <c r="K1009" s="13"/>
      <c r="L1009" s="14"/>
      <c r="M1009" s="4"/>
      <c r="N1009" s="2"/>
      <c r="O1009" s="4"/>
      <c r="P1009" s="2"/>
      <c r="Q1009" s="2"/>
      <c r="R1009" s="4"/>
      <c r="S1009" s="2"/>
      <c r="T1009" s="2"/>
      <c r="U1009" s="1"/>
      <c r="V1009" s="2"/>
      <c r="W1009" s="2"/>
      <c r="X1009" s="2"/>
      <c r="Y1009" s="2"/>
      <c r="Z1009" s="2"/>
    </row>
    <row r="1010" spans="1:26" ht="15.75" customHeight="1" x14ac:dyDescent="0.2">
      <c r="A1010" s="12"/>
      <c r="B1010" s="10"/>
      <c r="C1010" s="11"/>
      <c r="D1010" s="13"/>
      <c r="E1010" s="13"/>
      <c r="F1010" s="13"/>
      <c r="G1010" s="2"/>
      <c r="H1010" s="2"/>
      <c r="I1010" s="13"/>
      <c r="J1010" s="13"/>
      <c r="K1010" s="13"/>
      <c r="L1010" s="14"/>
      <c r="M1010" s="4"/>
      <c r="N1010" s="2"/>
      <c r="O1010" s="4"/>
      <c r="P1010" s="2"/>
      <c r="Q1010" s="2"/>
      <c r="R1010" s="4"/>
      <c r="S1010" s="2"/>
      <c r="T1010" s="2"/>
      <c r="U1010" s="1"/>
      <c r="V1010" s="2"/>
      <c r="W1010" s="2"/>
      <c r="X1010" s="2"/>
      <c r="Y1010" s="2"/>
      <c r="Z1010" s="2"/>
    </row>
    <row r="1011" spans="1:26" ht="15.75" customHeight="1" x14ac:dyDescent="0.2">
      <c r="A1011" s="12"/>
      <c r="B1011" s="10"/>
      <c r="C1011" s="11"/>
      <c r="D1011" s="13"/>
      <c r="E1011" s="13"/>
      <c r="F1011" s="13"/>
      <c r="G1011" s="2"/>
      <c r="H1011" s="2"/>
      <c r="I1011" s="13"/>
      <c r="J1011" s="13"/>
      <c r="K1011" s="13"/>
      <c r="L1011" s="14"/>
      <c r="M1011" s="4"/>
      <c r="N1011" s="2"/>
      <c r="O1011" s="4"/>
      <c r="P1011" s="2"/>
      <c r="Q1011" s="2"/>
      <c r="R1011" s="4"/>
      <c r="S1011" s="2"/>
      <c r="T1011" s="2"/>
      <c r="U1011" s="1"/>
      <c r="V1011" s="2"/>
      <c r="W1011" s="2"/>
      <c r="X1011" s="2"/>
      <c r="Y1011" s="2"/>
      <c r="Z1011" s="2"/>
    </row>
    <row r="1012" spans="1:26" ht="15.75" customHeight="1" x14ac:dyDescent="0.2">
      <c r="A1012" s="12"/>
      <c r="B1012" s="10"/>
      <c r="C1012" s="11"/>
      <c r="D1012" s="13"/>
      <c r="E1012" s="13"/>
      <c r="F1012" s="13"/>
      <c r="G1012" s="2"/>
      <c r="H1012" s="2"/>
      <c r="I1012" s="13"/>
      <c r="J1012" s="13"/>
      <c r="K1012" s="13"/>
      <c r="L1012" s="14"/>
      <c r="M1012" s="4"/>
      <c r="N1012" s="2"/>
      <c r="O1012" s="4"/>
      <c r="P1012" s="2"/>
      <c r="Q1012" s="2"/>
      <c r="R1012" s="4"/>
      <c r="S1012" s="2"/>
      <c r="T1012" s="2"/>
      <c r="U1012" s="1"/>
      <c r="V1012" s="2"/>
      <c r="W1012" s="2"/>
      <c r="X1012" s="2"/>
      <c r="Y1012" s="2"/>
      <c r="Z1012" s="2"/>
    </row>
    <row r="1013" spans="1:26" ht="15.75" customHeight="1" x14ac:dyDescent="0.2">
      <c r="A1013" s="12"/>
      <c r="B1013" s="10"/>
      <c r="C1013" s="11"/>
      <c r="D1013" s="13"/>
      <c r="E1013" s="13"/>
      <c r="F1013" s="13"/>
      <c r="G1013" s="2"/>
      <c r="H1013" s="2"/>
      <c r="I1013" s="13"/>
      <c r="J1013" s="13"/>
      <c r="K1013" s="13"/>
      <c r="L1013" s="14"/>
      <c r="M1013" s="4"/>
      <c r="N1013" s="2"/>
      <c r="O1013" s="4"/>
      <c r="P1013" s="2"/>
      <c r="Q1013" s="2"/>
      <c r="R1013" s="4"/>
      <c r="S1013" s="2"/>
      <c r="T1013" s="2"/>
      <c r="U1013" s="1"/>
      <c r="V1013" s="2"/>
      <c r="W1013" s="2"/>
      <c r="X1013" s="2"/>
      <c r="Y1013" s="2"/>
      <c r="Z1013" s="2"/>
    </row>
    <row r="1014" spans="1:26" ht="15.75" customHeight="1" x14ac:dyDescent="0.2">
      <c r="A1014" s="12"/>
      <c r="B1014" s="10"/>
      <c r="C1014" s="11"/>
      <c r="D1014" s="13"/>
      <c r="E1014" s="13"/>
      <c r="F1014" s="13"/>
      <c r="G1014" s="2"/>
      <c r="H1014" s="2"/>
      <c r="I1014" s="13"/>
      <c r="J1014" s="13"/>
      <c r="K1014" s="13"/>
      <c r="L1014" s="14"/>
      <c r="M1014" s="4"/>
      <c r="N1014" s="2"/>
      <c r="O1014" s="4"/>
      <c r="P1014" s="2"/>
      <c r="Q1014" s="2"/>
      <c r="R1014" s="4"/>
      <c r="S1014" s="2"/>
      <c r="T1014" s="2"/>
      <c r="U1014" s="1"/>
      <c r="V1014" s="2"/>
      <c r="W1014" s="2"/>
      <c r="X1014" s="2"/>
      <c r="Y1014" s="2"/>
      <c r="Z1014" s="2"/>
    </row>
    <row r="1015" spans="1:26" ht="15.75" customHeight="1" x14ac:dyDescent="0.2">
      <c r="A1015" s="12"/>
      <c r="B1015" s="10"/>
      <c r="C1015" s="11"/>
      <c r="D1015" s="13"/>
      <c r="E1015" s="13"/>
      <c r="F1015" s="13"/>
      <c r="G1015" s="2"/>
      <c r="H1015" s="2"/>
      <c r="I1015" s="13"/>
      <c r="J1015" s="13"/>
      <c r="K1015" s="13"/>
      <c r="L1015" s="14"/>
      <c r="M1015" s="4"/>
      <c r="N1015" s="2"/>
      <c r="O1015" s="4"/>
      <c r="P1015" s="2"/>
      <c r="Q1015" s="2"/>
      <c r="R1015" s="4"/>
      <c r="S1015" s="2"/>
      <c r="T1015" s="2"/>
      <c r="U1015" s="1"/>
      <c r="V1015" s="2"/>
      <c r="W1015" s="2"/>
      <c r="X1015" s="2"/>
      <c r="Y1015" s="2"/>
      <c r="Z1015" s="2"/>
    </row>
    <row r="1016" spans="1:26" ht="15.75" customHeight="1" x14ac:dyDescent="0.2">
      <c r="A1016" s="12"/>
      <c r="B1016" s="10"/>
      <c r="C1016" s="11"/>
      <c r="D1016" s="13"/>
      <c r="E1016" s="13"/>
      <c r="F1016" s="13"/>
      <c r="G1016" s="2"/>
      <c r="H1016" s="2"/>
      <c r="I1016" s="13"/>
      <c r="J1016" s="13"/>
      <c r="K1016" s="13"/>
      <c r="L1016" s="14"/>
      <c r="M1016" s="4"/>
      <c r="N1016" s="2"/>
      <c r="O1016" s="4"/>
      <c r="P1016" s="2"/>
      <c r="Q1016" s="2"/>
      <c r="R1016" s="4"/>
      <c r="S1016" s="2"/>
      <c r="T1016" s="2"/>
      <c r="U1016" s="1"/>
      <c r="V1016" s="2"/>
      <c r="W1016" s="2"/>
      <c r="X1016" s="2"/>
      <c r="Y1016" s="2"/>
      <c r="Z1016" s="2"/>
    </row>
    <row r="1017" spans="1:26" ht="15.75" customHeight="1" x14ac:dyDescent="0.2">
      <c r="A1017" s="12"/>
      <c r="B1017" s="10"/>
      <c r="C1017" s="11"/>
      <c r="D1017" s="13"/>
      <c r="E1017" s="13"/>
      <c r="F1017" s="13"/>
      <c r="G1017" s="2"/>
      <c r="H1017" s="2"/>
      <c r="I1017" s="13"/>
      <c r="J1017" s="13"/>
      <c r="K1017" s="13"/>
      <c r="L1017" s="14"/>
      <c r="M1017" s="4"/>
      <c r="N1017" s="2"/>
      <c r="O1017" s="4"/>
      <c r="P1017" s="2"/>
      <c r="Q1017" s="2"/>
      <c r="R1017" s="4"/>
      <c r="S1017" s="2"/>
      <c r="T1017" s="2"/>
      <c r="U1017" s="1"/>
      <c r="V1017" s="2"/>
      <c r="W1017" s="2"/>
      <c r="X1017" s="2"/>
      <c r="Y1017" s="2"/>
      <c r="Z1017" s="2"/>
    </row>
    <row r="1018" spans="1:26" ht="15.75" customHeight="1" x14ac:dyDescent="0.2">
      <c r="A1018" s="12"/>
      <c r="B1018" s="10"/>
      <c r="C1018" s="11"/>
      <c r="D1018" s="13"/>
      <c r="E1018" s="13"/>
      <c r="F1018" s="13"/>
      <c r="G1018" s="2"/>
      <c r="H1018" s="2"/>
      <c r="I1018" s="13"/>
      <c r="J1018" s="13"/>
      <c r="K1018" s="13"/>
      <c r="L1018" s="14"/>
      <c r="M1018" s="4"/>
      <c r="N1018" s="2"/>
      <c r="O1018" s="4"/>
      <c r="P1018" s="2"/>
      <c r="Q1018" s="2"/>
      <c r="R1018" s="4"/>
      <c r="S1018" s="2"/>
      <c r="T1018" s="2"/>
      <c r="U1018" s="1"/>
      <c r="V1018" s="2"/>
      <c r="W1018" s="2"/>
      <c r="X1018" s="2"/>
      <c r="Y1018" s="2"/>
      <c r="Z1018" s="2"/>
    </row>
    <row r="1019" spans="1:26" ht="15.75" customHeight="1" x14ac:dyDescent="0.2">
      <c r="A1019" s="12"/>
      <c r="B1019" s="10"/>
      <c r="C1019" s="11"/>
      <c r="D1019" s="13"/>
      <c r="E1019" s="13"/>
      <c r="F1019" s="13"/>
      <c r="G1019" s="2"/>
      <c r="H1019" s="2"/>
      <c r="I1019" s="13"/>
      <c r="J1019" s="13"/>
      <c r="K1019" s="13"/>
      <c r="L1019" s="14"/>
      <c r="M1019" s="4"/>
      <c r="N1019" s="2"/>
      <c r="O1019" s="4"/>
      <c r="P1019" s="2"/>
      <c r="Q1019" s="2"/>
      <c r="R1019" s="4"/>
      <c r="S1019" s="2"/>
      <c r="T1019" s="2"/>
      <c r="U1019" s="1"/>
      <c r="V1019" s="2"/>
      <c r="W1019" s="2"/>
      <c r="X1019" s="2"/>
      <c r="Y1019" s="2"/>
      <c r="Z1019" s="2"/>
    </row>
    <row r="1020" spans="1:26" ht="15.75" customHeight="1" x14ac:dyDescent="0.2">
      <c r="A1020" s="12"/>
      <c r="B1020" s="10"/>
      <c r="C1020" s="11"/>
      <c r="D1020" s="13"/>
      <c r="E1020" s="13"/>
      <c r="F1020" s="13"/>
      <c r="G1020" s="2"/>
      <c r="H1020" s="2"/>
      <c r="I1020" s="13"/>
      <c r="J1020" s="13"/>
      <c r="K1020" s="13"/>
      <c r="L1020" s="14"/>
      <c r="M1020" s="4"/>
      <c r="N1020" s="2"/>
      <c r="O1020" s="4"/>
      <c r="P1020" s="2"/>
      <c r="Q1020" s="2"/>
      <c r="R1020" s="4"/>
      <c r="S1020" s="2"/>
      <c r="T1020" s="2"/>
      <c r="U1020" s="1"/>
      <c r="V1020" s="2"/>
      <c r="W1020" s="2"/>
      <c r="X1020" s="2"/>
      <c r="Y1020" s="2"/>
      <c r="Z1020" s="2"/>
    </row>
    <row r="1021" spans="1:26" ht="15.75" customHeight="1" x14ac:dyDescent="0.2">
      <c r="A1021" s="12"/>
      <c r="B1021" s="10"/>
      <c r="C1021" s="11"/>
      <c r="D1021" s="13"/>
      <c r="E1021" s="13"/>
      <c r="F1021" s="13"/>
      <c r="G1021" s="2"/>
      <c r="H1021" s="2"/>
      <c r="I1021" s="13"/>
      <c r="J1021" s="13"/>
      <c r="K1021" s="13"/>
      <c r="L1021" s="14"/>
      <c r="M1021" s="4"/>
      <c r="N1021" s="2"/>
      <c r="O1021" s="4"/>
      <c r="P1021" s="2"/>
      <c r="Q1021" s="2"/>
      <c r="R1021" s="4"/>
      <c r="S1021" s="2"/>
      <c r="T1021" s="2"/>
      <c r="U1021" s="1"/>
      <c r="V1021" s="2"/>
      <c r="W1021" s="2"/>
      <c r="X1021" s="2"/>
      <c r="Y1021" s="2"/>
      <c r="Z1021" s="2"/>
    </row>
    <row r="1022" spans="1:26" ht="15.75" customHeight="1" x14ac:dyDescent="0.2">
      <c r="A1022" s="12"/>
      <c r="B1022" s="10"/>
      <c r="C1022" s="11"/>
      <c r="D1022" s="13"/>
      <c r="E1022" s="13"/>
      <c r="F1022" s="13"/>
      <c r="G1022" s="2"/>
      <c r="H1022" s="2"/>
      <c r="I1022" s="13"/>
      <c r="J1022" s="13"/>
      <c r="K1022" s="13"/>
      <c r="L1022" s="14"/>
      <c r="M1022" s="4"/>
      <c r="N1022" s="2"/>
      <c r="O1022" s="4"/>
      <c r="P1022" s="2"/>
      <c r="Q1022" s="2"/>
      <c r="R1022" s="4"/>
      <c r="S1022" s="2"/>
      <c r="T1022" s="2"/>
      <c r="U1022" s="1"/>
      <c r="V1022" s="2"/>
      <c r="W1022" s="2"/>
      <c r="X1022" s="2"/>
      <c r="Y1022" s="2"/>
      <c r="Z1022" s="2"/>
    </row>
    <row r="1023" spans="1:26" ht="15.75" customHeight="1" x14ac:dyDescent="0.2">
      <c r="A1023" s="12"/>
      <c r="B1023" s="10"/>
      <c r="C1023" s="11"/>
      <c r="D1023" s="13"/>
      <c r="E1023" s="13"/>
      <c r="F1023" s="13"/>
      <c r="G1023" s="2"/>
      <c r="H1023" s="2"/>
      <c r="I1023" s="13"/>
      <c r="J1023" s="13"/>
      <c r="K1023" s="13"/>
      <c r="L1023" s="14"/>
      <c r="M1023" s="4"/>
      <c r="N1023" s="2"/>
      <c r="O1023" s="4"/>
      <c r="P1023" s="2"/>
      <c r="Q1023" s="2"/>
      <c r="R1023" s="4"/>
      <c r="S1023" s="2"/>
      <c r="T1023" s="2"/>
      <c r="U1023" s="1"/>
      <c r="V1023" s="2"/>
      <c r="W1023" s="2"/>
      <c r="X1023" s="2"/>
      <c r="Y1023" s="2"/>
      <c r="Z1023" s="2"/>
    </row>
    <row r="1024" spans="1:26" ht="15.75" customHeight="1" x14ac:dyDescent="0.2">
      <c r="A1024" s="12"/>
      <c r="B1024" s="10"/>
      <c r="C1024" s="11"/>
      <c r="D1024" s="13"/>
      <c r="E1024" s="13"/>
      <c r="F1024" s="13"/>
      <c r="G1024" s="2"/>
      <c r="H1024" s="2"/>
      <c r="I1024" s="13"/>
      <c r="J1024" s="13"/>
      <c r="K1024" s="13"/>
      <c r="L1024" s="14"/>
      <c r="M1024" s="4"/>
      <c r="N1024" s="2"/>
      <c r="O1024" s="4"/>
      <c r="P1024" s="2"/>
      <c r="Q1024" s="2"/>
      <c r="R1024" s="4"/>
      <c r="S1024" s="2"/>
      <c r="T1024" s="2"/>
      <c r="U1024" s="1"/>
      <c r="V1024" s="2"/>
      <c r="W1024" s="2"/>
      <c r="X1024" s="2"/>
      <c r="Y1024" s="2"/>
      <c r="Z1024" s="2"/>
    </row>
    <row r="1025" spans="1:26" ht="15.75" customHeight="1" x14ac:dyDescent="0.2">
      <c r="A1025" s="12"/>
      <c r="B1025" s="10"/>
      <c r="C1025" s="11"/>
      <c r="D1025" s="13"/>
      <c r="E1025" s="13"/>
      <c r="F1025" s="13"/>
      <c r="G1025" s="2"/>
      <c r="H1025" s="2"/>
      <c r="I1025" s="13"/>
      <c r="J1025" s="13"/>
      <c r="K1025" s="13"/>
      <c r="L1025" s="14"/>
      <c r="M1025" s="4"/>
      <c r="N1025" s="2"/>
      <c r="O1025" s="4"/>
      <c r="P1025" s="2"/>
      <c r="Q1025" s="2"/>
      <c r="R1025" s="4"/>
      <c r="S1025" s="2"/>
      <c r="T1025" s="2"/>
      <c r="U1025" s="1"/>
      <c r="V1025" s="2"/>
      <c r="W1025" s="2"/>
      <c r="X1025" s="2"/>
      <c r="Y1025" s="2"/>
      <c r="Z1025" s="2"/>
    </row>
    <row r="1026" spans="1:26" ht="15.75" customHeight="1" x14ac:dyDescent="0.2">
      <c r="A1026" s="12"/>
      <c r="B1026" s="10"/>
      <c r="C1026" s="11"/>
      <c r="D1026" s="13"/>
      <c r="E1026" s="13"/>
      <c r="F1026" s="13"/>
      <c r="G1026" s="2"/>
      <c r="H1026" s="2"/>
      <c r="I1026" s="13"/>
      <c r="J1026" s="13"/>
      <c r="K1026" s="13"/>
      <c r="L1026" s="14"/>
      <c r="M1026" s="4"/>
      <c r="N1026" s="2"/>
      <c r="O1026" s="4"/>
      <c r="P1026" s="2"/>
      <c r="Q1026" s="2"/>
      <c r="R1026" s="4"/>
      <c r="S1026" s="2"/>
      <c r="T1026" s="2"/>
      <c r="U1026" s="1"/>
      <c r="V1026" s="2"/>
      <c r="W1026" s="2"/>
      <c r="X1026" s="2"/>
      <c r="Y1026" s="2"/>
      <c r="Z1026" s="2"/>
    </row>
    <row r="1027" spans="1:26" ht="15.75" customHeight="1" x14ac:dyDescent="0.2">
      <c r="A1027" s="12"/>
      <c r="B1027" s="10"/>
      <c r="C1027" s="11"/>
      <c r="D1027" s="13"/>
      <c r="E1027" s="13"/>
      <c r="F1027" s="13"/>
      <c r="G1027" s="2"/>
      <c r="H1027" s="2"/>
      <c r="I1027" s="13"/>
      <c r="J1027" s="13"/>
      <c r="K1027" s="13"/>
      <c r="L1027" s="14"/>
      <c r="M1027" s="4"/>
      <c r="N1027" s="2"/>
      <c r="O1027" s="4"/>
      <c r="P1027" s="2"/>
      <c r="Q1027" s="2"/>
      <c r="R1027" s="4"/>
      <c r="S1027" s="2"/>
      <c r="T1027" s="2"/>
      <c r="U1027" s="1"/>
      <c r="V1027" s="2"/>
      <c r="W1027" s="2"/>
      <c r="X1027" s="2"/>
      <c r="Y1027" s="2"/>
      <c r="Z1027" s="2"/>
    </row>
    <row r="1028" spans="1:26" ht="15.75" customHeight="1" x14ac:dyDescent="0.2">
      <c r="A1028" s="12"/>
      <c r="B1028" s="10"/>
      <c r="C1028" s="11"/>
      <c r="D1028" s="13"/>
      <c r="E1028" s="13"/>
      <c r="F1028" s="13"/>
      <c r="G1028" s="2"/>
      <c r="H1028" s="2"/>
      <c r="I1028" s="13"/>
      <c r="J1028" s="13"/>
      <c r="K1028" s="13"/>
      <c r="L1028" s="14"/>
      <c r="M1028" s="4"/>
      <c r="N1028" s="2"/>
      <c r="O1028" s="4"/>
      <c r="P1028" s="2"/>
      <c r="Q1028" s="2"/>
      <c r="R1028" s="4"/>
      <c r="S1028" s="2"/>
      <c r="T1028" s="2"/>
      <c r="U1028" s="1"/>
      <c r="V1028" s="2"/>
      <c r="W1028" s="2"/>
      <c r="X1028" s="2"/>
      <c r="Y1028" s="2"/>
      <c r="Z1028" s="2"/>
    </row>
    <row r="1029" spans="1:26" ht="15.75" customHeight="1" x14ac:dyDescent="0.2">
      <c r="A1029" s="12"/>
      <c r="B1029" s="10"/>
      <c r="C1029" s="11"/>
      <c r="D1029" s="13"/>
      <c r="E1029" s="13"/>
      <c r="F1029" s="13"/>
      <c r="G1029" s="2"/>
      <c r="H1029" s="2"/>
      <c r="I1029" s="13"/>
      <c r="J1029" s="13"/>
      <c r="K1029" s="13"/>
      <c r="L1029" s="14"/>
      <c r="M1029" s="4"/>
      <c r="N1029" s="2"/>
      <c r="O1029" s="4"/>
      <c r="P1029" s="2"/>
      <c r="Q1029" s="2"/>
      <c r="R1029" s="4"/>
      <c r="S1029" s="2"/>
      <c r="T1029" s="2"/>
      <c r="U1029" s="1"/>
      <c r="V1029" s="2"/>
      <c r="W1029" s="2"/>
      <c r="X1029" s="2"/>
      <c r="Y1029" s="2"/>
      <c r="Z1029" s="2"/>
    </row>
    <row r="1030" spans="1:26" ht="15.75" customHeight="1" x14ac:dyDescent="0.2">
      <c r="A1030" s="12"/>
      <c r="B1030" s="10"/>
      <c r="C1030" s="11"/>
      <c r="D1030" s="13"/>
      <c r="E1030" s="13"/>
      <c r="F1030" s="13"/>
      <c r="G1030" s="2"/>
      <c r="H1030" s="2"/>
      <c r="I1030" s="13"/>
      <c r="J1030" s="13"/>
      <c r="K1030" s="13"/>
      <c r="L1030" s="14"/>
      <c r="M1030" s="4"/>
      <c r="N1030" s="2"/>
      <c r="O1030" s="4"/>
      <c r="P1030" s="2"/>
      <c r="Q1030" s="2"/>
      <c r="R1030" s="4"/>
      <c r="S1030" s="2"/>
      <c r="T1030" s="2"/>
      <c r="U1030" s="1"/>
      <c r="V1030" s="2"/>
      <c r="W1030" s="2"/>
      <c r="X1030" s="2"/>
      <c r="Y1030" s="2"/>
      <c r="Z1030" s="2"/>
    </row>
    <row r="1031" spans="1:26" ht="15.75" customHeight="1" x14ac:dyDescent="0.2">
      <c r="A1031" s="12"/>
      <c r="B1031" s="10"/>
      <c r="C1031" s="11"/>
      <c r="D1031" s="13"/>
      <c r="E1031" s="13"/>
      <c r="F1031" s="13"/>
      <c r="G1031" s="2"/>
      <c r="H1031" s="2"/>
      <c r="I1031" s="13"/>
      <c r="J1031" s="13"/>
      <c r="K1031" s="13"/>
      <c r="L1031" s="14"/>
      <c r="M1031" s="4"/>
      <c r="N1031" s="2"/>
      <c r="O1031" s="4"/>
      <c r="P1031" s="2"/>
      <c r="Q1031" s="2"/>
      <c r="R1031" s="4"/>
      <c r="S1031" s="2"/>
      <c r="T1031" s="2"/>
      <c r="U1031" s="1"/>
      <c r="V1031" s="2"/>
      <c r="W1031" s="2"/>
      <c r="X1031" s="2"/>
      <c r="Y1031" s="2"/>
      <c r="Z1031" s="2"/>
    </row>
    <row r="1032" spans="1:26" ht="15.75" customHeight="1" x14ac:dyDescent="0.2">
      <c r="A1032" s="12"/>
      <c r="B1032" s="10"/>
      <c r="C1032" s="11"/>
      <c r="D1032" s="13"/>
      <c r="E1032" s="13"/>
      <c r="F1032" s="13"/>
      <c r="G1032" s="2"/>
      <c r="H1032" s="2"/>
      <c r="I1032" s="13"/>
      <c r="J1032" s="13"/>
      <c r="K1032" s="13"/>
      <c r="L1032" s="14"/>
      <c r="M1032" s="4"/>
      <c r="N1032" s="2"/>
      <c r="O1032" s="4"/>
      <c r="P1032" s="2"/>
      <c r="Q1032" s="2"/>
      <c r="R1032" s="4"/>
      <c r="S1032" s="2"/>
      <c r="T1032" s="2"/>
      <c r="U1032" s="1"/>
      <c r="V1032" s="2"/>
      <c r="W1032" s="2"/>
      <c r="X1032" s="2"/>
      <c r="Y1032" s="2"/>
      <c r="Z1032" s="2"/>
    </row>
    <row r="1033" spans="1:26" ht="15.75" customHeight="1" x14ac:dyDescent="0.2">
      <c r="A1033" s="12"/>
      <c r="B1033" s="10"/>
      <c r="C1033" s="11"/>
      <c r="D1033" s="13"/>
      <c r="E1033" s="13"/>
      <c r="F1033" s="13"/>
      <c r="G1033" s="2"/>
      <c r="H1033" s="2"/>
      <c r="I1033" s="13"/>
      <c r="J1033" s="13"/>
      <c r="K1033" s="13"/>
      <c r="L1033" s="14"/>
      <c r="M1033" s="4"/>
      <c r="N1033" s="2"/>
      <c r="O1033" s="4"/>
      <c r="P1033" s="2"/>
      <c r="Q1033" s="2"/>
      <c r="R1033" s="4"/>
      <c r="S1033" s="2"/>
      <c r="T1033" s="2"/>
      <c r="U1033" s="1"/>
      <c r="V1033" s="2"/>
      <c r="W1033" s="2"/>
      <c r="X1033" s="2"/>
      <c r="Y1033" s="2"/>
      <c r="Z1033" s="2"/>
    </row>
    <row r="1034" spans="1:26" ht="15.75" customHeight="1" x14ac:dyDescent="0.2">
      <c r="A1034" s="12"/>
      <c r="B1034" s="10"/>
      <c r="C1034" s="11"/>
      <c r="D1034" s="13"/>
      <c r="E1034" s="13"/>
      <c r="F1034" s="13"/>
      <c r="G1034" s="2"/>
      <c r="H1034" s="2"/>
      <c r="I1034" s="13"/>
      <c r="J1034" s="13"/>
      <c r="K1034" s="13"/>
      <c r="L1034" s="14"/>
      <c r="M1034" s="4"/>
      <c r="N1034" s="2"/>
      <c r="O1034" s="4"/>
      <c r="P1034" s="2"/>
      <c r="Q1034" s="2"/>
      <c r="R1034" s="4"/>
      <c r="S1034" s="2"/>
      <c r="T1034" s="2"/>
      <c r="U1034" s="1"/>
      <c r="V1034" s="2"/>
      <c r="W1034" s="2"/>
      <c r="X1034" s="2"/>
      <c r="Y1034" s="2"/>
      <c r="Z1034" s="2"/>
    </row>
    <row r="1035" spans="1:26" ht="15.75" customHeight="1" x14ac:dyDescent="0.2">
      <c r="A1035" s="12"/>
      <c r="B1035" s="10"/>
      <c r="C1035" s="11"/>
      <c r="D1035" s="13"/>
      <c r="E1035" s="13"/>
      <c r="F1035" s="13"/>
      <c r="G1035" s="2"/>
      <c r="H1035" s="2"/>
      <c r="I1035" s="13"/>
      <c r="J1035" s="13"/>
      <c r="K1035" s="13"/>
      <c r="L1035" s="14"/>
      <c r="M1035" s="4"/>
      <c r="N1035" s="2"/>
      <c r="O1035" s="4"/>
      <c r="P1035" s="2"/>
      <c r="Q1035" s="2"/>
      <c r="R1035" s="4"/>
      <c r="S1035" s="2"/>
      <c r="T1035" s="2"/>
      <c r="U1035" s="1"/>
      <c r="V1035" s="2"/>
      <c r="W1035" s="2"/>
      <c r="X1035" s="2"/>
      <c r="Y1035" s="2"/>
      <c r="Z1035" s="2"/>
    </row>
    <row r="1036" spans="1:26" ht="15.75" customHeight="1" x14ac:dyDescent="0.2">
      <c r="A1036" s="12"/>
      <c r="B1036" s="10"/>
      <c r="C1036" s="11"/>
      <c r="D1036" s="13"/>
      <c r="E1036" s="13"/>
      <c r="F1036" s="13"/>
      <c r="G1036" s="2"/>
      <c r="H1036" s="2"/>
      <c r="I1036" s="13"/>
      <c r="J1036" s="13"/>
      <c r="K1036" s="13"/>
      <c r="L1036" s="14"/>
      <c r="M1036" s="4"/>
      <c r="N1036" s="2"/>
      <c r="O1036" s="4"/>
      <c r="P1036" s="2"/>
      <c r="Q1036" s="2"/>
      <c r="R1036" s="4"/>
      <c r="S1036" s="2"/>
      <c r="T1036" s="2"/>
      <c r="U1036" s="1"/>
      <c r="V1036" s="2"/>
      <c r="W1036" s="2"/>
      <c r="X1036" s="2"/>
      <c r="Y1036" s="2"/>
      <c r="Z1036" s="2"/>
    </row>
    <row r="1037" spans="1:26" ht="15.75" customHeight="1" x14ac:dyDescent="0.2">
      <c r="A1037" s="12"/>
      <c r="B1037" s="10"/>
      <c r="C1037" s="11"/>
      <c r="D1037" s="13"/>
      <c r="E1037" s="13"/>
      <c r="F1037" s="13"/>
      <c r="G1037" s="2"/>
      <c r="H1037" s="2"/>
      <c r="I1037" s="13"/>
      <c r="J1037" s="13"/>
      <c r="K1037" s="13"/>
      <c r="L1037" s="14"/>
      <c r="M1037" s="4"/>
      <c r="N1037" s="2"/>
      <c r="O1037" s="4"/>
      <c r="P1037" s="2"/>
      <c r="Q1037" s="2"/>
      <c r="R1037" s="4"/>
      <c r="S1037" s="2"/>
      <c r="T1037" s="2"/>
      <c r="U1037" s="1"/>
      <c r="V1037" s="2"/>
      <c r="W1037" s="2"/>
      <c r="X1037" s="2"/>
      <c r="Y1037" s="2"/>
      <c r="Z1037" s="2"/>
    </row>
    <row r="1038" spans="1:26" ht="15.75" customHeight="1" x14ac:dyDescent="0.2">
      <c r="A1038" s="12"/>
      <c r="B1038" s="10"/>
      <c r="C1038" s="11"/>
      <c r="D1038" s="13"/>
      <c r="E1038" s="13"/>
      <c r="F1038" s="13"/>
      <c r="G1038" s="2"/>
      <c r="H1038" s="2"/>
      <c r="I1038" s="13"/>
      <c r="J1038" s="13"/>
      <c r="K1038" s="13"/>
      <c r="L1038" s="14"/>
      <c r="M1038" s="4"/>
      <c r="N1038" s="2"/>
      <c r="O1038" s="4"/>
      <c r="P1038" s="2"/>
      <c r="Q1038" s="2"/>
      <c r="R1038" s="4"/>
      <c r="S1038" s="2"/>
      <c r="T1038" s="2"/>
      <c r="U1038" s="1"/>
      <c r="V1038" s="2"/>
      <c r="W1038" s="2"/>
      <c r="X1038" s="2"/>
      <c r="Y1038" s="2"/>
      <c r="Z1038" s="2"/>
    </row>
    <row r="1039" spans="1:26" ht="15.75" customHeight="1" x14ac:dyDescent="0.2">
      <c r="A1039" s="12"/>
      <c r="B1039" s="10"/>
      <c r="C1039" s="11"/>
      <c r="D1039" s="13"/>
      <c r="E1039" s="13"/>
      <c r="F1039" s="13"/>
      <c r="G1039" s="2"/>
      <c r="H1039" s="2"/>
      <c r="I1039" s="13"/>
      <c r="J1039" s="13"/>
      <c r="K1039" s="13"/>
      <c r="L1039" s="14"/>
      <c r="M1039" s="4"/>
      <c r="N1039" s="2"/>
      <c r="O1039" s="4"/>
      <c r="P1039" s="2"/>
      <c r="Q1039" s="2"/>
      <c r="R1039" s="4"/>
      <c r="S1039" s="2"/>
      <c r="T1039" s="2"/>
      <c r="U1039" s="1"/>
      <c r="V1039" s="2"/>
      <c r="W1039" s="2"/>
      <c r="X1039" s="2"/>
      <c r="Y1039" s="2"/>
      <c r="Z1039" s="2"/>
    </row>
    <row r="1040" spans="1:26" ht="15.75" customHeight="1" x14ac:dyDescent="0.2">
      <c r="A1040" s="12"/>
      <c r="B1040" s="10"/>
      <c r="C1040" s="11"/>
      <c r="D1040" s="13"/>
      <c r="E1040" s="13"/>
      <c r="F1040" s="13"/>
      <c r="G1040" s="2"/>
      <c r="H1040" s="2"/>
      <c r="I1040" s="13"/>
      <c r="J1040" s="13"/>
      <c r="K1040" s="13"/>
      <c r="L1040" s="14"/>
      <c r="M1040" s="4"/>
      <c r="N1040" s="2"/>
      <c r="O1040" s="4"/>
      <c r="P1040" s="2"/>
      <c r="Q1040" s="2"/>
      <c r="R1040" s="4"/>
      <c r="S1040" s="2"/>
      <c r="T1040" s="2"/>
      <c r="U1040" s="1"/>
      <c r="V1040" s="2"/>
      <c r="W1040" s="2"/>
      <c r="X1040" s="2"/>
      <c r="Y1040" s="2"/>
      <c r="Z1040" s="2"/>
    </row>
    <row r="1041" spans="1:26" ht="15.75" customHeight="1" x14ac:dyDescent="0.2">
      <c r="A1041" s="12"/>
      <c r="B1041" s="10"/>
      <c r="C1041" s="11"/>
      <c r="D1041" s="13"/>
      <c r="E1041" s="13"/>
      <c r="F1041" s="13"/>
      <c r="G1041" s="2"/>
      <c r="H1041" s="2"/>
      <c r="I1041" s="13"/>
      <c r="J1041" s="13"/>
      <c r="K1041" s="13"/>
      <c r="L1041" s="14"/>
      <c r="M1041" s="4"/>
      <c r="N1041" s="2"/>
      <c r="O1041" s="4"/>
      <c r="P1041" s="2"/>
      <c r="Q1041" s="2"/>
      <c r="R1041" s="4"/>
      <c r="S1041" s="2"/>
      <c r="T1041" s="2"/>
      <c r="U1041" s="1"/>
      <c r="V1041" s="2"/>
      <c r="W1041" s="2"/>
      <c r="X1041" s="2"/>
      <c r="Y1041" s="2"/>
      <c r="Z1041" s="2"/>
    </row>
    <row r="1042" spans="1:26" ht="15.75" customHeight="1" x14ac:dyDescent="0.2">
      <c r="A1042" s="12"/>
      <c r="B1042" s="10"/>
      <c r="C1042" s="11"/>
      <c r="D1042" s="13"/>
      <c r="E1042" s="13"/>
      <c r="F1042" s="13"/>
      <c r="G1042" s="2"/>
      <c r="H1042" s="2"/>
      <c r="I1042" s="13"/>
      <c r="J1042" s="13"/>
      <c r="K1042" s="13"/>
      <c r="L1042" s="14"/>
      <c r="M1042" s="4"/>
      <c r="N1042" s="2"/>
      <c r="O1042" s="4"/>
      <c r="P1042" s="2"/>
      <c r="Q1042" s="2"/>
      <c r="R1042" s="4"/>
      <c r="S1042" s="2"/>
      <c r="T1042" s="2"/>
      <c r="U1042" s="1"/>
      <c r="V1042" s="2"/>
      <c r="W1042" s="2"/>
      <c r="X1042" s="2"/>
      <c r="Y1042" s="2"/>
      <c r="Z1042" s="2"/>
    </row>
    <row r="1043" spans="1:26" ht="15.75" customHeight="1" x14ac:dyDescent="0.2">
      <c r="A1043" s="12"/>
      <c r="B1043" s="10"/>
      <c r="C1043" s="11"/>
      <c r="D1043" s="13"/>
      <c r="E1043" s="13"/>
      <c r="F1043" s="13"/>
      <c r="G1043" s="2"/>
      <c r="H1043" s="2"/>
      <c r="I1043" s="13"/>
      <c r="J1043" s="13"/>
      <c r="K1043" s="13"/>
      <c r="L1043" s="14"/>
      <c r="M1043" s="4"/>
      <c r="N1043" s="2"/>
      <c r="O1043" s="4"/>
      <c r="P1043" s="2"/>
      <c r="Q1043" s="2"/>
      <c r="R1043" s="4"/>
      <c r="S1043" s="2"/>
      <c r="T1043" s="2"/>
      <c r="U1043" s="1"/>
      <c r="V1043" s="2"/>
      <c r="W1043" s="2"/>
      <c r="X1043" s="2"/>
      <c r="Y1043" s="2"/>
      <c r="Z1043" s="2"/>
    </row>
    <row r="1044" spans="1:26" ht="15.75" customHeight="1" x14ac:dyDescent="0.2">
      <c r="A1044" s="12"/>
      <c r="B1044" s="10"/>
      <c r="C1044" s="11"/>
      <c r="D1044" s="13"/>
      <c r="E1044" s="13"/>
      <c r="F1044" s="13"/>
      <c r="G1044" s="2"/>
      <c r="H1044" s="2"/>
      <c r="I1044" s="13"/>
      <c r="J1044" s="13"/>
      <c r="K1044" s="13"/>
      <c r="L1044" s="14"/>
      <c r="M1044" s="4"/>
      <c r="N1044" s="2"/>
      <c r="O1044" s="4"/>
      <c r="P1044" s="2"/>
      <c r="Q1044" s="2"/>
      <c r="R1044" s="4"/>
      <c r="S1044" s="2"/>
      <c r="T1044" s="2"/>
      <c r="U1044" s="1"/>
      <c r="V1044" s="2"/>
      <c r="W1044" s="2"/>
      <c r="X1044" s="2"/>
      <c r="Y1044" s="2"/>
      <c r="Z1044" s="2"/>
    </row>
    <row r="1045" spans="1:26" ht="15.75" customHeight="1" x14ac:dyDescent="0.2">
      <c r="A1045" s="12"/>
      <c r="B1045" s="10"/>
      <c r="C1045" s="11"/>
      <c r="D1045" s="13"/>
      <c r="E1045" s="13"/>
      <c r="F1045" s="13"/>
      <c r="G1045" s="2"/>
      <c r="H1045" s="2"/>
      <c r="I1045" s="13"/>
      <c r="J1045" s="13"/>
      <c r="K1045" s="13"/>
      <c r="L1045" s="14"/>
      <c r="M1045" s="4"/>
      <c r="N1045" s="2"/>
      <c r="O1045" s="4"/>
      <c r="P1045" s="2"/>
      <c r="Q1045" s="2"/>
      <c r="R1045" s="4"/>
      <c r="S1045" s="2"/>
      <c r="T1045" s="2"/>
      <c r="U1045" s="1"/>
      <c r="V1045" s="2"/>
      <c r="W1045" s="2"/>
      <c r="X1045" s="2"/>
      <c r="Y1045" s="2"/>
      <c r="Z1045" s="2"/>
    </row>
    <row r="1046" spans="1:26" ht="15.75" customHeight="1" x14ac:dyDescent="0.2">
      <c r="A1046" s="12"/>
      <c r="B1046" s="10"/>
      <c r="C1046" s="11"/>
      <c r="D1046" s="13"/>
      <c r="E1046" s="13"/>
      <c r="F1046" s="13"/>
      <c r="G1046" s="2"/>
      <c r="H1046" s="2"/>
      <c r="I1046" s="13"/>
      <c r="J1046" s="13"/>
      <c r="K1046" s="13"/>
      <c r="L1046" s="14"/>
      <c r="M1046" s="4"/>
      <c r="N1046" s="2"/>
      <c r="O1046" s="4"/>
      <c r="P1046" s="2"/>
      <c r="Q1046" s="2"/>
      <c r="R1046" s="4"/>
      <c r="S1046" s="2"/>
      <c r="T1046" s="2"/>
      <c r="U1046" s="1"/>
      <c r="V1046" s="2"/>
      <c r="W1046" s="2"/>
      <c r="X1046" s="2"/>
      <c r="Y1046" s="2"/>
      <c r="Z1046" s="2"/>
    </row>
    <row r="1047" spans="1:26" ht="15.75" customHeight="1" x14ac:dyDescent="0.2">
      <c r="A1047" s="12"/>
      <c r="B1047" s="10"/>
      <c r="C1047" s="11"/>
      <c r="D1047" s="13"/>
      <c r="E1047" s="13"/>
      <c r="F1047" s="13"/>
      <c r="G1047" s="2"/>
      <c r="H1047" s="2"/>
      <c r="I1047" s="13"/>
      <c r="J1047" s="13"/>
      <c r="K1047" s="13"/>
      <c r="L1047" s="14"/>
      <c r="M1047" s="4"/>
      <c r="N1047" s="2"/>
      <c r="O1047" s="4"/>
      <c r="P1047" s="2"/>
      <c r="Q1047" s="2"/>
      <c r="R1047" s="4"/>
      <c r="S1047" s="2"/>
      <c r="T1047" s="2"/>
      <c r="U1047" s="1"/>
      <c r="V1047" s="2"/>
      <c r="W1047" s="2"/>
      <c r="X1047" s="2"/>
      <c r="Y1047" s="2"/>
      <c r="Z1047" s="2"/>
    </row>
    <row r="1048" spans="1:26" ht="15.75" customHeight="1" x14ac:dyDescent="0.2">
      <c r="A1048" s="12"/>
      <c r="B1048" s="10"/>
      <c r="C1048" s="11"/>
      <c r="D1048" s="13"/>
      <c r="E1048" s="13"/>
      <c r="F1048" s="13"/>
      <c r="G1048" s="2"/>
      <c r="H1048" s="2"/>
      <c r="I1048" s="13"/>
      <c r="J1048" s="13"/>
      <c r="K1048" s="13"/>
      <c r="L1048" s="14"/>
      <c r="M1048" s="4"/>
      <c r="N1048" s="2"/>
      <c r="O1048" s="4"/>
      <c r="P1048" s="2"/>
      <c r="Q1048" s="2"/>
      <c r="R1048" s="4"/>
      <c r="S1048" s="2"/>
      <c r="T1048" s="2"/>
      <c r="U1048" s="1"/>
      <c r="V1048" s="2"/>
      <c r="W1048" s="2"/>
      <c r="X1048" s="2"/>
      <c r="Y1048" s="2"/>
      <c r="Z1048" s="2"/>
    </row>
    <row r="1049" spans="1:26" ht="15.75" customHeight="1" x14ac:dyDescent="0.2">
      <c r="A1049" s="12"/>
      <c r="B1049" s="10"/>
      <c r="C1049" s="11"/>
      <c r="D1049" s="13"/>
      <c r="E1049" s="13"/>
      <c r="F1049" s="13"/>
      <c r="G1049" s="2"/>
      <c r="H1049" s="2"/>
      <c r="I1049" s="13"/>
      <c r="J1049" s="13"/>
      <c r="K1049" s="13"/>
      <c r="L1049" s="14"/>
      <c r="M1049" s="4"/>
      <c r="N1049" s="2"/>
      <c r="O1049" s="4"/>
      <c r="P1049" s="2"/>
      <c r="Q1049" s="2"/>
      <c r="R1049" s="4"/>
      <c r="S1049" s="2"/>
      <c r="T1049" s="2"/>
      <c r="U1049" s="1"/>
      <c r="V1049" s="2"/>
      <c r="W1049" s="2"/>
      <c r="X1049" s="2"/>
      <c r="Y1049" s="2"/>
      <c r="Z1049" s="2"/>
    </row>
    <row r="1050" spans="1:26" ht="15.75" customHeight="1" x14ac:dyDescent="0.2">
      <c r="A1050" s="12"/>
      <c r="B1050" s="10"/>
      <c r="C1050" s="11"/>
      <c r="D1050" s="13"/>
      <c r="E1050" s="13"/>
      <c r="F1050" s="13"/>
      <c r="G1050" s="2"/>
      <c r="H1050" s="2"/>
      <c r="I1050" s="13"/>
      <c r="J1050" s="13"/>
      <c r="K1050" s="13"/>
      <c r="L1050" s="14"/>
      <c r="M1050" s="4"/>
      <c r="N1050" s="2"/>
      <c r="O1050" s="4"/>
      <c r="P1050" s="2"/>
      <c r="Q1050" s="2"/>
      <c r="R1050" s="4"/>
      <c r="S1050" s="2"/>
      <c r="T1050" s="2"/>
      <c r="U1050" s="1"/>
      <c r="V1050" s="2"/>
      <c r="W1050" s="2"/>
      <c r="X1050" s="2"/>
      <c r="Y1050" s="2"/>
      <c r="Z1050" s="2"/>
    </row>
    <row r="1051" spans="1:26" ht="15.75" customHeight="1" x14ac:dyDescent="0.2">
      <c r="A1051" s="12"/>
      <c r="B1051" s="10"/>
      <c r="C1051" s="11"/>
      <c r="D1051" s="13"/>
      <c r="E1051" s="13"/>
      <c r="F1051" s="13"/>
      <c r="G1051" s="2"/>
      <c r="H1051" s="2"/>
      <c r="I1051" s="13"/>
      <c r="J1051" s="13"/>
      <c r="K1051" s="13"/>
      <c r="L1051" s="14"/>
      <c r="M1051" s="4"/>
      <c r="N1051" s="2"/>
      <c r="O1051" s="4"/>
      <c r="P1051" s="2"/>
      <c r="Q1051" s="2"/>
      <c r="R1051" s="4"/>
      <c r="S1051" s="2"/>
      <c r="T1051" s="2"/>
      <c r="U1051" s="1"/>
      <c r="V1051" s="2"/>
      <c r="W1051" s="2"/>
      <c r="X1051" s="2"/>
      <c r="Y1051" s="2"/>
      <c r="Z1051" s="2"/>
    </row>
    <row r="1052" spans="1:26" ht="15.75" customHeight="1" x14ac:dyDescent="0.2">
      <c r="A1052" s="12"/>
      <c r="B1052" s="10"/>
      <c r="C1052" s="11"/>
      <c r="D1052" s="13"/>
      <c r="E1052" s="13"/>
      <c r="F1052" s="13"/>
      <c r="G1052" s="2"/>
      <c r="H1052" s="2"/>
      <c r="I1052" s="13"/>
      <c r="J1052" s="13"/>
      <c r="K1052" s="13"/>
      <c r="L1052" s="14"/>
      <c r="M1052" s="4"/>
      <c r="N1052" s="2"/>
      <c r="O1052" s="4"/>
      <c r="P1052" s="2"/>
      <c r="Q1052" s="2"/>
      <c r="R1052" s="4"/>
      <c r="S1052" s="2"/>
      <c r="T1052" s="2"/>
      <c r="U1052" s="1"/>
      <c r="V1052" s="2"/>
      <c r="W1052" s="2"/>
      <c r="X1052" s="2"/>
      <c r="Y1052" s="2"/>
      <c r="Z1052" s="2"/>
    </row>
    <row r="1053" spans="1:26" ht="15.75" customHeight="1" x14ac:dyDescent="0.2">
      <c r="A1053" s="12"/>
      <c r="B1053" s="10"/>
      <c r="C1053" s="11"/>
      <c r="D1053" s="13"/>
      <c r="E1053" s="13"/>
      <c r="F1053" s="13"/>
      <c r="G1053" s="2"/>
      <c r="H1053" s="2"/>
      <c r="I1053" s="13"/>
      <c r="J1053" s="13"/>
      <c r="K1053" s="13"/>
      <c r="L1053" s="14"/>
      <c r="M1053" s="4"/>
      <c r="N1053" s="2"/>
      <c r="O1053" s="4"/>
      <c r="P1053" s="2"/>
      <c r="Q1053" s="2"/>
      <c r="R1053" s="4"/>
      <c r="S1053" s="2"/>
      <c r="T1053" s="2"/>
      <c r="U1053" s="1"/>
      <c r="V1053" s="2"/>
      <c r="W1053" s="2"/>
      <c r="X1053" s="2"/>
      <c r="Y1053" s="2"/>
      <c r="Z1053" s="2"/>
    </row>
    <row r="1054" spans="1:26" ht="15.75" customHeight="1" x14ac:dyDescent="0.2">
      <c r="A1054" s="12"/>
      <c r="B1054" s="10"/>
      <c r="C1054" s="11"/>
      <c r="D1054" s="13"/>
      <c r="E1054" s="13"/>
      <c r="F1054" s="13"/>
      <c r="G1054" s="2"/>
      <c r="H1054" s="2"/>
      <c r="I1054" s="13"/>
      <c r="J1054" s="13"/>
      <c r="K1054" s="13"/>
      <c r="L1054" s="14"/>
      <c r="M1054" s="4"/>
      <c r="N1054" s="2"/>
      <c r="O1054" s="4"/>
      <c r="P1054" s="2"/>
      <c r="Q1054" s="2"/>
      <c r="R1054" s="4"/>
      <c r="S1054" s="2"/>
      <c r="T1054" s="2"/>
      <c r="U1054" s="1"/>
      <c r="V1054" s="2"/>
      <c r="W1054" s="2"/>
      <c r="X1054" s="2"/>
      <c r="Y1054" s="2"/>
      <c r="Z1054" s="2"/>
    </row>
    <row r="1055" spans="1:26" ht="15.75" customHeight="1" x14ac:dyDescent="0.2">
      <c r="A1055" s="12"/>
      <c r="B1055" s="10"/>
      <c r="C1055" s="11"/>
      <c r="D1055" s="13"/>
      <c r="E1055" s="13"/>
      <c r="F1055" s="13"/>
      <c r="G1055" s="2"/>
      <c r="H1055" s="2"/>
      <c r="I1055" s="13"/>
      <c r="J1055" s="13"/>
      <c r="K1055" s="13"/>
      <c r="L1055" s="14"/>
      <c r="M1055" s="4"/>
      <c r="N1055" s="2"/>
      <c r="O1055" s="4"/>
      <c r="P1055" s="2"/>
      <c r="Q1055" s="2"/>
      <c r="R1055" s="4"/>
      <c r="S1055" s="2"/>
      <c r="T1055" s="2"/>
      <c r="U1055" s="1"/>
      <c r="V1055" s="2"/>
      <c r="W1055" s="2"/>
      <c r="X1055" s="2"/>
      <c r="Y1055" s="2"/>
      <c r="Z1055" s="2"/>
    </row>
    <row r="1056" spans="1:26" ht="15.75" customHeight="1" x14ac:dyDescent="0.2">
      <c r="A1056" s="12"/>
      <c r="B1056" s="10"/>
      <c r="C1056" s="11"/>
      <c r="D1056" s="13"/>
      <c r="E1056" s="13"/>
      <c r="F1056" s="13"/>
      <c r="G1056" s="2"/>
      <c r="H1056" s="2"/>
      <c r="I1056" s="13"/>
      <c r="J1056" s="13"/>
      <c r="K1056" s="13"/>
      <c r="L1056" s="14"/>
      <c r="M1056" s="4"/>
      <c r="N1056" s="2"/>
      <c r="O1056" s="4"/>
      <c r="P1056" s="2"/>
      <c r="Q1056" s="2"/>
      <c r="R1056" s="4"/>
      <c r="S1056" s="2"/>
      <c r="T1056" s="2"/>
      <c r="U1056" s="1"/>
      <c r="V1056" s="2"/>
      <c r="W1056" s="2"/>
      <c r="X1056" s="2"/>
      <c r="Y1056" s="2"/>
      <c r="Z1056" s="2"/>
    </row>
    <row r="1057" spans="1:26" ht="15.75" customHeight="1" x14ac:dyDescent="0.2">
      <c r="A1057" s="12"/>
      <c r="B1057" s="10"/>
      <c r="C1057" s="11"/>
      <c r="D1057" s="13"/>
      <c r="E1057" s="13"/>
      <c r="F1057" s="13"/>
      <c r="G1057" s="2"/>
      <c r="H1057" s="2"/>
      <c r="I1057" s="13"/>
      <c r="J1057" s="13"/>
      <c r="K1057" s="13"/>
      <c r="L1057" s="14"/>
      <c r="M1057" s="4"/>
      <c r="N1057" s="2"/>
      <c r="O1057" s="4"/>
      <c r="P1057" s="2"/>
      <c r="Q1057" s="2"/>
      <c r="R1057" s="4"/>
      <c r="S1057" s="2"/>
      <c r="T1057" s="2"/>
      <c r="U1057" s="1"/>
      <c r="V1057" s="2"/>
      <c r="W1057" s="2"/>
      <c r="X1057" s="2"/>
      <c r="Y1057" s="2"/>
      <c r="Z1057" s="2"/>
    </row>
    <row r="1058" spans="1:26" ht="15.75" customHeight="1" x14ac:dyDescent="0.2">
      <c r="A1058" s="12"/>
      <c r="B1058" s="10"/>
      <c r="C1058" s="11"/>
      <c r="D1058" s="13"/>
      <c r="E1058" s="13"/>
      <c r="F1058" s="13"/>
      <c r="G1058" s="2"/>
      <c r="H1058" s="2"/>
      <c r="I1058" s="13"/>
      <c r="J1058" s="13"/>
      <c r="K1058" s="13"/>
      <c r="L1058" s="14"/>
      <c r="M1058" s="4"/>
      <c r="N1058" s="2"/>
      <c r="O1058" s="4"/>
      <c r="P1058" s="2"/>
      <c r="Q1058" s="2"/>
      <c r="R1058" s="4"/>
      <c r="S1058" s="2"/>
      <c r="T1058" s="2"/>
      <c r="U1058" s="1"/>
      <c r="V1058" s="2"/>
      <c r="W1058" s="2"/>
      <c r="X1058" s="2"/>
      <c r="Y1058" s="2"/>
      <c r="Z1058" s="2"/>
    </row>
    <row r="1059" spans="1:26" ht="15.75" customHeight="1" x14ac:dyDescent="0.2">
      <c r="A1059" s="12"/>
      <c r="B1059" s="10"/>
      <c r="C1059" s="11"/>
      <c r="D1059" s="13"/>
      <c r="E1059" s="13"/>
      <c r="F1059" s="13"/>
      <c r="G1059" s="2"/>
      <c r="H1059" s="2"/>
      <c r="I1059" s="13"/>
      <c r="J1059" s="13"/>
      <c r="K1059" s="13"/>
      <c r="L1059" s="14"/>
      <c r="M1059" s="4"/>
      <c r="N1059" s="2"/>
      <c r="O1059" s="4"/>
      <c r="P1059" s="2"/>
      <c r="Q1059" s="2"/>
      <c r="R1059" s="4"/>
      <c r="S1059" s="2"/>
      <c r="T1059" s="2"/>
      <c r="U1059" s="1"/>
      <c r="V1059" s="2"/>
      <c r="W1059" s="2"/>
      <c r="X1059" s="2"/>
      <c r="Y1059" s="2"/>
      <c r="Z1059" s="2"/>
    </row>
    <row r="1060" spans="1:26" ht="15.75" customHeight="1" x14ac:dyDescent="0.2">
      <c r="A1060" s="12"/>
      <c r="B1060" s="10"/>
      <c r="C1060" s="11"/>
      <c r="D1060" s="13"/>
      <c r="E1060" s="13"/>
      <c r="F1060" s="13"/>
      <c r="G1060" s="2"/>
      <c r="H1060" s="2"/>
      <c r="I1060" s="13"/>
      <c r="J1060" s="13"/>
      <c r="K1060" s="13"/>
      <c r="L1060" s="14"/>
      <c r="M1060" s="4"/>
      <c r="N1060" s="2"/>
      <c r="O1060" s="4"/>
      <c r="P1060" s="2"/>
      <c r="Q1060" s="2"/>
      <c r="R1060" s="4"/>
      <c r="S1060" s="2"/>
      <c r="T1060" s="2"/>
      <c r="U1060" s="1"/>
      <c r="V1060" s="2"/>
      <c r="W1060" s="2"/>
      <c r="X1060" s="2"/>
      <c r="Y1060" s="2"/>
      <c r="Z1060" s="2"/>
    </row>
    <row r="1061" spans="1:26" ht="15.75" customHeight="1" x14ac:dyDescent="0.2">
      <c r="A1061" s="12"/>
      <c r="B1061" s="10"/>
      <c r="C1061" s="11"/>
      <c r="D1061" s="13"/>
      <c r="E1061" s="13"/>
      <c r="F1061" s="13"/>
      <c r="G1061" s="2"/>
      <c r="H1061" s="2"/>
      <c r="I1061" s="13"/>
      <c r="J1061" s="13"/>
      <c r="K1061" s="13"/>
      <c r="L1061" s="14"/>
      <c r="M1061" s="4"/>
      <c r="N1061" s="2"/>
      <c r="O1061" s="4"/>
      <c r="P1061" s="2"/>
      <c r="Q1061" s="2"/>
      <c r="R1061" s="4"/>
      <c r="S1061" s="2"/>
      <c r="T1061" s="2"/>
      <c r="U1061" s="1"/>
      <c r="V1061" s="2"/>
      <c r="W1061" s="2"/>
      <c r="X1061" s="2"/>
      <c r="Y1061" s="2"/>
      <c r="Z1061" s="2"/>
    </row>
    <row r="1062" spans="1:26" ht="15.75" customHeight="1" x14ac:dyDescent="0.2">
      <c r="A1062" s="12"/>
      <c r="B1062" s="10"/>
      <c r="C1062" s="11"/>
      <c r="D1062" s="13"/>
      <c r="E1062" s="13"/>
      <c r="F1062" s="13"/>
      <c r="G1062" s="2"/>
      <c r="H1062" s="2"/>
      <c r="I1062" s="13"/>
      <c r="J1062" s="13"/>
      <c r="K1062" s="13"/>
      <c r="L1062" s="14"/>
      <c r="M1062" s="4"/>
      <c r="N1062" s="2"/>
      <c r="O1062" s="4"/>
      <c r="P1062" s="2"/>
      <c r="Q1062" s="2"/>
      <c r="R1062" s="4"/>
      <c r="S1062" s="2"/>
      <c r="T1062" s="2"/>
      <c r="U1062" s="1"/>
      <c r="V1062" s="2"/>
      <c r="W1062" s="2"/>
      <c r="X1062" s="2"/>
      <c r="Y1062" s="2"/>
      <c r="Z1062" s="2"/>
    </row>
    <row r="1063" spans="1:26" ht="15.75" customHeight="1" x14ac:dyDescent="0.2">
      <c r="A1063" s="12"/>
      <c r="B1063" s="10"/>
      <c r="C1063" s="11"/>
      <c r="D1063" s="13"/>
      <c r="E1063" s="13"/>
      <c r="F1063" s="13"/>
      <c r="G1063" s="2"/>
      <c r="H1063" s="2"/>
      <c r="I1063" s="13"/>
      <c r="J1063" s="13"/>
      <c r="K1063" s="13"/>
      <c r="L1063" s="14"/>
      <c r="M1063" s="4"/>
      <c r="N1063" s="2"/>
      <c r="O1063" s="4"/>
      <c r="P1063" s="2"/>
      <c r="Q1063" s="2"/>
      <c r="R1063" s="4"/>
      <c r="S1063" s="2"/>
      <c r="T1063" s="2"/>
      <c r="U1063" s="1"/>
      <c r="V1063" s="2"/>
      <c r="W1063" s="2"/>
      <c r="X1063" s="2"/>
      <c r="Y1063" s="2"/>
      <c r="Z1063" s="2"/>
    </row>
    <row r="1064" spans="1:26" ht="15.75" customHeight="1" x14ac:dyDescent="0.2">
      <c r="A1064" s="12"/>
      <c r="B1064" s="10"/>
      <c r="C1064" s="11"/>
      <c r="D1064" s="13"/>
      <c r="E1064" s="13"/>
      <c r="F1064" s="13"/>
      <c r="G1064" s="2"/>
      <c r="H1064" s="2"/>
      <c r="I1064" s="13"/>
      <c r="J1064" s="13"/>
      <c r="K1064" s="13"/>
      <c r="L1064" s="14"/>
      <c r="M1064" s="4"/>
      <c r="N1064" s="2"/>
      <c r="O1064" s="4"/>
      <c r="P1064" s="2"/>
      <c r="Q1064" s="2"/>
      <c r="R1064" s="4"/>
      <c r="S1064" s="2"/>
      <c r="T1064" s="2"/>
      <c r="U1064" s="1"/>
      <c r="V1064" s="2"/>
      <c r="W1064" s="2"/>
      <c r="X1064" s="2"/>
      <c r="Y1064" s="2"/>
      <c r="Z1064" s="2"/>
    </row>
    <row r="1065" spans="1:26" ht="15.75" customHeight="1" x14ac:dyDescent="0.2">
      <c r="A1065" s="12"/>
      <c r="B1065" s="10"/>
      <c r="C1065" s="11"/>
      <c r="D1065" s="13"/>
      <c r="E1065" s="13"/>
      <c r="F1065" s="13"/>
      <c r="G1065" s="2"/>
      <c r="H1065" s="2"/>
      <c r="I1065" s="13"/>
      <c r="J1065" s="13"/>
      <c r="K1065" s="13"/>
      <c r="L1065" s="14"/>
      <c r="M1065" s="4"/>
      <c r="N1065" s="2"/>
      <c r="O1065" s="4"/>
      <c r="P1065" s="2"/>
      <c r="Q1065" s="2"/>
      <c r="R1065" s="4"/>
      <c r="S1065" s="2"/>
      <c r="T1065" s="2"/>
      <c r="U1065" s="1"/>
      <c r="V1065" s="2"/>
      <c r="W1065" s="2"/>
      <c r="X1065" s="2"/>
      <c r="Y1065" s="2"/>
      <c r="Z1065" s="2"/>
    </row>
    <row r="1066" spans="1:26" ht="15.75" customHeight="1" x14ac:dyDescent="0.2">
      <c r="A1066" s="12"/>
      <c r="B1066" s="10"/>
      <c r="C1066" s="11"/>
      <c r="D1066" s="13"/>
      <c r="E1066" s="13"/>
      <c r="F1066" s="13"/>
      <c r="G1066" s="2"/>
      <c r="H1066" s="2"/>
      <c r="I1066" s="13"/>
      <c r="J1066" s="13"/>
      <c r="K1066" s="13"/>
      <c r="L1066" s="14"/>
      <c r="M1066" s="4"/>
      <c r="N1066" s="2"/>
      <c r="O1066" s="4"/>
      <c r="P1066" s="2"/>
      <c r="Q1066" s="2"/>
      <c r="R1066" s="4"/>
      <c r="S1066" s="2"/>
      <c r="T1066" s="2"/>
      <c r="U1066" s="1"/>
      <c r="V1066" s="2"/>
      <c r="W1066" s="2"/>
      <c r="X1066" s="2"/>
      <c r="Y1066" s="2"/>
      <c r="Z1066" s="2"/>
    </row>
    <row r="1067" spans="1:26" ht="15.75" customHeight="1" x14ac:dyDescent="0.2">
      <c r="A1067" s="12"/>
      <c r="B1067" s="10"/>
      <c r="C1067" s="11"/>
      <c r="D1067" s="13"/>
      <c r="E1067" s="13"/>
      <c r="F1067" s="13"/>
      <c r="G1067" s="2"/>
      <c r="H1067" s="2"/>
      <c r="I1067" s="13"/>
      <c r="J1067" s="13"/>
      <c r="K1067" s="13"/>
      <c r="L1067" s="14"/>
      <c r="M1067" s="4"/>
      <c r="N1067" s="2"/>
      <c r="O1067" s="4"/>
      <c r="P1067" s="2"/>
      <c r="Q1067" s="2"/>
      <c r="R1067" s="4"/>
      <c r="S1067" s="2"/>
      <c r="T1067" s="2"/>
      <c r="U1067" s="1"/>
      <c r="V1067" s="2"/>
      <c r="W1067" s="2"/>
      <c r="X1067" s="2"/>
      <c r="Y1067" s="2"/>
      <c r="Z1067" s="2"/>
    </row>
    <row r="1068" spans="1:26" ht="15.75" customHeight="1" x14ac:dyDescent="0.2">
      <c r="A1068" s="12"/>
      <c r="B1068" s="10"/>
      <c r="C1068" s="11"/>
      <c r="D1068" s="13"/>
      <c r="E1068" s="13"/>
      <c r="F1068" s="13"/>
      <c r="G1068" s="2"/>
      <c r="H1068" s="2"/>
      <c r="I1068" s="13"/>
      <c r="J1068" s="13"/>
      <c r="K1068" s="13"/>
      <c r="L1068" s="14"/>
      <c r="M1068" s="4"/>
      <c r="N1068" s="2"/>
      <c r="O1068" s="4"/>
      <c r="P1068" s="2"/>
      <c r="Q1068" s="2"/>
      <c r="R1068" s="4"/>
      <c r="S1068" s="2"/>
      <c r="T1068" s="2"/>
      <c r="U1068" s="1"/>
      <c r="V1068" s="2"/>
      <c r="W1068" s="2"/>
      <c r="X1068" s="2"/>
      <c r="Y1068" s="2"/>
      <c r="Z1068" s="2"/>
    </row>
    <row r="1069" spans="1:26" ht="15.75" customHeight="1" x14ac:dyDescent="0.2">
      <c r="A1069" s="12"/>
      <c r="B1069" s="10"/>
      <c r="C1069" s="11"/>
      <c r="D1069" s="13"/>
      <c r="E1069" s="13"/>
      <c r="F1069" s="13"/>
      <c r="G1069" s="2"/>
      <c r="H1069" s="2"/>
      <c r="I1069" s="13"/>
      <c r="J1069" s="13"/>
      <c r="K1069" s="13"/>
      <c r="L1069" s="14"/>
      <c r="M1069" s="4"/>
      <c r="N1069" s="2"/>
      <c r="O1069" s="4"/>
      <c r="P1069" s="2"/>
      <c r="Q1069" s="2"/>
      <c r="R1069" s="4"/>
      <c r="S1069" s="2"/>
      <c r="T1069" s="2"/>
      <c r="U1069" s="1"/>
      <c r="V1069" s="2"/>
      <c r="W1069" s="2"/>
      <c r="X1069" s="2"/>
      <c r="Y1069" s="2"/>
      <c r="Z1069" s="2"/>
    </row>
    <row r="1070" spans="1:26" ht="15.75" customHeight="1" x14ac:dyDescent="0.2">
      <c r="A1070" s="12"/>
      <c r="B1070" s="10"/>
      <c r="C1070" s="11"/>
      <c r="D1070" s="13"/>
      <c r="E1070" s="13"/>
      <c r="F1070" s="13"/>
      <c r="G1070" s="2"/>
      <c r="H1070" s="2"/>
      <c r="I1070" s="13"/>
      <c r="J1070" s="13"/>
      <c r="K1070" s="13"/>
      <c r="L1070" s="14"/>
      <c r="M1070" s="4"/>
      <c r="N1070" s="2"/>
      <c r="O1070" s="4"/>
      <c r="P1070" s="2"/>
      <c r="Q1070" s="2"/>
      <c r="R1070" s="4"/>
      <c r="S1070" s="2"/>
      <c r="T1070" s="2"/>
      <c r="U1070" s="1"/>
      <c r="V1070" s="2"/>
      <c r="W1070" s="2"/>
      <c r="X1070" s="2"/>
      <c r="Y1070" s="2"/>
      <c r="Z1070" s="2"/>
    </row>
    <row r="1071" spans="1:26" ht="15.75" customHeight="1" x14ac:dyDescent="0.2">
      <c r="A1071" s="12"/>
      <c r="B1071" s="10"/>
      <c r="C1071" s="11"/>
      <c r="D1071" s="13"/>
      <c r="E1071" s="13"/>
      <c r="F1071" s="13"/>
      <c r="G1071" s="2"/>
      <c r="H1071" s="2"/>
      <c r="I1071" s="13"/>
      <c r="J1071" s="13"/>
      <c r="K1071" s="13"/>
      <c r="L1071" s="14"/>
      <c r="M1071" s="4"/>
      <c r="N1071" s="2"/>
      <c r="O1071" s="4"/>
      <c r="P1071" s="2"/>
      <c r="Q1071" s="2"/>
      <c r="R1071" s="4"/>
      <c r="S1071" s="2"/>
      <c r="T1071" s="2"/>
      <c r="U1071" s="1"/>
      <c r="V1071" s="2"/>
      <c r="W1071" s="2"/>
      <c r="X1071" s="2"/>
      <c r="Y1071" s="2"/>
      <c r="Z1071" s="2"/>
    </row>
    <row r="1072" spans="1:26" ht="15.75" customHeight="1" x14ac:dyDescent="0.2">
      <c r="A1072" s="12"/>
      <c r="B1072" s="10"/>
      <c r="C1072" s="11"/>
      <c r="D1072" s="13"/>
      <c r="E1072" s="13"/>
      <c r="F1072" s="13"/>
      <c r="G1072" s="2"/>
      <c r="H1072" s="2"/>
      <c r="I1072" s="13"/>
      <c r="J1072" s="13"/>
      <c r="K1072" s="13"/>
      <c r="L1072" s="14"/>
      <c r="M1072" s="4"/>
      <c r="N1072" s="2"/>
      <c r="O1072" s="4"/>
      <c r="P1072" s="2"/>
      <c r="Q1072" s="2"/>
      <c r="R1072" s="4"/>
      <c r="S1072" s="2"/>
      <c r="T1072" s="2"/>
      <c r="U1072" s="1"/>
      <c r="V1072" s="2"/>
      <c r="W1072" s="2"/>
      <c r="X1072" s="2"/>
      <c r="Y1072" s="2"/>
      <c r="Z1072" s="2"/>
    </row>
    <row r="1073" spans="1:26" ht="15.75" customHeight="1" x14ac:dyDescent="0.2">
      <c r="A1073" s="12"/>
      <c r="B1073" s="10"/>
      <c r="C1073" s="11"/>
      <c r="D1073" s="13"/>
      <c r="E1073" s="13"/>
      <c r="F1073" s="13"/>
      <c r="G1073" s="2"/>
      <c r="H1073" s="2"/>
      <c r="I1073" s="13"/>
      <c r="J1073" s="13"/>
      <c r="K1073" s="13"/>
      <c r="L1073" s="14"/>
      <c r="M1073" s="4"/>
      <c r="N1073" s="2"/>
      <c r="O1073" s="4"/>
      <c r="P1073" s="2"/>
      <c r="Q1073" s="2"/>
      <c r="R1073" s="4"/>
      <c r="S1073" s="2"/>
      <c r="T1073" s="2"/>
      <c r="U1073" s="1"/>
      <c r="V1073" s="2"/>
      <c r="W1073" s="2"/>
      <c r="X1073" s="2"/>
      <c r="Y1073" s="2"/>
      <c r="Z1073" s="2"/>
    </row>
    <row r="1074" spans="1:26" ht="15.75" customHeight="1" x14ac:dyDescent="0.2">
      <c r="A1074" s="12"/>
      <c r="B1074" s="10"/>
      <c r="C1074" s="11"/>
      <c r="D1074" s="13"/>
      <c r="E1074" s="13"/>
      <c r="F1074" s="13"/>
      <c r="G1074" s="2"/>
      <c r="H1074" s="2"/>
      <c r="I1074" s="13"/>
      <c r="J1074" s="13"/>
      <c r="K1074" s="13"/>
      <c r="L1074" s="14"/>
      <c r="M1074" s="4"/>
      <c r="N1074" s="2"/>
      <c r="O1074" s="4"/>
      <c r="P1074" s="2"/>
      <c r="Q1074" s="2"/>
      <c r="R1074" s="4"/>
      <c r="S1074" s="2"/>
      <c r="T1074" s="2"/>
      <c r="U1074" s="1"/>
      <c r="V1074" s="2"/>
      <c r="W1074" s="2"/>
      <c r="X1074" s="2"/>
      <c r="Y1074" s="2"/>
      <c r="Z1074" s="2"/>
    </row>
    <row r="1075" spans="1:26" ht="15.75" customHeight="1" x14ac:dyDescent="0.2">
      <c r="A1075" s="12"/>
      <c r="B1075" s="10"/>
      <c r="C1075" s="11"/>
      <c r="D1075" s="13"/>
      <c r="E1075" s="13"/>
      <c r="F1075" s="13"/>
      <c r="G1075" s="2"/>
      <c r="H1075" s="2"/>
      <c r="I1075" s="13"/>
      <c r="J1075" s="13"/>
      <c r="K1075" s="13"/>
      <c r="L1075" s="14"/>
      <c r="M1075" s="4"/>
      <c r="N1075" s="2"/>
      <c r="O1075" s="4"/>
      <c r="P1075" s="2"/>
      <c r="Q1075" s="2"/>
      <c r="R1075" s="4"/>
      <c r="S1075" s="2"/>
      <c r="T1075" s="2"/>
      <c r="U1075" s="1"/>
      <c r="V1075" s="2"/>
      <c r="W1075" s="2"/>
      <c r="X1075" s="2"/>
      <c r="Y1075" s="2"/>
      <c r="Z1075" s="2"/>
    </row>
    <row r="1076" spans="1:26" ht="15.75" customHeight="1" x14ac:dyDescent="0.2">
      <c r="A1076" s="12"/>
      <c r="B1076" s="10"/>
      <c r="C1076" s="11"/>
      <c r="D1076" s="13"/>
      <c r="E1076" s="13"/>
      <c r="F1076" s="13"/>
      <c r="G1076" s="2"/>
      <c r="H1076" s="2"/>
      <c r="I1076" s="13"/>
      <c r="J1076" s="13"/>
      <c r="K1076" s="13"/>
      <c r="L1076" s="14"/>
      <c r="M1076" s="4"/>
      <c r="N1076" s="2"/>
      <c r="O1076" s="4"/>
      <c r="P1076" s="2"/>
      <c r="Q1076" s="2"/>
      <c r="R1076" s="4"/>
      <c r="S1076" s="2"/>
      <c r="T1076" s="2"/>
      <c r="U1076" s="1"/>
      <c r="V1076" s="2"/>
      <c r="W1076" s="2"/>
      <c r="X1076" s="2"/>
      <c r="Y1076" s="2"/>
      <c r="Z1076" s="2"/>
    </row>
    <row r="1077" spans="1:26" ht="15.75" customHeight="1" x14ac:dyDescent="0.2">
      <c r="A1077" s="12"/>
      <c r="B1077" s="10"/>
      <c r="C1077" s="11"/>
      <c r="D1077" s="13"/>
      <c r="E1077" s="13"/>
      <c r="F1077" s="13"/>
      <c r="G1077" s="2"/>
      <c r="H1077" s="2"/>
      <c r="I1077" s="13"/>
      <c r="J1077" s="13"/>
      <c r="K1077" s="13"/>
      <c r="L1077" s="14"/>
      <c r="M1077" s="4"/>
      <c r="N1077" s="2"/>
      <c r="O1077" s="4"/>
      <c r="P1077" s="2"/>
      <c r="Q1077" s="2"/>
      <c r="R1077" s="4"/>
      <c r="S1077" s="2"/>
      <c r="T1077" s="2"/>
      <c r="U1077" s="1"/>
      <c r="V1077" s="2"/>
      <c r="W1077" s="2"/>
      <c r="X1077" s="2"/>
      <c r="Y1077" s="2"/>
      <c r="Z1077" s="2"/>
    </row>
    <row r="1078" spans="1:26" ht="15.75" customHeight="1" x14ac:dyDescent="0.2">
      <c r="A1078" s="12"/>
      <c r="B1078" s="10"/>
      <c r="C1078" s="11"/>
      <c r="D1078" s="13"/>
      <c r="E1078" s="13"/>
      <c r="F1078" s="13"/>
      <c r="G1078" s="2"/>
      <c r="H1078" s="2"/>
      <c r="I1078" s="13"/>
      <c r="J1078" s="13"/>
      <c r="K1078" s="13"/>
      <c r="L1078" s="14"/>
      <c r="M1078" s="4"/>
      <c r="N1078" s="2"/>
      <c r="O1078" s="4"/>
      <c r="P1078" s="2"/>
      <c r="Q1078" s="2"/>
      <c r="R1078" s="4"/>
      <c r="S1078" s="2"/>
      <c r="T1078" s="2"/>
      <c r="U1078" s="1"/>
      <c r="V1078" s="2"/>
      <c r="W1078" s="2"/>
      <c r="X1078" s="2"/>
      <c r="Y1078" s="2"/>
      <c r="Z1078" s="2"/>
    </row>
    <row r="1079" spans="1:26" ht="15.75" customHeight="1" x14ac:dyDescent="0.2">
      <c r="A1079" s="12"/>
      <c r="B1079" s="10"/>
      <c r="C1079" s="11"/>
      <c r="D1079" s="13"/>
      <c r="E1079" s="13"/>
      <c r="F1079" s="13"/>
      <c r="G1079" s="2"/>
      <c r="H1079" s="2"/>
      <c r="I1079" s="13"/>
      <c r="J1079" s="13"/>
      <c r="K1079" s="13"/>
      <c r="L1079" s="14"/>
      <c r="M1079" s="4"/>
      <c r="N1079" s="2"/>
      <c r="O1079" s="4"/>
      <c r="P1079" s="2"/>
      <c r="Q1079" s="2"/>
      <c r="R1079" s="4"/>
      <c r="S1079" s="2"/>
      <c r="T1079" s="2"/>
      <c r="U1079" s="1"/>
      <c r="V1079" s="2"/>
      <c r="W1079" s="2"/>
      <c r="X1079" s="2"/>
      <c r="Y1079" s="2"/>
      <c r="Z1079" s="2"/>
    </row>
    <row r="1080" spans="1:26" ht="15.75" customHeight="1" x14ac:dyDescent="0.2">
      <c r="A1080" s="12"/>
      <c r="B1080" s="10"/>
      <c r="C1080" s="11"/>
      <c r="D1080" s="13"/>
      <c r="E1080" s="13"/>
      <c r="F1080" s="13"/>
      <c r="G1080" s="2"/>
      <c r="H1080" s="2"/>
      <c r="I1080" s="13"/>
      <c r="J1080" s="13"/>
      <c r="K1080" s="13"/>
      <c r="L1080" s="14"/>
      <c r="M1080" s="4"/>
      <c r="N1080" s="2"/>
      <c r="O1080" s="4"/>
      <c r="P1080" s="2"/>
      <c r="Q1080" s="2"/>
      <c r="R1080" s="4"/>
      <c r="S1080" s="2"/>
      <c r="T1080" s="2"/>
      <c r="U1080" s="1"/>
      <c r="V1080" s="2"/>
      <c r="W1080" s="2"/>
      <c r="X1080" s="2"/>
      <c r="Y1080" s="2"/>
      <c r="Z1080" s="2"/>
    </row>
    <row r="1081" spans="1:26" ht="15.75" customHeight="1" x14ac:dyDescent="0.2">
      <c r="A1081" s="12"/>
      <c r="B1081" s="10"/>
      <c r="C1081" s="11"/>
      <c r="D1081" s="13"/>
      <c r="E1081" s="13"/>
      <c r="F1081" s="13"/>
      <c r="G1081" s="2"/>
      <c r="H1081" s="2"/>
      <c r="I1081" s="13"/>
      <c r="J1081" s="13"/>
      <c r="K1081" s="13"/>
      <c r="L1081" s="14"/>
      <c r="M1081" s="4"/>
      <c r="N1081" s="2"/>
      <c r="O1081" s="4"/>
      <c r="P1081" s="2"/>
      <c r="Q1081" s="2"/>
      <c r="R1081" s="4"/>
      <c r="S1081" s="2"/>
      <c r="T1081" s="2"/>
      <c r="U1081" s="1"/>
      <c r="V1081" s="2"/>
      <c r="W1081" s="2"/>
      <c r="X1081" s="2"/>
      <c r="Y1081" s="2"/>
      <c r="Z1081" s="2"/>
    </row>
    <row r="1082" spans="1:26" ht="15.75" customHeight="1" x14ac:dyDescent="0.2">
      <c r="A1082" s="12"/>
      <c r="B1082" s="10"/>
      <c r="C1082" s="11"/>
      <c r="D1082" s="13"/>
      <c r="E1082" s="13"/>
      <c r="F1082" s="13"/>
      <c r="G1082" s="2"/>
      <c r="H1082" s="2"/>
      <c r="I1082" s="13"/>
      <c r="J1082" s="13"/>
      <c r="K1082" s="13"/>
      <c r="L1082" s="14"/>
      <c r="M1082" s="4"/>
      <c r="N1082" s="2"/>
      <c r="O1082" s="4"/>
      <c r="P1082" s="2"/>
      <c r="Q1082" s="2"/>
      <c r="R1082" s="4"/>
      <c r="S1082" s="2"/>
      <c r="T1082" s="2"/>
      <c r="U1082" s="1"/>
      <c r="V1082" s="2"/>
      <c r="W1082" s="2"/>
      <c r="X1082" s="2"/>
      <c r="Y1082" s="2"/>
      <c r="Z1082" s="2"/>
    </row>
    <row r="1083" spans="1:26" ht="15.75" customHeight="1" x14ac:dyDescent="0.2">
      <c r="A1083" s="12"/>
      <c r="B1083" s="10"/>
      <c r="C1083" s="11"/>
      <c r="D1083" s="13"/>
      <c r="E1083" s="13"/>
      <c r="F1083" s="13"/>
      <c r="G1083" s="2"/>
      <c r="H1083" s="2"/>
      <c r="I1083" s="13"/>
      <c r="J1083" s="13"/>
      <c r="K1083" s="13"/>
      <c r="L1083" s="14"/>
      <c r="M1083" s="4"/>
      <c r="N1083" s="2"/>
      <c r="O1083" s="4"/>
      <c r="P1083" s="2"/>
      <c r="Q1083" s="2"/>
      <c r="R1083" s="4"/>
      <c r="S1083" s="2"/>
      <c r="T1083" s="2"/>
      <c r="U1083" s="1"/>
      <c r="V1083" s="2"/>
      <c r="W1083" s="2"/>
      <c r="X1083" s="2"/>
      <c r="Y1083" s="2"/>
      <c r="Z1083" s="2"/>
    </row>
    <row r="1084" spans="1:26" ht="15.75" customHeight="1" x14ac:dyDescent="0.2">
      <c r="A1084" s="12"/>
      <c r="B1084" s="10"/>
      <c r="C1084" s="11"/>
      <c r="D1084" s="13"/>
      <c r="E1084" s="13"/>
      <c r="F1084" s="13"/>
      <c r="G1084" s="2"/>
      <c r="H1084" s="2"/>
      <c r="I1084" s="13"/>
      <c r="J1084" s="13"/>
      <c r="K1084" s="13"/>
      <c r="L1084" s="14"/>
      <c r="M1084" s="4"/>
      <c r="N1084" s="2"/>
      <c r="O1084" s="4"/>
      <c r="P1084" s="2"/>
      <c r="Q1084" s="2"/>
      <c r="R1084" s="4"/>
      <c r="S1084" s="2"/>
      <c r="T1084" s="2"/>
      <c r="U1084" s="1"/>
      <c r="V1084" s="2"/>
      <c r="W1084" s="2"/>
      <c r="X1084" s="2"/>
      <c r="Y1084" s="2"/>
      <c r="Z1084" s="2"/>
    </row>
    <row r="1085" spans="1:26" ht="15.75" customHeight="1" x14ac:dyDescent="0.2">
      <c r="A1085" s="12"/>
      <c r="B1085" s="10"/>
      <c r="C1085" s="11"/>
      <c r="D1085" s="13"/>
      <c r="E1085" s="13"/>
      <c r="F1085" s="13"/>
      <c r="G1085" s="2"/>
      <c r="H1085" s="2"/>
      <c r="I1085" s="13"/>
      <c r="J1085" s="13"/>
      <c r="K1085" s="13"/>
      <c r="L1085" s="14"/>
      <c r="M1085" s="4"/>
      <c r="N1085" s="2"/>
      <c r="O1085" s="4"/>
      <c r="P1085" s="2"/>
      <c r="Q1085" s="2"/>
      <c r="R1085" s="4"/>
      <c r="S1085" s="2"/>
      <c r="T1085" s="2"/>
      <c r="U1085" s="1"/>
      <c r="V1085" s="2"/>
      <c r="W1085" s="2"/>
      <c r="X1085" s="2"/>
      <c r="Y1085" s="2"/>
      <c r="Z1085" s="2"/>
    </row>
    <row r="1086" spans="1:26" ht="15.75" customHeight="1" x14ac:dyDescent="0.2">
      <c r="A1086" s="12"/>
      <c r="B1086" s="10"/>
      <c r="C1086" s="11"/>
      <c r="D1086" s="13"/>
      <c r="E1086" s="13"/>
      <c r="F1086" s="13"/>
      <c r="G1086" s="2"/>
      <c r="H1086" s="2"/>
      <c r="I1086" s="13"/>
      <c r="J1086" s="13"/>
      <c r="K1086" s="13"/>
      <c r="L1086" s="14"/>
      <c r="M1086" s="4"/>
      <c r="N1086" s="2"/>
      <c r="O1086" s="4"/>
      <c r="P1086" s="2"/>
      <c r="Q1086" s="2"/>
      <c r="R1086" s="4"/>
      <c r="S1086" s="2"/>
      <c r="T1086" s="2"/>
      <c r="U1086" s="1"/>
      <c r="V1086" s="2"/>
      <c r="W1086" s="2"/>
      <c r="X1086" s="2"/>
      <c r="Y1086" s="2"/>
      <c r="Z1086" s="2"/>
    </row>
    <row r="1087" spans="1:26" ht="15.75" customHeight="1" x14ac:dyDescent="0.2">
      <c r="A1087" s="12"/>
      <c r="B1087" s="10"/>
      <c r="C1087" s="11"/>
      <c r="D1087" s="13"/>
      <c r="E1087" s="13"/>
      <c r="F1087" s="13"/>
      <c r="G1087" s="2"/>
      <c r="H1087" s="2"/>
      <c r="I1087" s="13"/>
      <c r="J1087" s="13"/>
      <c r="K1087" s="13"/>
      <c r="L1087" s="14"/>
      <c r="M1087" s="4"/>
      <c r="N1087" s="2"/>
      <c r="O1087" s="4"/>
      <c r="P1087" s="2"/>
      <c r="Q1087" s="2"/>
      <c r="R1087" s="4"/>
      <c r="S1087" s="2"/>
      <c r="T1087" s="2"/>
      <c r="U1087" s="1"/>
      <c r="V1087" s="2"/>
      <c r="W1087" s="2"/>
      <c r="X1087" s="2"/>
      <c r="Y1087" s="2"/>
      <c r="Z1087" s="2"/>
    </row>
    <row r="1088" spans="1:26" ht="15.75" customHeight="1" x14ac:dyDescent="0.2">
      <c r="A1088" s="12"/>
      <c r="B1088" s="10"/>
      <c r="C1088" s="11"/>
      <c r="D1088" s="13"/>
      <c r="E1088" s="13"/>
      <c r="F1088" s="13"/>
      <c r="G1088" s="2"/>
      <c r="H1088" s="2"/>
      <c r="I1088" s="13"/>
      <c r="J1088" s="13"/>
      <c r="K1088" s="13"/>
      <c r="L1088" s="14"/>
      <c r="M1088" s="4"/>
      <c r="N1088" s="2"/>
      <c r="O1088" s="4"/>
      <c r="P1088" s="2"/>
      <c r="Q1088" s="2"/>
      <c r="R1088" s="4"/>
      <c r="S1088" s="2"/>
      <c r="T1088" s="2"/>
      <c r="U1088" s="1"/>
      <c r="V1088" s="2"/>
      <c r="W1088" s="2"/>
      <c r="X1088" s="2"/>
      <c r="Y1088" s="2"/>
      <c r="Z1088" s="2"/>
    </row>
    <row r="1089" spans="1:26" ht="15.75" customHeight="1" x14ac:dyDescent="0.2">
      <c r="A1089" s="12"/>
      <c r="B1089" s="10"/>
      <c r="C1089" s="11"/>
      <c r="D1089" s="13"/>
      <c r="E1089" s="13"/>
      <c r="F1089" s="13"/>
      <c r="G1089" s="2"/>
      <c r="H1089" s="2"/>
      <c r="I1089" s="13"/>
      <c r="J1089" s="13"/>
      <c r="K1089" s="13"/>
      <c r="L1089" s="14"/>
      <c r="M1089" s="4"/>
      <c r="N1089" s="2"/>
      <c r="O1089" s="4"/>
      <c r="P1089" s="2"/>
      <c r="Q1089" s="2"/>
      <c r="R1089" s="4"/>
      <c r="S1089" s="2"/>
      <c r="T1089" s="2"/>
      <c r="U1089" s="1"/>
      <c r="V1089" s="2"/>
      <c r="W1089" s="2"/>
      <c r="X1089" s="2"/>
      <c r="Y1089" s="2"/>
      <c r="Z1089" s="2"/>
    </row>
    <row r="1090" spans="1:26" ht="15.75" customHeight="1" x14ac:dyDescent="0.2">
      <c r="A1090" s="12"/>
      <c r="B1090" s="10"/>
      <c r="C1090" s="11"/>
      <c r="D1090" s="13"/>
      <c r="E1090" s="13"/>
      <c r="F1090" s="13"/>
      <c r="G1090" s="2"/>
      <c r="H1090" s="2"/>
      <c r="I1090" s="13"/>
      <c r="J1090" s="13"/>
      <c r="K1090" s="13"/>
      <c r="L1090" s="14"/>
      <c r="M1090" s="4"/>
      <c r="N1090" s="2"/>
      <c r="O1090" s="4"/>
      <c r="P1090" s="2"/>
      <c r="Q1090" s="2"/>
      <c r="R1090" s="4"/>
      <c r="S1090" s="2"/>
      <c r="T1090" s="2"/>
      <c r="U1090" s="1"/>
      <c r="V1090" s="2"/>
      <c r="W1090" s="2"/>
      <c r="X1090" s="2"/>
      <c r="Y1090" s="2"/>
      <c r="Z1090" s="2"/>
    </row>
    <row r="1091" spans="1:26" ht="15.75" customHeight="1" x14ac:dyDescent="0.2">
      <c r="A1091" s="12"/>
      <c r="B1091" s="10"/>
      <c r="C1091" s="11"/>
      <c r="D1091" s="13"/>
      <c r="E1091" s="13"/>
      <c r="F1091" s="13"/>
      <c r="G1091" s="2"/>
      <c r="H1091" s="2"/>
      <c r="I1091" s="13"/>
      <c r="J1091" s="13"/>
      <c r="K1091" s="13"/>
      <c r="L1091" s="14"/>
      <c r="M1091" s="4"/>
      <c r="N1091" s="2"/>
      <c r="O1091" s="4"/>
      <c r="P1091" s="2"/>
      <c r="Q1091" s="2"/>
      <c r="R1091" s="4"/>
      <c r="S1091" s="2"/>
      <c r="T1091" s="2"/>
      <c r="U1091" s="1"/>
      <c r="V1091" s="2"/>
      <c r="W1091" s="2"/>
      <c r="X1091" s="2"/>
      <c r="Y1091" s="2"/>
      <c r="Z1091" s="2"/>
    </row>
    <row r="1092" spans="1:26" ht="15.75" customHeight="1" x14ac:dyDescent="0.2">
      <c r="A1092" s="12"/>
      <c r="B1092" s="10"/>
      <c r="C1092" s="11"/>
      <c r="D1092" s="13"/>
      <c r="E1092" s="13"/>
      <c r="F1092" s="13"/>
      <c r="G1092" s="2"/>
      <c r="H1092" s="2"/>
      <c r="I1092" s="13"/>
      <c r="J1092" s="13"/>
      <c r="K1092" s="13"/>
      <c r="L1092" s="14"/>
      <c r="M1092" s="4"/>
      <c r="N1092" s="2"/>
      <c r="O1092" s="4"/>
      <c r="P1092" s="2"/>
      <c r="Q1092" s="2"/>
      <c r="R1092" s="4"/>
      <c r="S1092" s="2"/>
      <c r="T1092" s="2"/>
      <c r="U1092" s="1"/>
      <c r="V1092" s="2"/>
      <c r="W1092" s="2"/>
      <c r="X1092" s="2"/>
      <c r="Y1092" s="2"/>
      <c r="Z1092" s="2"/>
    </row>
    <row r="1093" spans="1:26" ht="15.75" customHeight="1" x14ac:dyDescent="0.2">
      <c r="A1093" s="12"/>
      <c r="B1093" s="10"/>
      <c r="C1093" s="11"/>
      <c r="D1093" s="13"/>
      <c r="E1093" s="13"/>
      <c r="F1093" s="13"/>
      <c r="G1093" s="2"/>
      <c r="H1093" s="2"/>
      <c r="I1093" s="13"/>
      <c r="J1093" s="13"/>
      <c r="K1093" s="13"/>
      <c r="L1093" s="14"/>
      <c r="M1093" s="4"/>
      <c r="N1093" s="2"/>
      <c r="O1093" s="4"/>
      <c r="P1093" s="2"/>
      <c r="Q1093" s="2"/>
      <c r="R1093" s="4"/>
      <c r="S1093" s="2"/>
      <c r="T1093" s="2"/>
      <c r="U1093" s="1"/>
      <c r="V1093" s="2"/>
      <c r="W1093" s="2"/>
      <c r="X1093" s="2"/>
      <c r="Y1093" s="2"/>
      <c r="Z1093" s="2"/>
    </row>
    <row r="1094" spans="1:26" ht="15.75" customHeight="1" x14ac:dyDescent="0.2">
      <c r="A1094" s="12"/>
      <c r="B1094" s="10"/>
      <c r="C1094" s="11"/>
      <c r="D1094" s="13"/>
      <c r="E1094" s="13"/>
      <c r="F1094" s="13"/>
      <c r="G1094" s="2"/>
      <c r="H1094" s="2"/>
      <c r="I1094" s="13"/>
      <c r="J1094" s="13"/>
      <c r="K1094" s="13"/>
      <c r="L1094" s="14"/>
      <c r="M1094" s="4"/>
      <c r="N1094" s="2"/>
      <c r="O1094" s="4"/>
      <c r="P1094" s="2"/>
      <c r="Q1094" s="2"/>
      <c r="R1094" s="4"/>
      <c r="S1094" s="2"/>
      <c r="T1094" s="2"/>
      <c r="U1094" s="1"/>
      <c r="V1094" s="2"/>
      <c r="W1094" s="2"/>
      <c r="X1094" s="2"/>
      <c r="Y1094" s="2"/>
      <c r="Z1094" s="2"/>
    </row>
    <row r="1095" spans="1:26" ht="15.75" customHeight="1" x14ac:dyDescent="0.2">
      <c r="A1095" s="12"/>
      <c r="B1095" s="10"/>
      <c r="C1095" s="11"/>
      <c r="D1095" s="13"/>
      <c r="E1095" s="13"/>
      <c r="F1095" s="13"/>
      <c r="G1095" s="2"/>
      <c r="H1095" s="2"/>
      <c r="I1095" s="13"/>
      <c r="J1095" s="13"/>
      <c r="K1095" s="13"/>
      <c r="L1095" s="14"/>
      <c r="M1095" s="4"/>
      <c r="N1095" s="2"/>
      <c r="O1095" s="4"/>
      <c r="P1095" s="2"/>
      <c r="Q1095" s="2"/>
      <c r="R1095" s="4"/>
      <c r="S1095" s="2"/>
      <c r="T1095" s="2"/>
      <c r="U1095" s="1"/>
      <c r="V1095" s="2"/>
      <c r="W1095" s="2"/>
      <c r="X1095" s="2"/>
      <c r="Y1095" s="2"/>
      <c r="Z1095" s="2"/>
    </row>
    <row r="1096" spans="1:26" ht="15.75" customHeight="1" x14ac:dyDescent="0.2">
      <c r="A1096" s="12"/>
      <c r="B1096" s="10"/>
      <c r="C1096" s="11"/>
      <c r="D1096" s="13"/>
      <c r="E1096" s="13"/>
      <c r="F1096" s="13"/>
      <c r="G1096" s="2"/>
      <c r="H1096" s="2"/>
      <c r="I1096" s="13"/>
      <c r="J1096" s="13"/>
      <c r="K1096" s="13"/>
      <c r="L1096" s="14"/>
      <c r="M1096" s="4"/>
      <c r="N1096" s="2"/>
      <c r="O1096" s="4"/>
      <c r="P1096" s="2"/>
      <c r="Q1096" s="2"/>
      <c r="R1096" s="4"/>
      <c r="S1096" s="2"/>
      <c r="T1096" s="2"/>
      <c r="U1096" s="1"/>
      <c r="V1096" s="2"/>
      <c r="W1096" s="2"/>
      <c r="X1096" s="2"/>
      <c r="Y1096" s="2"/>
      <c r="Z1096" s="2"/>
    </row>
    <row r="1097" spans="1:26" ht="15.75" customHeight="1" x14ac:dyDescent="0.2">
      <c r="A1097" s="12"/>
      <c r="B1097" s="10"/>
      <c r="C1097" s="11"/>
      <c r="D1097" s="13"/>
      <c r="E1097" s="13"/>
      <c r="F1097" s="13"/>
      <c r="G1097" s="2"/>
      <c r="H1097" s="2"/>
      <c r="I1097" s="13"/>
      <c r="J1097" s="13"/>
      <c r="K1097" s="13"/>
      <c r="L1097" s="14"/>
      <c r="M1097" s="4"/>
      <c r="N1097" s="2"/>
      <c r="O1097" s="4"/>
      <c r="P1097" s="2"/>
      <c r="Q1097" s="2"/>
      <c r="R1097" s="4"/>
      <c r="S1097" s="2"/>
      <c r="T1097" s="2"/>
      <c r="U1097" s="1"/>
      <c r="V1097" s="2"/>
      <c r="W1097" s="2"/>
      <c r="X1097" s="2"/>
      <c r="Y1097" s="2"/>
      <c r="Z1097" s="2"/>
    </row>
    <row r="1098" spans="1:26" ht="15.75" customHeight="1" x14ac:dyDescent="0.2">
      <c r="A1098" s="12"/>
      <c r="B1098" s="10"/>
      <c r="C1098" s="11"/>
      <c r="D1098" s="13"/>
      <c r="E1098" s="13"/>
      <c r="F1098" s="13"/>
      <c r="G1098" s="2"/>
      <c r="H1098" s="2"/>
      <c r="I1098" s="13"/>
      <c r="J1098" s="13"/>
      <c r="K1098" s="13"/>
      <c r="L1098" s="14"/>
      <c r="M1098" s="4"/>
      <c r="N1098" s="2"/>
      <c r="O1098" s="4"/>
      <c r="P1098" s="2"/>
      <c r="Q1098" s="2"/>
      <c r="R1098" s="4"/>
      <c r="S1098" s="2"/>
      <c r="T1098" s="2"/>
      <c r="U1098" s="1"/>
      <c r="V1098" s="2"/>
      <c r="W1098" s="2"/>
      <c r="X1098" s="2"/>
      <c r="Y1098" s="2"/>
      <c r="Z1098" s="2"/>
    </row>
    <row r="1099" spans="1:26" ht="15.75" customHeight="1" x14ac:dyDescent="0.2">
      <c r="A1099" s="12"/>
      <c r="B1099" s="10"/>
      <c r="C1099" s="11"/>
      <c r="D1099" s="13"/>
      <c r="E1099" s="13"/>
      <c r="F1099" s="13"/>
      <c r="G1099" s="2"/>
      <c r="H1099" s="2"/>
      <c r="I1099" s="13"/>
      <c r="J1099" s="13"/>
      <c r="K1099" s="13"/>
      <c r="L1099" s="14"/>
      <c r="M1099" s="4"/>
      <c r="N1099" s="2"/>
      <c r="O1099" s="4"/>
      <c r="P1099" s="2"/>
      <c r="Q1099" s="2"/>
      <c r="R1099" s="4"/>
      <c r="S1099" s="2"/>
      <c r="T1099" s="2"/>
      <c r="U1099" s="1"/>
      <c r="V1099" s="2"/>
      <c r="W1099" s="2"/>
      <c r="X1099" s="2"/>
      <c r="Y1099" s="2"/>
      <c r="Z1099" s="2"/>
    </row>
    <row r="1100" spans="1:26" ht="15.75" customHeight="1" x14ac:dyDescent="0.2">
      <c r="A1100" s="12"/>
      <c r="B1100" s="10"/>
      <c r="C1100" s="11"/>
      <c r="D1100" s="13"/>
      <c r="E1100" s="13"/>
      <c r="F1100" s="13"/>
      <c r="G1100" s="2"/>
      <c r="H1100" s="2"/>
      <c r="I1100" s="13"/>
      <c r="J1100" s="13"/>
      <c r="K1100" s="13"/>
      <c r="L1100" s="14"/>
      <c r="M1100" s="4"/>
      <c r="N1100" s="2"/>
      <c r="O1100" s="4"/>
      <c r="P1100" s="2"/>
      <c r="Q1100" s="2"/>
      <c r="R1100" s="4"/>
      <c r="S1100" s="2"/>
      <c r="T1100" s="2"/>
      <c r="U1100" s="1"/>
      <c r="V1100" s="2"/>
      <c r="W1100" s="2"/>
      <c r="X1100" s="2"/>
      <c r="Y1100" s="2"/>
      <c r="Z1100" s="2"/>
    </row>
    <row r="1101" spans="1:26" ht="15.75" customHeight="1" x14ac:dyDescent="0.2">
      <c r="A1101" s="12"/>
      <c r="B1101" s="10"/>
      <c r="C1101" s="11"/>
      <c r="D1101" s="13"/>
      <c r="E1101" s="13"/>
      <c r="F1101" s="13"/>
      <c r="G1101" s="2"/>
      <c r="H1101" s="2"/>
      <c r="I1101" s="13"/>
      <c r="J1101" s="13"/>
      <c r="K1101" s="13"/>
      <c r="L1101" s="14"/>
      <c r="M1101" s="4"/>
      <c r="N1101" s="2"/>
      <c r="O1101" s="4"/>
      <c r="P1101" s="2"/>
      <c r="Q1101" s="2"/>
      <c r="R1101" s="4"/>
      <c r="S1101" s="2"/>
      <c r="T1101" s="2"/>
      <c r="U1101" s="1"/>
      <c r="V1101" s="2"/>
      <c r="W1101" s="2"/>
      <c r="X1101" s="2"/>
      <c r="Y1101" s="2"/>
      <c r="Z1101" s="2"/>
    </row>
    <row r="1102" spans="1:26" ht="15.75" customHeight="1" x14ac:dyDescent="0.2">
      <c r="A1102" s="12"/>
      <c r="B1102" s="10"/>
      <c r="C1102" s="11"/>
      <c r="D1102" s="13"/>
      <c r="E1102" s="13"/>
      <c r="F1102" s="13"/>
      <c r="G1102" s="2"/>
      <c r="H1102" s="2"/>
      <c r="I1102" s="13"/>
      <c r="J1102" s="13"/>
      <c r="K1102" s="13"/>
      <c r="L1102" s="14"/>
      <c r="M1102" s="4"/>
      <c r="N1102" s="2"/>
      <c r="O1102" s="4"/>
      <c r="P1102" s="2"/>
      <c r="Q1102" s="2"/>
      <c r="R1102" s="4"/>
      <c r="S1102" s="2"/>
      <c r="T1102" s="2"/>
      <c r="U1102" s="1"/>
      <c r="V1102" s="2"/>
      <c r="W1102" s="2"/>
      <c r="X1102" s="2"/>
      <c r="Y1102" s="2"/>
      <c r="Z1102" s="2"/>
    </row>
    <row r="1103" spans="1:26" ht="15.75" customHeight="1" x14ac:dyDescent="0.2">
      <c r="A1103" s="12"/>
      <c r="B1103" s="10"/>
      <c r="C1103" s="11"/>
      <c r="D1103" s="13"/>
      <c r="E1103" s="13"/>
      <c r="F1103" s="13"/>
      <c r="G1103" s="2"/>
      <c r="H1103" s="2"/>
      <c r="I1103" s="13"/>
      <c r="J1103" s="13"/>
      <c r="K1103" s="13"/>
      <c r="L1103" s="14"/>
      <c r="M1103" s="4"/>
      <c r="N1103" s="2"/>
      <c r="O1103" s="4"/>
      <c r="P1103" s="2"/>
      <c r="Q1103" s="2"/>
      <c r="R1103" s="4"/>
      <c r="S1103" s="2"/>
      <c r="T1103" s="2"/>
      <c r="U1103" s="1"/>
      <c r="V1103" s="2"/>
      <c r="W1103" s="2"/>
      <c r="X1103" s="2"/>
      <c r="Y1103" s="2"/>
      <c r="Z1103" s="2"/>
    </row>
    <row r="1104" spans="1:26" ht="15.75" customHeight="1" x14ac:dyDescent="0.2">
      <c r="A1104" s="12"/>
      <c r="B1104" s="10"/>
      <c r="C1104" s="11"/>
      <c r="D1104" s="13"/>
      <c r="E1104" s="13"/>
      <c r="F1104" s="13"/>
      <c r="G1104" s="2"/>
      <c r="H1104" s="2"/>
      <c r="I1104" s="13"/>
      <c r="J1104" s="13"/>
      <c r="K1104" s="13"/>
      <c r="L1104" s="14"/>
      <c r="M1104" s="4"/>
      <c r="N1104" s="2"/>
      <c r="O1104" s="4"/>
      <c r="P1104" s="2"/>
      <c r="Q1104" s="2"/>
      <c r="R1104" s="4"/>
      <c r="S1104" s="2"/>
      <c r="T1104" s="2"/>
      <c r="U1104" s="1"/>
      <c r="V1104" s="2"/>
      <c r="W1104" s="2"/>
      <c r="X1104" s="2"/>
      <c r="Y1104" s="2"/>
      <c r="Z1104" s="2"/>
    </row>
    <row r="1105" spans="1:26" ht="15.75" customHeight="1" x14ac:dyDescent="0.2">
      <c r="A1105" s="12"/>
      <c r="B1105" s="10"/>
      <c r="C1105" s="11"/>
      <c r="D1105" s="13"/>
      <c r="E1105" s="13"/>
      <c r="F1105" s="13"/>
      <c r="G1105" s="2"/>
      <c r="H1105" s="2"/>
      <c r="I1105" s="13"/>
      <c r="J1105" s="13"/>
      <c r="K1105" s="13"/>
      <c r="L1105" s="14"/>
      <c r="M1105" s="4"/>
      <c r="N1105" s="2"/>
      <c r="O1105" s="4"/>
      <c r="P1105" s="2"/>
      <c r="Q1105" s="2"/>
      <c r="R1105" s="4"/>
      <c r="S1105" s="2"/>
      <c r="T1105" s="2"/>
      <c r="U1105" s="1"/>
      <c r="V1105" s="2"/>
      <c r="W1105" s="2"/>
      <c r="X1105" s="2"/>
      <c r="Y1105" s="2"/>
      <c r="Z1105" s="2"/>
    </row>
    <row r="1106" spans="1:26" ht="15.75" customHeight="1" x14ac:dyDescent="0.2">
      <c r="A1106" s="12"/>
      <c r="B1106" s="10"/>
      <c r="C1106" s="11"/>
      <c r="D1106" s="13"/>
      <c r="E1106" s="13"/>
      <c r="F1106" s="13"/>
      <c r="G1106" s="2"/>
      <c r="H1106" s="2"/>
      <c r="I1106" s="13"/>
      <c r="J1106" s="13"/>
      <c r="K1106" s="13"/>
      <c r="L1106" s="14"/>
      <c r="M1106" s="4"/>
      <c r="N1106" s="2"/>
      <c r="O1106" s="4"/>
      <c r="P1106" s="2"/>
      <c r="Q1106" s="2"/>
      <c r="R1106" s="4"/>
      <c r="S1106" s="2"/>
      <c r="T1106" s="2"/>
      <c r="U1106" s="1"/>
      <c r="V1106" s="2"/>
      <c r="W1106" s="2"/>
      <c r="X1106" s="2"/>
      <c r="Y1106" s="2"/>
      <c r="Z1106" s="2"/>
    </row>
    <row r="1107" spans="1:26" ht="15.75" customHeight="1" x14ac:dyDescent="0.2">
      <c r="A1107" s="12"/>
      <c r="B1107" s="10"/>
      <c r="C1107" s="11"/>
      <c r="D1107" s="13"/>
      <c r="E1107" s="13"/>
      <c r="F1107" s="13"/>
      <c r="G1107" s="2"/>
      <c r="H1107" s="2"/>
      <c r="I1107" s="13"/>
      <c r="J1107" s="13"/>
      <c r="K1107" s="13"/>
      <c r="L1107" s="14"/>
      <c r="M1107" s="4"/>
      <c r="N1107" s="2"/>
      <c r="O1107" s="4"/>
      <c r="P1107" s="2"/>
      <c r="Q1107" s="2"/>
      <c r="R1107" s="4"/>
      <c r="S1107" s="2"/>
      <c r="T1107" s="2"/>
      <c r="U1107" s="1"/>
      <c r="V1107" s="2"/>
      <c r="W1107" s="2"/>
      <c r="X1107" s="2"/>
      <c r="Y1107" s="2"/>
      <c r="Z1107" s="2"/>
    </row>
    <row r="1108" spans="1:26" ht="15.75" customHeight="1" x14ac:dyDescent="0.2">
      <c r="A1108" s="12"/>
      <c r="B1108" s="10"/>
      <c r="C1108" s="11"/>
      <c r="D1108" s="13"/>
      <c r="E1108" s="13"/>
      <c r="F1108" s="13"/>
      <c r="G1108" s="2"/>
      <c r="H1108" s="2"/>
      <c r="I1108" s="13"/>
      <c r="J1108" s="13"/>
      <c r="K1108" s="13"/>
      <c r="L1108" s="14"/>
      <c r="M1108" s="4"/>
      <c r="N1108" s="2"/>
      <c r="O1108" s="4"/>
      <c r="P1108" s="2"/>
      <c r="Q1108" s="2"/>
      <c r="R1108" s="4"/>
      <c r="S1108" s="2"/>
      <c r="T1108" s="2"/>
      <c r="U1108" s="1"/>
      <c r="V1108" s="2"/>
      <c r="W1108" s="2"/>
      <c r="X1108" s="2"/>
      <c r="Y1108" s="2"/>
      <c r="Z1108" s="2"/>
    </row>
    <row r="1109" spans="1:26" ht="15.75" customHeight="1" x14ac:dyDescent="0.2">
      <c r="A1109" s="12"/>
      <c r="B1109" s="10"/>
      <c r="C1109" s="11"/>
      <c r="D1109" s="13"/>
      <c r="E1109" s="13"/>
      <c r="F1109" s="13"/>
      <c r="G1109" s="2"/>
      <c r="H1109" s="2"/>
      <c r="I1109" s="13"/>
      <c r="J1109" s="13"/>
      <c r="K1109" s="13"/>
      <c r="L1109" s="14"/>
      <c r="M1109" s="4"/>
      <c r="N1109" s="2"/>
      <c r="O1109" s="4"/>
      <c r="P1109" s="2"/>
      <c r="Q1109" s="2"/>
      <c r="R1109" s="4"/>
      <c r="S1109" s="2"/>
      <c r="T1109" s="2"/>
      <c r="U1109" s="1"/>
      <c r="V1109" s="2"/>
      <c r="W1109" s="2"/>
      <c r="X1109" s="2"/>
      <c r="Y1109" s="2"/>
      <c r="Z1109" s="2"/>
    </row>
    <row r="1110" spans="1:26" ht="15.75" customHeight="1" x14ac:dyDescent="0.2">
      <c r="A1110" s="12"/>
      <c r="B1110" s="10"/>
      <c r="C1110" s="11"/>
      <c r="D1110" s="13"/>
      <c r="E1110" s="13"/>
      <c r="F1110" s="13"/>
      <c r="G1110" s="2"/>
      <c r="H1110" s="2"/>
      <c r="I1110" s="13"/>
      <c r="J1110" s="13"/>
      <c r="K1110" s="13"/>
      <c r="L1110" s="14"/>
      <c r="M1110" s="4"/>
      <c r="N1110" s="2"/>
      <c r="O1110" s="4"/>
      <c r="P1110" s="2"/>
      <c r="Q1110" s="2"/>
      <c r="R1110" s="4"/>
      <c r="S1110" s="2"/>
      <c r="T1110" s="2"/>
      <c r="U1110" s="1"/>
      <c r="V1110" s="2"/>
      <c r="W1110" s="2"/>
      <c r="X1110" s="2"/>
      <c r="Y1110" s="2"/>
      <c r="Z1110" s="2"/>
    </row>
    <row r="1111" spans="1:26" ht="15.75" customHeight="1" x14ac:dyDescent="0.2">
      <c r="A1111" s="12"/>
      <c r="B1111" s="10"/>
      <c r="C1111" s="11"/>
      <c r="D1111" s="13"/>
      <c r="E1111" s="13"/>
      <c r="F1111" s="13"/>
      <c r="G1111" s="2"/>
      <c r="H1111" s="2"/>
      <c r="I1111" s="13"/>
      <c r="J1111" s="13"/>
      <c r="K1111" s="13"/>
      <c r="L1111" s="14"/>
      <c r="M1111" s="4"/>
      <c r="N1111" s="2"/>
      <c r="O1111" s="4"/>
      <c r="P1111" s="2"/>
      <c r="Q1111" s="2"/>
      <c r="R1111" s="4"/>
      <c r="S1111" s="2"/>
      <c r="T1111" s="2"/>
      <c r="U1111" s="1"/>
      <c r="V1111" s="2"/>
      <c r="W1111" s="2"/>
      <c r="X1111" s="2"/>
      <c r="Y1111" s="2"/>
      <c r="Z1111" s="2"/>
    </row>
    <row r="1112" spans="1:26" ht="15.75" customHeight="1" x14ac:dyDescent="0.2">
      <c r="A1112" s="12"/>
      <c r="B1112" s="10"/>
      <c r="C1112" s="11"/>
      <c r="D1112" s="13"/>
      <c r="E1112" s="13"/>
      <c r="F1112" s="13"/>
      <c r="G1112" s="2"/>
      <c r="H1112" s="2"/>
      <c r="I1112" s="13"/>
      <c r="J1112" s="13"/>
      <c r="K1112" s="13"/>
      <c r="L1112" s="14"/>
      <c r="M1112" s="4"/>
      <c r="N1112" s="2"/>
      <c r="O1112" s="4"/>
      <c r="P1112" s="2"/>
      <c r="Q1112" s="2"/>
      <c r="R1112" s="4"/>
      <c r="S1112" s="2"/>
      <c r="T1112" s="2"/>
      <c r="U1112" s="1"/>
      <c r="V1112" s="2"/>
      <c r="W1112" s="2"/>
      <c r="X1112" s="2"/>
      <c r="Y1112" s="2"/>
      <c r="Z1112" s="2"/>
    </row>
    <row r="1113" spans="1:26" ht="15.75" customHeight="1" x14ac:dyDescent="0.2">
      <c r="A1113" s="12"/>
      <c r="B1113" s="10"/>
      <c r="C1113" s="11"/>
      <c r="D1113" s="13"/>
      <c r="E1113" s="13"/>
      <c r="F1113" s="13"/>
      <c r="G1113" s="2"/>
      <c r="H1113" s="2"/>
      <c r="I1113" s="13"/>
      <c r="J1113" s="13"/>
      <c r="K1113" s="13"/>
      <c r="L1113" s="14"/>
      <c r="M1113" s="4"/>
      <c r="N1113" s="2"/>
      <c r="O1113" s="4"/>
      <c r="P1113" s="2"/>
      <c r="Q1113" s="2"/>
      <c r="R1113" s="4"/>
      <c r="S1113" s="2"/>
      <c r="T1113" s="2"/>
      <c r="U1113" s="1"/>
      <c r="V1113" s="2"/>
      <c r="W1113" s="2"/>
      <c r="X1113" s="2"/>
      <c r="Y1113" s="2"/>
      <c r="Z1113" s="2"/>
    </row>
    <row r="1114" spans="1:26" ht="15.75" customHeight="1" x14ac:dyDescent="0.2">
      <c r="A1114" s="12"/>
      <c r="B1114" s="10"/>
      <c r="C1114" s="11"/>
      <c r="D1114" s="13"/>
      <c r="E1114" s="13"/>
      <c r="F1114" s="13"/>
      <c r="G1114" s="2"/>
      <c r="H1114" s="2"/>
      <c r="I1114" s="13"/>
      <c r="J1114" s="13"/>
      <c r="K1114" s="13"/>
      <c r="L1114" s="14"/>
      <c r="M1114" s="4"/>
      <c r="N1114" s="2"/>
      <c r="O1114" s="4"/>
      <c r="P1114" s="2"/>
      <c r="Q1114" s="2"/>
      <c r="R1114" s="4"/>
      <c r="S1114" s="2"/>
      <c r="T1114" s="2"/>
      <c r="U1114" s="1"/>
      <c r="V1114" s="2"/>
      <c r="W1114" s="2"/>
      <c r="X1114" s="2"/>
      <c r="Y1114" s="2"/>
      <c r="Z1114" s="2"/>
    </row>
    <row r="1115" spans="1:26" ht="15.75" customHeight="1" x14ac:dyDescent="0.2">
      <c r="A1115" s="12"/>
      <c r="B1115" s="10"/>
      <c r="C1115" s="11"/>
      <c r="D1115" s="13"/>
      <c r="E1115" s="13"/>
      <c r="F1115" s="13"/>
      <c r="G1115" s="2"/>
      <c r="H1115" s="2"/>
      <c r="I1115" s="13"/>
      <c r="J1115" s="13"/>
      <c r="K1115" s="13"/>
      <c r="L1115" s="14"/>
      <c r="M1115" s="4"/>
      <c r="N1115" s="2"/>
      <c r="O1115" s="4"/>
      <c r="P1115" s="2"/>
      <c r="Q1115" s="2"/>
      <c r="R1115" s="4"/>
      <c r="S1115" s="2"/>
      <c r="T1115" s="2"/>
      <c r="U1115" s="1"/>
      <c r="V1115" s="2"/>
      <c r="W1115" s="2"/>
      <c r="X1115" s="2"/>
      <c r="Y1115" s="2"/>
      <c r="Z1115" s="2"/>
    </row>
    <row r="1116" spans="1:26" ht="15.75" customHeight="1" x14ac:dyDescent="0.2">
      <c r="A1116" s="12"/>
      <c r="B1116" s="10"/>
      <c r="C1116" s="11"/>
      <c r="D1116" s="13"/>
      <c r="E1116" s="13"/>
      <c r="F1116" s="13"/>
      <c r="G1116" s="2"/>
      <c r="H1116" s="2"/>
      <c r="I1116" s="13"/>
      <c r="J1116" s="13"/>
      <c r="K1116" s="13"/>
      <c r="L1116" s="14"/>
      <c r="M1116" s="4"/>
      <c r="N1116" s="2"/>
      <c r="O1116" s="4"/>
      <c r="P1116" s="2"/>
      <c r="Q1116" s="2"/>
      <c r="R1116" s="4"/>
      <c r="S1116" s="2"/>
      <c r="T1116" s="2"/>
      <c r="U1116" s="1"/>
      <c r="V1116" s="2"/>
      <c r="W1116" s="2"/>
      <c r="X1116" s="2"/>
      <c r="Y1116" s="2"/>
      <c r="Z1116" s="2"/>
    </row>
    <row r="1117" spans="1:26" ht="15.75" customHeight="1" x14ac:dyDescent="0.2">
      <c r="A1117" s="12"/>
      <c r="B1117" s="10"/>
      <c r="C1117" s="11"/>
      <c r="D1117" s="13"/>
      <c r="E1117" s="13"/>
      <c r="F1117" s="13"/>
      <c r="G1117" s="2"/>
      <c r="H1117" s="2"/>
      <c r="I1117" s="13"/>
      <c r="J1117" s="13"/>
      <c r="K1117" s="13"/>
      <c r="L1117" s="14"/>
      <c r="M1117" s="4"/>
      <c r="N1117" s="2"/>
      <c r="O1117" s="4"/>
      <c r="P1117" s="2"/>
      <c r="Q1117" s="2"/>
      <c r="R1117" s="4"/>
      <c r="S1117" s="2"/>
      <c r="T1117" s="2"/>
      <c r="U1117" s="1"/>
      <c r="V1117" s="2"/>
      <c r="W1117" s="2"/>
      <c r="X1117" s="2"/>
      <c r="Y1117" s="2"/>
      <c r="Z1117" s="2"/>
    </row>
    <row r="1118" spans="1:26" ht="15.75" customHeight="1" x14ac:dyDescent="0.2">
      <c r="A1118" s="12"/>
      <c r="B1118" s="10"/>
      <c r="C1118" s="11"/>
      <c r="D1118" s="13"/>
      <c r="E1118" s="13"/>
      <c r="F1118" s="13"/>
      <c r="G1118" s="2"/>
      <c r="H1118" s="2"/>
      <c r="I1118" s="13"/>
      <c r="J1118" s="13"/>
      <c r="K1118" s="13"/>
      <c r="L1118" s="14"/>
      <c r="M1118" s="4"/>
      <c r="N1118" s="2"/>
      <c r="O1118" s="4"/>
      <c r="P1118" s="2"/>
      <c r="Q1118" s="2"/>
      <c r="R1118" s="4"/>
      <c r="S1118" s="2"/>
      <c r="T1118" s="2"/>
      <c r="U1118" s="1"/>
      <c r="V1118" s="2"/>
      <c r="W1118" s="2"/>
      <c r="X1118" s="2"/>
      <c r="Y1118" s="2"/>
      <c r="Z1118" s="2"/>
    </row>
    <row r="1119" spans="1:26" ht="15.75" customHeight="1" x14ac:dyDescent="0.2">
      <c r="A1119" s="12"/>
      <c r="B1119" s="10"/>
      <c r="C1119" s="11"/>
      <c r="D1119" s="13"/>
      <c r="E1119" s="13"/>
      <c r="F1119" s="13"/>
      <c r="G1119" s="2"/>
      <c r="H1119" s="2"/>
      <c r="I1119" s="13"/>
      <c r="J1119" s="13"/>
      <c r="K1119" s="13"/>
      <c r="L1119" s="14"/>
      <c r="M1119" s="4"/>
      <c r="N1119" s="2"/>
      <c r="O1119" s="4"/>
      <c r="P1119" s="2"/>
      <c r="Q1119" s="2"/>
      <c r="R1119" s="4"/>
      <c r="S1119" s="2"/>
      <c r="T1119" s="2"/>
      <c r="U1119" s="1"/>
      <c r="V1119" s="2"/>
      <c r="W1119" s="2"/>
      <c r="X1119" s="2"/>
      <c r="Y1119" s="2"/>
      <c r="Z1119" s="2"/>
    </row>
    <row r="1120" spans="1:26" ht="15.75" customHeight="1" x14ac:dyDescent="0.2">
      <c r="A1120" s="12"/>
      <c r="B1120" s="10"/>
      <c r="C1120" s="11"/>
      <c r="D1120" s="13"/>
      <c r="E1120" s="13"/>
      <c r="F1120" s="13"/>
      <c r="G1120" s="2"/>
      <c r="H1120" s="2"/>
      <c r="I1120" s="13"/>
      <c r="J1120" s="13"/>
      <c r="K1120" s="13"/>
      <c r="L1120" s="14"/>
      <c r="M1120" s="4"/>
      <c r="N1120" s="2"/>
      <c r="O1120" s="4"/>
      <c r="P1120" s="2"/>
      <c r="Q1120" s="2"/>
      <c r="R1120" s="4"/>
      <c r="S1120" s="2"/>
      <c r="T1120" s="2"/>
      <c r="U1120" s="1"/>
      <c r="V1120" s="2"/>
      <c r="W1120" s="2"/>
      <c r="X1120" s="2"/>
      <c r="Y1120" s="2"/>
      <c r="Z1120" s="2"/>
    </row>
    <row r="1121" spans="1:26" ht="15.75" customHeight="1" x14ac:dyDescent="0.2">
      <c r="A1121" s="12"/>
      <c r="B1121" s="10"/>
      <c r="C1121" s="11"/>
      <c r="D1121" s="13"/>
      <c r="E1121" s="13"/>
      <c r="F1121" s="13"/>
      <c r="G1121" s="2"/>
      <c r="H1121" s="2"/>
      <c r="I1121" s="13"/>
      <c r="J1121" s="13"/>
      <c r="K1121" s="13"/>
      <c r="L1121" s="14"/>
      <c r="M1121" s="4"/>
      <c r="N1121" s="2"/>
      <c r="O1121" s="4"/>
      <c r="P1121" s="2"/>
      <c r="Q1121" s="2"/>
      <c r="R1121" s="4"/>
      <c r="S1121" s="2"/>
      <c r="T1121" s="2"/>
      <c r="U1121" s="1"/>
      <c r="V1121" s="2"/>
      <c r="W1121" s="2"/>
      <c r="X1121" s="2"/>
      <c r="Y1121" s="2"/>
      <c r="Z1121" s="2"/>
    </row>
    <row r="1122" spans="1:26" ht="15.75" customHeight="1" x14ac:dyDescent="0.2">
      <c r="A1122" s="12"/>
      <c r="B1122" s="10"/>
      <c r="C1122" s="11"/>
      <c r="D1122" s="13"/>
      <c r="E1122" s="13"/>
      <c r="F1122" s="13"/>
      <c r="G1122" s="2"/>
      <c r="H1122" s="2"/>
      <c r="I1122" s="13"/>
      <c r="J1122" s="13"/>
      <c r="K1122" s="13"/>
      <c r="L1122" s="14"/>
      <c r="M1122" s="4"/>
      <c r="N1122" s="2"/>
      <c r="O1122" s="4"/>
      <c r="P1122" s="2"/>
      <c r="Q1122" s="2"/>
      <c r="R1122" s="4"/>
      <c r="S1122" s="2"/>
      <c r="T1122" s="2"/>
      <c r="U1122" s="1"/>
      <c r="V1122" s="2"/>
      <c r="W1122" s="2"/>
      <c r="X1122" s="2"/>
      <c r="Y1122" s="2"/>
      <c r="Z1122" s="2"/>
    </row>
    <row r="1123" spans="1:26" ht="15.75" customHeight="1" x14ac:dyDescent="0.2">
      <c r="A1123" s="12"/>
      <c r="B1123" s="10"/>
      <c r="C1123" s="11"/>
      <c r="D1123" s="13"/>
      <c r="E1123" s="13"/>
      <c r="F1123" s="13"/>
      <c r="G1123" s="2"/>
      <c r="H1123" s="2"/>
      <c r="I1123" s="13"/>
      <c r="J1123" s="13"/>
      <c r="K1123" s="13"/>
      <c r="L1123" s="14"/>
      <c r="M1123" s="4"/>
      <c r="N1123" s="2"/>
      <c r="O1123" s="4"/>
      <c r="P1123" s="2"/>
      <c r="Q1123" s="2"/>
      <c r="R1123" s="4"/>
      <c r="S1123" s="2"/>
      <c r="T1123" s="2"/>
      <c r="U1123" s="1"/>
      <c r="V1123" s="2"/>
      <c r="W1123" s="2"/>
      <c r="X1123" s="2"/>
      <c r="Y1123" s="2"/>
      <c r="Z1123" s="2"/>
    </row>
    <row r="1124" spans="1:26" ht="15.75" customHeight="1" x14ac:dyDescent="0.2">
      <c r="A1124" s="12"/>
      <c r="B1124" s="10"/>
      <c r="C1124" s="11"/>
      <c r="D1124" s="13"/>
      <c r="E1124" s="13"/>
      <c r="F1124" s="13"/>
      <c r="G1124" s="2"/>
      <c r="H1124" s="2"/>
      <c r="I1124" s="13"/>
      <c r="J1124" s="13"/>
      <c r="K1124" s="13"/>
      <c r="L1124" s="14"/>
      <c r="M1124" s="4"/>
      <c r="N1124" s="2"/>
      <c r="O1124" s="4"/>
      <c r="P1124" s="2"/>
      <c r="Q1124" s="2"/>
      <c r="R1124" s="4"/>
      <c r="S1124" s="2"/>
      <c r="T1124" s="2"/>
      <c r="U1124" s="1"/>
      <c r="V1124" s="2"/>
      <c r="W1124" s="2"/>
      <c r="X1124" s="2"/>
      <c r="Y1124" s="2"/>
      <c r="Z1124" s="2"/>
    </row>
    <row r="1125" spans="1:26" ht="15.75" customHeight="1" x14ac:dyDescent="0.2">
      <c r="A1125" s="12"/>
      <c r="B1125" s="10"/>
      <c r="C1125" s="11"/>
      <c r="D1125" s="13"/>
      <c r="E1125" s="13"/>
      <c r="F1125" s="13"/>
      <c r="G1125" s="2"/>
      <c r="H1125" s="2"/>
      <c r="I1125" s="13"/>
      <c r="J1125" s="13"/>
      <c r="K1125" s="13"/>
      <c r="L1125" s="14"/>
      <c r="M1125" s="4"/>
      <c r="N1125" s="2"/>
      <c r="O1125" s="4"/>
      <c r="P1125" s="2"/>
      <c r="Q1125" s="2"/>
      <c r="R1125" s="4"/>
      <c r="S1125" s="2"/>
      <c r="T1125" s="2"/>
      <c r="U1125" s="1"/>
      <c r="V1125" s="2"/>
      <c r="W1125" s="2"/>
      <c r="X1125" s="2"/>
      <c r="Y1125" s="2"/>
      <c r="Z1125" s="2"/>
    </row>
    <row r="1126" spans="1:26" ht="15.75" customHeight="1" x14ac:dyDescent="0.2">
      <c r="A1126" s="12"/>
      <c r="B1126" s="10"/>
      <c r="C1126" s="11"/>
      <c r="D1126" s="13"/>
      <c r="E1126" s="13"/>
      <c r="F1126" s="13"/>
      <c r="G1126" s="2"/>
      <c r="H1126" s="2"/>
      <c r="I1126" s="13"/>
      <c r="J1126" s="13"/>
      <c r="K1126" s="13"/>
      <c r="L1126" s="14"/>
      <c r="M1126" s="4"/>
      <c r="N1126" s="2"/>
      <c r="O1126" s="4"/>
      <c r="P1126" s="2"/>
      <c r="Q1126" s="2"/>
      <c r="R1126" s="4"/>
      <c r="S1126" s="2"/>
      <c r="T1126" s="2"/>
      <c r="U1126" s="1"/>
      <c r="V1126" s="2"/>
      <c r="W1126" s="2"/>
      <c r="X1126" s="2"/>
      <c r="Y1126" s="2"/>
      <c r="Z1126" s="2"/>
    </row>
    <row r="1127" spans="1:26" ht="15.75" customHeight="1" x14ac:dyDescent="0.2">
      <c r="A1127" s="12"/>
      <c r="B1127" s="10"/>
      <c r="C1127" s="11"/>
      <c r="D1127" s="13"/>
      <c r="E1127" s="13"/>
      <c r="F1127" s="13"/>
      <c r="G1127" s="2"/>
      <c r="H1127" s="2"/>
      <c r="I1127" s="13"/>
      <c r="J1127" s="13"/>
      <c r="K1127" s="13"/>
      <c r="L1127" s="14"/>
      <c r="M1127" s="4"/>
      <c r="N1127" s="2"/>
      <c r="O1127" s="4"/>
      <c r="P1127" s="2"/>
      <c r="Q1127" s="2"/>
      <c r="R1127" s="4"/>
      <c r="S1127" s="2"/>
      <c r="T1127" s="2"/>
      <c r="U1127" s="1"/>
      <c r="V1127" s="2"/>
      <c r="W1127" s="2"/>
      <c r="X1127" s="2"/>
      <c r="Y1127" s="2"/>
      <c r="Z1127" s="2"/>
    </row>
    <row r="1128" spans="1:26" ht="15.75" customHeight="1" x14ac:dyDescent="0.2">
      <c r="A1128" s="12"/>
      <c r="B1128" s="10"/>
      <c r="C1128" s="11"/>
      <c r="D1128" s="13"/>
      <c r="E1128" s="13"/>
      <c r="F1128" s="13"/>
      <c r="G1128" s="2"/>
      <c r="H1128" s="2"/>
      <c r="I1128" s="13"/>
      <c r="J1128" s="13"/>
      <c r="K1128" s="13"/>
      <c r="L1128" s="14"/>
      <c r="M1128" s="4"/>
      <c r="N1128" s="2"/>
      <c r="O1128" s="4"/>
      <c r="P1128" s="2"/>
      <c r="Q1128" s="2"/>
      <c r="R1128" s="4"/>
      <c r="S1128" s="2"/>
      <c r="T1128" s="2"/>
      <c r="U1128" s="1"/>
      <c r="V1128" s="2"/>
      <c r="W1128" s="2"/>
      <c r="X1128" s="2"/>
      <c r="Y1128" s="2"/>
      <c r="Z1128" s="2"/>
    </row>
    <row r="1129" spans="1:26" ht="15.75" customHeight="1" x14ac:dyDescent="0.2">
      <c r="A1129" s="12"/>
      <c r="B1129" s="10"/>
      <c r="C1129" s="11"/>
      <c r="D1129" s="13"/>
      <c r="E1129" s="13"/>
      <c r="F1129" s="13"/>
      <c r="G1129" s="2"/>
      <c r="H1129" s="2"/>
      <c r="I1129" s="13"/>
      <c r="J1129" s="13"/>
      <c r="K1129" s="13"/>
      <c r="L1129" s="14"/>
      <c r="M1129" s="4"/>
      <c r="N1129" s="2"/>
      <c r="O1129" s="4"/>
      <c r="P1129" s="2"/>
      <c r="Q1129" s="2"/>
      <c r="R1129" s="4"/>
      <c r="S1129" s="2"/>
      <c r="T1129" s="2"/>
      <c r="U1129" s="1"/>
      <c r="V1129" s="2"/>
      <c r="W1129" s="2"/>
      <c r="X1129" s="2"/>
      <c r="Y1129" s="2"/>
      <c r="Z1129" s="2"/>
    </row>
    <row r="1130" spans="1:26" ht="15.75" customHeight="1" x14ac:dyDescent="0.2">
      <c r="A1130" s="12"/>
      <c r="B1130" s="10"/>
      <c r="C1130" s="11"/>
      <c r="D1130" s="13"/>
      <c r="E1130" s="13"/>
      <c r="F1130" s="13"/>
      <c r="G1130" s="2"/>
      <c r="H1130" s="2"/>
      <c r="I1130" s="13"/>
      <c r="J1130" s="13"/>
      <c r="K1130" s="13"/>
      <c r="L1130" s="14"/>
      <c r="M1130" s="4"/>
      <c r="N1130" s="2"/>
      <c r="O1130" s="4"/>
      <c r="P1130" s="2"/>
      <c r="Q1130" s="2"/>
      <c r="R1130" s="4"/>
      <c r="S1130" s="2"/>
      <c r="T1130" s="2"/>
      <c r="U1130" s="1"/>
      <c r="V1130" s="2"/>
      <c r="W1130" s="2"/>
      <c r="X1130" s="2"/>
      <c r="Y1130" s="2"/>
      <c r="Z1130" s="2"/>
    </row>
    <row r="1131" spans="1:26" ht="15.75" customHeight="1" x14ac:dyDescent="0.2">
      <c r="A1131" s="12"/>
      <c r="B1131" s="10"/>
      <c r="C1131" s="11"/>
      <c r="D1131" s="13"/>
      <c r="E1131" s="13"/>
      <c r="F1131" s="13"/>
      <c r="G1131" s="2"/>
      <c r="H1131" s="2"/>
      <c r="I1131" s="13"/>
      <c r="J1131" s="13"/>
      <c r="K1131" s="13"/>
      <c r="L1131" s="14"/>
      <c r="M1131" s="4"/>
      <c r="N1131" s="2"/>
      <c r="O1131" s="4"/>
      <c r="P1131" s="2"/>
      <c r="Q1131" s="2"/>
      <c r="R1131" s="4"/>
      <c r="S1131" s="2"/>
      <c r="T1131" s="2"/>
      <c r="U1131" s="1"/>
      <c r="V1131" s="2"/>
      <c r="W1131" s="2"/>
      <c r="X1131" s="2"/>
      <c r="Y1131" s="2"/>
      <c r="Z1131" s="2"/>
    </row>
    <row r="1132" spans="1:26" ht="15.75" customHeight="1" x14ac:dyDescent="0.2">
      <c r="A1132" s="12"/>
      <c r="B1132" s="10"/>
      <c r="C1132" s="11"/>
      <c r="D1132" s="13"/>
      <c r="E1132" s="13"/>
      <c r="F1132" s="13"/>
      <c r="G1132" s="2"/>
      <c r="H1132" s="2"/>
      <c r="I1132" s="13"/>
      <c r="J1132" s="13"/>
      <c r="K1132" s="13"/>
      <c r="L1132" s="14"/>
      <c r="M1132" s="4"/>
      <c r="N1132" s="2"/>
      <c r="O1132" s="4"/>
      <c r="P1132" s="2"/>
      <c r="Q1132" s="2"/>
      <c r="R1132" s="4"/>
      <c r="S1132" s="2"/>
      <c r="T1132" s="2"/>
      <c r="U1132" s="1"/>
      <c r="V1132" s="2"/>
      <c r="W1132" s="2"/>
      <c r="X1132" s="2"/>
      <c r="Y1132" s="2"/>
      <c r="Z1132" s="2"/>
    </row>
    <row r="1133" spans="1:26" ht="15.75" customHeight="1" x14ac:dyDescent="0.2">
      <c r="A1133" s="12"/>
      <c r="B1133" s="10"/>
      <c r="C1133" s="11"/>
      <c r="D1133" s="13"/>
      <c r="E1133" s="13"/>
      <c r="F1133" s="13"/>
      <c r="G1133" s="2"/>
      <c r="H1133" s="2"/>
      <c r="I1133" s="13"/>
      <c r="J1133" s="13"/>
      <c r="K1133" s="13"/>
      <c r="L1133" s="14"/>
      <c r="M1133" s="4"/>
      <c r="N1133" s="2"/>
      <c r="O1133" s="4"/>
      <c r="P1133" s="2"/>
      <c r="Q1133" s="2"/>
      <c r="R1133" s="4"/>
      <c r="S1133" s="2"/>
      <c r="T1133" s="2"/>
      <c r="U1133" s="1"/>
      <c r="V1133" s="2"/>
      <c r="W1133" s="2"/>
      <c r="X1133" s="2"/>
      <c r="Y1133" s="2"/>
      <c r="Z1133" s="2"/>
    </row>
    <row r="1134" spans="1:26" ht="15.75" customHeight="1" x14ac:dyDescent="0.2">
      <c r="A1134" s="12"/>
      <c r="B1134" s="10"/>
      <c r="C1134" s="11"/>
      <c r="D1134" s="13"/>
      <c r="E1134" s="13"/>
      <c r="F1134" s="13"/>
      <c r="G1134" s="2"/>
      <c r="H1134" s="2"/>
      <c r="I1134" s="13"/>
      <c r="J1134" s="13"/>
      <c r="K1134" s="13"/>
      <c r="L1134" s="14"/>
      <c r="M1134" s="4"/>
      <c r="N1134" s="2"/>
      <c r="O1134" s="4"/>
      <c r="P1134" s="2"/>
      <c r="Q1134" s="2"/>
      <c r="R1134" s="4"/>
      <c r="S1134" s="2"/>
      <c r="T1134" s="2"/>
      <c r="U1134" s="1"/>
      <c r="V1134" s="2"/>
      <c r="W1134" s="2"/>
      <c r="X1134" s="2"/>
      <c r="Y1134" s="2"/>
      <c r="Z1134" s="2"/>
    </row>
    <row r="1135" spans="1:26" ht="15.75" customHeight="1" x14ac:dyDescent="0.2">
      <c r="A1135" s="12"/>
      <c r="B1135" s="10"/>
      <c r="C1135" s="11"/>
      <c r="D1135" s="13"/>
      <c r="E1135" s="13"/>
      <c r="F1135" s="13"/>
      <c r="G1135" s="2"/>
      <c r="H1135" s="2"/>
      <c r="I1135" s="13"/>
      <c r="J1135" s="13"/>
      <c r="K1135" s="13"/>
      <c r="L1135" s="14"/>
      <c r="M1135" s="4"/>
      <c r="N1135" s="2"/>
      <c r="O1135" s="4"/>
      <c r="P1135" s="2"/>
      <c r="Q1135" s="2"/>
      <c r="R1135" s="4"/>
      <c r="S1135" s="2"/>
      <c r="T1135" s="2"/>
      <c r="U1135" s="1"/>
      <c r="V1135" s="2"/>
      <c r="W1135" s="2"/>
      <c r="X1135" s="2"/>
      <c r="Y1135" s="2"/>
      <c r="Z1135" s="2"/>
    </row>
    <row r="1136" spans="1:26" ht="15.75" customHeight="1" x14ac:dyDescent="0.2">
      <c r="A1136" s="12"/>
      <c r="B1136" s="10"/>
      <c r="C1136" s="11"/>
      <c r="D1136" s="13"/>
      <c r="E1136" s="13"/>
      <c r="F1136" s="13"/>
      <c r="G1136" s="2"/>
      <c r="H1136" s="2"/>
      <c r="I1136" s="13"/>
      <c r="J1136" s="13"/>
      <c r="K1136" s="13"/>
      <c r="L1136" s="14"/>
      <c r="M1136" s="4"/>
      <c r="N1136" s="2"/>
      <c r="O1136" s="4"/>
      <c r="P1136" s="2"/>
      <c r="Q1136" s="2"/>
      <c r="R1136" s="4"/>
      <c r="S1136" s="2"/>
      <c r="T1136" s="2"/>
      <c r="U1136" s="1"/>
      <c r="V1136" s="2"/>
      <c r="W1136" s="2"/>
      <c r="X1136" s="2"/>
      <c r="Y1136" s="2"/>
      <c r="Z1136" s="2"/>
    </row>
    <row r="1137" spans="1:26" ht="15.75" customHeight="1" x14ac:dyDescent="0.2">
      <c r="A1137" s="12"/>
      <c r="B1137" s="10"/>
      <c r="C1137" s="11"/>
      <c r="D1137" s="13"/>
      <c r="E1137" s="13"/>
      <c r="F1137" s="13"/>
      <c r="G1137" s="2"/>
      <c r="H1137" s="2"/>
      <c r="I1137" s="13"/>
      <c r="J1137" s="13"/>
      <c r="K1137" s="13"/>
      <c r="L1137" s="14"/>
      <c r="M1137" s="4"/>
      <c r="N1137" s="2"/>
      <c r="O1137" s="4"/>
      <c r="P1137" s="2"/>
      <c r="Q1137" s="2"/>
      <c r="R1137" s="4"/>
      <c r="S1137" s="2"/>
      <c r="T1137" s="2"/>
      <c r="U1137" s="1"/>
      <c r="V1137" s="2"/>
      <c r="W1137" s="2"/>
      <c r="X1137" s="2"/>
      <c r="Y1137" s="2"/>
      <c r="Z1137" s="2"/>
    </row>
    <row r="1138" spans="1:26" ht="15.75" customHeight="1" x14ac:dyDescent="0.2">
      <c r="A1138" s="12"/>
      <c r="B1138" s="10"/>
      <c r="C1138" s="11"/>
      <c r="D1138" s="13"/>
      <c r="E1138" s="13"/>
      <c r="F1138" s="13"/>
      <c r="G1138" s="2"/>
      <c r="H1138" s="2"/>
      <c r="I1138" s="13"/>
      <c r="J1138" s="13"/>
      <c r="K1138" s="13"/>
      <c r="L1138" s="14"/>
      <c r="M1138" s="4"/>
      <c r="N1138" s="2"/>
      <c r="O1138" s="4"/>
      <c r="P1138" s="2"/>
      <c r="Q1138" s="2"/>
      <c r="R1138" s="4"/>
      <c r="S1138" s="2"/>
      <c r="T1138" s="2"/>
      <c r="U1138" s="1"/>
      <c r="V1138" s="2"/>
      <c r="W1138" s="2"/>
      <c r="X1138" s="2"/>
      <c r="Y1138" s="2"/>
      <c r="Z1138" s="2"/>
    </row>
    <row r="1139" spans="1:26" ht="15.75" customHeight="1" x14ac:dyDescent="0.2">
      <c r="A1139" s="12"/>
      <c r="B1139" s="10"/>
      <c r="C1139" s="11"/>
      <c r="D1139" s="13"/>
      <c r="E1139" s="13"/>
      <c r="F1139" s="13"/>
      <c r="G1139" s="2"/>
      <c r="H1139" s="2"/>
      <c r="I1139" s="13"/>
      <c r="J1139" s="13"/>
      <c r="K1139" s="13"/>
      <c r="L1139" s="14"/>
      <c r="M1139" s="4"/>
      <c r="N1139" s="2"/>
      <c r="O1139" s="4"/>
      <c r="P1139" s="2"/>
      <c r="Q1139" s="2"/>
      <c r="R1139" s="4"/>
      <c r="S1139" s="2"/>
      <c r="T1139" s="2"/>
      <c r="U1139" s="1"/>
      <c r="V1139" s="2"/>
      <c r="W1139" s="2"/>
      <c r="X1139" s="2"/>
      <c r="Y1139" s="2"/>
      <c r="Z1139" s="2"/>
    </row>
    <row r="1140" spans="1:26" ht="15.75" customHeight="1" x14ac:dyDescent="0.2">
      <c r="A1140" s="12"/>
      <c r="B1140" s="10"/>
      <c r="C1140" s="11"/>
      <c r="D1140" s="13"/>
      <c r="E1140" s="13"/>
      <c r="F1140" s="13"/>
      <c r="G1140" s="2"/>
      <c r="H1140" s="2"/>
      <c r="I1140" s="13"/>
      <c r="J1140" s="13"/>
      <c r="K1140" s="13"/>
      <c r="L1140" s="14"/>
      <c r="M1140" s="4"/>
      <c r="N1140" s="2"/>
      <c r="O1140" s="4"/>
      <c r="P1140" s="2"/>
      <c r="Q1140" s="2"/>
      <c r="R1140" s="4"/>
      <c r="S1140" s="2"/>
      <c r="T1140" s="2"/>
      <c r="U1140" s="1"/>
      <c r="V1140" s="2"/>
      <c r="W1140" s="2"/>
      <c r="X1140" s="2"/>
      <c r="Y1140" s="2"/>
      <c r="Z1140" s="2"/>
    </row>
    <row r="1141" spans="1:26" ht="15.75" customHeight="1" x14ac:dyDescent="0.2">
      <c r="A1141" s="12"/>
      <c r="B1141" s="10"/>
      <c r="C1141" s="11"/>
      <c r="D1141" s="13"/>
      <c r="E1141" s="13"/>
      <c r="F1141" s="13"/>
      <c r="G1141" s="2"/>
      <c r="H1141" s="2"/>
      <c r="I1141" s="13"/>
      <c r="J1141" s="13"/>
      <c r="K1141" s="13"/>
      <c r="L1141" s="14"/>
      <c r="M1141" s="4"/>
      <c r="N1141" s="2"/>
      <c r="O1141" s="4"/>
      <c r="P1141" s="2"/>
      <c r="Q1141" s="2"/>
      <c r="R1141" s="4"/>
      <c r="S1141" s="2"/>
      <c r="T1141" s="2"/>
      <c r="U1141" s="1"/>
      <c r="V1141" s="2"/>
      <c r="W1141" s="2"/>
      <c r="X1141" s="2"/>
      <c r="Y1141" s="2"/>
      <c r="Z1141" s="2"/>
    </row>
    <row r="1142" spans="1:26" ht="15.75" customHeight="1" x14ac:dyDescent="0.2">
      <c r="A1142" s="12"/>
      <c r="B1142" s="10"/>
      <c r="C1142" s="11"/>
      <c r="D1142" s="13"/>
      <c r="E1142" s="13"/>
      <c r="F1142" s="13"/>
      <c r="G1142" s="2"/>
      <c r="H1142" s="2"/>
      <c r="I1142" s="13"/>
      <c r="J1142" s="13"/>
      <c r="K1142" s="13"/>
      <c r="L1142" s="14"/>
      <c r="M1142" s="4"/>
      <c r="N1142" s="2"/>
      <c r="O1142" s="4"/>
      <c r="P1142" s="2"/>
      <c r="Q1142" s="2"/>
      <c r="R1142" s="4"/>
      <c r="S1142" s="2"/>
      <c r="T1142" s="2"/>
      <c r="U1142" s="1"/>
      <c r="V1142" s="2"/>
      <c r="W1142" s="2"/>
      <c r="X1142" s="2"/>
      <c r="Y1142" s="2"/>
      <c r="Z1142" s="2"/>
    </row>
    <row r="1143" spans="1:26" ht="15.75" customHeight="1" x14ac:dyDescent="0.2">
      <c r="A1143" s="12"/>
      <c r="B1143" s="10"/>
      <c r="C1143" s="11"/>
      <c r="D1143" s="13"/>
      <c r="E1143" s="13"/>
      <c r="F1143" s="13"/>
      <c r="G1143" s="2"/>
      <c r="H1143" s="2"/>
      <c r="I1143" s="13"/>
      <c r="J1143" s="13"/>
      <c r="K1143" s="13"/>
      <c r="L1143" s="14"/>
      <c r="M1143" s="4"/>
      <c r="N1143" s="2"/>
      <c r="O1143" s="4"/>
      <c r="P1143" s="2"/>
      <c r="Q1143" s="2"/>
      <c r="R1143" s="4"/>
      <c r="S1143" s="2"/>
      <c r="T1143" s="2"/>
      <c r="U1143" s="1"/>
      <c r="V1143" s="2"/>
      <c r="W1143" s="2"/>
      <c r="X1143" s="2"/>
      <c r="Y1143" s="2"/>
      <c r="Z1143" s="2"/>
    </row>
    <row r="1144" spans="1:26" ht="15.75" customHeight="1" x14ac:dyDescent="0.2">
      <c r="A1144" s="12"/>
      <c r="B1144" s="10"/>
      <c r="C1144" s="11"/>
      <c r="D1144" s="13"/>
      <c r="E1144" s="13"/>
      <c r="F1144" s="13"/>
      <c r="G1144" s="2"/>
      <c r="H1144" s="2"/>
      <c r="I1144" s="13"/>
      <c r="J1144" s="13"/>
      <c r="K1144" s="13"/>
      <c r="L1144" s="14"/>
      <c r="M1144" s="4"/>
      <c r="N1144" s="2"/>
      <c r="O1144" s="4"/>
      <c r="P1144" s="2"/>
      <c r="Q1144" s="2"/>
      <c r="R1144" s="4"/>
      <c r="S1144" s="2"/>
      <c r="T1144" s="2"/>
      <c r="U1144" s="1"/>
      <c r="V1144" s="2"/>
      <c r="W1144" s="2"/>
      <c r="X1144" s="2"/>
      <c r="Y1144" s="2"/>
      <c r="Z1144" s="2"/>
    </row>
    <row r="1145" spans="1:26" ht="15.75" customHeight="1" x14ac:dyDescent="0.2">
      <c r="A1145" s="12"/>
      <c r="B1145" s="10"/>
      <c r="C1145" s="11"/>
      <c r="D1145" s="13"/>
      <c r="E1145" s="13"/>
      <c r="F1145" s="13"/>
      <c r="G1145" s="2"/>
      <c r="H1145" s="2"/>
      <c r="I1145" s="13"/>
      <c r="J1145" s="13"/>
      <c r="K1145" s="13"/>
      <c r="L1145" s="14"/>
      <c r="M1145" s="4"/>
      <c r="N1145" s="2"/>
      <c r="O1145" s="4"/>
      <c r="P1145" s="2"/>
      <c r="Q1145" s="2"/>
      <c r="R1145" s="4"/>
      <c r="S1145" s="2"/>
      <c r="T1145" s="2"/>
      <c r="U1145" s="1"/>
      <c r="V1145" s="2"/>
      <c r="W1145" s="2"/>
      <c r="X1145" s="2"/>
      <c r="Y1145" s="2"/>
      <c r="Z1145" s="2"/>
    </row>
    <row r="1146" spans="1:26" ht="15.75" customHeight="1" x14ac:dyDescent="0.2">
      <c r="A1146" s="12"/>
      <c r="B1146" s="10"/>
      <c r="C1146" s="11"/>
      <c r="D1146" s="13"/>
      <c r="E1146" s="13"/>
      <c r="F1146" s="13"/>
      <c r="G1146" s="2"/>
      <c r="H1146" s="2"/>
      <c r="I1146" s="13"/>
      <c r="J1146" s="13"/>
      <c r="K1146" s="13"/>
      <c r="L1146" s="14"/>
      <c r="M1146" s="4"/>
      <c r="N1146" s="2"/>
      <c r="O1146" s="4"/>
      <c r="P1146" s="2"/>
      <c r="Q1146" s="2"/>
      <c r="R1146" s="4"/>
      <c r="S1146" s="2"/>
      <c r="T1146" s="2"/>
      <c r="U1146" s="1"/>
      <c r="V1146" s="2"/>
      <c r="W1146" s="2"/>
      <c r="X1146" s="2"/>
      <c r="Y1146" s="2"/>
      <c r="Z1146" s="2"/>
    </row>
    <row r="1147" spans="1:26" ht="15.75" customHeight="1" x14ac:dyDescent="0.2">
      <c r="A1147" s="12"/>
      <c r="B1147" s="10"/>
      <c r="C1147" s="11"/>
      <c r="D1147" s="13"/>
      <c r="E1147" s="13"/>
      <c r="F1147" s="13"/>
      <c r="G1147" s="2"/>
      <c r="H1147" s="2"/>
      <c r="I1147" s="13"/>
      <c r="J1147" s="13"/>
      <c r="K1147" s="13"/>
      <c r="L1147" s="14"/>
      <c r="M1147" s="4"/>
      <c r="N1147" s="2"/>
      <c r="O1147" s="4"/>
      <c r="P1147" s="2"/>
      <c r="Q1147" s="2"/>
      <c r="R1147" s="4"/>
      <c r="S1147" s="2"/>
      <c r="T1147" s="2"/>
      <c r="U1147" s="1"/>
      <c r="V1147" s="2"/>
      <c r="W1147" s="2"/>
      <c r="X1147" s="2"/>
      <c r="Y1147" s="2"/>
      <c r="Z1147" s="2"/>
    </row>
    <row r="1148" spans="1:26" ht="15.75" customHeight="1" x14ac:dyDescent="0.2">
      <c r="A1148" s="12"/>
      <c r="B1148" s="10"/>
      <c r="C1148" s="11"/>
      <c r="D1148" s="13"/>
      <c r="E1148" s="13"/>
      <c r="F1148" s="13"/>
      <c r="G1148" s="2"/>
      <c r="H1148" s="2"/>
      <c r="I1148" s="13"/>
      <c r="J1148" s="13"/>
      <c r="K1148" s="13"/>
      <c r="L1148" s="14"/>
      <c r="M1148" s="4"/>
      <c r="N1148" s="2"/>
      <c r="O1148" s="4"/>
      <c r="P1148" s="2"/>
      <c r="Q1148" s="2"/>
      <c r="R1148" s="4"/>
      <c r="S1148" s="2"/>
      <c r="T1148" s="2"/>
      <c r="U1148" s="1"/>
      <c r="V1148" s="2"/>
      <c r="W1148" s="2"/>
      <c r="X1148" s="2"/>
      <c r="Y1148" s="2"/>
      <c r="Z1148" s="2"/>
    </row>
    <row r="1149" spans="1:26" ht="15.75" customHeight="1" x14ac:dyDescent="0.2">
      <c r="A1149" s="12"/>
      <c r="B1149" s="10"/>
      <c r="C1149" s="11"/>
      <c r="D1149" s="13"/>
      <c r="E1149" s="13"/>
      <c r="F1149" s="13"/>
      <c r="G1149" s="2"/>
      <c r="H1149" s="2"/>
      <c r="I1149" s="13"/>
      <c r="J1149" s="13"/>
      <c r="K1149" s="13"/>
      <c r="L1149" s="14"/>
      <c r="M1149" s="4"/>
      <c r="N1149" s="2"/>
      <c r="O1149" s="4"/>
      <c r="P1149" s="2"/>
      <c r="Q1149" s="2"/>
      <c r="R1149" s="4"/>
      <c r="S1149" s="2"/>
      <c r="T1149" s="2"/>
      <c r="U1149" s="1"/>
      <c r="V1149" s="2"/>
      <c r="W1149" s="2"/>
      <c r="X1149" s="2"/>
      <c r="Y1149" s="2"/>
      <c r="Z1149" s="2"/>
    </row>
    <row r="1150" spans="1:26" ht="15.75" customHeight="1" x14ac:dyDescent="0.2">
      <c r="A1150" s="12"/>
      <c r="B1150" s="10"/>
      <c r="C1150" s="11"/>
      <c r="D1150" s="13"/>
      <c r="E1150" s="13"/>
      <c r="F1150" s="13"/>
      <c r="G1150" s="2"/>
      <c r="H1150" s="2"/>
      <c r="I1150" s="13"/>
      <c r="J1150" s="13"/>
      <c r="K1150" s="13"/>
      <c r="L1150" s="14"/>
      <c r="M1150" s="4"/>
      <c r="N1150" s="2"/>
      <c r="O1150" s="4"/>
      <c r="P1150" s="2"/>
      <c r="Q1150" s="2"/>
      <c r="R1150" s="4"/>
      <c r="S1150" s="2"/>
      <c r="T1150" s="2"/>
      <c r="U1150" s="1"/>
      <c r="V1150" s="2"/>
      <c r="W1150" s="2"/>
      <c r="X1150" s="2"/>
      <c r="Y1150" s="2"/>
      <c r="Z1150" s="2"/>
    </row>
    <row r="1151" spans="1:26" ht="15.75" customHeight="1" x14ac:dyDescent="0.2">
      <c r="A1151" s="12"/>
      <c r="B1151" s="10"/>
      <c r="C1151" s="11"/>
      <c r="D1151" s="13"/>
      <c r="E1151" s="13"/>
      <c r="F1151" s="13"/>
      <c r="G1151" s="2"/>
      <c r="H1151" s="2"/>
      <c r="I1151" s="13"/>
      <c r="J1151" s="13"/>
      <c r="K1151" s="13"/>
      <c r="L1151" s="14"/>
      <c r="M1151" s="4"/>
      <c r="N1151" s="2"/>
      <c r="O1151" s="4"/>
      <c r="P1151" s="2"/>
      <c r="Q1151" s="2"/>
      <c r="R1151" s="4"/>
      <c r="S1151" s="2"/>
      <c r="T1151" s="2"/>
      <c r="U1151" s="1"/>
      <c r="V1151" s="2"/>
      <c r="W1151" s="2"/>
      <c r="X1151" s="2"/>
      <c r="Y1151" s="2"/>
      <c r="Z1151" s="2"/>
    </row>
    <row r="1152" spans="1:26" ht="15.75" customHeight="1" x14ac:dyDescent="0.2">
      <c r="A1152" s="12"/>
      <c r="B1152" s="10"/>
      <c r="C1152" s="11"/>
      <c r="D1152" s="13"/>
      <c r="E1152" s="13"/>
      <c r="F1152" s="13"/>
      <c r="G1152" s="2"/>
      <c r="H1152" s="2"/>
      <c r="I1152" s="13"/>
      <c r="J1152" s="13"/>
      <c r="K1152" s="13"/>
      <c r="L1152" s="14"/>
      <c r="M1152" s="4"/>
      <c r="N1152" s="2"/>
      <c r="O1152" s="4"/>
      <c r="P1152" s="2"/>
      <c r="Q1152" s="2"/>
      <c r="R1152" s="4"/>
      <c r="S1152" s="2"/>
      <c r="T1152" s="2"/>
      <c r="U1152" s="1"/>
      <c r="V1152" s="2"/>
      <c r="W1152" s="2"/>
      <c r="X1152" s="2"/>
      <c r="Y1152" s="2"/>
      <c r="Z1152" s="2"/>
    </row>
    <row r="1153" spans="1:26" ht="15.75" customHeight="1" x14ac:dyDescent="0.2">
      <c r="A1153" s="12"/>
      <c r="B1153" s="10"/>
      <c r="C1153" s="11"/>
      <c r="D1153" s="13"/>
      <c r="E1153" s="13"/>
      <c r="F1153" s="13"/>
      <c r="G1153" s="2"/>
      <c r="H1153" s="2"/>
      <c r="I1153" s="13"/>
      <c r="J1153" s="13"/>
      <c r="K1153" s="13"/>
      <c r="L1153" s="14"/>
      <c r="M1153" s="4"/>
      <c r="N1153" s="2"/>
      <c r="O1153" s="4"/>
      <c r="P1153" s="2"/>
      <c r="Q1153" s="2"/>
      <c r="R1153" s="4"/>
      <c r="S1153" s="2"/>
      <c r="T1153" s="2"/>
      <c r="U1153" s="1"/>
      <c r="V1153" s="2"/>
      <c r="W1153" s="2"/>
      <c r="X1153" s="2"/>
      <c r="Y1153" s="2"/>
      <c r="Z1153" s="2"/>
    </row>
    <row r="1154" spans="1:26" ht="15.75" customHeight="1" x14ac:dyDescent="0.2">
      <c r="A1154" s="12"/>
      <c r="B1154" s="10"/>
      <c r="C1154" s="11"/>
      <c r="D1154" s="13"/>
      <c r="E1154" s="13"/>
      <c r="F1154" s="13"/>
      <c r="G1154" s="2"/>
      <c r="H1154" s="2"/>
      <c r="I1154" s="13"/>
      <c r="J1154" s="13"/>
      <c r="K1154" s="13"/>
      <c r="L1154" s="14"/>
      <c r="M1154" s="4"/>
      <c r="N1154" s="2"/>
      <c r="O1154" s="4"/>
      <c r="P1154" s="2"/>
      <c r="Q1154" s="2"/>
      <c r="R1154" s="4"/>
      <c r="S1154" s="2"/>
      <c r="T1154" s="2"/>
      <c r="U1154" s="1"/>
      <c r="V1154" s="2"/>
      <c r="W1154" s="2"/>
      <c r="X1154" s="2"/>
      <c r="Y1154" s="2"/>
      <c r="Z1154" s="2"/>
    </row>
    <row r="1155" spans="1:26" ht="15.75" customHeight="1" x14ac:dyDescent="0.2">
      <c r="A1155" s="12"/>
      <c r="B1155" s="10"/>
      <c r="C1155" s="11"/>
      <c r="D1155" s="13"/>
      <c r="E1155" s="13"/>
      <c r="F1155" s="13"/>
      <c r="G1155" s="2"/>
      <c r="H1155" s="2"/>
      <c r="I1155" s="13"/>
      <c r="J1155" s="13"/>
      <c r="K1155" s="13"/>
      <c r="L1155" s="14"/>
      <c r="M1155" s="4"/>
      <c r="N1155" s="2"/>
      <c r="O1155" s="4"/>
      <c r="P1155" s="2"/>
      <c r="Q1155" s="2"/>
      <c r="R1155" s="4"/>
      <c r="S1155" s="2"/>
      <c r="T1155" s="2"/>
      <c r="U1155" s="1"/>
      <c r="V1155" s="2"/>
      <c r="W1155" s="2"/>
      <c r="X1155" s="2"/>
      <c r="Y1155" s="2"/>
      <c r="Z1155" s="2"/>
    </row>
    <row r="1156" spans="1:26" ht="15.75" customHeight="1" x14ac:dyDescent="0.2">
      <c r="A1156" s="12"/>
      <c r="B1156" s="10"/>
      <c r="C1156" s="11"/>
      <c r="D1156" s="13"/>
      <c r="E1156" s="13"/>
      <c r="F1156" s="13"/>
      <c r="G1156" s="2"/>
      <c r="H1156" s="2"/>
      <c r="I1156" s="13"/>
      <c r="J1156" s="13"/>
      <c r="K1156" s="13"/>
      <c r="L1156" s="14"/>
      <c r="M1156" s="4"/>
      <c r="N1156" s="2"/>
      <c r="O1156" s="4"/>
      <c r="P1156" s="2"/>
      <c r="Q1156" s="2"/>
      <c r="R1156" s="4"/>
      <c r="S1156" s="2"/>
      <c r="T1156" s="2"/>
      <c r="U1156" s="1"/>
      <c r="V1156" s="2"/>
      <c r="W1156" s="2"/>
      <c r="X1156" s="2"/>
      <c r="Y1156" s="2"/>
      <c r="Z1156" s="2"/>
    </row>
    <row r="1157" spans="1:26" ht="15.75" customHeight="1" x14ac:dyDescent="0.2">
      <c r="A1157" s="12"/>
      <c r="B1157" s="10"/>
      <c r="C1157" s="11"/>
      <c r="D1157" s="13"/>
      <c r="E1157" s="13"/>
      <c r="F1157" s="13"/>
      <c r="G1157" s="2"/>
      <c r="H1157" s="2"/>
      <c r="I1157" s="13"/>
      <c r="J1157" s="13"/>
      <c r="K1157" s="13"/>
      <c r="L1157" s="14"/>
      <c r="M1157" s="4"/>
      <c r="N1157" s="2"/>
      <c r="O1157" s="4"/>
      <c r="P1157" s="2"/>
      <c r="Q1157" s="2"/>
      <c r="R1157" s="4"/>
      <c r="S1157" s="2"/>
      <c r="T1157" s="2"/>
      <c r="U1157" s="1"/>
      <c r="V1157" s="2"/>
      <c r="W1157" s="2"/>
      <c r="X1157" s="2"/>
      <c r="Y1157" s="2"/>
      <c r="Z1157" s="2"/>
    </row>
    <row r="1158" spans="1:26" ht="15.75" customHeight="1" x14ac:dyDescent="0.2">
      <c r="A1158" s="12"/>
      <c r="B1158" s="10"/>
      <c r="C1158" s="11"/>
      <c r="D1158" s="13"/>
      <c r="E1158" s="13"/>
      <c r="F1158" s="13"/>
      <c r="G1158" s="2"/>
      <c r="H1158" s="2"/>
      <c r="I1158" s="13"/>
      <c r="J1158" s="13"/>
      <c r="K1158" s="13"/>
      <c r="L1158" s="14"/>
      <c r="M1158" s="4"/>
      <c r="N1158" s="2"/>
      <c r="O1158" s="4"/>
      <c r="P1158" s="2"/>
      <c r="Q1158" s="2"/>
      <c r="R1158" s="4"/>
      <c r="S1158" s="2"/>
      <c r="T1158" s="2"/>
      <c r="U1158" s="1"/>
      <c r="V1158" s="2"/>
      <c r="W1158" s="2"/>
      <c r="X1158" s="2"/>
      <c r="Y1158" s="2"/>
      <c r="Z1158" s="2"/>
    </row>
    <row r="1159" spans="1:26" ht="15.75" customHeight="1" x14ac:dyDescent="0.2">
      <c r="A1159" s="12"/>
      <c r="B1159" s="10"/>
      <c r="C1159" s="11"/>
      <c r="D1159" s="13"/>
      <c r="E1159" s="13"/>
      <c r="F1159" s="13"/>
      <c r="G1159" s="2"/>
      <c r="H1159" s="2"/>
      <c r="I1159" s="13"/>
      <c r="J1159" s="13"/>
      <c r="K1159" s="13"/>
      <c r="L1159" s="14"/>
      <c r="M1159" s="4"/>
      <c r="N1159" s="2"/>
      <c r="O1159" s="4"/>
      <c r="P1159" s="2"/>
      <c r="Q1159" s="2"/>
      <c r="R1159" s="4"/>
      <c r="S1159" s="2"/>
      <c r="T1159" s="2"/>
      <c r="U1159" s="1"/>
      <c r="V1159" s="2"/>
      <c r="W1159" s="2"/>
      <c r="X1159" s="2"/>
      <c r="Y1159" s="2"/>
      <c r="Z1159" s="2"/>
    </row>
    <row r="1160" spans="1:26" ht="15.75" customHeight="1" x14ac:dyDescent="0.2">
      <c r="A1160" s="12"/>
      <c r="B1160" s="10"/>
      <c r="C1160" s="11"/>
      <c r="D1160" s="13"/>
      <c r="E1160" s="13"/>
      <c r="F1160" s="13"/>
      <c r="G1160" s="2"/>
      <c r="H1160" s="2"/>
      <c r="I1160" s="13"/>
      <c r="J1160" s="13"/>
      <c r="K1160" s="13"/>
      <c r="L1160" s="14"/>
      <c r="M1160" s="4"/>
      <c r="N1160" s="2"/>
      <c r="O1160" s="4"/>
      <c r="P1160" s="2"/>
      <c r="Q1160" s="2"/>
      <c r="R1160" s="4"/>
      <c r="S1160" s="2"/>
      <c r="T1160" s="2"/>
      <c r="U1160" s="1"/>
      <c r="V1160" s="2"/>
      <c r="W1160" s="2"/>
      <c r="X1160" s="2"/>
      <c r="Y1160" s="2"/>
      <c r="Z1160" s="2"/>
    </row>
    <row r="1161" spans="1:26" ht="15.75" customHeight="1" x14ac:dyDescent="0.2">
      <c r="A1161" s="12"/>
      <c r="B1161" s="10"/>
      <c r="C1161" s="11"/>
      <c r="D1161" s="13"/>
      <c r="E1161" s="13"/>
      <c r="F1161" s="13"/>
      <c r="G1161" s="2"/>
      <c r="H1161" s="2"/>
      <c r="I1161" s="13"/>
      <c r="J1161" s="13"/>
      <c r="K1161" s="13"/>
      <c r="L1161" s="14"/>
      <c r="M1161" s="4"/>
      <c r="N1161" s="2"/>
      <c r="O1161" s="4"/>
      <c r="P1161" s="2"/>
      <c r="Q1161" s="2"/>
      <c r="R1161" s="4"/>
      <c r="S1161" s="2"/>
      <c r="T1161" s="2"/>
      <c r="U1161" s="1"/>
      <c r="V1161" s="2"/>
      <c r="W1161" s="2"/>
      <c r="X1161" s="2"/>
      <c r="Y1161" s="2"/>
      <c r="Z1161" s="2"/>
    </row>
    <row r="1162" spans="1:26" ht="15.75" customHeight="1" x14ac:dyDescent="0.2">
      <c r="A1162" s="12"/>
      <c r="B1162" s="10"/>
      <c r="C1162" s="11"/>
      <c r="D1162" s="13"/>
      <c r="E1162" s="13"/>
      <c r="F1162" s="13"/>
      <c r="G1162" s="2"/>
      <c r="H1162" s="2"/>
      <c r="I1162" s="13"/>
      <c r="J1162" s="13"/>
      <c r="K1162" s="13"/>
      <c r="L1162" s="14"/>
      <c r="M1162" s="4"/>
      <c r="N1162" s="2"/>
      <c r="O1162" s="4"/>
      <c r="P1162" s="2"/>
      <c r="Q1162" s="2"/>
      <c r="R1162" s="4"/>
      <c r="S1162" s="2"/>
      <c r="T1162" s="2"/>
      <c r="U1162" s="1"/>
      <c r="V1162" s="2"/>
      <c r="W1162" s="2"/>
      <c r="X1162" s="2"/>
      <c r="Y1162" s="2"/>
      <c r="Z1162" s="2"/>
    </row>
    <row r="1163" spans="1:26" ht="15.75" customHeight="1" x14ac:dyDescent="0.2">
      <c r="A1163" s="12"/>
      <c r="B1163" s="10"/>
      <c r="C1163" s="11"/>
      <c r="D1163" s="13"/>
      <c r="E1163" s="13"/>
      <c r="F1163" s="13"/>
      <c r="G1163" s="2"/>
      <c r="H1163" s="2"/>
      <c r="I1163" s="13"/>
      <c r="J1163" s="13"/>
      <c r="K1163" s="13"/>
      <c r="L1163" s="14"/>
      <c r="M1163" s="4"/>
      <c r="N1163" s="2"/>
      <c r="O1163" s="4"/>
      <c r="P1163" s="2"/>
      <c r="Q1163" s="2"/>
      <c r="R1163" s="4"/>
      <c r="S1163" s="2"/>
      <c r="T1163" s="2"/>
      <c r="U1163" s="1"/>
      <c r="V1163" s="2"/>
      <c r="W1163" s="2"/>
      <c r="X1163" s="2"/>
      <c r="Y1163" s="2"/>
      <c r="Z1163" s="2"/>
    </row>
    <row r="1164" spans="1:26" ht="15.75" customHeight="1" x14ac:dyDescent="0.2">
      <c r="A1164" s="12"/>
      <c r="B1164" s="10"/>
      <c r="C1164" s="11"/>
      <c r="D1164" s="13"/>
      <c r="E1164" s="13"/>
      <c r="F1164" s="13"/>
      <c r="G1164" s="2"/>
      <c r="H1164" s="2"/>
      <c r="I1164" s="13"/>
      <c r="J1164" s="13"/>
      <c r="K1164" s="13"/>
      <c r="L1164" s="14"/>
      <c r="M1164" s="4"/>
      <c r="N1164" s="2"/>
      <c r="O1164" s="4"/>
      <c r="P1164" s="2"/>
      <c r="Q1164" s="2"/>
      <c r="R1164" s="4"/>
      <c r="S1164" s="2"/>
      <c r="T1164" s="2"/>
      <c r="U1164" s="1"/>
      <c r="V1164" s="2"/>
      <c r="W1164" s="2"/>
      <c r="X1164" s="2"/>
      <c r="Y1164" s="2"/>
      <c r="Z1164" s="2"/>
    </row>
    <row r="1165" spans="1:26" ht="15.75" customHeight="1" x14ac:dyDescent="0.2">
      <c r="A1165" s="12"/>
      <c r="B1165" s="10"/>
      <c r="C1165" s="11"/>
      <c r="D1165" s="13"/>
      <c r="E1165" s="13"/>
      <c r="F1165" s="13"/>
      <c r="G1165" s="2"/>
      <c r="H1165" s="2"/>
      <c r="I1165" s="13"/>
      <c r="J1165" s="13"/>
      <c r="K1165" s="13"/>
      <c r="L1165" s="14"/>
      <c r="M1165" s="4"/>
      <c r="N1165" s="2"/>
      <c r="O1165" s="4"/>
      <c r="P1165" s="2"/>
      <c r="Q1165" s="2"/>
      <c r="R1165" s="4"/>
      <c r="S1165" s="2"/>
      <c r="T1165" s="2"/>
      <c r="U1165" s="1"/>
      <c r="V1165" s="2"/>
      <c r="W1165" s="2"/>
      <c r="X1165" s="2"/>
      <c r="Y1165" s="2"/>
      <c r="Z1165" s="2"/>
    </row>
    <row r="1166" spans="1:26" ht="15.75" customHeight="1" x14ac:dyDescent="0.2">
      <c r="A1166" s="12"/>
      <c r="B1166" s="10"/>
      <c r="C1166" s="11"/>
      <c r="D1166" s="13"/>
      <c r="E1166" s="13"/>
      <c r="F1166" s="13"/>
      <c r="G1166" s="2"/>
      <c r="H1166" s="2"/>
      <c r="I1166" s="13"/>
      <c r="J1166" s="13"/>
      <c r="K1166" s="13"/>
      <c r="L1166" s="14"/>
      <c r="M1166" s="4"/>
      <c r="N1166" s="2"/>
      <c r="O1166" s="4"/>
      <c r="P1166" s="2"/>
      <c r="Q1166" s="2"/>
      <c r="R1166" s="4"/>
      <c r="S1166" s="2"/>
      <c r="T1166" s="2"/>
      <c r="U1166" s="1"/>
      <c r="V1166" s="2"/>
      <c r="W1166" s="2"/>
      <c r="X1166" s="2"/>
      <c r="Y1166" s="2"/>
      <c r="Z1166" s="2"/>
    </row>
    <row r="1167" spans="1:26" ht="15.75" customHeight="1" x14ac:dyDescent="0.2">
      <c r="A1167" s="12"/>
      <c r="B1167" s="10"/>
      <c r="C1167" s="11"/>
      <c r="D1167" s="13"/>
      <c r="E1167" s="13"/>
      <c r="F1167" s="13"/>
      <c r="G1167" s="2"/>
      <c r="H1167" s="2"/>
      <c r="I1167" s="13"/>
      <c r="J1167" s="13"/>
      <c r="K1167" s="13"/>
      <c r="L1167" s="14"/>
      <c r="M1167" s="4"/>
      <c r="N1167" s="2"/>
      <c r="O1167" s="4"/>
      <c r="P1167" s="2"/>
      <c r="Q1167" s="2"/>
      <c r="R1167" s="4"/>
      <c r="S1167" s="2"/>
      <c r="T1167" s="2"/>
      <c r="U1167" s="1"/>
      <c r="V1167" s="2"/>
      <c r="W1167" s="2"/>
      <c r="X1167" s="2"/>
      <c r="Y1167" s="2"/>
      <c r="Z1167" s="2"/>
    </row>
    <row r="1168" spans="1:26" ht="15.75" customHeight="1" x14ac:dyDescent="0.2">
      <c r="A1168" s="12"/>
      <c r="B1168" s="10"/>
      <c r="C1168" s="11"/>
      <c r="D1168" s="13"/>
      <c r="E1168" s="13"/>
      <c r="F1168" s="13"/>
      <c r="G1168" s="2"/>
      <c r="H1168" s="2"/>
      <c r="I1168" s="13"/>
      <c r="J1168" s="13"/>
      <c r="K1168" s="13"/>
      <c r="L1168" s="14"/>
      <c r="M1168" s="4"/>
      <c r="N1168" s="2"/>
      <c r="O1168" s="4"/>
      <c r="P1168" s="2"/>
      <c r="Q1168" s="2"/>
      <c r="R1168" s="4"/>
      <c r="S1168" s="2"/>
      <c r="T1168" s="2"/>
      <c r="U1168" s="1"/>
      <c r="V1168" s="2"/>
      <c r="W1168" s="2"/>
      <c r="X1168" s="2"/>
      <c r="Y1168" s="2"/>
      <c r="Z1168" s="2"/>
    </row>
    <row r="1169" spans="1:26" ht="15.75" customHeight="1" x14ac:dyDescent="0.2">
      <c r="A1169" s="12"/>
      <c r="B1169" s="10"/>
      <c r="C1169" s="11"/>
      <c r="D1169" s="13"/>
      <c r="E1169" s="13"/>
      <c r="F1169" s="13"/>
      <c r="G1169" s="2"/>
      <c r="H1169" s="2"/>
      <c r="I1169" s="13"/>
      <c r="J1169" s="13"/>
      <c r="K1169" s="13"/>
      <c r="L1169" s="14"/>
      <c r="M1169" s="4"/>
      <c r="N1169" s="2"/>
      <c r="O1169" s="4"/>
      <c r="P1169" s="2"/>
      <c r="Q1169" s="2"/>
      <c r="R1169" s="4"/>
      <c r="S1169" s="2"/>
      <c r="T1169" s="2"/>
      <c r="U1169" s="1"/>
      <c r="V1169" s="2"/>
      <c r="W1169" s="2"/>
      <c r="X1169" s="2"/>
      <c r="Y1169" s="2"/>
      <c r="Z1169" s="2"/>
    </row>
    <row r="1170" spans="1:26" ht="15.75" customHeight="1" x14ac:dyDescent="0.2">
      <c r="A1170" s="12"/>
      <c r="B1170" s="10"/>
      <c r="C1170" s="11"/>
      <c r="D1170" s="13"/>
      <c r="E1170" s="13"/>
      <c r="F1170" s="13"/>
      <c r="G1170" s="2"/>
      <c r="H1170" s="2"/>
      <c r="I1170" s="13"/>
      <c r="J1170" s="13"/>
      <c r="K1170" s="13"/>
      <c r="L1170" s="14"/>
      <c r="M1170" s="4"/>
      <c r="N1170" s="2"/>
      <c r="O1170" s="4"/>
      <c r="P1170" s="2"/>
      <c r="Q1170" s="2"/>
      <c r="R1170" s="4"/>
      <c r="S1170" s="2"/>
      <c r="T1170" s="2"/>
      <c r="U1170" s="1"/>
      <c r="V1170" s="2"/>
      <c r="W1170" s="2"/>
      <c r="X1170" s="2"/>
      <c r="Y1170" s="2"/>
      <c r="Z1170" s="2"/>
    </row>
    <row r="1171" spans="1:26" ht="15.75" customHeight="1" x14ac:dyDescent="0.2">
      <c r="A1171" s="12"/>
      <c r="B1171" s="10"/>
      <c r="C1171" s="11"/>
      <c r="D1171" s="13"/>
      <c r="E1171" s="13"/>
      <c r="F1171" s="13"/>
      <c r="G1171" s="2"/>
      <c r="H1171" s="2"/>
      <c r="I1171" s="13"/>
      <c r="J1171" s="13"/>
      <c r="K1171" s="13"/>
      <c r="L1171" s="14"/>
      <c r="M1171" s="4"/>
      <c r="N1171" s="2"/>
      <c r="O1171" s="4"/>
      <c r="P1171" s="2"/>
      <c r="Q1171" s="2"/>
      <c r="R1171" s="4"/>
      <c r="S1171" s="2"/>
      <c r="T1171" s="2"/>
      <c r="U1171" s="1"/>
      <c r="V1171" s="2"/>
      <c r="W1171" s="2"/>
      <c r="X1171" s="2"/>
      <c r="Y1171" s="2"/>
      <c r="Z1171" s="2"/>
    </row>
    <row r="1172" spans="1:26" ht="15.75" customHeight="1" x14ac:dyDescent="0.2">
      <c r="A1172" s="12"/>
      <c r="B1172" s="10"/>
      <c r="C1172" s="11"/>
      <c r="D1172" s="13"/>
      <c r="E1172" s="13"/>
      <c r="F1172" s="13"/>
      <c r="G1172" s="2"/>
      <c r="H1172" s="2"/>
      <c r="I1172" s="13"/>
      <c r="J1172" s="13"/>
      <c r="K1172" s="13"/>
      <c r="L1172" s="14"/>
      <c r="M1172" s="4"/>
      <c r="N1172" s="2"/>
      <c r="O1172" s="4"/>
      <c r="P1172" s="2"/>
      <c r="Q1172" s="2"/>
      <c r="R1172" s="4"/>
      <c r="S1172" s="2"/>
      <c r="T1172" s="2"/>
      <c r="U1172" s="1"/>
      <c r="V1172" s="2"/>
      <c r="W1172" s="2"/>
      <c r="X1172" s="2"/>
      <c r="Y1172" s="2"/>
      <c r="Z1172" s="2"/>
    </row>
    <row r="1173" spans="1:26" ht="15.75" customHeight="1" x14ac:dyDescent="0.2">
      <c r="A1173" s="12"/>
      <c r="B1173" s="10"/>
      <c r="C1173" s="11"/>
      <c r="D1173" s="13"/>
      <c r="E1173" s="13"/>
      <c r="F1173" s="13"/>
      <c r="G1173" s="2"/>
      <c r="H1173" s="2"/>
      <c r="I1173" s="13"/>
      <c r="J1173" s="13"/>
      <c r="K1173" s="13"/>
      <c r="L1173" s="14"/>
      <c r="M1173" s="4"/>
      <c r="N1173" s="2"/>
      <c r="O1173" s="4"/>
      <c r="P1173" s="2"/>
      <c r="Q1173" s="2"/>
      <c r="R1173" s="4"/>
      <c r="S1173" s="2"/>
      <c r="T1173" s="2"/>
      <c r="U1173" s="1"/>
      <c r="V1173" s="2"/>
      <c r="W1173" s="2"/>
      <c r="X1173" s="2"/>
      <c r="Y1173" s="2"/>
      <c r="Z1173" s="2"/>
    </row>
    <row r="1174" spans="1:26" ht="15.75" customHeight="1" x14ac:dyDescent="0.2">
      <c r="A1174" s="12"/>
      <c r="B1174" s="10"/>
      <c r="C1174" s="11"/>
      <c r="D1174" s="13"/>
      <c r="E1174" s="13"/>
      <c r="F1174" s="13"/>
      <c r="G1174" s="2"/>
      <c r="H1174" s="2"/>
      <c r="I1174" s="13"/>
      <c r="J1174" s="13"/>
      <c r="K1174" s="13"/>
      <c r="L1174" s="14"/>
      <c r="M1174" s="4"/>
      <c r="N1174" s="2"/>
      <c r="O1174" s="4"/>
      <c r="P1174" s="2"/>
      <c r="Q1174" s="2"/>
      <c r="R1174" s="4"/>
      <c r="S1174" s="2"/>
      <c r="T1174" s="2"/>
      <c r="U1174" s="1"/>
      <c r="V1174" s="2"/>
      <c r="W1174" s="2"/>
      <c r="X1174" s="2"/>
      <c r="Y1174" s="2"/>
      <c r="Z1174" s="2"/>
    </row>
    <row r="1175" spans="1:26" ht="15.75" customHeight="1" x14ac:dyDescent="0.2">
      <c r="A1175" s="12"/>
      <c r="B1175" s="10"/>
      <c r="C1175" s="11"/>
      <c r="D1175" s="13"/>
      <c r="E1175" s="13"/>
      <c r="F1175" s="13"/>
      <c r="G1175" s="2"/>
      <c r="H1175" s="2"/>
      <c r="I1175" s="13"/>
      <c r="J1175" s="13"/>
      <c r="K1175" s="13"/>
      <c r="L1175" s="14"/>
      <c r="M1175" s="4"/>
      <c r="N1175" s="2"/>
      <c r="O1175" s="4"/>
      <c r="P1175" s="2"/>
      <c r="Q1175" s="2"/>
      <c r="R1175" s="4"/>
      <c r="S1175" s="2"/>
      <c r="T1175" s="2"/>
      <c r="U1175" s="1"/>
      <c r="V1175" s="2"/>
      <c r="W1175" s="2"/>
      <c r="X1175" s="2"/>
      <c r="Y1175" s="2"/>
      <c r="Z1175" s="2"/>
    </row>
    <row r="1176" spans="1:26" ht="15.75" customHeight="1" x14ac:dyDescent="0.2">
      <c r="A1176" s="12"/>
      <c r="B1176" s="10"/>
      <c r="C1176" s="11"/>
      <c r="D1176" s="13"/>
      <c r="E1176" s="13"/>
      <c r="F1176" s="13"/>
      <c r="G1176" s="2"/>
      <c r="H1176" s="2"/>
      <c r="I1176" s="13"/>
      <c r="J1176" s="13"/>
      <c r="K1176" s="13"/>
      <c r="L1176" s="14"/>
      <c r="M1176" s="4"/>
      <c r="N1176" s="2"/>
      <c r="O1176" s="4"/>
      <c r="P1176" s="2"/>
      <c r="Q1176" s="2"/>
      <c r="R1176" s="4"/>
      <c r="S1176" s="2"/>
      <c r="T1176" s="2"/>
      <c r="U1176" s="1"/>
      <c r="V1176" s="2"/>
      <c r="W1176" s="2"/>
      <c r="X1176" s="2"/>
      <c r="Y1176" s="2"/>
      <c r="Z1176" s="2"/>
    </row>
    <row r="1177" spans="1:26" ht="15.75" customHeight="1" x14ac:dyDescent="0.2">
      <c r="A1177" s="12"/>
      <c r="B1177" s="10"/>
      <c r="C1177" s="11"/>
      <c r="D1177" s="13"/>
      <c r="E1177" s="13"/>
      <c r="F1177" s="13"/>
      <c r="G1177" s="2"/>
      <c r="H1177" s="2"/>
      <c r="I1177" s="13"/>
      <c r="J1177" s="13"/>
      <c r="K1177" s="13"/>
      <c r="L1177" s="14"/>
      <c r="M1177" s="4"/>
      <c r="N1177" s="2"/>
      <c r="O1177" s="4"/>
      <c r="P1177" s="2"/>
      <c r="Q1177" s="2"/>
      <c r="R1177" s="4"/>
      <c r="S1177" s="2"/>
      <c r="T1177" s="2"/>
      <c r="U1177" s="1"/>
      <c r="V1177" s="2"/>
      <c r="W1177" s="2"/>
      <c r="X1177" s="2"/>
      <c r="Y1177" s="2"/>
      <c r="Z1177" s="2"/>
    </row>
    <row r="1178" spans="1:26" ht="15.75" customHeight="1" x14ac:dyDescent="0.2">
      <c r="A1178" s="12"/>
      <c r="B1178" s="10"/>
      <c r="C1178" s="11"/>
      <c r="D1178" s="13"/>
      <c r="E1178" s="13"/>
      <c r="F1178" s="13"/>
      <c r="G1178" s="2"/>
      <c r="H1178" s="2"/>
      <c r="I1178" s="13"/>
      <c r="J1178" s="13"/>
      <c r="K1178" s="13"/>
      <c r="L1178" s="14"/>
      <c r="M1178" s="4"/>
      <c r="N1178" s="2"/>
      <c r="O1178" s="4"/>
      <c r="P1178" s="2"/>
      <c r="Q1178" s="2"/>
      <c r="R1178" s="4"/>
      <c r="S1178" s="2"/>
      <c r="T1178" s="2"/>
      <c r="U1178" s="1"/>
      <c r="V1178" s="2"/>
      <c r="W1178" s="2"/>
      <c r="X1178" s="2"/>
      <c r="Y1178" s="2"/>
      <c r="Z1178" s="2"/>
    </row>
    <row r="1179" spans="1:26" ht="15.75" customHeight="1" x14ac:dyDescent="0.2">
      <c r="A1179" s="12"/>
      <c r="B1179" s="10"/>
      <c r="C1179" s="11"/>
      <c r="D1179" s="13"/>
      <c r="E1179" s="13"/>
      <c r="F1179" s="13"/>
      <c r="G1179" s="2"/>
      <c r="H1179" s="2"/>
      <c r="I1179" s="13"/>
      <c r="J1179" s="13"/>
      <c r="K1179" s="13"/>
      <c r="L1179" s="14"/>
      <c r="M1179" s="4"/>
      <c r="N1179" s="2"/>
      <c r="O1179" s="4"/>
      <c r="P1179" s="2"/>
      <c r="Q1179" s="2"/>
      <c r="R1179" s="4"/>
      <c r="S1179" s="2"/>
      <c r="T1179" s="2"/>
      <c r="U1179" s="1"/>
      <c r="V1179" s="2"/>
      <c r="W1179" s="2"/>
      <c r="X1179" s="2"/>
      <c r="Y1179" s="2"/>
      <c r="Z1179" s="2"/>
    </row>
    <row r="1180" spans="1:26" ht="15.75" customHeight="1" x14ac:dyDescent="0.2">
      <c r="A1180" s="12"/>
      <c r="B1180" s="10"/>
      <c r="C1180" s="11"/>
      <c r="D1180" s="13"/>
      <c r="E1180" s="13"/>
      <c r="F1180" s="13"/>
      <c r="G1180" s="2"/>
      <c r="H1180" s="2"/>
      <c r="I1180" s="13"/>
      <c r="J1180" s="13"/>
      <c r="K1180" s="13"/>
      <c r="L1180" s="14"/>
      <c r="M1180" s="4"/>
      <c r="N1180" s="2"/>
      <c r="O1180" s="4"/>
      <c r="P1180" s="2"/>
      <c r="Q1180" s="2"/>
      <c r="R1180" s="4"/>
      <c r="S1180" s="2"/>
      <c r="T1180" s="2"/>
      <c r="U1180" s="1"/>
      <c r="V1180" s="2"/>
      <c r="W1180" s="2"/>
      <c r="X1180" s="2"/>
      <c r="Y1180" s="2"/>
      <c r="Z1180" s="2"/>
    </row>
    <row r="1181" spans="1:26" ht="15.75" customHeight="1" x14ac:dyDescent="0.2">
      <c r="A1181" s="12"/>
      <c r="B1181" s="10"/>
      <c r="C1181" s="11"/>
      <c r="D1181" s="13"/>
      <c r="E1181" s="13"/>
      <c r="F1181" s="13"/>
      <c r="G1181" s="2"/>
      <c r="H1181" s="2"/>
      <c r="I1181" s="13"/>
      <c r="J1181" s="13"/>
      <c r="K1181" s="13"/>
      <c r="L1181" s="14"/>
      <c r="M1181" s="4"/>
      <c r="N1181" s="2"/>
      <c r="O1181" s="4"/>
      <c r="P1181" s="2"/>
      <c r="Q1181" s="2"/>
      <c r="R1181" s="4"/>
      <c r="S1181" s="2"/>
      <c r="T1181" s="2"/>
      <c r="U1181" s="1"/>
      <c r="V1181" s="2"/>
      <c r="W1181" s="2"/>
      <c r="X1181" s="2"/>
      <c r="Y1181" s="2"/>
      <c r="Z1181" s="2"/>
    </row>
    <row r="1182" spans="1:26" ht="15.75" customHeight="1" x14ac:dyDescent="0.2">
      <c r="A1182" s="12"/>
      <c r="B1182" s="10"/>
      <c r="C1182" s="11"/>
      <c r="D1182" s="13"/>
      <c r="E1182" s="13"/>
      <c r="F1182" s="13"/>
      <c r="G1182" s="2"/>
      <c r="H1182" s="2"/>
      <c r="I1182" s="13"/>
      <c r="J1182" s="13"/>
      <c r="K1182" s="13"/>
      <c r="L1182" s="14"/>
      <c r="M1182" s="4"/>
      <c r="N1182" s="2"/>
      <c r="O1182" s="4"/>
      <c r="P1182" s="2"/>
      <c r="Q1182" s="2"/>
      <c r="R1182" s="4"/>
      <c r="S1182" s="2"/>
      <c r="T1182" s="2"/>
      <c r="U1182" s="1"/>
      <c r="V1182" s="2"/>
      <c r="W1182" s="2"/>
      <c r="X1182" s="2"/>
      <c r="Y1182" s="2"/>
      <c r="Z1182" s="2"/>
    </row>
    <row r="1183" spans="1:26" ht="15.75" customHeight="1" x14ac:dyDescent="0.2">
      <c r="A1183" s="12"/>
      <c r="B1183" s="10"/>
      <c r="C1183" s="11"/>
      <c r="D1183" s="13"/>
      <c r="E1183" s="13"/>
      <c r="F1183" s="13"/>
      <c r="G1183" s="2"/>
      <c r="H1183" s="2"/>
      <c r="I1183" s="13"/>
      <c r="J1183" s="13"/>
      <c r="K1183" s="13"/>
      <c r="L1183" s="14"/>
      <c r="M1183" s="4"/>
      <c r="N1183" s="2"/>
      <c r="O1183" s="4"/>
      <c r="P1183" s="2"/>
      <c r="Q1183" s="2"/>
      <c r="R1183" s="4"/>
      <c r="S1183" s="2"/>
      <c r="T1183" s="2"/>
      <c r="U1183" s="1"/>
      <c r="V1183" s="2"/>
      <c r="W1183" s="2"/>
      <c r="X1183" s="2"/>
      <c r="Y1183" s="2"/>
      <c r="Z1183" s="2"/>
    </row>
    <row r="1184" spans="1:26" ht="15.75" customHeight="1" x14ac:dyDescent="0.2">
      <c r="A1184" s="12"/>
      <c r="B1184" s="10"/>
      <c r="C1184" s="11"/>
      <c r="D1184" s="13"/>
      <c r="E1184" s="13"/>
      <c r="F1184" s="13"/>
      <c r="G1184" s="2"/>
      <c r="H1184" s="2"/>
      <c r="I1184" s="13"/>
      <c r="J1184" s="13"/>
      <c r="K1184" s="13"/>
      <c r="L1184" s="14"/>
      <c r="M1184" s="4"/>
      <c r="N1184" s="2"/>
      <c r="O1184" s="4"/>
      <c r="P1184" s="2"/>
      <c r="Q1184" s="2"/>
      <c r="R1184" s="4"/>
      <c r="S1184" s="2"/>
      <c r="T1184" s="2"/>
      <c r="U1184" s="1"/>
      <c r="V1184" s="2"/>
      <c r="W1184" s="2"/>
      <c r="X1184" s="2"/>
      <c r="Y1184" s="2"/>
      <c r="Z1184" s="2"/>
    </row>
    <row r="1185" spans="1:26" ht="15.75" customHeight="1" x14ac:dyDescent="0.2">
      <c r="A1185" s="12"/>
      <c r="B1185" s="10"/>
      <c r="C1185" s="11"/>
      <c r="D1185" s="13"/>
      <c r="E1185" s="13"/>
      <c r="F1185" s="13"/>
      <c r="G1185" s="2"/>
      <c r="H1185" s="2"/>
      <c r="I1185" s="13"/>
      <c r="J1185" s="13"/>
      <c r="K1185" s="13"/>
      <c r="L1185" s="14"/>
      <c r="M1185" s="4"/>
      <c r="N1185" s="2"/>
      <c r="O1185" s="4"/>
      <c r="P1185" s="2"/>
      <c r="Q1185" s="2"/>
      <c r="R1185" s="4"/>
      <c r="S1185" s="2"/>
      <c r="T1185" s="2"/>
      <c r="U1185" s="1"/>
      <c r="V1185" s="2"/>
      <c r="W1185" s="2"/>
      <c r="X1185" s="2"/>
      <c r="Y1185" s="2"/>
      <c r="Z1185" s="2"/>
    </row>
    <row r="1186" spans="1:26" ht="15.75" customHeight="1" x14ac:dyDescent="0.2">
      <c r="A1186" s="12"/>
      <c r="B1186" s="10"/>
      <c r="C1186" s="11"/>
      <c r="D1186" s="13"/>
      <c r="E1186" s="13"/>
      <c r="F1186" s="13"/>
      <c r="G1186" s="2"/>
      <c r="H1186" s="2"/>
      <c r="I1186" s="13"/>
      <c r="J1186" s="13"/>
      <c r="K1186" s="13"/>
      <c r="L1186" s="14"/>
      <c r="M1186" s="4"/>
      <c r="N1186" s="2"/>
      <c r="O1186" s="4"/>
      <c r="P1186" s="2"/>
      <c r="Q1186" s="2"/>
      <c r="R1186" s="4"/>
      <c r="S1186" s="2"/>
      <c r="T1186" s="2"/>
      <c r="U1186" s="1"/>
      <c r="V1186" s="2"/>
      <c r="W1186" s="2"/>
      <c r="X1186" s="2"/>
      <c r="Y1186" s="2"/>
      <c r="Z1186" s="2"/>
    </row>
    <row r="1187" spans="1:26" ht="15.75" customHeight="1" x14ac:dyDescent="0.2">
      <c r="A1187" s="12"/>
      <c r="B1187" s="10"/>
      <c r="C1187" s="11"/>
      <c r="D1187" s="13"/>
      <c r="E1187" s="13"/>
      <c r="F1187" s="13"/>
      <c r="G1187" s="2"/>
      <c r="H1187" s="2"/>
      <c r="I1187" s="13"/>
      <c r="J1187" s="13"/>
      <c r="K1187" s="13"/>
      <c r="L1187" s="14"/>
      <c r="M1187" s="4"/>
      <c r="N1187" s="2"/>
      <c r="O1187" s="4"/>
      <c r="P1187" s="2"/>
      <c r="Q1187" s="2"/>
      <c r="R1187" s="4"/>
      <c r="S1187" s="2"/>
      <c r="T1187" s="2"/>
      <c r="U1187" s="1"/>
      <c r="V1187" s="2"/>
      <c r="W1187" s="2"/>
      <c r="X1187" s="2"/>
      <c r="Y1187" s="2"/>
      <c r="Z1187" s="2"/>
    </row>
    <row r="1188" spans="1:26" ht="15.75" customHeight="1" x14ac:dyDescent="0.2">
      <c r="A1188" s="12"/>
      <c r="B1188" s="10"/>
      <c r="C1188" s="11"/>
      <c r="D1188" s="13"/>
      <c r="E1188" s="13"/>
      <c r="F1188" s="13"/>
      <c r="G1188" s="2"/>
      <c r="H1188" s="2"/>
      <c r="I1188" s="13"/>
      <c r="J1188" s="13"/>
      <c r="K1188" s="13"/>
      <c r="L1188" s="14"/>
      <c r="M1188" s="4"/>
      <c r="N1188" s="2"/>
      <c r="O1188" s="4"/>
      <c r="P1188" s="2"/>
      <c r="Q1188" s="2"/>
      <c r="R1188" s="4"/>
      <c r="S1188" s="2"/>
      <c r="T1188" s="2"/>
      <c r="U1188" s="1"/>
      <c r="V1188" s="2"/>
      <c r="W1188" s="2"/>
      <c r="X1188" s="2"/>
      <c r="Y1188" s="2"/>
      <c r="Z1188" s="2"/>
    </row>
    <row r="1189" spans="1:26" ht="15.75" customHeight="1" x14ac:dyDescent="0.2">
      <c r="A1189" s="12"/>
      <c r="B1189" s="10"/>
      <c r="C1189" s="11"/>
      <c r="D1189" s="13"/>
      <c r="E1189" s="13"/>
      <c r="F1189" s="13"/>
      <c r="G1189" s="2"/>
      <c r="H1189" s="2"/>
      <c r="I1189" s="13"/>
      <c r="J1189" s="13"/>
      <c r="K1189" s="13"/>
      <c r="L1189" s="14"/>
      <c r="M1189" s="4"/>
      <c r="N1189" s="2"/>
      <c r="O1189" s="4"/>
      <c r="P1189" s="2"/>
      <c r="Q1189" s="2"/>
      <c r="R1189" s="4"/>
      <c r="S1189" s="2"/>
      <c r="T1189" s="2"/>
      <c r="U1189" s="1"/>
      <c r="V1189" s="2"/>
      <c r="W1189" s="2"/>
      <c r="X1189" s="2"/>
      <c r="Y1189" s="2"/>
      <c r="Z1189" s="2"/>
    </row>
    <row r="1190" spans="1:26" ht="15.75" customHeight="1" x14ac:dyDescent="0.2">
      <c r="A1190" s="12"/>
      <c r="B1190" s="10"/>
      <c r="C1190" s="11"/>
      <c r="D1190" s="13"/>
      <c r="E1190" s="13"/>
      <c r="F1190" s="13"/>
      <c r="G1190" s="2"/>
      <c r="H1190" s="2"/>
      <c r="I1190" s="13"/>
      <c r="J1190" s="13"/>
      <c r="K1190" s="13"/>
      <c r="L1190" s="14"/>
      <c r="M1190" s="4"/>
      <c r="N1190" s="2"/>
      <c r="O1190" s="4"/>
      <c r="P1190" s="2"/>
      <c r="Q1190" s="2"/>
      <c r="R1190" s="4"/>
      <c r="S1190" s="2"/>
      <c r="T1190" s="2"/>
      <c r="U1190" s="1"/>
      <c r="V1190" s="2"/>
      <c r="W1190" s="2"/>
      <c r="X1190" s="2"/>
      <c r="Y1190" s="2"/>
      <c r="Z1190" s="2"/>
    </row>
    <row r="1191" spans="1:26" ht="15.75" customHeight="1" x14ac:dyDescent="0.2">
      <c r="A1191" s="12"/>
      <c r="B1191" s="10"/>
      <c r="C1191" s="11"/>
      <c r="D1191" s="13"/>
      <c r="E1191" s="13"/>
      <c r="F1191" s="13"/>
      <c r="G1191" s="2"/>
      <c r="H1191" s="2"/>
      <c r="I1191" s="13"/>
      <c r="J1191" s="13"/>
      <c r="K1191" s="13"/>
      <c r="L1191" s="14"/>
      <c r="M1191" s="4"/>
      <c r="N1191" s="2"/>
      <c r="O1191" s="4"/>
      <c r="P1191" s="2"/>
      <c r="Q1191" s="2"/>
      <c r="R1191" s="4"/>
      <c r="S1191" s="2"/>
      <c r="T1191" s="2"/>
      <c r="U1191" s="1"/>
      <c r="V1191" s="2"/>
      <c r="W1191" s="2"/>
      <c r="X1191" s="2"/>
      <c r="Y1191" s="2"/>
      <c r="Z1191" s="2"/>
    </row>
    <row r="1192" spans="1:26" ht="15.75" customHeight="1" x14ac:dyDescent="0.2">
      <c r="A1192" s="12"/>
      <c r="B1192" s="10"/>
      <c r="C1192" s="11"/>
      <c r="D1192" s="13"/>
      <c r="E1192" s="13"/>
      <c r="F1192" s="13"/>
      <c r="G1192" s="2"/>
      <c r="H1192" s="2"/>
      <c r="I1192" s="13"/>
      <c r="J1192" s="13"/>
      <c r="K1192" s="13"/>
      <c r="L1192" s="14"/>
      <c r="M1192" s="4"/>
      <c r="N1192" s="2"/>
      <c r="O1192" s="4"/>
      <c r="P1192" s="2"/>
      <c r="Q1192" s="2"/>
      <c r="R1192" s="4"/>
      <c r="S1192" s="2"/>
      <c r="T1192" s="2"/>
      <c r="U1192" s="1"/>
      <c r="V1192" s="2"/>
      <c r="W1192" s="2"/>
      <c r="X1192" s="2"/>
      <c r="Y1192" s="2"/>
      <c r="Z1192" s="2"/>
    </row>
    <row r="1193" spans="1:26" ht="15.75" customHeight="1" x14ac:dyDescent="0.2">
      <c r="A1193" s="12"/>
      <c r="B1193" s="10"/>
      <c r="C1193" s="11"/>
      <c r="D1193" s="13"/>
      <c r="E1193" s="13"/>
      <c r="F1193" s="13"/>
      <c r="G1193" s="2"/>
      <c r="H1193" s="2"/>
      <c r="I1193" s="13"/>
      <c r="J1193" s="13"/>
      <c r="K1193" s="13"/>
      <c r="L1193" s="14"/>
      <c r="M1193" s="4"/>
      <c r="N1193" s="2"/>
      <c r="O1193" s="4"/>
      <c r="P1193" s="2"/>
      <c r="Q1193" s="2"/>
      <c r="R1193" s="4"/>
      <c r="S1193" s="2"/>
      <c r="T1193" s="2"/>
      <c r="U1193" s="1"/>
      <c r="V1193" s="2"/>
      <c r="W1193" s="2"/>
      <c r="X1193" s="2"/>
      <c r="Y1193" s="2"/>
      <c r="Z1193" s="2"/>
    </row>
    <row r="1194" spans="1:26" ht="15.75" customHeight="1" x14ac:dyDescent="0.2">
      <c r="A1194" s="12"/>
      <c r="B1194" s="10"/>
      <c r="C1194" s="11"/>
      <c r="D1194" s="13"/>
      <c r="E1194" s="13"/>
      <c r="F1194" s="13"/>
      <c r="G1194" s="2"/>
      <c r="H1194" s="2"/>
      <c r="I1194" s="13"/>
      <c r="J1194" s="13"/>
      <c r="K1194" s="13"/>
      <c r="L1194" s="14"/>
      <c r="M1194" s="4"/>
      <c r="N1194" s="2"/>
      <c r="O1194" s="4"/>
      <c r="P1194" s="2"/>
      <c r="Q1194" s="2"/>
      <c r="R1194" s="4"/>
      <c r="S1194" s="2"/>
      <c r="T1194" s="2"/>
      <c r="U1194" s="1"/>
      <c r="V1194" s="2"/>
      <c r="W1194" s="2"/>
      <c r="X1194" s="2"/>
      <c r="Y1194" s="2"/>
      <c r="Z1194" s="2"/>
    </row>
    <row r="1195" spans="1:26" ht="15.75" customHeight="1" x14ac:dyDescent="0.2">
      <c r="A1195" s="12"/>
      <c r="B1195" s="10"/>
      <c r="C1195" s="11"/>
      <c r="D1195" s="13"/>
      <c r="E1195" s="13"/>
      <c r="F1195" s="13"/>
      <c r="G1195" s="2"/>
      <c r="H1195" s="2"/>
      <c r="I1195" s="13"/>
      <c r="J1195" s="13"/>
      <c r="K1195" s="13"/>
      <c r="L1195" s="14"/>
      <c r="M1195" s="4"/>
      <c r="N1195" s="2"/>
      <c r="O1195" s="4"/>
      <c r="P1195" s="2"/>
      <c r="Q1195" s="2"/>
      <c r="R1195" s="4"/>
      <c r="S1195" s="2"/>
      <c r="T1195" s="2"/>
      <c r="U1195" s="1"/>
      <c r="V1195" s="2"/>
      <c r="W1195" s="2"/>
      <c r="X1195" s="2"/>
      <c r="Y1195" s="2"/>
      <c r="Z1195" s="2"/>
    </row>
    <row r="1196" spans="1:26" ht="15.75" customHeight="1" x14ac:dyDescent="0.2">
      <c r="A1196" s="12"/>
      <c r="B1196" s="10"/>
      <c r="C1196" s="11"/>
      <c r="D1196" s="13"/>
      <c r="E1196" s="13"/>
      <c r="F1196" s="13"/>
      <c r="G1196" s="2"/>
      <c r="H1196" s="2"/>
      <c r="I1196" s="13"/>
      <c r="J1196" s="13"/>
      <c r="K1196" s="13"/>
      <c r="L1196" s="14"/>
      <c r="M1196" s="4"/>
      <c r="N1196" s="2"/>
      <c r="O1196" s="4"/>
      <c r="P1196" s="2"/>
      <c r="Q1196" s="2"/>
      <c r="R1196" s="4"/>
      <c r="S1196" s="2"/>
      <c r="T1196" s="2"/>
      <c r="U1196" s="1"/>
      <c r="V1196" s="2"/>
      <c r="W1196" s="2"/>
      <c r="X1196" s="2"/>
      <c r="Y1196" s="2"/>
      <c r="Z1196" s="2"/>
    </row>
    <row r="1197" spans="1:26" ht="15.75" customHeight="1" x14ac:dyDescent="0.2">
      <c r="A1197" s="12"/>
      <c r="B1197" s="10"/>
      <c r="C1197" s="11"/>
      <c r="D1197" s="13"/>
      <c r="E1197" s="13"/>
      <c r="F1197" s="13"/>
      <c r="G1197" s="2"/>
      <c r="H1197" s="2"/>
      <c r="I1197" s="13"/>
      <c r="J1197" s="13"/>
      <c r="K1197" s="13"/>
      <c r="L1197" s="14"/>
      <c r="M1197" s="4"/>
      <c r="N1197" s="2"/>
      <c r="O1197" s="4"/>
      <c r="P1197" s="2"/>
      <c r="Q1197" s="2"/>
      <c r="R1197" s="4"/>
      <c r="S1197" s="2"/>
      <c r="T1197" s="2"/>
      <c r="U1197" s="1"/>
      <c r="V1197" s="2"/>
      <c r="W1197" s="2"/>
      <c r="X1197" s="2"/>
      <c r="Y1197" s="2"/>
      <c r="Z1197" s="2"/>
    </row>
    <row r="1198" spans="1:26" ht="15.75" customHeight="1" x14ac:dyDescent="0.2">
      <c r="A1198" s="12"/>
      <c r="B1198" s="10"/>
      <c r="C1198" s="11"/>
      <c r="D1198" s="13"/>
      <c r="E1198" s="13"/>
      <c r="F1198" s="13"/>
      <c r="G1198" s="2"/>
      <c r="H1198" s="2"/>
      <c r="I1198" s="13"/>
      <c r="J1198" s="13"/>
      <c r="K1198" s="13"/>
      <c r="L1198" s="14"/>
      <c r="M1198" s="4"/>
      <c r="N1198" s="2"/>
      <c r="O1198" s="4"/>
      <c r="P1198" s="2"/>
      <c r="Q1198" s="2"/>
      <c r="R1198" s="4"/>
      <c r="S1198" s="2"/>
      <c r="T1198" s="2"/>
      <c r="U1198" s="1"/>
      <c r="V1198" s="2"/>
      <c r="W1198" s="2"/>
      <c r="X1198" s="2"/>
      <c r="Y1198" s="2"/>
      <c r="Z1198" s="2"/>
    </row>
    <row r="1199" spans="1:26" ht="15.75" customHeight="1" x14ac:dyDescent="0.2">
      <c r="A1199" s="12"/>
      <c r="B1199" s="10"/>
      <c r="C1199" s="11"/>
      <c r="D1199" s="13"/>
      <c r="E1199" s="13"/>
      <c r="F1199" s="13"/>
      <c r="G1199" s="2"/>
      <c r="H1199" s="2"/>
      <c r="I1199" s="13"/>
      <c r="J1199" s="13"/>
      <c r="K1199" s="13"/>
      <c r="L1199" s="14"/>
      <c r="M1199" s="4"/>
      <c r="N1199" s="2"/>
      <c r="O1199" s="4"/>
      <c r="P1199" s="2"/>
      <c r="Q1199" s="2"/>
      <c r="R1199" s="4"/>
      <c r="S1199" s="2"/>
      <c r="T1199" s="2"/>
      <c r="U1199" s="1"/>
      <c r="V1199" s="2"/>
      <c r="W1199" s="2"/>
      <c r="X1199" s="2"/>
      <c r="Y1199" s="2"/>
      <c r="Z1199" s="2"/>
    </row>
    <row r="1200" spans="1:26" ht="15.75" customHeight="1" x14ac:dyDescent="0.2">
      <c r="A1200" s="12"/>
      <c r="B1200" s="10"/>
      <c r="C1200" s="11"/>
      <c r="D1200" s="13"/>
      <c r="E1200" s="13"/>
      <c r="F1200" s="13"/>
      <c r="G1200" s="2"/>
      <c r="H1200" s="2"/>
      <c r="I1200" s="13"/>
      <c r="J1200" s="13"/>
      <c r="K1200" s="13"/>
      <c r="L1200" s="14"/>
      <c r="M1200" s="4"/>
      <c r="N1200" s="2"/>
      <c r="O1200" s="4"/>
      <c r="P1200" s="2"/>
      <c r="Q1200" s="2"/>
      <c r="R1200" s="4"/>
      <c r="S1200" s="2"/>
      <c r="T1200" s="2"/>
      <c r="U1200" s="1"/>
      <c r="V1200" s="2"/>
      <c r="W1200" s="2"/>
      <c r="X1200" s="2"/>
      <c r="Y1200" s="2"/>
      <c r="Z1200" s="2"/>
    </row>
    <row r="1201" spans="1:26" ht="15.75" customHeight="1" x14ac:dyDescent="0.2">
      <c r="A1201" s="12"/>
      <c r="B1201" s="10"/>
      <c r="C1201" s="11"/>
      <c r="D1201" s="13"/>
      <c r="E1201" s="13"/>
      <c r="F1201" s="13"/>
      <c r="G1201" s="2"/>
      <c r="H1201" s="2"/>
      <c r="I1201" s="13"/>
      <c r="J1201" s="13"/>
      <c r="K1201" s="13"/>
      <c r="L1201" s="14"/>
      <c r="M1201" s="4"/>
      <c r="N1201" s="2"/>
      <c r="O1201" s="4"/>
      <c r="P1201" s="2"/>
      <c r="Q1201" s="2"/>
      <c r="R1201" s="4"/>
      <c r="S1201" s="2"/>
      <c r="T1201" s="2"/>
      <c r="U1201" s="1"/>
      <c r="V1201" s="2"/>
      <c r="W1201" s="2"/>
      <c r="X1201" s="2"/>
      <c r="Y1201" s="2"/>
      <c r="Z1201" s="2"/>
    </row>
    <row r="1202" spans="1:26" ht="15.75" customHeight="1" x14ac:dyDescent="0.2">
      <c r="A1202" s="12"/>
      <c r="B1202" s="10"/>
      <c r="C1202" s="11"/>
      <c r="D1202" s="13"/>
      <c r="E1202" s="13"/>
      <c r="F1202" s="13"/>
      <c r="G1202" s="2"/>
      <c r="H1202" s="2"/>
      <c r="I1202" s="13"/>
      <c r="J1202" s="13"/>
      <c r="K1202" s="13"/>
      <c r="L1202" s="14"/>
      <c r="M1202" s="4"/>
      <c r="N1202" s="2"/>
      <c r="O1202" s="4"/>
      <c r="P1202" s="2"/>
      <c r="Q1202" s="2"/>
      <c r="R1202" s="4"/>
      <c r="S1202" s="2"/>
      <c r="T1202" s="2"/>
      <c r="U1202" s="1"/>
      <c r="V1202" s="2"/>
      <c r="W1202" s="2"/>
      <c r="X1202" s="2"/>
      <c r="Y1202" s="2"/>
      <c r="Z1202" s="2"/>
    </row>
    <row r="1203" spans="1:26" ht="15.75" customHeight="1" x14ac:dyDescent="0.2">
      <c r="A1203" s="12"/>
      <c r="B1203" s="10"/>
      <c r="C1203" s="11"/>
      <c r="D1203" s="13"/>
      <c r="E1203" s="13"/>
      <c r="F1203" s="13"/>
      <c r="G1203" s="2"/>
      <c r="H1203" s="2"/>
      <c r="I1203" s="13"/>
      <c r="J1203" s="13"/>
      <c r="K1203" s="13"/>
      <c r="L1203" s="14"/>
      <c r="M1203" s="4"/>
      <c r="N1203" s="2"/>
      <c r="O1203" s="4"/>
      <c r="P1203" s="2"/>
      <c r="Q1203" s="2"/>
      <c r="R1203" s="4"/>
      <c r="S1203" s="2"/>
      <c r="T1203" s="2"/>
      <c r="U1203" s="1"/>
      <c r="V1203" s="2"/>
      <c r="W1203" s="2"/>
      <c r="X1203" s="2"/>
      <c r="Y1203" s="2"/>
      <c r="Z1203" s="2"/>
    </row>
    <row r="1204" spans="1:26" ht="15.75" customHeight="1" x14ac:dyDescent="0.2">
      <c r="A1204" s="12"/>
      <c r="B1204" s="10"/>
      <c r="C1204" s="11"/>
      <c r="D1204" s="13"/>
      <c r="E1204" s="13"/>
      <c r="F1204" s="13"/>
      <c r="G1204" s="2"/>
      <c r="H1204" s="2"/>
      <c r="I1204" s="13"/>
      <c r="J1204" s="13"/>
      <c r="K1204" s="13"/>
      <c r="L1204" s="14"/>
      <c r="M1204" s="4"/>
      <c r="N1204" s="2"/>
      <c r="O1204" s="4"/>
      <c r="P1204" s="2"/>
      <c r="Q1204" s="2"/>
      <c r="R1204" s="4"/>
      <c r="S1204" s="2"/>
      <c r="T1204" s="2"/>
      <c r="U1204" s="1"/>
      <c r="V1204" s="2"/>
      <c r="W1204" s="2"/>
      <c r="X1204" s="2"/>
      <c r="Y1204" s="2"/>
      <c r="Z1204" s="2"/>
    </row>
    <row r="1205" spans="1:26" ht="15.75" customHeight="1" x14ac:dyDescent="0.2">
      <c r="A1205" s="12"/>
      <c r="B1205" s="10"/>
      <c r="C1205" s="11"/>
      <c r="D1205" s="13"/>
      <c r="E1205" s="13"/>
      <c r="F1205" s="13"/>
      <c r="G1205" s="2"/>
      <c r="H1205" s="2"/>
      <c r="I1205" s="13"/>
      <c r="J1205" s="13"/>
      <c r="K1205" s="13"/>
      <c r="L1205" s="14"/>
      <c r="M1205" s="4"/>
      <c r="N1205" s="2"/>
      <c r="O1205" s="4"/>
      <c r="P1205" s="2"/>
      <c r="Q1205" s="2"/>
      <c r="R1205" s="4"/>
      <c r="S1205" s="2"/>
      <c r="T1205" s="2"/>
      <c r="U1205" s="1"/>
      <c r="V1205" s="2"/>
      <c r="W1205" s="2"/>
      <c r="X1205" s="2"/>
      <c r="Y1205" s="2"/>
      <c r="Z1205" s="2"/>
    </row>
    <row r="1206" spans="1:26" ht="15.75" customHeight="1" x14ac:dyDescent="0.2">
      <c r="A1206" s="12"/>
      <c r="B1206" s="10"/>
      <c r="C1206" s="11"/>
      <c r="D1206" s="13"/>
      <c r="E1206" s="13"/>
      <c r="F1206" s="13"/>
      <c r="G1206" s="2"/>
      <c r="H1206" s="2"/>
      <c r="I1206" s="13"/>
      <c r="J1206" s="13"/>
      <c r="K1206" s="13"/>
      <c r="L1206" s="14"/>
      <c r="M1206" s="4"/>
      <c r="N1206" s="2"/>
      <c r="O1206" s="4"/>
      <c r="P1206" s="2"/>
      <c r="Q1206" s="2"/>
      <c r="R1206" s="4"/>
      <c r="S1206" s="2"/>
      <c r="T1206" s="2"/>
      <c r="U1206" s="1"/>
      <c r="V1206" s="2"/>
      <c r="W1206" s="2"/>
      <c r="X1206" s="2"/>
      <c r="Y1206" s="2"/>
      <c r="Z1206" s="2"/>
    </row>
    <row r="1207" spans="1:26" ht="15.75" customHeight="1" x14ac:dyDescent="0.2">
      <c r="A1207" s="12"/>
      <c r="B1207" s="10"/>
      <c r="C1207" s="11"/>
      <c r="D1207" s="13"/>
      <c r="E1207" s="13"/>
      <c r="F1207" s="13"/>
      <c r="G1207" s="2"/>
      <c r="H1207" s="2"/>
      <c r="I1207" s="13"/>
      <c r="J1207" s="13"/>
      <c r="K1207" s="13"/>
      <c r="L1207" s="14"/>
      <c r="M1207" s="4"/>
      <c r="N1207" s="2"/>
      <c r="O1207" s="4"/>
      <c r="P1207" s="2"/>
      <c r="Q1207" s="2"/>
      <c r="R1207" s="4"/>
      <c r="S1207" s="2"/>
      <c r="T1207" s="2"/>
      <c r="U1207" s="1"/>
      <c r="V1207" s="2"/>
      <c r="W1207" s="2"/>
      <c r="X1207" s="2"/>
      <c r="Y1207" s="2"/>
      <c r="Z1207" s="2"/>
    </row>
    <row r="1208" spans="1:26" ht="15.75" customHeight="1" x14ac:dyDescent="0.2">
      <c r="A1208" s="12"/>
      <c r="B1208" s="10"/>
      <c r="C1208" s="11"/>
      <c r="D1208" s="13"/>
      <c r="E1208" s="13"/>
      <c r="F1208" s="13"/>
      <c r="G1208" s="2"/>
      <c r="H1208" s="2"/>
      <c r="I1208" s="13"/>
      <c r="J1208" s="13"/>
      <c r="K1208" s="13"/>
      <c r="L1208" s="14"/>
      <c r="M1208" s="4"/>
      <c r="N1208" s="2"/>
      <c r="O1208" s="4"/>
      <c r="P1208" s="2"/>
      <c r="Q1208" s="2"/>
      <c r="R1208" s="4"/>
      <c r="S1208" s="2"/>
      <c r="T1208" s="2"/>
      <c r="U1208" s="1"/>
      <c r="V1208" s="2"/>
      <c r="W1208" s="2"/>
      <c r="X1208" s="2"/>
      <c r="Y1208" s="2"/>
      <c r="Z1208" s="2"/>
    </row>
    <row r="1209" spans="1:26" ht="15.75" customHeight="1" x14ac:dyDescent="0.2">
      <c r="A1209" s="12"/>
      <c r="B1209" s="10"/>
      <c r="C1209" s="11"/>
      <c r="D1209" s="13"/>
      <c r="E1209" s="13"/>
      <c r="F1209" s="13"/>
      <c r="G1209" s="2"/>
      <c r="H1209" s="2"/>
      <c r="I1209" s="13"/>
      <c r="J1209" s="13"/>
      <c r="K1209" s="13"/>
      <c r="L1209" s="14"/>
      <c r="M1209" s="4"/>
      <c r="N1209" s="2"/>
      <c r="O1209" s="4"/>
      <c r="P1209" s="2"/>
      <c r="Q1209" s="2"/>
      <c r="R1209" s="4"/>
      <c r="S1209" s="2"/>
      <c r="T1209" s="2"/>
      <c r="U1209" s="1"/>
      <c r="V1209" s="2"/>
      <c r="W1209" s="2"/>
      <c r="X1209" s="2"/>
      <c r="Y1209" s="2"/>
      <c r="Z1209" s="2"/>
    </row>
    <row r="1210" spans="1:26" ht="15.75" customHeight="1" x14ac:dyDescent="0.2">
      <c r="A1210" s="12"/>
      <c r="B1210" s="10"/>
      <c r="C1210" s="11"/>
      <c r="D1210" s="13"/>
      <c r="E1210" s="13"/>
      <c r="F1210" s="13"/>
      <c r="G1210" s="2"/>
      <c r="H1210" s="2"/>
      <c r="I1210" s="13"/>
      <c r="J1210" s="13"/>
      <c r="K1210" s="13"/>
      <c r="L1210" s="14"/>
      <c r="M1210" s="4"/>
      <c r="N1210" s="2"/>
      <c r="O1210" s="4"/>
      <c r="P1210" s="2"/>
      <c r="Q1210" s="2"/>
      <c r="R1210" s="4"/>
      <c r="S1210" s="2"/>
      <c r="T1210" s="2"/>
      <c r="U1210" s="1"/>
      <c r="V1210" s="2"/>
      <c r="W1210" s="2"/>
      <c r="X1210" s="2"/>
      <c r="Y1210" s="2"/>
      <c r="Z1210" s="2"/>
    </row>
    <row r="1211" spans="1:26" ht="15.75" customHeight="1" x14ac:dyDescent="0.2">
      <c r="A1211" s="12"/>
      <c r="B1211" s="10"/>
      <c r="C1211" s="11"/>
      <c r="D1211" s="13"/>
      <c r="E1211" s="13"/>
      <c r="F1211" s="13"/>
      <c r="G1211" s="2"/>
      <c r="H1211" s="2"/>
      <c r="I1211" s="13"/>
      <c r="J1211" s="13"/>
      <c r="K1211" s="13"/>
      <c r="L1211" s="14"/>
      <c r="M1211" s="4"/>
      <c r="N1211" s="2"/>
      <c r="O1211" s="4"/>
      <c r="P1211" s="2"/>
      <c r="Q1211" s="2"/>
      <c r="R1211" s="4"/>
      <c r="S1211" s="2"/>
      <c r="T1211" s="2"/>
      <c r="U1211" s="1"/>
      <c r="V1211" s="2"/>
      <c r="W1211" s="2"/>
      <c r="X1211" s="2"/>
      <c r="Y1211" s="2"/>
      <c r="Z1211" s="2"/>
    </row>
    <row r="1212" spans="1:26" ht="15.75" customHeight="1" x14ac:dyDescent="0.2">
      <c r="A1212" s="12"/>
      <c r="B1212" s="10"/>
      <c r="C1212" s="11"/>
      <c r="D1212" s="13"/>
      <c r="E1212" s="13"/>
      <c r="F1212" s="13"/>
      <c r="G1212" s="2"/>
      <c r="H1212" s="2"/>
      <c r="I1212" s="13"/>
      <c r="J1212" s="13"/>
      <c r="K1212" s="13"/>
      <c r="L1212" s="14"/>
      <c r="M1212" s="4"/>
      <c r="N1212" s="2"/>
      <c r="O1212" s="4"/>
      <c r="P1212" s="2"/>
      <c r="Q1212" s="2"/>
      <c r="R1212" s="4"/>
      <c r="S1212" s="2"/>
      <c r="T1212" s="2"/>
      <c r="U1212" s="1"/>
      <c r="V1212" s="2"/>
      <c r="W1212" s="2"/>
      <c r="X1212" s="2"/>
      <c r="Y1212" s="2"/>
      <c r="Z1212" s="2"/>
    </row>
    <row r="1213" spans="1:26" ht="15.75" customHeight="1" x14ac:dyDescent="0.2">
      <c r="A1213" s="12"/>
      <c r="B1213" s="10"/>
      <c r="C1213" s="11"/>
      <c r="D1213" s="13"/>
      <c r="E1213" s="13"/>
      <c r="F1213" s="13"/>
      <c r="G1213" s="2"/>
      <c r="H1213" s="2"/>
      <c r="I1213" s="13"/>
      <c r="J1213" s="13"/>
      <c r="K1213" s="13"/>
      <c r="L1213" s="14"/>
      <c r="M1213" s="4"/>
      <c r="N1213" s="2"/>
      <c r="O1213" s="4"/>
      <c r="P1213" s="2"/>
      <c r="Q1213" s="2"/>
      <c r="R1213" s="4"/>
      <c r="S1213" s="2"/>
      <c r="T1213" s="2"/>
      <c r="U1213" s="1"/>
      <c r="V1213" s="2"/>
      <c r="W1213" s="2"/>
      <c r="X1213" s="2"/>
      <c r="Y1213" s="2"/>
      <c r="Z1213" s="2"/>
    </row>
    <row r="1214" spans="1:26" ht="15.75" customHeight="1" x14ac:dyDescent="0.2">
      <c r="A1214" s="12"/>
      <c r="B1214" s="10"/>
      <c r="C1214" s="11"/>
      <c r="D1214" s="13"/>
      <c r="E1214" s="13"/>
      <c r="F1214" s="13"/>
      <c r="G1214" s="2"/>
      <c r="H1214" s="2"/>
      <c r="I1214" s="13"/>
      <c r="J1214" s="13"/>
      <c r="K1214" s="13"/>
      <c r="L1214" s="14"/>
      <c r="M1214" s="4"/>
      <c r="N1214" s="2"/>
      <c r="O1214" s="4"/>
      <c r="P1214" s="2"/>
      <c r="Q1214" s="2"/>
      <c r="R1214" s="4"/>
      <c r="S1214" s="2"/>
      <c r="T1214" s="2"/>
      <c r="U1214" s="1"/>
      <c r="V1214" s="2"/>
      <c r="W1214" s="2"/>
      <c r="X1214" s="2"/>
      <c r="Y1214" s="2"/>
      <c r="Z1214" s="2"/>
    </row>
    <row r="1215" spans="1:26" ht="15.75" customHeight="1" x14ac:dyDescent="0.2">
      <c r="A1215" s="12"/>
      <c r="B1215" s="10"/>
      <c r="C1215" s="11"/>
      <c r="D1215" s="13"/>
      <c r="E1215" s="13"/>
      <c r="F1215" s="13"/>
      <c r="G1215" s="2"/>
      <c r="H1215" s="2"/>
      <c r="I1215" s="13"/>
      <c r="J1215" s="13"/>
      <c r="K1215" s="13"/>
      <c r="L1215" s="14"/>
      <c r="M1215" s="4"/>
      <c r="N1215" s="2"/>
      <c r="O1215" s="4"/>
      <c r="P1215" s="2"/>
      <c r="Q1215" s="2"/>
      <c r="R1215" s="4"/>
      <c r="S1215" s="2"/>
      <c r="T1215" s="2"/>
      <c r="U1215" s="1"/>
      <c r="V1215" s="2"/>
      <c r="W1215" s="2"/>
      <c r="X1215" s="2"/>
      <c r="Y1215" s="2"/>
      <c r="Z1215" s="2"/>
    </row>
    <row r="1216" spans="1:26" ht="15.75" customHeight="1" x14ac:dyDescent="0.2">
      <c r="A1216" s="12"/>
      <c r="B1216" s="10"/>
      <c r="C1216" s="11"/>
      <c r="D1216" s="13"/>
      <c r="E1216" s="13"/>
      <c r="F1216" s="13"/>
      <c r="G1216" s="2"/>
      <c r="H1216" s="2"/>
      <c r="I1216" s="13"/>
      <c r="J1216" s="13"/>
      <c r="K1216" s="13"/>
      <c r="L1216" s="14"/>
      <c r="M1216" s="4"/>
      <c r="N1216" s="2"/>
      <c r="O1216" s="4"/>
      <c r="P1216" s="2"/>
      <c r="Q1216" s="2"/>
      <c r="R1216" s="4"/>
      <c r="S1216" s="2"/>
      <c r="T1216" s="2"/>
      <c r="U1216" s="1"/>
      <c r="V1216" s="2"/>
      <c r="W1216" s="2"/>
      <c r="X1216" s="2"/>
      <c r="Y1216" s="2"/>
      <c r="Z1216" s="2"/>
    </row>
    <row r="1217" spans="1:26" ht="15.75" customHeight="1" x14ac:dyDescent="0.2">
      <c r="A1217" s="12"/>
      <c r="B1217" s="10"/>
      <c r="C1217" s="11"/>
      <c r="D1217" s="13"/>
      <c r="E1217" s="13"/>
      <c r="F1217" s="13"/>
      <c r="G1217" s="2"/>
      <c r="H1217" s="2"/>
      <c r="I1217" s="13"/>
      <c r="J1217" s="13"/>
      <c r="K1217" s="13"/>
      <c r="L1217" s="14"/>
      <c r="M1217" s="4"/>
      <c r="N1217" s="2"/>
      <c r="O1217" s="4"/>
      <c r="P1217" s="2"/>
      <c r="Q1217" s="2"/>
      <c r="R1217" s="4"/>
      <c r="S1217" s="2"/>
      <c r="T1217" s="2"/>
      <c r="U1217" s="1"/>
      <c r="V1217" s="2"/>
      <c r="W1217" s="2"/>
      <c r="X1217" s="2"/>
      <c r="Y1217" s="2"/>
      <c r="Z1217" s="2"/>
    </row>
    <row r="1218" spans="1:26" ht="15.75" customHeight="1" x14ac:dyDescent="0.2">
      <c r="A1218" s="12"/>
      <c r="B1218" s="10"/>
      <c r="C1218" s="11"/>
      <c r="D1218" s="13"/>
      <c r="E1218" s="13"/>
      <c r="F1218" s="13"/>
      <c r="G1218" s="2"/>
      <c r="H1218" s="2"/>
      <c r="I1218" s="13"/>
      <c r="J1218" s="13"/>
      <c r="K1218" s="13"/>
      <c r="L1218" s="14"/>
      <c r="M1218" s="4"/>
      <c r="N1218" s="2"/>
      <c r="O1218" s="4"/>
      <c r="P1218" s="2"/>
      <c r="Q1218" s="2"/>
      <c r="R1218" s="4"/>
      <c r="S1218" s="2"/>
      <c r="T1218" s="2"/>
      <c r="U1218" s="1"/>
      <c r="V1218" s="2"/>
      <c r="W1218" s="2"/>
      <c r="X1218" s="2"/>
      <c r="Y1218" s="2"/>
      <c r="Z1218" s="2"/>
    </row>
    <row r="1219" spans="1:26" ht="15.75" customHeight="1" x14ac:dyDescent="0.2">
      <c r="A1219" s="12"/>
      <c r="B1219" s="10"/>
      <c r="C1219" s="11"/>
      <c r="D1219" s="13"/>
      <c r="E1219" s="13"/>
      <c r="F1219" s="13"/>
      <c r="G1219" s="2"/>
      <c r="H1219" s="2"/>
      <c r="I1219" s="13"/>
      <c r="J1219" s="13"/>
      <c r="K1219" s="13"/>
      <c r="L1219" s="14"/>
      <c r="M1219" s="4"/>
      <c r="N1219" s="2"/>
      <c r="O1219" s="4"/>
      <c r="P1219" s="2"/>
      <c r="Q1219" s="2"/>
      <c r="R1219" s="4"/>
      <c r="S1219" s="2"/>
      <c r="T1219" s="2"/>
      <c r="U1219" s="1"/>
      <c r="V1219" s="2"/>
      <c r="W1219" s="2"/>
      <c r="X1219" s="2"/>
      <c r="Y1219" s="2"/>
      <c r="Z1219" s="2"/>
    </row>
    <row r="1220" spans="1:26" ht="15.75" customHeight="1" x14ac:dyDescent="0.2">
      <c r="A1220" s="12"/>
      <c r="B1220" s="10"/>
      <c r="C1220" s="11"/>
      <c r="D1220" s="13"/>
      <c r="E1220" s="13"/>
      <c r="F1220" s="13"/>
      <c r="G1220" s="2"/>
      <c r="H1220" s="2"/>
      <c r="I1220" s="13"/>
      <c r="J1220" s="13"/>
      <c r="K1220" s="13"/>
      <c r="L1220" s="14"/>
      <c r="M1220" s="4"/>
      <c r="N1220" s="2"/>
      <c r="O1220" s="4"/>
      <c r="P1220" s="2"/>
      <c r="Q1220" s="2"/>
      <c r="R1220" s="4"/>
      <c r="S1220" s="2"/>
      <c r="T1220" s="2"/>
      <c r="U1220" s="1"/>
      <c r="V1220" s="2"/>
      <c r="W1220" s="2"/>
      <c r="X1220" s="2"/>
      <c r="Y1220" s="2"/>
      <c r="Z1220" s="2"/>
    </row>
    <row r="1221" spans="1:26" ht="15.75" customHeight="1" x14ac:dyDescent="0.2">
      <c r="A1221" s="12"/>
      <c r="B1221" s="10"/>
      <c r="C1221" s="11"/>
      <c r="D1221" s="13"/>
      <c r="E1221" s="13"/>
      <c r="F1221" s="13"/>
      <c r="G1221" s="2"/>
      <c r="H1221" s="2"/>
      <c r="I1221" s="13"/>
      <c r="J1221" s="13"/>
      <c r="K1221" s="13"/>
      <c r="L1221" s="14"/>
      <c r="M1221" s="4"/>
      <c r="N1221" s="2"/>
      <c r="O1221" s="4"/>
      <c r="P1221" s="2"/>
      <c r="Q1221" s="2"/>
      <c r="R1221" s="4"/>
      <c r="S1221" s="2"/>
      <c r="T1221" s="2"/>
      <c r="U1221" s="1"/>
      <c r="V1221" s="2"/>
      <c r="W1221" s="2"/>
      <c r="X1221" s="2"/>
      <c r="Y1221" s="2"/>
      <c r="Z1221" s="2"/>
    </row>
    <row r="1222" spans="1:26" ht="15.75" customHeight="1" x14ac:dyDescent="0.2">
      <c r="A1222" s="12"/>
      <c r="B1222" s="10"/>
      <c r="C1222" s="11"/>
      <c r="D1222" s="13"/>
      <c r="E1222" s="13"/>
      <c r="F1222" s="13"/>
      <c r="G1222" s="2"/>
      <c r="H1222" s="2"/>
      <c r="I1222" s="13"/>
      <c r="J1222" s="13"/>
      <c r="K1222" s="13"/>
      <c r="L1222" s="14"/>
      <c r="M1222" s="4"/>
      <c r="N1222" s="2"/>
      <c r="O1222" s="4"/>
      <c r="P1222" s="2"/>
      <c r="Q1222" s="2"/>
      <c r="R1222" s="4"/>
      <c r="S1222" s="2"/>
      <c r="T1222" s="2"/>
      <c r="U1222" s="1"/>
      <c r="V1222" s="2"/>
      <c r="W1222" s="2"/>
      <c r="X1222" s="2"/>
      <c r="Y1222" s="2"/>
      <c r="Z1222" s="2"/>
    </row>
    <row r="1223" spans="1:26" ht="15.75" customHeight="1" x14ac:dyDescent="0.2">
      <c r="A1223" s="12"/>
      <c r="B1223" s="10"/>
      <c r="C1223" s="11"/>
      <c r="D1223" s="13"/>
      <c r="E1223" s="13"/>
      <c r="F1223" s="13"/>
      <c r="G1223" s="2"/>
      <c r="H1223" s="2"/>
      <c r="I1223" s="13"/>
      <c r="J1223" s="13"/>
      <c r="K1223" s="13"/>
      <c r="L1223" s="14"/>
      <c r="M1223" s="4"/>
      <c r="N1223" s="2"/>
      <c r="O1223" s="4"/>
      <c r="P1223" s="2"/>
      <c r="Q1223" s="2"/>
      <c r="R1223" s="4"/>
      <c r="S1223" s="2"/>
      <c r="T1223" s="2"/>
      <c r="U1223" s="1"/>
      <c r="V1223" s="2"/>
      <c r="W1223" s="2"/>
      <c r="X1223" s="2"/>
      <c r="Y1223" s="2"/>
      <c r="Z1223" s="2"/>
    </row>
    <row r="1224" spans="1:26" ht="15.75" customHeight="1" x14ac:dyDescent="0.2">
      <c r="A1224" s="12"/>
      <c r="B1224" s="10"/>
      <c r="C1224" s="11"/>
      <c r="D1224" s="13"/>
      <c r="E1224" s="13"/>
      <c r="F1224" s="13"/>
      <c r="G1224" s="2"/>
      <c r="H1224" s="2"/>
      <c r="I1224" s="13"/>
      <c r="J1224" s="13"/>
      <c r="K1224" s="13"/>
      <c r="L1224" s="14"/>
      <c r="M1224" s="4"/>
      <c r="N1224" s="2"/>
      <c r="O1224" s="4"/>
      <c r="P1224" s="2"/>
      <c r="Q1224" s="2"/>
      <c r="R1224" s="4"/>
      <c r="S1224" s="2"/>
      <c r="T1224" s="2"/>
      <c r="U1224" s="1"/>
      <c r="V1224" s="2"/>
      <c r="W1224" s="2"/>
      <c r="X1224" s="2"/>
      <c r="Y1224" s="2"/>
      <c r="Z1224" s="2"/>
    </row>
    <row r="1225" spans="1:26" ht="15.75" customHeight="1" x14ac:dyDescent="0.2">
      <c r="A1225" s="12"/>
      <c r="B1225" s="10"/>
      <c r="C1225" s="11"/>
      <c r="D1225" s="13"/>
      <c r="E1225" s="13"/>
      <c r="F1225" s="13"/>
      <c r="G1225" s="2"/>
      <c r="H1225" s="2"/>
      <c r="I1225" s="13"/>
      <c r="J1225" s="13"/>
      <c r="K1225" s="13"/>
      <c r="L1225" s="14"/>
      <c r="M1225" s="4"/>
      <c r="N1225" s="2"/>
      <c r="O1225" s="4"/>
      <c r="P1225" s="2"/>
      <c r="Q1225" s="2"/>
      <c r="R1225" s="4"/>
      <c r="S1225" s="2"/>
      <c r="T1225" s="2"/>
      <c r="U1225" s="1"/>
      <c r="V1225" s="2"/>
      <c r="W1225" s="2"/>
      <c r="X1225" s="2"/>
      <c r="Y1225" s="2"/>
      <c r="Z1225" s="2"/>
    </row>
    <row r="1226" spans="1:26" ht="15.75" customHeight="1" x14ac:dyDescent="0.2">
      <c r="A1226" s="12"/>
      <c r="B1226" s="10"/>
      <c r="C1226" s="11"/>
      <c r="D1226" s="13"/>
      <c r="E1226" s="13"/>
      <c r="F1226" s="13"/>
      <c r="G1226" s="2"/>
      <c r="H1226" s="2"/>
      <c r="I1226" s="13"/>
      <c r="J1226" s="13"/>
      <c r="K1226" s="13"/>
      <c r="L1226" s="14"/>
      <c r="M1226" s="4"/>
      <c r="N1226" s="2"/>
      <c r="O1226" s="4"/>
      <c r="P1226" s="2"/>
      <c r="Q1226" s="2"/>
      <c r="R1226" s="4"/>
      <c r="S1226" s="2"/>
      <c r="T1226" s="2"/>
      <c r="U1226" s="1"/>
      <c r="V1226" s="2"/>
      <c r="W1226" s="2"/>
      <c r="X1226" s="2"/>
      <c r="Y1226" s="2"/>
      <c r="Z1226" s="2"/>
    </row>
    <row r="1227" spans="1:26" ht="15.75" customHeight="1" x14ac:dyDescent="0.2">
      <c r="A1227" s="12"/>
      <c r="B1227" s="10"/>
      <c r="C1227" s="11"/>
      <c r="D1227" s="13"/>
      <c r="E1227" s="13"/>
      <c r="F1227" s="13"/>
      <c r="G1227" s="2"/>
      <c r="H1227" s="2"/>
      <c r="I1227" s="13"/>
      <c r="J1227" s="13"/>
      <c r="K1227" s="13"/>
      <c r="L1227" s="14"/>
      <c r="M1227" s="4"/>
      <c r="N1227" s="2"/>
      <c r="O1227" s="4"/>
      <c r="P1227" s="2"/>
      <c r="Q1227" s="2"/>
      <c r="R1227" s="4"/>
      <c r="S1227" s="2"/>
      <c r="T1227" s="2"/>
      <c r="U1227" s="1"/>
      <c r="V1227" s="2"/>
      <c r="W1227" s="2"/>
      <c r="X1227" s="2"/>
      <c r="Y1227" s="2"/>
      <c r="Z1227" s="2"/>
    </row>
    <row r="1228" spans="1:26" ht="15.75" customHeight="1" x14ac:dyDescent="0.2">
      <c r="A1228" s="12"/>
      <c r="B1228" s="10"/>
      <c r="C1228" s="11"/>
      <c r="D1228" s="13"/>
      <c r="E1228" s="13"/>
      <c r="F1228" s="13"/>
      <c r="G1228" s="2"/>
      <c r="H1228" s="2"/>
      <c r="I1228" s="13"/>
      <c r="J1228" s="13"/>
      <c r="K1228" s="13"/>
      <c r="L1228" s="14"/>
      <c r="M1228" s="4"/>
      <c r="N1228" s="2"/>
      <c r="O1228" s="4"/>
      <c r="P1228" s="2"/>
      <c r="Q1228" s="2"/>
      <c r="R1228" s="4"/>
      <c r="S1228" s="2"/>
      <c r="T1228" s="2"/>
      <c r="U1228" s="1"/>
      <c r="V1228" s="2"/>
      <c r="W1228" s="2"/>
      <c r="X1228" s="2"/>
      <c r="Y1228" s="2"/>
      <c r="Z1228" s="2"/>
    </row>
    <row r="1229" spans="1:26" ht="15.75" customHeight="1" x14ac:dyDescent="0.2">
      <c r="A1229" s="12"/>
      <c r="B1229" s="10"/>
      <c r="C1229" s="11"/>
      <c r="D1229" s="13"/>
      <c r="E1229" s="13"/>
      <c r="F1229" s="13"/>
      <c r="G1229" s="2"/>
      <c r="H1229" s="2"/>
      <c r="I1229" s="13"/>
      <c r="J1229" s="13"/>
      <c r="K1229" s="13"/>
      <c r="L1229" s="14"/>
      <c r="M1229" s="4"/>
      <c r="N1229" s="2"/>
      <c r="O1229" s="4"/>
      <c r="P1229" s="2"/>
      <c r="Q1229" s="2"/>
      <c r="R1229" s="4"/>
      <c r="S1229" s="2"/>
      <c r="T1229" s="2"/>
      <c r="U1229" s="1"/>
      <c r="V1229" s="2"/>
      <c r="W1229" s="2"/>
      <c r="X1229" s="2"/>
      <c r="Y1229" s="2"/>
      <c r="Z1229" s="2"/>
    </row>
    <row r="1230" spans="1:26" ht="15.75" customHeight="1" x14ac:dyDescent="0.2">
      <c r="A1230" s="12"/>
      <c r="B1230" s="10"/>
      <c r="C1230" s="11"/>
      <c r="D1230" s="13"/>
      <c r="E1230" s="13"/>
      <c r="F1230" s="13"/>
      <c r="G1230" s="2"/>
      <c r="H1230" s="2"/>
      <c r="I1230" s="13"/>
      <c r="J1230" s="13"/>
      <c r="K1230" s="13"/>
      <c r="L1230" s="14"/>
      <c r="M1230" s="4"/>
      <c r="N1230" s="2"/>
      <c r="O1230" s="4"/>
      <c r="P1230" s="2"/>
      <c r="Q1230" s="2"/>
      <c r="R1230" s="4"/>
      <c r="S1230" s="2"/>
      <c r="T1230" s="2"/>
      <c r="U1230" s="1"/>
      <c r="V1230" s="2"/>
      <c r="W1230" s="2"/>
      <c r="X1230" s="2"/>
      <c r="Y1230" s="2"/>
      <c r="Z1230" s="2"/>
    </row>
    <row r="1231" spans="1:26" ht="15.75" customHeight="1" x14ac:dyDescent="0.2">
      <c r="A1231" s="12"/>
      <c r="B1231" s="10"/>
      <c r="C1231" s="11"/>
      <c r="D1231" s="13"/>
      <c r="E1231" s="13"/>
      <c r="F1231" s="13"/>
      <c r="G1231" s="2"/>
      <c r="H1231" s="2"/>
      <c r="I1231" s="13"/>
      <c r="J1231" s="13"/>
      <c r="K1231" s="13"/>
      <c r="L1231" s="14"/>
      <c r="M1231" s="4"/>
      <c r="N1231" s="2"/>
      <c r="O1231" s="4"/>
      <c r="P1231" s="2"/>
      <c r="Q1231" s="2"/>
      <c r="R1231" s="4"/>
      <c r="S1231" s="2"/>
      <c r="T1231" s="2"/>
      <c r="U1231" s="1"/>
      <c r="V1231" s="2"/>
      <c r="W1231" s="2"/>
      <c r="X1231" s="2"/>
      <c r="Y1231" s="2"/>
      <c r="Z1231" s="2"/>
    </row>
    <row r="1232" spans="1:26" ht="15.75" customHeight="1" x14ac:dyDescent="0.2">
      <c r="A1232" s="12"/>
      <c r="B1232" s="10"/>
      <c r="C1232" s="11"/>
      <c r="D1232" s="13"/>
      <c r="E1232" s="13"/>
      <c r="F1232" s="13"/>
      <c r="G1232" s="2"/>
      <c r="H1232" s="2"/>
      <c r="I1232" s="13"/>
      <c r="J1232" s="13"/>
      <c r="K1232" s="13"/>
      <c r="L1232" s="14"/>
      <c r="M1232" s="4"/>
      <c r="N1232" s="2"/>
      <c r="O1232" s="4"/>
      <c r="P1232" s="2"/>
      <c r="Q1232" s="2"/>
      <c r="R1232" s="4"/>
      <c r="S1232" s="2"/>
      <c r="T1232" s="2"/>
      <c r="U1232" s="1"/>
      <c r="V1232" s="2"/>
      <c r="W1232" s="2"/>
      <c r="X1232" s="2"/>
      <c r="Y1232" s="2"/>
      <c r="Z1232" s="2"/>
    </row>
    <row r="1233" spans="1:26" ht="15.75" customHeight="1" x14ac:dyDescent="0.2">
      <c r="A1233" s="12"/>
      <c r="B1233" s="10"/>
      <c r="C1233" s="11"/>
      <c r="D1233" s="13"/>
      <c r="E1233" s="13"/>
      <c r="F1233" s="13"/>
      <c r="G1233" s="2"/>
      <c r="H1233" s="2"/>
      <c r="I1233" s="13"/>
      <c r="J1233" s="13"/>
      <c r="K1233" s="13"/>
      <c r="L1233" s="14"/>
      <c r="M1233" s="4"/>
      <c r="N1233" s="2"/>
      <c r="O1233" s="4"/>
      <c r="P1233" s="2"/>
      <c r="Q1233" s="2"/>
      <c r="R1233" s="4"/>
      <c r="S1233" s="2"/>
      <c r="T1233" s="2"/>
      <c r="U1233" s="1"/>
      <c r="V1233" s="2"/>
      <c r="W1233" s="2"/>
      <c r="X1233" s="2"/>
      <c r="Y1233" s="2"/>
      <c r="Z1233" s="2"/>
    </row>
    <row r="1234" spans="1:26" ht="15.75" customHeight="1" x14ac:dyDescent="0.2">
      <c r="A1234" s="12"/>
      <c r="B1234" s="10"/>
      <c r="C1234" s="11"/>
      <c r="D1234" s="13"/>
      <c r="E1234" s="13"/>
      <c r="F1234" s="13"/>
      <c r="G1234" s="2"/>
      <c r="H1234" s="2"/>
      <c r="I1234" s="13"/>
      <c r="J1234" s="13"/>
      <c r="K1234" s="13"/>
      <c r="L1234" s="14"/>
      <c r="M1234" s="4"/>
      <c r="N1234" s="2"/>
      <c r="O1234" s="4"/>
      <c r="P1234" s="2"/>
      <c r="Q1234" s="2"/>
      <c r="R1234" s="4"/>
      <c r="S1234" s="2"/>
      <c r="T1234" s="2"/>
      <c r="U1234" s="1"/>
      <c r="V1234" s="2"/>
      <c r="W1234" s="2"/>
      <c r="X1234" s="2"/>
      <c r="Y1234" s="2"/>
      <c r="Z1234" s="2"/>
    </row>
    <row r="1235" spans="1:26" ht="15.75" customHeight="1" x14ac:dyDescent="0.2">
      <c r="A1235" s="12"/>
      <c r="B1235" s="10"/>
      <c r="C1235" s="11"/>
      <c r="D1235" s="13"/>
      <c r="E1235" s="13"/>
      <c r="F1235" s="13"/>
      <c r="G1235" s="2"/>
      <c r="H1235" s="2"/>
      <c r="I1235" s="13"/>
      <c r="J1235" s="13"/>
      <c r="K1235" s="13"/>
      <c r="L1235" s="14"/>
      <c r="M1235" s="4"/>
      <c r="N1235" s="2"/>
      <c r="O1235" s="4"/>
      <c r="P1235" s="2"/>
      <c r="Q1235" s="2"/>
      <c r="R1235" s="4"/>
      <c r="S1235" s="2"/>
      <c r="T1235" s="2"/>
      <c r="U1235" s="1"/>
      <c r="V1235" s="2"/>
      <c r="W1235" s="2"/>
      <c r="X1235" s="2"/>
      <c r="Y1235" s="2"/>
      <c r="Z1235" s="2"/>
    </row>
    <row r="1236" spans="1:26" ht="15.75" customHeight="1" x14ac:dyDescent="0.2">
      <c r="A1236" s="12"/>
      <c r="B1236" s="10"/>
      <c r="C1236" s="11"/>
      <c r="D1236" s="13"/>
      <c r="E1236" s="13"/>
      <c r="F1236" s="13"/>
      <c r="G1236" s="2"/>
      <c r="H1236" s="2"/>
      <c r="I1236" s="13"/>
      <c r="J1236" s="13"/>
      <c r="K1236" s="13"/>
      <c r="L1236" s="14"/>
      <c r="M1236" s="4"/>
      <c r="N1236" s="2"/>
      <c r="O1236" s="4"/>
      <c r="P1236" s="2"/>
      <c r="Q1236" s="2"/>
      <c r="R1236" s="4"/>
      <c r="S1236" s="2"/>
      <c r="T1236" s="2"/>
      <c r="U1236" s="1"/>
      <c r="V1236" s="2"/>
      <c r="W1236" s="2"/>
      <c r="X1236" s="2"/>
      <c r="Y1236" s="2"/>
      <c r="Z1236" s="2"/>
    </row>
    <row r="1237" spans="1:26" ht="15.75" customHeight="1" x14ac:dyDescent="0.2">
      <c r="A1237" s="12"/>
      <c r="B1237" s="10"/>
      <c r="C1237" s="11"/>
      <c r="D1237" s="13"/>
      <c r="E1237" s="13"/>
      <c r="F1237" s="13"/>
      <c r="G1237" s="2"/>
      <c r="H1237" s="2"/>
      <c r="I1237" s="13"/>
      <c r="J1237" s="13"/>
      <c r="K1237" s="13"/>
      <c r="L1237" s="14"/>
      <c r="M1237" s="4"/>
      <c r="N1237" s="2"/>
      <c r="O1237" s="4"/>
      <c r="P1237" s="2"/>
      <c r="Q1237" s="2"/>
      <c r="R1237" s="4"/>
      <c r="S1237" s="2"/>
      <c r="T1237" s="2"/>
      <c r="U1237" s="1"/>
      <c r="V1237" s="2"/>
      <c r="W1237" s="2"/>
      <c r="X1237" s="2"/>
      <c r="Y1237" s="2"/>
      <c r="Z1237" s="2"/>
    </row>
    <row r="1238" spans="1:26" ht="15.75" customHeight="1" x14ac:dyDescent="0.2">
      <c r="A1238" s="12"/>
      <c r="B1238" s="10"/>
      <c r="C1238" s="11"/>
      <c r="D1238" s="13"/>
      <c r="E1238" s="13"/>
      <c r="F1238" s="13"/>
      <c r="G1238" s="2"/>
      <c r="H1238" s="2"/>
      <c r="I1238" s="13"/>
      <c r="J1238" s="13"/>
      <c r="K1238" s="13"/>
      <c r="L1238" s="14"/>
      <c r="M1238" s="4"/>
      <c r="N1238" s="2"/>
      <c r="O1238" s="4"/>
      <c r="P1238" s="2"/>
      <c r="Q1238" s="2"/>
      <c r="R1238" s="4"/>
      <c r="S1238" s="2"/>
      <c r="T1238" s="2"/>
      <c r="U1238" s="1"/>
      <c r="V1238" s="2"/>
      <c r="W1238" s="2"/>
      <c r="X1238" s="2"/>
      <c r="Y1238" s="2"/>
      <c r="Z1238" s="2"/>
    </row>
    <row r="1239" spans="1:26" ht="15.75" customHeight="1" x14ac:dyDescent="0.2">
      <c r="A1239" s="12"/>
      <c r="B1239" s="10"/>
      <c r="C1239" s="11"/>
      <c r="D1239" s="13"/>
      <c r="E1239" s="13"/>
      <c r="F1239" s="13"/>
      <c r="G1239" s="2"/>
      <c r="H1239" s="2"/>
      <c r="I1239" s="13"/>
      <c r="J1239" s="13"/>
      <c r="K1239" s="13"/>
      <c r="L1239" s="14"/>
      <c r="M1239" s="4"/>
      <c r="N1239" s="2"/>
      <c r="O1239" s="4"/>
      <c r="P1239" s="2"/>
      <c r="Q1239" s="2"/>
      <c r="R1239" s="4"/>
      <c r="S1239" s="2"/>
      <c r="T1239" s="2"/>
      <c r="U1239" s="1"/>
      <c r="V1239" s="2"/>
      <c r="W1239" s="2"/>
      <c r="X1239" s="2"/>
      <c r="Y1239" s="2"/>
      <c r="Z1239" s="2"/>
    </row>
    <row r="1240" spans="1:26" ht="15.75" customHeight="1" x14ac:dyDescent="0.2">
      <c r="A1240" s="12"/>
      <c r="B1240" s="10"/>
      <c r="C1240" s="11"/>
      <c r="D1240" s="13"/>
      <c r="E1240" s="13"/>
      <c r="F1240" s="13"/>
      <c r="G1240" s="2"/>
      <c r="H1240" s="2"/>
      <c r="I1240" s="13"/>
      <c r="J1240" s="13"/>
      <c r="K1240" s="13"/>
      <c r="L1240" s="14"/>
      <c r="M1240" s="4"/>
      <c r="N1240" s="2"/>
      <c r="O1240" s="4"/>
      <c r="P1240" s="2"/>
      <c r="Q1240" s="2"/>
      <c r="R1240" s="4"/>
      <c r="S1240" s="2"/>
      <c r="T1240" s="2"/>
      <c r="U1240" s="1"/>
      <c r="V1240" s="2"/>
      <c r="W1240" s="2"/>
      <c r="X1240" s="2"/>
      <c r="Y1240" s="2"/>
      <c r="Z1240" s="2"/>
    </row>
    <row r="1241" spans="1:26" ht="15.75" customHeight="1" x14ac:dyDescent="0.2">
      <c r="A1241" s="12"/>
      <c r="B1241" s="10"/>
      <c r="C1241" s="11"/>
      <c r="D1241" s="13"/>
      <c r="E1241" s="13"/>
      <c r="F1241" s="13"/>
      <c r="G1241" s="2"/>
      <c r="H1241" s="2"/>
      <c r="I1241" s="13"/>
      <c r="J1241" s="13"/>
      <c r="K1241" s="13"/>
      <c r="L1241" s="14"/>
      <c r="M1241" s="4"/>
      <c r="N1241" s="2"/>
      <c r="O1241" s="4"/>
      <c r="P1241" s="2"/>
      <c r="Q1241" s="2"/>
      <c r="R1241" s="4"/>
      <c r="S1241" s="2"/>
      <c r="T1241" s="2"/>
      <c r="U1241" s="1"/>
      <c r="V1241" s="2"/>
      <c r="W1241" s="2"/>
      <c r="X1241" s="2"/>
      <c r="Y1241" s="2"/>
      <c r="Z1241" s="2"/>
    </row>
    <row r="1242" spans="1:26" ht="15.75" customHeight="1" x14ac:dyDescent="0.2">
      <c r="A1242" s="12"/>
      <c r="B1242" s="10"/>
      <c r="C1242" s="11"/>
      <c r="D1242" s="13"/>
      <c r="E1242" s="13"/>
      <c r="F1242" s="13"/>
      <c r="G1242" s="2"/>
      <c r="H1242" s="2"/>
      <c r="I1242" s="13"/>
      <c r="J1242" s="13"/>
      <c r="K1242" s="13"/>
      <c r="L1242" s="14"/>
      <c r="M1242" s="4"/>
      <c r="N1242" s="2"/>
      <c r="O1242" s="4"/>
      <c r="P1242" s="2"/>
      <c r="Q1242" s="2"/>
      <c r="R1242" s="4"/>
      <c r="S1242" s="2"/>
      <c r="T1242" s="2"/>
      <c r="U1242" s="1"/>
      <c r="V1242" s="2"/>
      <c r="W1242" s="2"/>
      <c r="X1242" s="2"/>
      <c r="Y1242" s="2"/>
      <c r="Z1242" s="2"/>
    </row>
    <row r="1243" spans="1:26" ht="15.75" customHeight="1" x14ac:dyDescent="0.2">
      <c r="A1243" s="12"/>
      <c r="B1243" s="10"/>
      <c r="C1243" s="11"/>
      <c r="D1243" s="13"/>
      <c r="E1243" s="13"/>
      <c r="F1243" s="13"/>
      <c r="G1243" s="2"/>
      <c r="H1243" s="2"/>
      <c r="I1243" s="13"/>
      <c r="J1243" s="13"/>
      <c r="K1243" s="13"/>
      <c r="L1243" s="14"/>
      <c r="M1243" s="4"/>
      <c r="N1243" s="2"/>
      <c r="O1243" s="4"/>
      <c r="P1243" s="2"/>
      <c r="Q1243" s="2"/>
      <c r="R1243" s="4"/>
      <c r="S1243" s="2"/>
      <c r="T1243" s="2"/>
      <c r="U1243" s="1"/>
      <c r="V1243" s="2"/>
      <c r="W1243" s="2"/>
      <c r="X1243" s="2"/>
      <c r="Y1243" s="2"/>
      <c r="Z1243" s="2"/>
    </row>
    <row r="1244" spans="1:26" ht="15.75" customHeight="1" x14ac:dyDescent="0.2">
      <c r="A1244" s="12"/>
      <c r="B1244" s="10"/>
      <c r="C1244" s="11"/>
      <c r="D1244" s="13"/>
      <c r="E1244" s="13"/>
      <c r="F1244" s="13"/>
      <c r="G1244" s="2"/>
      <c r="H1244" s="2"/>
      <c r="I1244" s="13"/>
      <c r="J1244" s="13"/>
      <c r="K1244" s="13"/>
      <c r="L1244" s="14"/>
      <c r="M1244" s="4"/>
      <c r="N1244" s="2"/>
      <c r="O1244" s="4"/>
      <c r="P1244" s="2"/>
      <c r="Q1244" s="2"/>
      <c r="R1244" s="4"/>
      <c r="S1244" s="2"/>
      <c r="T1244" s="2"/>
      <c r="U1244" s="1"/>
      <c r="V1244" s="2"/>
      <c r="W1244" s="2"/>
      <c r="X1244" s="2"/>
      <c r="Y1244" s="2"/>
      <c r="Z1244" s="2"/>
    </row>
    <row r="1245" spans="1:26" ht="15.75" customHeight="1" x14ac:dyDescent="0.2">
      <c r="A1245" s="12"/>
      <c r="B1245" s="10"/>
      <c r="C1245" s="11"/>
      <c r="D1245" s="13"/>
      <c r="E1245" s="13"/>
      <c r="F1245" s="13"/>
      <c r="G1245" s="2"/>
      <c r="H1245" s="2"/>
      <c r="I1245" s="13"/>
      <c r="J1245" s="13"/>
      <c r="K1245" s="13"/>
      <c r="L1245" s="14"/>
      <c r="M1245" s="4"/>
      <c r="N1245" s="2"/>
      <c r="O1245" s="4"/>
      <c r="P1245" s="2"/>
      <c r="Q1245" s="2"/>
      <c r="R1245" s="4"/>
      <c r="S1245" s="2"/>
      <c r="T1245" s="2"/>
      <c r="U1245" s="1"/>
      <c r="V1245" s="2"/>
      <c r="W1245" s="2"/>
      <c r="X1245" s="2"/>
      <c r="Y1245" s="2"/>
      <c r="Z1245" s="2"/>
    </row>
    <row r="1246" spans="1:26" ht="15.75" customHeight="1" x14ac:dyDescent="0.2">
      <c r="A1246" s="12"/>
      <c r="B1246" s="10"/>
      <c r="C1246" s="11"/>
      <c r="D1246" s="13"/>
      <c r="E1246" s="13"/>
      <c r="F1246" s="13"/>
      <c r="G1246" s="2"/>
      <c r="H1246" s="2"/>
      <c r="I1246" s="13"/>
      <c r="J1246" s="13"/>
      <c r="K1246" s="13"/>
      <c r="L1246" s="14"/>
      <c r="M1246" s="4"/>
      <c r="N1246" s="2"/>
      <c r="O1246" s="4"/>
      <c r="P1246" s="2"/>
      <c r="Q1246" s="2"/>
      <c r="R1246" s="4"/>
      <c r="S1246" s="2"/>
      <c r="T1246" s="2"/>
      <c r="U1246" s="1"/>
      <c r="V1246" s="2"/>
      <c r="W1246" s="2"/>
      <c r="X1246" s="2"/>
      <c r="Y1246" s="2"/>
      <c r="Z1246" s="2"/>
    </row>
    <row r="1247" spans="1:26" ht="15.75" customHeight="1" x14ac:dyDescent="0.2">
      <c r="A1247" s="12"/>
      <c r="B1247" s="10"/>
      <c r="C1247" s="11"/>
      <c r="D1247" s="13"/>
      <c r="E1247" s="13"/>
      <c r="F1247" s="13"/>
      <c r="G1247" s="2"/>
      <c r="H1247" s="2"/>
      <c r="I1247" s="13"/>
      <c r="J1247" s="13"/>
      <c r="K1247" s="13"/>
      <c r="L1247" s="14"/>
      <c r="M1247" s="4"/>
      <c r="N1247" s="2"/>
      <c r="O1247" s="4"/>
      <c r="P1247" s="2"/>
      <c r="Q1247" s="2"/>
      <c r="R1247" s="4"/>
      <c r="S1247" s="2"/>
      <c r="T1247" s="2"/>
      <c r="U1247" s="1"/>
      <c r="V1247" s="2"/>
      <c r="W1247" s="2"/>
      <c r="X1247" s="2"/>
      <c r="Y1247" s="2"/>
      <c r="Z1247" s="2"/>
    </row>
    <row r="1248" spans="1:26" ht="15.75" customHeight="1" x14ac:dyDescent="0.2">
      <c r="A1248" s="12"/>
      <c r="B1248" s="10"/>
      <c r="C1248" s="11"/>
      <c r="D1248" s="13"/>
      <c r="E1248" s="13"/>
      <c r="F1248" s="13"/>
      <c r="G1248" s="2"/>
      <c r="H1248" s="2"/>
      <c r="I1248" s="13"/>
      <c r="J1248" s="13"/>
      <c r="K1248" s="13"/>
      <c r="L1248" s="14"/>
      <c r="M1248" s="4"/>
      <c r="N1248" s="2"/>
      <c r="O1248" s="4"/>
      <c r="P1248" s="2"/>
      <c r="Q1248" s="2"/>
      <c r="R1248" s="4"/>
      <c r="S1248" s="2"/>
      <c r="T1248" s="2"/>
      <c r="U1248" s="1"/>
      <c r="V1248" s="2"/>
      <c r="W1248" s="2"/>
      <c r="X1248" s="2"/>
      <c r="Y1248" s="2"/>
      <c r="Z1248" s="2"/>
    </row>
    <row r="1249" spans="1:26" ht="15.75" customHeight="1" x14ac:dyDescent="0.2">
      <c r="A1249" s="12"/>
      <c r="B1249" s="10"/>
      <c r="C1249" s="11"/>
      <c r="D1249" s="13"/>
      <c r="E1249" s="13"/>
      <c r="F1249" s="13"/>
      <c r="G1249" s="2"/>
      <c r="H1249" s="2"/>
      <c r="I1249" s="13"/>
      <c r="J1249" s="13"/>
      <c r="K1249" s="13"/>
      <c r="L1249" s="14"/>
      <c r="M1249" s="4"/>
      <c r="N1249" s="2"/>
      <c r="O1249" s="4"/>
      <c r="P1249" s="2"/>
      <c r="Q1249" s="2"/>
      <c r="R1249" s="4"/>
      <c r="S1249" s="2"/>
      <c r="T1249" s="2"/>
      <c r="U1249" s="1"/>
      <c r="V1249" s="2"/>
      <c r="W1249" s="2"/>
      <c r="X1249" s="2"/>
      <c r="Y1249" s="2"/>
      <c r="Z1249" s="2"/>
    </row>
    <row r="1250" spans="1:26" ht="15.75" customHeight="1" x14ac:dyDescent="0.2">
      <c r="A1250" s="12"/>
      <c r="B1250" s="10"/>
      <c r="C1250" s="11"/>
      <c r="D1250" s="13"/>
      <c r="E1250" s="13"/>
      <c r="F1250" s="13"/>
      <c r="G1250" s="2"/>
      <c r="H1250" s="2"/>
      <c r="I1250" s="13"/>
      <c r="J1250" s="13"/>
      <c r="K1250" s="13"/>
      <c r="L1250" s="14"/>
      <c r="M1250" s="4"/>
      <c r="N1250" s="2"/>
      <c r="O1250" s="4"/>
      <c r="P1250" s="2"/>
      <c r="Q1250" s="2"/>
      <c r="R1250" s="4"/>
      <c r="S1250" s="2"/>
      <c r="T1250" s="2"/>
      <c r="U1250" s="1"/>
      <c r="V1250" s="2"/>
      <c r="W1250" s="2"/>
      <c r="X1250" s="2"/>
      <c r="Y1250" s="2"/>
      <c r="Z1250" s="2"/>
    </row>
    <row r="1251" spans="1:26" ht="15.75" customHeight="1" x14ac:dyDescent="0.2">
      <c r="A1251" s="12"/>
      <c r="B1251" s="10"/>
      <c r="C1251" s="11"/>
      <c r="D1251" s="13"/>
      <c r="E1251" s="13"/>
      <c r="F1251" s="13"/>
      <c r="G1251" s="2"/>
      <c r="H1251" s="2"/>
      <c r="I1251" s="13"/>
      <c r="J1251" s="13"/>
      <c r="K1251" s="13"/>
      <c r="L1251" s="14"/>
      <c r="M1251" s="4"/>
      <c r="N1251" s="2"/>
      <c r="O1251" s="4"/>
      <c r="P1251" s="2"/>
      <c r="Q1251" s="2"/>
      <c r="R1251" s="4"/>
      <c r="S1251" s="2"/>
      <c r="T1251" s="2"/>
      <c r="U1251" s="1"/>
      <c r="V1251" s="2"/>
      <c r="W1251" s="2"/>
      <c r="X1251" s="2"/>
      <c r="Y1251" s="2"/>
      <c r="Z1251" s="2"/>
    </row>
    <row r="1252" spans="1:26" ht="15.75" customHeight="1" x14ac:dyDescent="0.2">
      <c r="A1252" s="12"/>
      <c r="B1252" s="10"/>
      <c r="C1252" s="11"/>
      <c r="D1252" s="13"/>
      <c r="E1252" s="13"/>
      <c r="F1252" s="13"/>
      <c r="G1252" s="2"/>
      <c r="H1252" s="2"/>
      <c r="I1252" s="13"/>
      <c r="J1252" s="13"/>
      <c r="K1252" s="13"/>
      <c r="L1252" s="14"/>
      <c r="M1252" s="4"/>
      <c r="N1252" s="2"/>
      <c r="O1252" s="4"/>
      <c r="P1252" s="2"/>
      <c r="Q1252" s="2"/>
      <c r="R1252" s="4"/>
      <c r="S1252" s="2"/>
      <c r="T1252" s="2"/>
      <c r="U1252" s="1"/>
      <c r="V1252" s="2"/>
      <c r="W1252" s="2"/>
      <c r="X1252" s="2"/>
      <c r="Y1252" s="2"/>
      <c r="Z1252" s="2"/>
    </row>
    <row r="1253" spans="1:26" ht="15.75" customHeight="1" x14ac:dyDescent="0.2">
      <c r="A1253" s="12"/>
      <c r="B1253" s="10"/>
      <c r="C1253" s="11"/>
      <c r="D1253" s="13"/>
      <c r="E1253" s="13"/>
      <c r="F1253" s="13"/>
      <c r="G1253" s="2"/>
      <c r="H1253" s="2"/>
      <c r="I1253" s="13"/>
      <c r="J1253" s="13"/>
      <c r="K1253" s="13"/>
      <c r="L1253" s="14"/>
      <c r="M1253" s="4"/>
      <c r="N1253" s="2"/>
      <c r="O1253" s="4"/>
      <c r="P1253" s="2"/>
      <c r="Q1253" s="2"/>
      <c r="R1253" s="4"/>
      <c r="S1253" s="2"/>
      <c r="T1253" s="2"/>
      <c r="U1253" s="1"/>
      <c r="V1253" s="2"/>
      <c r="W1253" s="2"/>
      <c r="X1253" s="2"/>
      <c r="Y1253" s="2"/>
      <c r="Z1253" s="2"/>
    </row>
    <row r="1254" spans="1:26" ht="15.75" customHeight="1" x14ac:dyDescent="0.2">
      <c r="A1254" s="12"/>
      <c r="B1254" s="10"/>
      <c r="C1254" s="11"/>
      <c r="D1254" s="13"/>
      <c r="E1254" s="13"/>
      <c r="F1254" s="13"/>
      <c r="G1254" s="2"/>
      <c r="H1254" s="2"/>
      <c r="I1254" s="13"/>
      <c r="J1254" s="13"/>
      <c r="K1254" s="13"/>
      <c r="L1254" s="14"/>
      <c r="M1254" s="4"/>
      <c r="N1254" s="2"/>
      <c r="O1254" s="4"/>
      <c r="P1254" s="2"/>
      <c r="Q1254" s="2"/>
      <c r="R1254" s="4"/>
      <c r="S1254" s="2"/>
      <c r="T1254" s="2"/>
      <c r="U1254" s="1"/>
      <c r="V1254" s="2"/>
      <c r="W1254" s="2"/>
      <c r="X1254" s="2"/>
      <c r="Y1254" s="2"/>
      <c r="Z1254" s="2"/>
    </row>
    <row r="1255" spans="1:26" ht="15.75" customHeight="1" x14ac:dyDescent="0.2">
      <c r="A1255" s="12"/>
      <c r="B1255" s="10"/>
      <c r="C1255" s="11"/>
      <c r="D1255" s="13"/>
      <c r="E1255" s="13"/>
      <c r="F1255" s="13"/>
      <c r="G1255" s="2"/>
      <c r="H1255" s="2"/>
      <c r="I1255" s="13"/>
      <c r="J1255" s="13"/>
      <c r="K1255" s="13"/>
      <c r="L1255" s="14"/>
      <c r="M1255" s="4"/>
      <c r="N1255" s="2"/>
      <c r="O1255" s="4"/>
      <c r="P1255" s="2"/>
      <c r="Q1255" s="2"/>
      <c r="R1255" s="4"/>
      <c r="S1255" s="2"/>
      <c r="T1255" s="2"/>
      <c r="U1255" s="1"/>
      <c r="V1255" s="2"/>
      <c r="W1255" s="2"/>
      <c r="X1255" s="2"/>
      <c r="Y1255" s="2"/>
      <c r="Z1255" s="2"/>
    </row>
    <row r="1256" spans="1:26" ht="15.75" customHeight="1" x14ac:dyDescent="0.2">
      <c r="A1256" s="12"/>
      <c r="B1256" s="10"/>
      <c r="C1256" s="11"/>
      <c r="D1256" s="13"/>
      <c r="E1256" s="13"/>
      <c r="F1256" s="13"/>
      <c r="G1256" s="2"/>
      <c r="H1256" s="2"/>
      <c r="I1256" s="13"/>
      <c r="J1256" s="13"/>
      <c r="K1256" s="13"/>
      <c r="L1256" s="14"/>
      <c r="M1256" s="4"/>
      <c r="N1256" s="2"/>
      <c r="O1256" s="4"/>
      <c r="P1256" s="2"/>
      <c r="Q1256" s="2"/>
      <c r="R1256" s="4"/>
      <c r="S1256" s="2"/>
      <c r="T1256" s="2"/>
      <c r="U1256" s="1"/>
      <c r="V1256" s="2"/>
      <c r="W1256" s="2"/>
      <c r="X1256" s="2"/>
      <c r="Y1256" s="2"/>
      <c r="Z1256" s="2"/>
    </row>
    <row r="1257" spans="1:26" ht="15.75" customHeight="1" x14ac:dyDescent="0.2">
      <c r="A1257" s="12"/>
      <c r="B1257" s="10"/>
      <c r="C1257" s="11"/>
      <c r="D1257" s="13"/>
      <c r="E1257" s="13"/>
      <c r="F1257" s="13"/>
      <c r="G1257" s="2"/>
      <c r="H1257" s="2"/>
      <c r="I1257" s="13"/>
      <c r="J1257" s="13"/>
      <c r="K1257" s="13"/>
      <c r="L1257" s="14"/>
      <c r="M1257" s="4"/>
      <c r="N1257" s="2"/>
      <c r="O1257" s="4"/>
      <c r="P1257" s="2"/>
      <c r="Q1257" s="2"/>
      <c r="R1257" s="4"/>
      <c r="S1257" s="2"/>
      <c r="T1257" s="2"/>
      <c r="U1257" s="1"/>
      <c r="V1257" s="2"/>
      <c r="W1257" s="2"/>
      <c r="X1257" s="2"/>
      <c r="Y1257" s="2"/>
      <c r="Z1257" s="2"/>
    </row>
    <row r="1258" spans="1:26" ht="15.75" customHeight="1" x14ac:dyDescent="0.2">
      <c r="A1258" s="12"/>
      <c r="B1258" s="10"/>
      <c r="C1258" s="11"/>
      <c r="D1258" s="13"/>
      <c r="E1258" s="13"/>
      <c r="F1258" s="13"/>
      <c r="G1258" s="2"/>
      <c r="H1258" s="2"/>
      <c r="I1258" s="13"/>
      <c r="J1258" s="13"/>
      <c r="K1258" s="13"/>
      <c r="L1258" s="14"/>
      <c r="M1258" s="4"/>
      <c r="N1258" s="2"/>
      <c r="O1258" s="4"/>
      <c r="P1258" s="2"/>
      <c r="Q1258" s="2"/>
      <c r="R1258" s="4"/>
      <c r="S1258" s="2"/>
      <c r="T1258" s="2"/>
      <c r="U1258" s="1"/>
      <c r="V1258" s="2"/>
      <c r="W1258" s="2"/>
      <c r="X1258" s="2"/>
      <c r="Y1258" s="2"/>
      <c r="Z1258" s="2"/>
    </row>
    <row r="1259" spans="1:26" ht="15.75" customHeight="1" x14ac:dyDescent="0.2">
      <c r="A1259" s="12"/>
      <c r="B1259" s="10"/>
      <c r="C1259" s="11"/>
      <c r="D1259" s="13"/>
      <c r="E1259" s="13"/>
      <c r="F1259" s="13"/>
      <c r="G1259" s="2"/>
      <c r="H1259" s="2"/>
      <c r="I1259" s="13"/>
      <c r="J1259" s="13"/>
      <c r="K1259" s="13"/>
      <c r="L1259" s="14"/>
      <c r="M1259" s="4"/>
      <c r="N1259" s="2"/>
      <c r="O1259" s="4"/>
      <c r="P1259" s="2"/>
      <c r="Q1259" s="2"/>
      <c r="R1259" s="4"/>
      <c r="S1259" s="2"/>
      <c r="T1259" s="2"/>
      <c r="U1259" s="1"/>
      <c r="V1259" s="2"/>
      <c r="W1259" s="2"/>
      <c r="X1259" s="2"/>
      <c r="Y1259" s="2"/>
      <c r="Z1259" s="2"/>
    </row>
    <row r="1260" spans="1:26" ht="15.75" customHeight="1" x14ac:dyDescent="0.2">
      <c r="A1260" s="12"/>
      <c r="B1260" s="10"/>
      <c r="C1260" s="11"/>
      <c r="D1260" s="13"/>
      <c r="E1260" s="13"/>
      <c r="F1260" s="13"/>
      <c r="G1260" s="2"/>
      <c r="H1260" s="2"/>
      <c r="I1260" s="13"/>
      <c r="J1260" s="13"/>
      <c r="K1260" s="13"/>
      <c r="L1260" s="14"/>
      <c r="M1260" s="4"/>
      <c r="N1260" s="2"/>
      <c r="O1260" s="4"/>
      <c r="P1260" s="2"/>
      <c r="Q1260" s="2"/>
      <c r="R1260" s="4"/>
      <c r="S1260" s="2"/>
      <c r="T1260" s="2"/>
      <c r="U1260" s="1"/>
      <c r="V1260" s="2"/>
      <c r="W1260" s="2"/>
      <c r="X1260" s="2"/>
      <c r="Y1260" s="2"/>
      <c r="Z1260" s="2"/>
    </row>
    <row r="1261" spans="1:26" ht="15.75" customHeight="1" x14ac:dyDescent="0.2">
      <c r="A1261" s="12"/>
      <c r="B1261" s="10"/>
      <c r="C1261" s="11"/>
      <c r="D1261" s="13"/>
      <c r="E1261" s="13"/>
      <c r="F1261" s="13"/>
      <c r="G1261" s="2"/>
      <c r="H1261" s="2"/>
      <c r="I1261" s="13"/>
      <c r="J1261" s="13"/>
      <c r="K1261" s="13"/>
      <c r="L1261" s="14"/>
      <c r="M1261" s="4"/>
      <c r="N1261" s="2"/>
      <c r="O1261" s="4"/>
      <c r="P1261" s="2"/>
      <c r="Q1261" s="2"/>
      <c r="R1261" s="4"/>
      <c r="S1261" s="2"/>
      <c r="T1261" s="2"/>
      <c r="U1261" s="1"/>
      <c r="V1261" s="2"/>
      <c r="W1261" s="2"/>
      <c r="X1261" s="2"/>
      <c r="Y1261" s="2"/>
      <c r="Z1261" s="2"/>
    </row>
    <row r="1262" spans="1:26" ht="15.75" customHeight="1" x14ac:dyDescent="0.2">
      <c r="A1262" s="12"/>
      <c r="B1262" s="10"/>
      <c r="C1262" s="11"/>
      <c r="D1262" s="13"/>
      <c r="E1262" s="13"/>
      <c r="F1262" s="13"/>
      <c r="G1262" s="2"/>
      <c r="H1262" s="2"/>
      <c r="I1262" s="13"/>
      <c r="J1262" s="13"/>
      <c r="K1262" s="13"/>
      <c r="L1262" s="14"/>
      <c r="M1262" s="4"/>
      <c r="N1262" s="2"/>
      <c r="O1262" s="4"/>
      <c r="P1262" s="2"/>
      <c r="Q1262" s="2"/>
      <c r="R1262" s="4"/>
      <c r="S1262" s="2"/>
      <c r="T1262" s="2"/>
      <c r="U1262" s="1"/>
      <c r="V1262" s="2"/>
      <c r="W1262" s="2"/>
      <c r="X1262" s="2"/>
      <c r="Y1262" s="2"/>
      <c r="Z1262" s="2"/>
    </row>
    <row r="1263" spans="1:26" ht="15.75" customHeight="1" x14ac:dyDescent="0.2">
      <c r="A1263" s="12"/>
      <c r="B1263" s="10"/>
      <c r="C1263" s="11"/>
      <c r="D1263" s="13"/>
      <c r="E1263" s="13"/>
      <c r="F1263" s="13"/>
      <c r="G1263" s="2"/>
      <c r="H1263" s="2"/>
      <c r="I1263" s="13"/>
      <c r="J1263" s="13"/>
      <c r="K1263" s="13"/>
      <c r="L1263" s="14"/>
      <c r="M1263" s="4"/>
      <c r="N1263" s="2"/>
      <c r="O1263" s="4"/>
      <c r="P1263" s="2"/>
      <c r="Q1263" s="2"/>
      <c r="R1263" s="4"/>
      <c r="S1263" s="2"/>
      <c r="T1263" s="2"/>
      <c r="U1263" s="1"/>
      <c r="V1263" s="2"/>
      <c r="W1263" s="2"/>
      <c r="X1263" s="2"/>
      <c r="Y1263" s="2"/>
      <c r="Z1263" s="2"/>
    </row>
    <row r="1264" spans="1:26" ht="15.75" customHeight="1" x14ac:dyDescent="0.2">
      <c r="A1264" s="12"/>
      <c r="B1264" s="10"/>
      <c r="C1264" s="11"/>
      <c r="D1264" s="13"/>
      <c r="E1264" s="13"/>
      <c r="F1264" s="13"/>
      <c r="G1264" s="2"/>
      <c r="H1264" s="2"/>
      <c r="I1264" s="13"/>
      <c r="J1264" s="13"/>
      <c r="K1264" s="13"/>
      <c r="L1264" s="14"/>
      <c r="M1264" s="4"/>
      <c r="N1264" s="2"/>
      <c r="O1264" s="4"/>
      <c r="P1264" s="2"/>
      <c r="Q1264" s="2"/>
      <c r="R1264" s="4"/>
      <c r="S1264" s="2"/>
      <c r="T1264" s="2"/>
      <c r="U1264" s="1"/>
      <c r="V1264" s="2"/>
      <c r="W1264" s="2"/>
      <c r="X1264" s="2"/>
      <c r="Y1264" s="2"/>
      <c r="Z1264" s="2"/>
    </row>
    <row r="1265" spans="1:26" ht="15.75" customHeight="1" x14ac:dyDescent="0.2">
      <c r="A1265" s="12"/>
      <c r="B1265" s="10"/>
      <c r="C1265" s="11"/>
      <c r="D1265" s="13"/>
      <c r="E1265" s="13"/>
      <c r="F1265" s="13"/>
      <c r="G1265" s="2"/>
      <c r="H1265" s="2"/>
      <c r="I1265" s="13"/>
      <c r="J1265" s="13"/>
      <c r="K1265" s="13"/>
      <c r="L1265" s="14"/>
      <c r="M1265" s="4"/>
      <c r="N1265" s="2"/>
      <c r="O1265" s="4"/>
      <c r="P1265" s="2"/>
      <c r="Q1265" s="2"/>
      <c r="R1265" s="4"/>
      <c r="S1265" s="2"/>
      <c r="T1265" s="2"/>
      <c r="U1265" s="1"/>
      <c r="V1265" s="2"/>
      <c r="W1265" s="2"/>
      <c r="X1265" s="2"/>
      <c r="Y1265" s="2"/>
      <c r="Z1265" s="2"/>
    </row>
    <row r="1266" spans="1:26" ht="15.75" customHeight="1" x14ac:dyDescent="0.2">
      <c r="A1266" s="12"/>
      <c r="B1266" s="10"/>
      <c r="C1266" s="11"/>
      <c r="D1266" s="13"/>
      <c r="E1266" s="13"/>
      <c r="F1266" s="13"/>
      <c r="G1266" s="2"/>
      <c r="H1266" s="2"/>
      <c r="I1266" s="13"/>
      <c r="J1266" s="13"/>
      <c r="K1266" s="13"/>
      <c r="L1266" s="14"/>
      <c r="M1266" s="4"/>
      <c r="N1266" s="2"/>
      <c r="O1266" s="4"/>
      <c r="P1266" s="2"/>
      <c r="Q1266" s="2"/>
      <c r="R1266" s="4"/>
      <c r="S1266" s="2"/>
      <c r="T1266" s="2"/>
      <c r="U1266" s="1"/>
      <c r="V1266" s="2"/>
      <c r="W1266" s="2"/>
      <c r="X1266" s="2"/>
      <c r="Y1266" s="2"/>
      <c r="Z1266" s="2"/>
    </row>
    <row r="1267" spans="1:26" ht="15.75" customHeight="1" x14ac:dyDescent="0.2">
      <c r="A1267" s="12"/>
      <c r="B1267" s="10"/>
      <c r="C1267" s="11"/>
      <c r="D1267" s="13"/>
      <c r="E1267" s="13"/>
      <c r="F1267" s="13"/>
      <c r="G1267" s="2"/>
      <c r="H1267" s="2"/>
      <c r="I1267" s="13"/>
      <c r="J1267" s="13"/>
      <c r="K1267" s="13"/>
      <c r="L1267" s="14"/>
      <c r="M1267" s="4"/>
      <c r="N1267" s="2"/>
      <c r="O1267" s="4"/>
      <c r="P1267" s="2"/>
      <c r="Q1267" s="2"/>
      <c r="R1267" s="4"/>
      <c r="S1267" s="2"/>
      <c r="T1267" s="2"/>
      <c r="U1267" s="1"/>
      <c r="V1267" s="2"/>
      <c r="W1267" s="2"/>
      <c r="X1267" s="2"/>
      <c r="Y1267" s="2"/>
      <c r="Z1267" s="2"/>
    </row>
    <row r="1268" spans="1:26" ht="15.75" customHeight="1" x14ac:dyDescent="0.2">
      <c r="A1268" s="12"/>
      <c r="B1268" s="10"/>
      <c r="C1268" s="11"/>
      <c r="D1268" s="13"/>
      <c r="E1268" s="13"/>
      <c r="F1268" s="13"/>
      <c r="G1268" s="2"/>
      <c r="H1268" s="2"/>
      <c r="I1268" s="13"/>
      <c r="J1268" s="13"/>
      <c r="K1268" s="13"/>
      <c r="L1268" s="14"/>
      <c r="M1268" s="4"/>
      <c r="N1268" s="2"/>
      <c r="O1268" s="4"/>
      <c r="P1268" s="2"/>
      <c r="Q1268" s="2"/>
      <c r="R1268" s="4"/>
      <c r="S1268" s="2"/>
      <c r="T1268" s="2"/>
      <c r="U1268" s="1"/>
      <c r="V1268" s="2"/>
      <c r="W1268" s="2"/>
      <c r="X1268" s="2"/>
      <c r="Y1268" s="2"/>
      <c r="Z1268" s="2"/>
    </row>
    <row r="1269" spans="1:26" ht="15.75" customHeight="1" x14ac:dyDescent="0.2">
      <c r="A1269" s="12"/>
      <c r="B1269" s="10"/>
      <c r="C1269" s="11"/>
      <c r="D1269" s="13"/>
      <c r="E1269" s="13"/>
      <c r="F1269" s="13"/>
      <c r="G1269" s="2"/>
      <c r="H1269" s="2"/>
      <c r="I1269" s="13"/>
      <c r="J1269" s="13"/>
      <c r="K1269" s="13"/>
      <c r="L1269" s="14"/>
      <c r="M1269" s="4"/>
      <c r="N1269" s="2"/>
      <c r="O1269" s="4"/>
      <c r="P1269" s="2"/>
      <c r="Q1269" s="2"/>
      <c r="R1269" s="4"/>
      <c r="S1269" s="2"/>
      <c r="T1269" s="2"/>
      <c r="U1269" s="1"/>
      <c r="V1269" s="2"/>
      <c r="W1269" s="2"/>
      <c r="X1269" s="2"/>
      <c r="Y1269" s="2"/>
      <c r="Z1269" s="2"/>
    </row>
    <row r="1270" spans="1:26" ht="15.75" customHeight="1" x14ac:dyDescent="0.2">
      <c r="A1270" s="12"/>
      <c r="B1270" s="10"/>
      <c r="C1270" s="11"/>
      <c r="D1270" s="13"/>
      <c r="E1270" s="13"/>
      <c r="F1270" s="13"/>
      <c r="G1270" s="2"/>
      <c r="H1270" s="2"/>
      <c r="I1270" s="13"/>
      <c r="J1270" s="13"/>
      <c r="K1270" s="13"/>
      <c r="L1270" s="14"/>
      <c r="M1270" s="4"/>
      <c r="N1270" s="2"/>
      <c r="O1270" s="4"/>
      <c r="P1270" s="2"/>
      <c r="Q1270" s="2"/>
      <c r="R1270" s="4"/>
      <c r="S1270" s="2"/>
      <c r="T1270" s="2"/>
      <c r="U1270" s="1"/>
      <c r="V1270" s="2"/>
      <c r="W1270" s="2"/>
      <c r="X1270" s="2"/>
      <c r="Y1270" s="2"/>
      <c r="Z1270" s="2"/>
    </row>
    <row r="1271" spans="1:26" ht="15.75" customHeight="1" x14ac:dyDescent="0.2">
      <c r="A1271" s="12"/>
      <c r="B1271" s="10"/>
      <c r="C1271" s="11"/>
      <c r="D1271" s="13"/>
      <c r="E1271" s="13"/>
      <c r="F1271" s="13"/>
      <c r="G1271" s="2"/>
      <c r="H1271" s="2"/>
      <c r="I1271" s="13"/>
      <c r="J1271" s="13"/>
      <c r="K1271" s="13"/>
      <c r="L1271" s="14"/>
      <c r="M1271" s="4"/>
      <c r="N1271" s="2"/>
      <c r="O1271" s="4"/>
      <c r="P1271" s="2"/>
      <c r="Q1271" s="2"/>
      <c r="R1271" s="4"/>
      <c r="S1271" s="2"/>
      <c r="T1271" s="2"/>
      <c r="U1271" s="1"/>
      <c r="V1271" s="2"/>
      <c r="W1271" s="2"/>
      <c r="X1271" s="2"/>
      <c r="Y1271" s="2"/>
      <c r="Z1271" s="2"/>
    </row>
    <row r="1272" spans="1:26" ht="15.75" customHeight="1" x14ac:dyDescent="0.2">
      <c r="A1272" s="12"/>
      <c r="B1272" s="10"/>
      <c r="C1272" s="11"/>
      <c r="D1272" s="13"/>
      <c r="E1272" s="13"/>
      <c r="F1272" s="13"/>
      <c r="G1272" s="2"/>
      <c r="H1272" s="2"/>
      <c r="I1272" s="13"/>
      <c r="J1272" s="13"/>
      <c r="K1272" s="13"/>
      <c r="L1272" s="14"/>
      <c r="M1272" s="4"/>
      <c r="N1272" s="2"/>
      <c r="O1272" s="4"/>
      <c r="P1272" s="2"/>
      <c r="Q1272" s="2"/>
      <c r="R1272" s="4"/>
      <c r="S1272" s="2"/>
      <c r="T1272" s="2"/>
      <c r="U1272" s="1"/>
      <c r="V1272" s="2"/>
      <c r="W1272" s="2"/>
      <c r="X1272" s="2"/>
      <c r="Y1272" s="2"/>
      <c r="Z1272" s="2"/>
    </row>
    <row r="1273" spans="1:26" ht="15.75" customHeight="1" x14ac:dyDescent="0.2">
      <c r="A1273" s="12"/>
      <c r="B1273" s="10"/>
      <c r="C1273" s="11"/>
      <c r="D1273" s="13"/>
      <c r="E1273" s="13"/>
      <c r="F1273" s="13"/>
      <c r="G1273" s="2"/>
      <c r="H1273" s="2"/>
      <c r="I1273" s="13"/>
      <c r="J1273" s="13"/>
      <c r="K1273" s="13"/>
      <c r="L1273" s="14"/>
      <c r="M1273" s="4"/>
      <c r="N1273" s="2"/>
      <c r="O1273" s="4"/>
      <c r="P1273" s="2"/>
      <c r="Q1273" s="2"/>
      <c r="R1273" s="4"/>
      <c r="S1273" s="2"/>
      <c r="T1273" s="2"/>
      <c r="U1273" s="1"/>
      <c r="V1273" s="2"/>
      <c r="W1273" s="2"/>
      <c r="X1273" s="2"/>
      <c r="Y1273" s="2"/>
      <c r="Z1273" s="2"/>
    </row>
    <row r="1274" spans="1:26" ht="15.75" customHeight="1" x14ac:dyDescent="0.2">
      <c r="A1274" s="12"/>
      <c r="B1274" s="10"/>
      <c r="C1274" s="11"/>
      <c r="D1274" s="13"/>
      <c r="E1274" s="13"/>
      <c r="F1274" s="13"/>
      <c r="G1274" s="2"/>
      <c r="H1274" s="2"/>
      <c r="I1274" s="13"/>
      <c r="J1274" s="13"/>
      <c r="K1274" s="13"/>
      <c r="L1274" s="14"/>
      <c r="M1274" s="4"/>
      <c r="N1274" s="2"/>
      <c r="O1274" s="4"/>
      <c r="P1274" s="2"/>
      <c r="Q1274" s="2"/>
      <c r="R1274" s="4"/>
      <c r="S1274" s="2"/>
      <c r="T1274" s="2"/>
      <c r="U1274" s="1"/>
      <c r="V1274" s="2"/>
      <c r="W1274" s="2"/>
      <c r="X1274" s="2"/>
      <c r="Y1274" s="2"/>
      <c r="Z1274" s="2"/>
    </row>
    <row r="1275" spans="1:26" ht="15.75" customHeight="1" x14ac:dyDescent="0.2">
      <c r="A1275" s="12"/>
      <c r="B1275" s="10"/>
      <c r="C1275" s="11"/>
      <c r="D1275" s="13"/>
      <c r="E1275" s="13"/>
      <c r="F1275" s="13"/>
      <c r="G1275" s="2"/>
      <c r="H1275" s="2"/>
      <c r="I1275" s="13"/>
      <c r="J1275" s="13"/>
      <c r="K1275" s="13"/>
      <c r="L1275" s="14"/>
      <c r="M1275" s="4"/>
      <c r="N1275" s="2"/>
      <c r="O1275" s="4"/>
      <c r="P1275" s="2"/>
      <c r="Q1275" s="2"/>
      <c r="R1275" s="4"/>
      <c r="S1275" s="2"/>
      <c r="T1275" s="2"/>
      <c r="U1275" s="1"/>
      <c r="V1275" s="2"/>
      <c r="W1275" s="2"/>
      <c r="X1275" s="2"/>
      <c r="Y1275" s="2"/>
      <c r="Z1275" s="2"/>
    </row>
    <row r="1276" spans="1:26" ht="15.75" customHeight="1" x14ac:dyDescent="0.2">
      <c r="A1276" s="12"/>
      <c r="B1276" s="10"/>
      <c r="C1276" s="11"/>
      <c r="D1276" s="13"/>
      <c r="E1276" s="13"/>
      <c r="F1276" s="13"/>
      <c r="G1276" s="2"/>
      <c r="H1276" s="2"/>
      <c r="I1276" s="13"/>
      <c r="J1276" s="13"/>
      <c r="K1276" s="13"/>
      <c r="L1276" s="14"/>
      <c r="M1276" s="4"/>
      <c r="N1276" s="2"/>
      <c r="O1276" s="4"/>
      <c r="P1276" s="2"/>
      <c r="Q1276" s="2"/>
      <c r="R1276" s="4"/>
      <c r="S1276" s="2"/>
      <c r="T1276" s="2"/>
      <c r="U1276" s="1"/>
      <c r="V1276" s="2"/>
      <c r="W1276" s="2"/>
      <c r="X1276" s="2"/>
      <c r="Y1276" s="2"/>
      <c r="Z1276" s="2"/>
    </row>
    <row r="1277" spans="1:26" ht="15.75" customHeight="1" x14ac:dyDescent="0.2">
      <c r="A1277" s="12"/>
      <c r="B1277" s="10"/>
      <c r="C1277" s="11"/>
      <c r="D1277" s="13"/>
      <c r="E1277" s="13"/>
      <c r="F1277" s="13"/>
      <c r="G1277" s="2"/>
      <c r="H1277" s="2"/>
      <c r="I1277" s="13"/>
      <c r="J1277" s="13"/>
      <c r="K1277" s="13"/>
      <c r="L1277" s="14"/>
      <c r="M1277" s="4"/>
      <c r="N1277" s="2"/>
      <c r="O1277" s="4"/>
      <c r="P1277" s="2"/>
      <c r="Q1277" s="2"/>
      <c r="R1277" s="4"/>
      <c r="S1277" s="2"/>
      <c r="T1277" s="2"/>
      <c r="U1277" s="1"/>
      <c r="V1277" s="2"/>
      <c r="W1277" s="2"/>
      <c r="X1277" s="2"/>
      <c r="Y1277" s="2"/>
      <c r="Z1277" s="2"/>
    </row>
    <row r="1278" spans="1:26" ht="15.75" customHeight="1" x14ac:dyDescent="0.2">
      <c r="A1278" s="12"/>
      <c r="B1278" s="10"/>
      <c r="C1278" s="11"/>
      <c r="D1278" s="13"/>
      <c r="E1278" s="13"/>
      <c r="F1278" s="13"/>
      <c r="G1278" s="2"/>
      <c r="H1278" s="2"/>
      <c r="I1278" s="13"/>
      <c r="J1278" s="13"/>
      <c r="K1278" s="13"/>
      <c r="L1278" s="14"/>
      <c r="M1278" s="4"/>
      <c r="N1278" s="2"/>
      <c r="O1278" s="4"/>
      <c r="P1278" s="2"/>
      <c r="Q1278" s="2"/>
      <c r="R1278" s="4"/>
      <c r="S1278" s="2"/>
      <c r="T1278" s="2"/>
      <c r="U1278" s="1"/>
      <c r="V1278" s="2"/>
      <c r="W1278" s="2"/>
      <c r="X1278" s="2"/>
      <c r="Y1278" s="2"/>
      <c r="Z1278" s="2"/>
    </row>
    <row r="1279" spans="1:26" ht="15.75" customHeight="1" x14ac:dyDescent="0.2">
      <c r="A1279" s="12"/>
      <c r="B1279" s="10"/>
      <c r="C1279" s="11"/>
      <c r="D1279" s="13"/>
      <c r="E1279" s="13"/>
      <c r="F1279" s="13"/>
      <c r="G1279" s="2"/>
      <c r="H1279" s="2"/>
      <c r="I1279" s="13"/>
      <c r="J1279" s="13"/>
      <c r="K1279" s="13"/>
      <c r="L1279" s="14"/>
      <c r="M1279" s="4"/>
      <c r="N1279" s="2"/>
      <c r="O1279" s="4"/>
      <c r="P1279" s="2"/>
      <c r="Q1279" s="2"/>
      <c r="R1279" s="4"/>
      <c r="S1279" s="2"/>
      <c r="T1279" s="2"/>
      <c r="U1279" s="1"/>
      <c r="V1279" s="2"/>
      <c r="W1279" s="2"/>
      <c r="X1279" s="2"/>
      <c r="Y1279" s="2"/>
      <c r="Z1279" s="2"/>
    </row>
    <row r="1280" spans="1:26" ht="15.75" customHeight="1" x14ac:dyDescent="0.2">
      <c r="A1280" s="12"/>
      <c r="B1280" s="10"/>
      <c r="C1280" s="11"/>
      <c r="D1280" s="13"/>
      <c r="E1280" s="13"/>
      <c r="F1280" s="13"/>
      <c r="G1280" s="2"/>
      <c r="H1280" s="2"/>
      <c r="I1280" s="13"/>
      <c r="J1280" s="13"/>
      <c r="K1280" s="13"/>
      <c r="L1280" s="14"/>
      <c r="M1280" s="4"/>
      <c r="N1280" s="2"/>
      <c r="O1280" s="4"/>
      <c r="P1280" s="2"/>
      <c r="Q1280" s="2"/>
      <c r="R1280" s="4"/>
      <c r="S1280" s="2"/>
      <c r="T1280" s="2"/>
      <c r="U1280" s="1"/>
      <c r="V1280" s="2"/>
      <c r="W1280" s="2"/>
      <c r="X1280" s="2"/>
      <c r="Y1280" s="2"/>
      <c r="Z1280" s="2"/>
    </row>
    <row r="1281" spans="1:26" ht="15.75" customHeight="1" x14ac:dyDescent="0.2">
      <c r="A1281" s="12"/>
      <c r="B1281" s="10"/>
      <c r="C1281" s="11"/>
      <c r="D1281" s="13"/>
      <c r="E1281" s="13"/>
      <c r="F1281" s="13"/>
      <c r="G1281" s="2"/>
      <c r="H1281" s="2"/>
      <c r="I1281" s="13"/>
      <c r="J1281" s="13"/>
      <c r="K1281" s="13"/>
      <c r="L1281" s="14"/>
      <c r="M1281" s="4"/>
      <c r="N1281" s="2"/>
      <c r="O1281" s="4"/>
      <c r="P1281" s="2"/>
      <c r="Q1281" s="2"/>
      <c r="R1281" s="4"/>
      <c r="S1281" s="2"/>
      <c r="T1281" s="2"/>
      <c r="U1281" s="1"/>
      <c r="V1281" s="2"/>
      <c r="W1281" s="2"/>
      <c r="X1281" s="2"/>
      <c r="Y1281" s="2"/>
      <c r="Z1281" s="2"/>
    </row>
    <row r="1282" spans="1:26" ht="15.75" customHeight="1" x14ac:dyDescent="0.2">
      <c r="A1282" s="12"/>
      <c r="B1282" s="10"/>
      <c r="C1282" s="11"/>
      <c r="D1282" s="13"/>
      <c r="E1282" s="13"/>
      <c r="F1282" s="13"/>
      <c r="G1282" s="2"/>
      <c r="H1282" s="2"/>
      <c r="I1282" s="13"/>
      <c r="J1282" s="13"/>
      <c r="K1282" s="13"/>
      <c r="L1282" s="14"/>
      <c r="M1282" s="4"/>
      <c r="N1282" s="2"/>
      <c r="O1282" s="4"/>
      <c r="P1282" s="2"/>
      <c r="Q1282" s="2"/>
      <c r="R1282" s="4"/>
      <c r="S1282" s="2"/>
      <c r="T1282" s="2"/>
      <c r="U1282" s="1"/>
      <c r="V1282" s="2"/>
      <c r="W1282" s="2"/>
      <c r="X1282" s="2"/>
      <c r="Y1282" s="2"/>
      <c r="Z1282" s="2"/>
    </row>
    <row r="1283" spans="1:26" ht="15.75" customHeight="1" x14ac:dyDescent="0.2">
      <c r="A1283" s="12"/>
      <c r="B1283" s="10"/>
      <c r="C1283" s="11"/>
      <c r="D1283" s="13"/>
      <c r="E1283" s="13"/>
      <c r="F1283" s="13"/>
      <c r="G1283" s="2"/>
      <c r="H1283" s="2"/>
      <c r="I1283" s="13"/>
      <c r="J1283" s="13"/>
      <c r="K1283" s="13"/>
      <c r="L1283" s="14"/>
      <c r="M1283" s="4"/>
      <c r="N1283" s="2"/>
      <c r="O1283" s="4"/>
      <c r="P1283" s="2"/>
      <c r="Q1283" s="2"/>
      <c r="R1283" s="4"/>
      <c r="S1283" s="2"/>
      <c r="T1283" s="2"/>
      <c r="U1283" s="1"/>
      <c r="V1283" s="2"/>
      <c r="W1283" s="2"/>
      <c r="X1283" s="2"/>
      <c r="Y1283" s="2"/>
      <c r="Z1283" s="2"/>
    </row>
    <row r="1284" spans="1:26" ht="15.75" customHeight="1" x14ac:dyDescent="0.2">
      <c r="A1284" s="12"/>
      <c r="B1284" s="10"/>
      <c r="C1284" s="11"/>
      <c r="D1284" s="13"/>
      <c r="E1284" s="13"/>
      <c r="F1284" s="13"/>
      <c r="G1284" s="2"/>
      <c r="H1284" s="2"/>
      <c r="I1284" s="13"/>
      <c r="J1284" s="13"/>
      <c r="K1284" s="13"/>
      <c r="L1284" s="14"/>
      <c r="M1284" s="4"/>
      <c r="N1284" s="2"/>
      <c r="O1284" s="4"/>
      <c r="P1284" s="2"/>
      <c r="Q1284" s="2"/>
      <c r="R1284" s="4"/>
      <c r="S1284" s="2"/>
      <c r="T1284" s="2"/>
      <c r="U1284" s="1"/>
      <c r="V1284" s="2"/>
      <c r="W1284" s="2"/>
      <c r="X1284" s="2"/>
      <c r="Y1284" s="2"/>
      <c r="Z1284" s="2"/>
    </row>
    <row r="1285" spans="1:26" ht="15.75" customHeight="1" x14ac:dyDescent="0.2">
      <c r="A1285" s="12"/>
      <c r="B1285" s="10"/>
      <c r="C1285" s="11"/>
      <c r="D1285" s="13"/>
      <c r="E1285" s="13"/>
      <c r="F1285" s="13"/>
      <c r="G1285" s="2"/>
      <c r="H1285" s="2"/>
      <c r="I1285" s="13"/>
      <c r="J1285" s="13"/>
      <c r="K1285" s="13"/>
      <c r="L1285" s="14"/>
      <c r="M1285" s="4"/>
      <c r="N1285" s="2"/>
      <c r="O1285" s="4"/>
      <c r="P1285" s="2"/>
      <c r="Q1285" s="2"/>
      <c r="R1285" s="4"/>
      <c r="S1285" s="2"/>
      <c r="T1285" s="2"/>
      <c r="U1285" s="1"/>
      <c r="V1285" s="2"/>
      <c r="W1285" s="2"/>
      <c r="X1285" s="2"/>
      <c r="Y1285" s="2"/>
      <c r="Z1285" s="2"/>
    </row>
    <row r="1286" spans="1:26" ht="15.75" customHeight="1" x14ac:dyDescent="0.2">
      <c r="A1286" s="12"/>
      <c r="B1286" s="10"/>
      <c r="C1286" s="11"/>
      <c r="D1286" s="13"/>
      <c r="E1286" s="13"/>
      <c r="F1286" s="13"/>
      <c r="G1286" s="2"/>
      <c r="H1286" s="2"/>
      <c r="I1286" s="13"/>
      <c r="J1286" s="13"/>
      <c r="K1286" s="13"/>
      <c r="L1286" s="14"/>
      <c r="M1286" s="4"/>
      <c r="N1286" s="2"/>
      <c r="O1286" s="4"/>
      <c r="P1286" s="2"/>
      <c r="Q1286" s="2"/>
      <c r="R1286" s="4"/>
      <c r="S1286" s="2"/>
      <c r="T1286" s="2"/>
      <c r="U1286" s="1"/>
      <c r="V1286" s="2"/>
      <c r="W1286" s="2"/>
      <c r="X1286" s="2"/>
      <c r="Y1286" s="2"/>
      <c r="Z1286" s="2"/>
    </row>
    <row r="1287" spans="1:26" ht="15.75" customHeight="1" x14ac:dyDescent="0.2">
      <c r="A1287" s="12"/>
      <c r="B1287" s="10"/>
      <c r="C1287" s="11"/>
      <c r="D1287" s="13"/>
      <c r="E1287" s="13"/>
      <c r="F1287" s="13"/>
      <c r="G1287" s="2"/>
      <c r="H1287" s="2"/>
      <c r="I1287" s="13"/>
      <c r="J1287" s="13"/>
      <c r="K1287" s="13"/>
      <c r="L1287" s="14"/>
      <c r="M1287" s="4"/>
      <c r="N1287" s="2"/>
      <c r="O1287" s="4"/>
      <c r="P1287" s="2"/>
      <c r="Q1287" s="2"/>
      <c r="R1287" s="4"/>
      <c r="S1287" s="2"/>
      <c r="T1287" s="2"/>
      <c r="U1287" s="1"/>
      <c r="V1287" s="2"/>
      <c r="W1287" s="2"/>
      <c r="X1287" s="2"/>
      <c r="Y1287" s="2"/>
      <c r="Z1287" s="2"/>
    </row>
  </sheetData>
  <mergeCells count="13">
    <mergeCell ref="A3:C3"/>
    <mergeCell ref="I3:K3"/>
    <mergeCell ref="A32:C32"/>
    <mergeCell ref="I32:K32"/>
    <mergeCell ref="A67:C67"/>
    <mergeCell ref="I67:K67"/>
    <mergeCell ref="A299:B299"/>
    <mergeCell ref="A97:C97"/>
    <mergeCell ref="I97:K97"/>
    <mergeCell ref="I122:K122"/>
    <mergeCell ref="A134:C134"/>
    <mergeCell ref="I134:K134"/>
    <mergeCell ref="A259:C259"/>
  </mergeCells>
  <conditionalFormatting sqref="L1:L1287">
    <cfRule type="cellIs" dxfId="37" priority="9" operator="between">
      <formula>"25%"</formula>
      <formula>"30%"</formula>
    </cfRule>
    <cfRule type="cellIs" dxfId="36" priority="8" operator="lessThan">
      <formula>"25%"</formula>
    </cfRule>
    <cfRule type="cellIs" dxfId="35" priority="7" operator="greaterThan">
      <formula>"30%"</formula>
    </cfRule>
  </conditionalFormatting>
  <conditionalFormatting sqref="L36 L229:L241 L259:L276 L280:L288">
    <cfRule type="cellIs" dxfId="34" priority="2" operator="greaterThanOrEqual">
      <formula>"30%"</formula>
    </cfRule>
  </conditionalFormatting>
  <conditionalFormatting sqref="L97:L118 L244:L255">
    <cfRule type="cellIs" dxfId="33" priority="1" operator="greaterThanOrEqual">
      <formula>"30%"</formula>
    </cfRule>
  </conditionalFormatting>
  <conditionalFormatting sqref="L292:L299">
    <cfRule type="cellIs" dxfId="32" priority="6" operator="greaterThan">
      <formula>"25%"</formula>
    </cfRule>
    <cfRule type="cellIs" dxfId="31" priority="4" operator="lessThanOrEqual">
      <formula>"20%"</formula>
    </cfRule>
    <cfRule type="cellIs" dxfId="30" priority="3" operator="between">
      <formula>"20%"</formula>
      <formula>"25%"</formula>
    </cfRule>
    <cfRule type="cellIs" dxfId="29" priority="5" operator="between">
      <formula>"20.01%"</formula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28BA-4CA8-CD44-979D-C8A51D0EB0AE}">
  <sheetPr>
    <outlinePr summaryBelow="0" summaryRight="0"/>
  </sheetPr>
  <dimension ref="A1:Z1529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1098</v>
      </c>
      <c r="F3" s="8">
        <v>46136</v>
      </c>
      <c r="G3" s="7" t="s">
        <v>1122</v>
      </c>
      <c r="H3" s="2"/>
      <c r="I3" s="9" t="s">
        <v>2</v>
      </c>
      <c r="J3" s="9"/>
      <c r="K3" s="9"/>
      <c r="L3" s="3"/>
      <c r="M3" s="1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2">
        <v>4</v>
      </c>
      <c r="B6" s="10" t="s">
        <v>11</v>
      </c>
      <c r="C6" s="11" t="s">
        <v>12</v>
      </c>
      <c r="D6" s="13">
        <v>4500</v>
      </c>
      <c r="E6" s="13">
        <f t="shared" ref="E6:E34" si="0">A6*D6</f>
        <v>18000</v>
      </c>
      <c r="F6" s="13">
        <f>E6*1.21</f>
        <v>21780</v>
      </c>
      <c r="G6" s="2"/>
      <c r="H6" s="2"/>
      <c r="I6" s="13">
        <f>54000/12</f>
        <v>4500</v>
      </c>
      <c r="J6" s="13">
        <f t="shared" ref="J6:J34" si="1">I6*A6</f>
        <v>18000</v>
      </c>
      <c r="K6" s="13">
        <f t="shared" ref="K6:K34" si="2">F6-J6</f>
        <v>3780</v>
      </c>
      <c r="L6" s="14">
        <f t="shared" ref="L6:L34" si="3">IFERROR(K6/E6, 0)</f>
        <v>0.21</v>
      </c>
      <c r="M6" s="1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2">
        <v>0.25</v>
      </c>
      <c r="B7" s="10" t="s">
        <v>17</v>
      </c>
      <c r="C7" s="11" t="s">
        <v>42</v>
      </c>
      <c r="D7" s="13">
        <v>4500</v>
      </c>
      <c r="E7" s="13">
        <f t="shared" si="0"/>
        <v>1125</v>
      </c>
      <c r="F7" s="13">
        <f t="shared" ref="F7:F34" si="4">E7*1.105</f>
        <v>1243.125</v>
      </c>
      <c r="G7" s="2"/>
      <c r="H7" s="2"/>
      <c r="I7" s="13">
        <f>25000/14</f>
        <v>1785.7142857142858</v>
      </c>
      <c r="J7" s="13">
        <f t="shared" si="1"/>
        <v>446.42857142857144</v>
      </c>
      <c r="K7" s="13">
        <f t="shared" si="2"/>
        <v>796.69642857142856</v>
      </c>
      <c r="L7" s="14">
        <f t="shared" si="3"/>
        <v>0.70817460317460312</v>
      </c>
      <c r="M7" s="1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2">
        <v>2</v>
      </c>
      <c r="B8" s="10" t="s">
        <v>4</v>
      </c>
      <c r="C8" s="11" t="s">
        <v>13</v>
      </c>
      <c r="D8" s="13">
        <v>900</v>
      </c>
      <c r="E8" s="13">
        <f t="shared" si="0"/>
        <v>1800</v>
      </c>
      <c r="F8" s="13">
        <f t="shared" si="4"/>
        <v>1989</v>
      </c>
      <c r="G8" s="7"/>
      <c r="H8" s="2"/>
      <c r="I8" s="13">
        <f>27000/50</f>
        <v>540</v>
      </c>
      <c r="J8" s="13">
        <f t="shared" si="1"/>
        <v>1080</v>
      </c>
      <c r="K8" s="13">
        <f t="shared" si="2"/>
        <v>909</v>
      </c>
      <c r="L8" s="14">
        <f t="shared" si="3"/>
        <v>0.505</v>
      </c>
      <c r="M8" s="1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2">
        <v>4</v>
      </c>
      <c r="B9" s="10" t="s">
        <v>17</v>
      </c>
      <c r="C9" s="11" t="s">
        <v>62</v>
      </c>
      <c r="D9" s="13">
        <v>3000</v>
      </c>
      <c r="E9" s="13">
        <f t="shared" si="0"/>
        <v>12000</v>
      </c>
      <c r="F9" s="13">
        <f t="shared" si="4"/>
        <v>13260</v>
      </c>
      <c r="G9" s="7"/>
      <c r="H9" s="2"/>
      <c r="I9" s="13">
        <f>27000/17</f>
        <v>1588.2352941176471</v>
      </c>
      <c r="J9" s="13">
        <f t="shared" si="1"/>
        <v>6352.9411764705883</v>
      </c>
      <c r="K9" s="13">
        <f t="shared" si="2"/>
        <v>6907.0588235294117</v>
      </c>
      <c r="L9" s="14">
        <f t="shared" si="3"/>
        <v>0.57558823529411762</v>
      </c>
      <c r="M9" s="1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2">
        <v>5</v>
      </c>
      <c r="B10" s="10" t="s">
        <v>17</v>
      </c>
      <c r="C10" s="11" t="s">
        <v>48</v>
      </c>
      <c r="D10" s="13">
        <v>900</v>
      </c>
      <c r="E10" s="13">
        <f t="shared" si="0"/>
        <v>4500</v>
      </c>
      <c r="F10" s="13">
        <f t="shared" si="4"/>
        <v>4972.5</v>
      </c>
      <c r="G10" s="2"/>
      <c r="H10" s="2"/>
      <c r="I10" s="13">
        <f>8000/15</f>
        <v>533.33333333333337</v>
      </c>
      <c r="J10" s="13">
        <f t="shared" si="1"/>
        <v>2666.666666666667</v>
      </c>
      <c r="K10" s="13">
        <f t="shared" si="2"/>
        <v>2305.833333333333</v>
      </c>
      <c r="L10" s="14">
        <f t="shared" si="3"/>
        <v>0.51240740740740731</v>
      </c>
      <c r="M10" s="1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2">
        <v>1.5</v>
      </c>
      <c r="B11" s="10" t="s">
        <v>17</v>
      </c>
      <c r="C11" s="11" t="s">
        <v>18</v>
      </c>
      <c r="D11" s="13">
        <v>1600</v>
      </c>
      <c r="E11" s="13">
        <f t="shared" si="0"/>
        <v>2400</v>
      </c>
      <c r="F11" s="13">
        <f t="shared" si="4"/>
        <v>2652</v>
      </c>
      <c r="G11" s="7"/>
      <c r="H11" s="2"/>
      <c r="I11" s="13">
        <v>1000</v>
      </c>
      <c r="J11" s="13">
        <f t="shared" si="1"/>
        <v>1500</v>
      </c>
      <c r="K11" s="13">
        <f t="shared" si="2"/>
        <v>1152</v>
      </c>
      <c r="L11" s="14">
        <f t="shared" si="3"/>
        <v>0.48</v>
      </c>
      <c r="M11" s="1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ht="15.75" customHeight="1" x14ac:dyDescent="0.2">
      <c r="A12" s="12">
        <v>1</v>
      </c>
      <c r="B12" s="10" t="s">
        <v>17</v>
      </c>
      <c r="C12" s="11" t="s">
        <v>56</v>
      </c>
      <c r="D12" s="13">
        <v>1200</v>
      </c>
      <c r="E12" s="13">
        <f t="shared" si="0"/>
        <v>1200</v>
      </c>
      <c r="F12" s="13">
        <f t="shared" si="4"/>
        <v>1326</v>
      </c>
      <c r="G12" s="7"/>
      <c r="H12" s="2"/>
      <c r="I12" s="13">
        <f>10000/15</f>
        <v>666.66666666666663</v>
      </c>
      <c r="J12" s="13">
        <f t="shared" si="1"/>
        <v>666.66666666666663</v>
      </c>
      <c r="K12" s="13">
        <f t="shared" si="2"/>
        <v>659.33333333333337</v>
      </c>
      <c r="L12" s="14">
        <f t="shared" si="3"/>
        <v>0.54944444444444451</v>
      </c>
      <c r="M12" s="1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2"/>
    </row>
    <row r="13" spans="1:26" ht="15.75" customHeight="1" x14ac:dyDescent="0.2">
      <c r="A13" s="12">
        <v>0.6</v>
      </c>
      <c r="B13" s="10" t="s">
        <v>17</v>
      </c>
      <c r="C13" s="11" t="s">
        <v>55</v>
      </c>
      <c r="D13" s="13">
        <v>20000</v>
      </c>
      <c r="E13" s="13">
        <f t="shared" si="0"/>
        <v>12000</v>
      </c>
      <c r="F13" s="13">
        <f t="shared" si="4"/>
        <v>13260</v>
      </c>
      <c r="G13" s="7"/>
      <c r="H13" s="2"/>
      <c r="I13" s="13">
        <v>16000</v>
      </c>
      <c r="J13" s="13">
        <f t="shared" si="1"/>
        <v>9600</v>
      </c>
      <c r="K13" s="13">
        <f t="shared" si="2"/>
        <v>3660</v>
      </c>
      <c r="L13" s="14">
        <f t="shared" si="3"/>
        <v>0.30499999999999999</v>
      </c>
      <c r="M13" s="1"/>
      <c r="N13" s="2"/>
      <c r="O13" s="4"/>
      <c r="P13" s="2"/>
      <c r="Q13" s="2"/>
      <c r="R13" s="4"/>
      <c r="S13" s="2"/>
      <c r="T13" s="2"/>
      <c r="U13" s="1"/>
      <c r="V13" s="2"/>
      <c r="W13" s="2"/>
      <c r="X13" s="2"/>
      <c r="Y13" s="2"/>
      <c r="Z13" s="2"/>
    </row>
    <row r="14" spans="1:26" ht="15.75" customHeight="1" x14ac:dyDescent="0.2">
      <c r="A14" s="12">
        <v>1</v>
      </c>
      <c r="B14" s="10" t="s">
        <v>17</v>
      </c>
      <c r="C14" s="11" t="s">
        <v>19</v>
      </c>
      <c r="D14" s="13">
        <v>4500</v>
      </c>
      <c r="E14" s="13">
        <f t="shared" si="0"/>
        <v>4500</v>
      </c>
      <c r="F14" s="13">
        <f t="shared" si="4"/>
        <v>4972.5</v>
      </c>
      <c r="G14" s="7"/>
      <c r="H14" s="2"/>
      <c r="I14" s="13">
        <f>30000/8</f>
        <v>3750</v>
      </c>
      <c r="J14" s="13">
        <f t="shared" si="1"/>
        <v>3750</v>
      </c>
      <c r="K14" s="13">
        <f t="shared" si="2"/>
        <v>1222.5</v>
      </c>
      <c r="L14" s="14">
        <f t="shared" si="3"/>
        <v>0.27166666666666667</v>
      </c>
      <c r="M14" s="1"/>
      <c r="N14" s="2"/>
      <c r="O14" s="4"/>
      <c r="P14" s="2"/>
      <c r="Q14" s="2"/>
      <c r="R14" s="4"/>
      <c r="S14" s="2"/>
      <c r="T14" s="2"/>
      <c r="U14" s="1"/>
      <c r="V14" s="2"/>
      <c r="W14" s="2"/>
      <c r="X14" s="2"/>
      <c r="Y14" s="2"/>
      <c r="Z14" s="2"/>
    </row>
    <row r="15" spans="1:26" ht="15.75" customHeight="1" x14ac:dyDescent="0.2">
      <c r="A15" s="12">
        <v>7</v>
      </c>
      <c r="B15" s="10" t="s">
        <v>21</v>
      </c>
      <c r="C15" s="11" t="s">
        <v>22</v>
      </c>
      <c r="D15" s="13">
        <v>1500</v>
      </c>
      <c r="E15" s="13">
        <f t="shared" si="0"/>
        <v>10500</v>
      </c>
      <c r="F15" s="13">
        <f t="shared" si="4"/>
        <v>11602.5</v>
      </c>
      <c r="G15" s="2"/>
      <c r="H15" s="2"/>
      <c r="I15" s="13">
        <v>127</v>
      </c>
      <c r="J15" s="13">
        <f t="shared" si="1"/>
        <v>889</v>
      </c>
      <c r="K15" s="13">
        <f t="shared" si="2"/>
        <v>10713.5</v>
      </c>
      <c r="L15" s="14">
        <f t="shared" si="3"/>
        <v>1.0203333333333333</v>
      </c>
      <c r="M15" s="1"/>
      <c r="N15" s="2"/>
      <c r="O15" s="4"/>
      <c r="P15" s="2"/>
      <c r="Q15" s="2"/>
      <c r="R15" s="4"/>
      <c r="S15" s="2"/>
      <c r="T15" s="2"/>
      <c r="U15" s="1"/>
      <c r="V15" s="2"/>
      <c r="W15" s="2"/>
      <c r="X15" s="2"/>
      <c r="Y15" s="2"/>
      <c r="Z15" s="2"/>
    </row>
    <row r="16" spans="1:26" ht="15.75" customHeight="1" x14ac:dyDescent="0.2">
      <c r="A16" s="12">
        <v>5</v>
      </c>
      <c r="B16" s="10" t="s">
        <v>17</v>
      </c>
      <c r="C16" s="11" t="s">
        <v>67</v>
      </c>
      <c r="D16" s="13">
        <v>1300</v>
      </c>
      <c r="E16" s="13">
        <f t="shared" si="0"/>
        <v>6500</v>
      </c>
      <c r="F16" s="13">
        <f t="shared" si="4"/>
        <v>7182.5</v>
      </c>
      <c r="G16" s="2"/>
      <c r="H16" s="2"/>
      <c r="I16" s="13">
        <f>15000/14</f>
        <v>1071.4285714285713</v>
      </c>
      <c r="J16" s="13">
        <f t="shared" si="1"/>
        <v>5357.1428571428569</v>
      </c>
      <c r="K16" s="13">
        <f t="shared" si="2"/>
        <v>1825.3571428571431</v>
      </c>
      <c r="L16" s="14">
        <f t="shared" si="3"/>
        <v>0.28082417582417585</v>
      </c>
      <c r="M16" s="1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A17" s="12">
        <v>0.5</v>
      </c>
      <c r="B17" s="10" t="s">
        <v>23</v>
      </c>
      <c r="C17" s="11" t="s">
        <v>24</v>
      </c>
      <c r="D17" s="13">
        <v>60000</v>
      </c>
      <c r="E17" s="13">
        <f t="shared" si="0"/>
        <v>30000</v>
      </c>
      <c r="F17" s="13">
        <f t="shared" si="4"/>
        <v>33150</v>
      </c>
      <c r="G17" s="2"/>
      <c r="H17" s="2"/>
      <c r="I17" s="13">
        <v>50000</v>
      </c>
      <c r="J17" s="13">
        <f t="shared" si="1"/>
        <v>25000</v>
      </c>
      <c r="K17" s="13">
        <f t="shared" si="2"/>
        <v>8150</v>
      </c>
      <c r="L17" s="14">
        <f t="shared" si="3"/>
        <v>0.27166666666666667</v>
      </c>
      <c r="M17" s="1"/>
      <c r="N17" s="2"/>
      <c r="O17" s="4"/>
      <c r="P17" s="2"/>
      <c r="Q17" s="2"/>
      <c r="R17" s="4"/>
      <c r="S17" s="2"/>
      <c r="T17" s="2"/>
      <c r="U17" s="1"/>
      <c r="V17" s="2"/>
      <c r="W17" s="2"/>
      <c r="X17" s="2"/>
      <c r="Y17" s="2"/>
      <c r="Z17" s="2"/>
    </row>
    <row r="18" spans="1:26" ht="15.75" customHeight="1" x14ac:dyDescent="0.2">
      <c r="A18" s="12">
        <v>0.5</v>
      </c>
      <c r="B18" s="10" t="s">
        <v>23</v>
      </c>
      <c r="C18" s="11" t="s">
        <v>25</v>
      </c>
      <c r="D18" s="13">
        <v>72000</v>
      </c>
      <c r="E18" s="13">
        <f t="shared" si="0"/>
        <v>36000</v>
      </c>
      <c r="F18" s="13">
        <f t="shared" si="4"/>
        <v>39780</v>
      </c>
      <c r="G18" s="2"/>
      <c r="H18" s="2"/>
      <c r="I18" s="13">
        <v>62000</v>
      </c>
      <c r="J18" s="13">
        <f t="shared" si="1"/>
        <v>31000</v>
      </c>
      <c r="K18" s="13">
        <f t="shared" si="2"/>
        <v>8780</v>
      </c>
      <c r="L18" s="14">
        <f t="shared" si="3"/>
        <v>0.24388888888888888</v>
      </c>
      <c r="M18" s="1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ht="15.75" customHeight="1" x14ac:dyDescent="0.2">
      <c r="A19" s="12">
        <v>1</v>
      </c>
      <c r="B19" s="10" t="s">
        <v>15</v>
      </c>
      <c r="C19" s="11" t="s">
        <v>27</v>
      </c>
      <c r="D19" s="13">
        <v>25000</v>
      </c>
      <c r="E19" s="13">
        <f t="shared" si="0"/>
        <v>25000</v>
      </c>
      <c r="F19" s="13">
        <f t="shared" si="4"/>
        <v>27625</v>
      </c>
      <c r="G19" s="2"/>
      <c r="H19" s="2"/>
      <c r="I19" s="13">
        <v>18300</v>
      </c>
      <c r="J19" s="13">
        <f t="shared" si="1"/>
        <v>18300</v>
      </c>
      <c r="K19" s="13">
        <f t="shared" si="2"/>
        <v>9325</v>
      </c>
      <c r="L19" s="14">
        <f t="shared" si="3"/>
        <v>0.373</v>
      </c>
      <c r="M19" s="1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ht="15.75" customHeight="1" x14ac:dyDescent="0.2">
      <c r="A20" s="12">
        <v>1</v>
      </c>
      <c r="B20" s="10" t="s">
        <v>21</v>
      </c>
      <c r="C20" s="11" t="s">
        <v>28</v>
      </c>
      <c r="D20" s="13">
        <v>3000</v>
      </c>
      <c r="E20" s="13">
        <f t="shared" si="0"/>
        <v>3000</v>
      </c>
      <c r="F20" s="13">
        <f t="shared" si="4"/>
        <v>3315</v>
      </c>
      <c r="G20" s="7"/>
      <c r="H20" s="2"/>
      <c r="I20" s="13">
        <v>2500</v>
      </c>
      <c r="J20" s="13">
        <f t="shared" si="1"/>
        <v>2500</v>
      </c>
      <c r="K20" s="13">
        <f t="shared" si="2"/>
        <v>815</v>
      </c>
      <c r="L20" s="14">
        <f t="shared" si="3"/>
        <v>0.27166666666666667</v>
      </c>
      <c r="M20" s="1"/>
      <c r="N20" s="2"/>
      <c r="O20" s="4"/>
      <c r="P20" s="2"/>
      <c r="Q20" s="2"/>
      <c r="R20" s="4"/>
      <c r="S20" s="2"/>
      <c r="T20" s="2"/>
      <c r="U20" s="1"/>
      <c r="V20" s="2"/>
      <c r="W20" s="2"/>
      <c r="X20" s="2"/>
      <c r="Y20" s="2"/>
      <c r="Z20" s="2"/>
    </row>
    <row r="21" spans="1:26" ht="15.75" customHeight="1" x14ac:dyDescent="0.2">
      <c r="A21" s="12">
        <v>1</v>
      </c>
      <c r="B21" s="10" t="s">
        <v>21</v>
      </c>
      <c r="C21" s="11" t="s">
        <v>133</v>
      </c>
      <c r="D21" s="13">
        <v>3000</v>
      </c>
      <c r="E21" s="13">
        <f t="shared" si="0"/>
        <v>3000</v>
      </c>
      <c r="F21" s="13">
        <f t="shared" si="4"/>
        <v>3315</v>
      </c>
      <c r="G21" s="7"/>
      <c r="H21" s="2"/>
      <c r="I21" s="13">
        <f>15000/24</f>
        <v>625</v>
      </c>
      <c r="J21" s="13">
        <f t="shared" si="1"/>
        <v>625</v>
      </c>
      <c r="K21" s="13">
        <f t="shared" si="2"/>
        <v>2690</v>
      </c>
      <c r="L21" s="14">
        <f t="shared" si="3"/>
        <v>0.89666666666666661</v>
      </c>
      <c r="M21" s="1"/>
      <c r="N21" s="2"/>
      <c r="O21" s="4"/>
      <c r="P21" s="2"/>
      <c r="Q21" s="2"/>
      <c r="R21" s="4"/>
      <c r="S21" s="2"/>
      <c r="T21" s="2"/>
      <c r="U21" s="1"/>
      <c r="V21" s="2"/>
      <c r="W21" s="2"/>
      <c r="X21" s="2"/>
      <c r="Y21" s="2"/>
      <c r="Z21" s="2"/>
    </row>
    <row r="22" spans="1:26" ht="15.75" customHeight="1" x14ac:dyDescent="0.2">
      <c r="A22" s="12">
        <v>0.5</v>
      </c>
      <c r="B22" s="10" t="s">
        <v>21</v>
      </c>
      <c r="C22" s="11" t="s">
        <v>29</v>
      </c>
      <c r="D22" s="13">
        <v>3000</v>
      </c>
      <c r="E22" s="13">
        <f t="shared" si="0"/>
        <v>1500</v>
      </c>
      <c r="F22" s="13">
        <f t="shared" si="4"/>
        <v>1657.5</v>
      </c>
      <c r="G22" s="2"/>
      <c r="H22" s="2"/>
      <c r="I22" s="13">
        <v>1200</v>
      </c>
      <c r="J22" s="13">
        <f t="shared" si="1"/>
        <v>600</v>
      </c>
      <c r="K22" s="13">
        <f t="shared" si="2"/>
        <v>1057.5</v>
      </c>
      <c r="L22" s="14">
        <f t="shared" si="3"/>
        <v>0.70499999999999996</v>
      </c>
      <c r="M22" s="1"/>
      <c r="N22" s="2"/>
      <c r="O22" s="4"/>
      <c r="P22" s="2"/>
      <c r="Q22" s="2"/>
      <c r="R22" s="4"/>
      <c r="S22" s="2"/>
      <c r="T22" s="2"/>
      <c r="U22" s="1"/>
      <c r="V22" s="2"/>
      <c r="W22" s="2"/>
      <c r="X22" s="2"/>
      <c r="Y22" s="2"/>
      <c r="Z22" s="2"/>
    </row>
    <row r="23" spans="1:26" ht="15.75" customHeight="1" x14ac:dyDescent="0.2">
      <c r="A23" s="12">
        <v>1</v>
      </c>
      <c r="B23" s="10" t="s">
        <v>17</v>
      </c>
      <c r="C23" s="11" t="s">
        <v>31</v>
      </c>
      <c r="D23" s="13">
        <v>2800</v>
      </c>
      <c r="E23" s="13">
        <f t="shared" si="0"/>
        <v>2800</v>
      </c>
      <c r="F23" s="13">
        <f t="shared" si="4"/>
        <v>3094</v>
      </c>
      <c r="G23" s="2"/>
      <c r="H23" s="2"/>
      <c r="I23" s="13">
        <f>11000/7</f>
        <v>1571.4285714285713</v>
      </c>
      <c r="J23" s="13">
        <f t="shared" si="1"/>
        <v>1571.4285714285713</v>
      </c>
      <c r="K23" s="13">
        <f t="shared" si="2"/>
        <v>1522.5714285714287</v>
      </c>
      <c r="L23" s="14">
        <f t="shared" si="3"/>
        <v>0.54377551020408166</v>
      </c>
      <c r="M23" s="1"/>
      <c r="N23" s="2"/>
      <c r="O23" s="4"/>
      <c r="P23" s="2"/>
      <c r="Q23" s="2"/>
      <c r="R23" s="4"/>
      <c r="S23" s="2"/>
      <c r="T23" s="2"/>
      <c r="U23" s="1"/>
      <c r="V23" s="2"/>
      <c r="W23" s="2"/>
      <c r="X23" s="2"/>
      <c r="Y23" s="2"/>
      <c r="Z23" s="2"/>
    </row>
    <row r="24" spans="1:26" ht="15.75" customHeight="1" x14ac:dyDescent="0.2">
      <c r="A24" s="12">
        <v>0.5</v>
      </c>
      <c r="B24" s="10" t="s">
        <v>17</v>
      </c>
      <c r="C24" s="11" t="s">
        <v>32</v>
      </c>
      <c r="D24" s="13">
        <v>2400</v>
      </c>
      <c r="E24" s="13">
        <f t="shared" si="0"/>
        <v>1200</v>
      </c>
      <c r="F24" s="13">
        <f t="shared" si="4"/>
        <v>1326</v>
      </c>
      <c r="G24" s="2"/>
      <c r="H24" s="2"/>
      <c r="I24" s="13">
        <f>12000/7</f>
        <v>1714.2857142857142</v>
      </c>
      <c r="J24" s="13">
        <f t="shared" si="1"/>
        <v>857.14285714285711</v>
      </c>
      <c r="K24" s="13">
        <f t="shared" si="2"/>
        <v>468.85714285714289</v>
      </c>
      <c r="L24" s="14">
        <f t="shared" si="3"/>
        <v>0.39071428571428574</v>
      </c>
      <c r="M24" s="1"/>
      <c r="N24" s="2"/>
      <c r="O24" s="4"/>
      <c r="P24" s="2"/>
      <c r="Q24" s="2"/>
      <c r="R24" s="4"/>
      <c r="S24" s="2"/>
      <c r="T24" s="2"/>
      <c r="U24" s="1"/>
      <c r="V24" s="2"/>
      <c r="W24" s="2"/>
      <c r="X24" s="2"/>
      <c r="Y24" s="2"/>
      <c r="Z24" s="2"/>
    </row>
    <row r="25" spans="1:26" ht="15.75" customHeight="1" x14ac:dyDescent="0.2">
      <c r="A25" s="12">
        <v>0.5</v>
      </c>
      <c r="B25" s="10" t="s">
        <v>17</v>
      </c>
      <c r="C25" s="11" t="s">
        <v>33</v>
      </c>
      <c r="D25" s="13">
        <v>3000</v>
      </c>
      <c r="E25" s="13">
        <f t="shared" si="0"/>
        <v>1500</v>
      </c>
      <c r="F25" s="13">
        <f t="shared" si="4"/>
        <v>1657.5</v>
      </c>
      <c r="G25" s="2"/>
      <c r="H25" s="2"/>
      <c r="I25" s="13">
        <f>15000/7</f>
        <v>2142.8571428571427</v>
      </c>
      <c r="J25" s="13">
        <f t="shared" si="1"/>
        <v>1071.4285714285713</v>
      </c>
      <c r="K25" s="13">
        <f t="shared" si="2"/>
        <v>586.07142857142867</v>
      </c>
      <c r="L25" s="14">
        <f t="shared" si="3"/>
        <v>0.39071428571428579</v>
      </c>
      <c r="M25" s="1"/>
      <c r="N25" s="2"/>
      <c r="O25" s="4"/>
      <c r="P25" s="2"/>
      <c r="Q25" s="2"/>
      <c r="R25" s="4"/>
      <c r="S25" s="2"/>
      <c r="T25" s="2"/>
      <c r="U25" s="1"/>
      <c r="V25" s="2"/>
      <c r="W25" s="2"/>
      <c r="X25" s="2"/>
      <c r="Y25" s="2"/>
      <c r="Z25" s="2"/>
    </row>
    <row r="26" spans="1:26" ht="15.75" customHeight="1" x14ac:dyDescent="0.2">
      <c r="A26" s="12">
        <v>1</v>
      </c>
      <c r="B26" s="10" t="s">
        <v>17</v>
      </c>
      <c r="C26" s="11" t="s">
        <v>34</v>
      </c>
      <c r="D26" s="13">
        <v>5000</v>
      </c>
      <c r="E26" s="13">
        <f t="shared" si="0"/>
        <v>5000</v>
      </c>
      <c r="F26" s="13">
        <f t="shared" si="4"/>
        <v>5525</v>
      </c>
      <c r="G26" s="2"/>
      <c r="H26" s="2"/>
      <c r="I26" s="13">
        <f>35000/15</f>
        <v>2333.3333333333335</v>
      </c>
      <c r="J26" s="13">
        <f t="shared" si="1"/>
        <v>2333.3333333333335</v>
      </c>
      <c r="K26" s="13">
        <f t="shared" si="2"/>
        <v>3191.6666666666665</v>
      </c>
      <c r="L26" s="14">
        <f t="shared" si="3"/>
        <v>0.63833333333333331</v>
      </c>
      <c r="M26" s="1"/>
      <c r="N26" s="2"/>
      <c r="O26" s="4"/>
      <c r="P26" s="2"/>
      <c r="Q26" s="2"/>
      <c r="R26" s="4"/>
      <c r="S26" s="2"/>
      <c r="T26" s="2"/>
      <c r="U26" s="1"/>
      <c r="V26" s="2"/>
      <c r="W26" s="2"/>
      <c r="X26" s="2"/>
      <c r="Y26" s="2"/>
      <c r="Z26" s="2"/>
    </row>
    <row r="27" spans="1:26" ht="15.75" customHeight="1" x14ac:dyDescent="0.2">
      <c r="A27" s="12">
        <v>2.65</v>
      </c>
      <c r="B27" s="10" t="s">
        <v>17</v>
      </c>
      <c r="C27" s="11" t="s">
        <v>36</v>
      </c>
      <c r="D27" s="13">
        <v>1800</v>
      </c>
      <c r="E27" s="13">
        <f t="shared" si="0"/>
        <v>4770</v>
      </c>
      <c r="F27" s="13">
        <f t="shared" si="4"/>
        <v>5270.85</v>
      </c>
      <c r="G27" s="2"/>
      <c r="H27" s="2"/>
      <c r="I27" s="13">
        <f>8000/11</f>
        <v>727.27272727272725</v>
      </c>
      <c r="J27" s="13">
        <f t="shared" si="1"/>
        <v>1927.2727272727273</v>
      </c>
      <c r="K27" s="13">
        <f t="shared" si="2"/>
        <v>3343.5772727272733</v>
      </c>
      <c r="L27" s="14">
        <f t="shared" si="3"/>
        <v>0.70095959595959612</v>
      </c>
      <c r="M27" s="1"/>
      <c r="N27" s="2"/>
      <c r="O27" s="4"/>
      <c r="P27" s="2"/>
      <c r="Q27" s="2"/>
      <c r="R27" s="4"/>
      <c r="S27" s="2"/>
      <c r="T27" s="2"/>
      <c r="U27" s="1"/>
      <c r="V27" s="2"/>
      <c r="W27" s="2"/>
      <c r="X27" s="2"/>
      <c r="Y27" s="2"/>
      <c r="Z27" s="2"/>
    </row>
    <row r="28" spans="1:26" ht="15.75" customHeight="1" x14ac:dyDescent="0.2">
      <c r="A28" s="12">
        <v>1.35</v>
      </c>
      <c r="B28" s="10" t="s">
        <v>17</v>
      </c>
      <c r="C28" s="11" t="s">
        <v>38</v>
      </c>
      <c r="D28" s="13">
        <v>1800</v>
      </c>
      <c r="E28" s="13">
        <f t="shared" si="0"/>
        <v>2430</v>
      </c>
      <c r="F28" s="13">
        <f t="shared" si="4"/>
        <v>2685.15</v>
      </c>
      <c r="G28" s="2"/>
      <c r="H28" s="2"/>
      <c r="I28" s="13">
        <f>15000/12</f>
        <v>1250</v>
      </c>
      <c r="J28" s="13">
        <f t="shared" si="1"/>
        <v>1687.5</v>
      </c>
      <c r="K28" s="13">
        <f t="shared" si="2"/>
        <v>997.65000000000009</v>
      </c>
      <c r="L28" s="14">
        <f t="shared" si="3"/>
        <v>0.41055555555555562</v>
      </c>
      <c r="M28" s="1"/>
      <c r="N28" s="2"/>
      <c r="O28" s="4"/>
      <c r="P28" s="2"/>
      <c r="Q28" s="2"/>
      <c r="R28" s="4"/>
      <c r="S28" s="2"/>
      <c r="T28" s="2"/>
      <c r="U28" s="1"/>
      <c r="V28" s="2"/>
      <c r="W28" s="2"/>
      <c r="X28" s="2"/>
      <c r="Y28" s="2"/>
      <c r="Z28" s="2"/>
    </row>
    <row r="29" spans="1:26" ht="15.75" customHeight="1" x14ac:dyDescent="0.2">
      <c r="A29" s="12">
        <v>7</v>
      </c>
      <c r="B29" s="10" t="s">
        <v>17</v>
      </c>
      <c r="C29" s="11" t="s">
        <v>39</v>
      </c>
      <c r="D29" s="13">
        <v>1700</v>
      </c>
      <c r="E29" s="13">
        <f t="shared" si="0"/>
        <v>11900</v>
      </c>
      <c r="F29" s="13">
        <f t="shared" si="4"/>
        <v>13149.5</v>
      </c>
      <c r="G29" s="2"/>
      <c r="H29" s="2"/>
      <c r="I29" s="13">
        <f>18500/15</f>
        <v>1233.3333333333333</v>
      </c>
      <c r="J29" s="13">
        <f t="shared" si="1"/>
        <v>8633.3333333333321</v>
      </c>
      <c r="K29" s="13">
        <f t="shared" si="2"/>
        <v>4516.1666666666679</v>
      </c>
      <c r="L29" s="14">
        <f t="shared" si="3"/>
        <v>0.37950980392156874</v>
      </c>
      <c r="M29" s="1"/>
      <c r="N29" s="2"/>
      <c r="O29" s="4"/>
      <c r="P29" s="2"/>
      <c r="Q29" s="2"/>
      <c r="R29" s="4"/>
      <c r="S29" s="2"/>
      <c r="T29" s="2"/>
      <c r="U29" s="1"/>
      <c r="V29" s="2"/>
      <c r="W29" s="2"/>
      <c r="X29" s="2"/>
      <c r="Y29" s="2"/>
      <c r="Z29" s="2"/>
    </row>
    <row r="30" spans="1:26" ht="15.75" customHeight="1" x14ac:dyDescent="0.2">
      <c r="A30" s="12">
        <v>1</v>
      </c>
      <c r="B30" s="10" t="s">
        <v>15</v>
      </c>
      <c r="C30" s="11" t="s">
        <v>40</v>
      </c>
      <c r="D30" s="13">
        <v>12000</v>
      </c>
      <c r="E30" s="13">
        <f t="shared" si="0"/>
        <v>12000</v>
      </c>
      <c r="F30" s="13">
        <f t="shared" si="4"/>
        <v>13260</v>
      </c>
      <c r="G30" s="2"/>
      <c r="H30" s="2"/>
      <c r="I30" s="13">
        <v>8000</v>
      </c>
      <c r="J30" s="13">
        <f t="shared" si="1"/>
        <v>8000</v>
      </c>
      <c r="K30" s="13">
        <f t="shared" si="2"/>
        <v>5260</v>
      </c>
      <c r="L30" s="14">
        <f t="shared" si="3"/>
        <v>0.43833333333333335</v>
      </c>
      <c r="M30" s="1"/>
      <c r="N30" s="2"/>
      <c r="O30" s="4"/>
      <c r="P30" s="2"/>
      <c r="Q30" s="2"/>
      <c r="R30" s="4"/>
      <c r="S30" s="2"/>
      <c r="T30" s="2"/>
      <c r="U30" s="1"/>
      <c r="V30" s="2"/>
      <c r="W30" s="2"/>
      <c r="X30" s="2"/>
      <c r="Y30" s="2"/>
      <c r="Z30" s="2"/>
    </row>
    <row r="31" spans="1:26" ht="15.75" customHeight="1" x14ac:dyDescent="0.2">
      <c r="A31" s="12">
        <v>3</v>
      </c>
      <c r="B31" s="10" t="s">
        <v>17</v>
      </c>
      <c r="C31" s="11" t="s">
        <v>40</v>
      </c>
      <c r="D31" s="13">
        <f>12000/8</f>
        <v>1500</v>
      </c>
      <c r="E31" s="13">
        <f t="shared" si="0"/>
        <v>4500</v>
      </c>
      <c r="F31" s="13">
        <f t="shared" si="4"/>
        <v>4972.5</v>
      </c>
      <c r="G31" s="2"/>
      <c r="H31" s="2"/>
      <c r="I31" s="13">
        <v>1000</v>
      </c>
      <c r="J31" s="13">
        <f t="shared" si="1"/>
        <v>3000</v>
      </c>
      <c r="K31" s="13">
        <f t="shared" si="2"/>
        <v>1972.5</v>
      </c>
      <c r="L31" s="14">
        <f t="shared" si="3"/>
        <v>0.43833333333333335</v>
      </c>
      <c r="M31" s="1"/>
      <c r="N31" s="2"/>
      <c r="O31" s="4"/>
      <c r="P31" s="2"/>
      <c r="Q31" s="2"/>
      <c r="R31" s="4"/>
      <c r="S31" s="2"/>
      <c r="T31" s="2"/>
      <c r="U31" s="1"/>
      <c r="V31" s="2"/>
      <c r="W31" s="2"/>
      <c r="X31" s="2"/>
      <c r="Y31" s="2"/>
      <c r="Z31" s="2"/>
    </row>
    <row r="32" spans="1:26" ht="15.75" customHeight="1" x14ac:dyDescent="0.2">
      <c r="A32" s="12">
        <v>1</v>
      </c>
      <c r="B32" s="10" t="s">
        <v>17</v>
      </c>
      <c r="C32" s="11" t="s">
        <v>61</v>
      </c>
      <c r="D32" s="13">
        <v>2800</v>
      </c>
      <c r="E32" s="13">
        <f t="shared" si="0"/>
        <v>2800</v>
      </c>
      <c r="F32" s="13">
        <f t="shared" si="4"/>
        <v>3094</v>
      </c>
      <c r="G32" s="2"/>
      <c r="H32" s="2"/>
      <c r="I32" s="13">
        <f>30000/14</f>
        <v>2142.8571428571427</v>
      </c>
      <c r="J32" s="13">
        <f t="shared" si="1"/>
        <v>2142.8571428571427</v>
      </c>
      <c r="K32" s="13">
        <f t="shared" si="2"/>
        <v>951.14285714285734</v>
      </c>
      <c r="L32" s="14">
        <f t="shared" si="3"/>
        <v>0.33969387755102048</v>
      </c>
      <c r="M32" s="1"/>
      <c r="N32" s="2"/>
      <c r="O32" s="4"/>
      <c r="P32" s="2"/>
      <c r="Q32" s="2"/>
      <c r="R32" s="4"/>
      <c r="S32" s="2"/>
      <c r="T32" s="2"/>
      <c r="U32" s="1"/>
      <c r="V32" s="2"/>
      <c r="W32" s="2"/>
      <c r="X32" s="2"/>
      <c r="Y32" s="2"/>
      <c r="Z32" s="2"/>
    </row>
    <row r="33" spans="1:26" ht="15.75" customHeight="1" x14ac:dyDescent="0.2">
      <c r="A33" s="12">
        <v>10</v>
      </c>
      <c r="B33" s="10" t="s">
        <v>21</v>
      </c>
      <c r="C33" s="11" t="s">
        <v>46</v>
      </c>
      <c r="D33" s="13">
        <v>600</v>
      </c>
      <c r="E33" s="13">
        <f t="shared" si="0"/>
        <v>6000</v>
      </c>
      <c r="F33" s="13">
        <f t="shared" si="4"/>
        <v>6630</v>
      </c>
      <c r="G33" s="2"/>
      <c r="H33" s="2"/>
      <c r="I33" s="13">
        <f>7000/24</f>
        <v>291.66666666666669</v>
      </c>
      <c r="J33" s="13">
        <f t="shared" si="1"/>
        <v>2916.666666666667</v>
      </c>
      <c r="K33" s="13">
        <f t="shared" si="2"/>
        <v>3713.333333333333</v>
      </c>
      <c r="L33" s="14">
        <f t="shared" si="3"/>
        <v>0.61888888888888882</v>
      </c>
      <c r="M33" s="1"/>
      <c r="N33" s="2"/>
      <c r="O33" s="4"/>
      <c r="P33" s="2"/>
      <c r="Q33" s="2"/>
      <c r="R33" s="4"/>
      <c r="S33" s="2"/>
      <c r="T33" s="2"/>
      <c r="U33" s="1"/>
      <c r="V33" s="2"/>
      <c r="W33" s="2"/>
      <c r="X33" s="2"/>
      <c r="Y33" s="2"/>
      <c r="Z33" s="2"/>
    </row>
    <row r="34" spans="1:26" ht="15.75" customHeight="1" x14ac:dyDescent="0.2">
      <c r="A34" s="12">
        <v>2</v>
      </c>
      <c r="B34" s="10" t="s">
        <v>17</v>
      </c>
      <c r="C34" s="11" t="s">
        <v>43</v>
      </c>
      <c r="D34" s="13">
        <v>4500</v>
      </c>
      <c r="E34" s="13">
        <f t="shared" si="0"/>
        <v>9000</v>
      </c>
      <c r="F34" s="13">
        <f t="shared" si="4"/>
        <v>9945</v>
      </c>
      <c r="G34" s="2"/>
      <c r="H34" s="2"/>
      <c r="I34" s="13">
        <f>13000/4</f>
        <v>3250</v>
      </c>
      <c r="J34" s="13">
        <f t="shared" si="1"/>
        <v>6500</v>
      </c>
      <c r="K34" s="13">
        <f t="shared" si="2"/>
        <v>3445</v>
      </c>
      <c r="L34" s="14">
        <f t="shared" si="3"/>
        <v>0.38277777777777777</v>
      </c>
      <c r="M34" s="1"/>
      <c r="N34" s="2"/>
      <c r="O34" s="4"/>
      <c r="P34" s="2"/>
      <c r="Q34" s="2"/>
      <c r="R34" s="4"/>
      <c r="S34" s="2"/>
      <c r="T34" s="2"/>
      <c r="U34" s="1"/>
      <c r="V34" s="2"/>
      <c r="W34" s="2"/>
      <c r="X34" s="2"/>
      <c r="Y34" s="2"/>
      <c r="Z34" s="2"/>
    </row>
    <row r="35" spans="1:26" x14ac:dyDescent="0.2">
      <c r="A35" s="1"/>
      <c r="B35" s="2"/>
      <c r="C35" s="4"/>
      <c r="D35" s="2"/>
      <c r="E35" s="2"/>
      <c r="F35" s="2"/>
      <c r="G35" s="2"/>
      <c r="H35" s="2"/>
      <c r="I35" s="2"/>
      <c r="J35" s="2"/>
      <c r="K35" s="2"/>
      <c r="L35" s="3"/>
      <c r="M35" s="1"/>
      <c r="N35" s="2"/>
      <c r="O35" s="4"/>
      <c r="P35" s="2"/>
      <c r="Q35" s="2"/>
      <c r="R35" s="4"/>
      <c r="S35" s="2"/>
      <c r="T35" s="2"/>
      <c r="U35" s="1"/>
      <c r="V35" s="2"/>
      <c r="W35" s="2"/>
      <c r="X35" s="2"/>
      <c r="Y35" s="2"/>
      <c r="Z35" s="2"/>
    </row>
    <row r="36" spans="1:26" x14ac:dyDescent="0.2">
      <c r="A36" s="1"/>
      <c r="B36" s="2"/>
      <c r="C36" s="4"/>
      <c r="D36" s="2"/>
      <c r="E36" s="13">
        <f t="shared" ref="E36:F36" si="5">SUM(E6:E34)</f>
        <v>236925</v>
      </c>
      <c r="F36" s="13">
        <f t="shared" si="5"/>
        <v>263692.125</v>
      </c>
      <c r="G36" s="2"/>
      <c r="H36" s="2"/>
      <c r="I36" s="2"/>
      <c r="J36" s="2"/>
      <c r="K36" s="13">
        <f>SUM(K6:K34)</f>
        <v>94717.315858161455</v>
      </c>
      <c r="L36" s="14">
        <f>K36/F36</f>
        <v>0.35919660421471233</v>
      </c>
      <c r="M36" s="1"/>
      <c r="N36" s="2"/>
      <c r="O36" s="4"/>
      <c r="P36" s="2"/>
      <c r="Q36" s="2"/>
      <c r="R36" s="4"/>
      <c r="S36" s="2"/>
      <c r="T36" s="2"/>
      <c r="U36" s="1"/>
      <c r="V36" s="2"/>
      <c r="W36" s="2"/>
      <c r="X36" s="2"/>
      <c r="Y36" s="2"/>
      <c r="Z36" s="2"/>
    </row>
    <row r="37" spans="1:26" x14ac:dyDescent="0.2">
      <c r="A37" s="1"/>
      <c r="B37" s="2"/>
      <c r="C37" s="4"/>
      <c r="D37" s="2"/>
      <c r="E37" s="2"/>
      <c r="F37" s="2"/>
      <c r="G37" s="2"/>
      <c r="H37" s="2"/>
      <c r="I37" s="2"/>
      <c r="J37" s="2"/>
      <c r="K37" s="2"/>
      <c r="L37" s="3"/>
      <c r="M37" s="1"/>
      <c r="N37" s="2"/>
      <c r="O37" s="4"/>
      <c r="P37" s="2"/>
      <c r="Q37" s="2"/>
      <c r="R37" s="4"/>
      <c r="S37" s="2"/>
      <c r="T37" s="2"/>
      <c r="U37" s="1"/>
      <c r="V37" s="2"/>
      <c r="W37" s="2"/>
      <c r="X37" s="2"/>
      <c r="Y37" s="2"/>
      <c r="Z37" s="2"/>
    </row>
    <row r="38" spans="1:26" ht="15.75" customHeight="1" x14ac:dyDescent="0.2">
      <c r="A38" s="1"/>
      <c r="B38" s="1"/>
      <c r="C38" s="1"/>
      <c r="D38" s="2"/>
      <c r="E38" s="2"/>
      <c r="F38" s="5"/>
      <c r="G38" s="2"/>
      <c r="H38" s="2"/>
      <c r="I38" s="2"/>
      <c r="J38" s="2"/>
      <c r="K38" s="2"/>
      <c r="L38" s="3"/>
      <c r="M38" s="4"/>
      <c r="N38" s="2"/>
      <c r="O38" s="4"/>
      <c r="P38" s="2"/>
      <c r="Q38" s="2"/>
      <c r="R38" s="4"/>
      <c r="S38" s="2"/>
      <c r="T38" s="2"/>
      <c r="U38" s="1"/>
      <c r="V38" s="2"/>
      <c r="W38" s="2"/>
      <c r="X38" s="2"/>
      <c r="Y38" s="2"/>
      <c r="Z38" s="2"/>
    </row>
    <row r="39" spans="1:26" ht="15.75" customHeight="1" x14ac:dyDescent="0.2">
      <c r="A39" s="1"/>
      <c r="B39" s="1"/>
      <c r="C39" s="1"/>
      <c r="D39" s="2"/>
      <c r="E39" s="2"/>
      <c r="F39" s="5"/>
      <c r="G39" s="2"/>
      <c r="H39" s="2"/>
      <c r="I39" s="2"/>
      <c r="J39" s="2"/>
      <c r="K39" s="2"/>
      <c r="L39" s="3"/>
      <c r="M39" s="4"/>
      <c r="N39" s="2"/>
      <c r="O39" s="4"/>
      <c r="P39" s="2"/>
      <c r="Q39" s="2"/>
      <c r="R39" s="4"/>
      <c r="S39" s="2"/>
      <c r="T39" s="2"/>
      <c r="U39" s="1"/>
      <c r="V39" s="2"/>
      <c r="W39" s="2"/>
      <c r="X39" s="2"/>
      <c r="Y39" s="2"/>
      <c r="Z39" s="2"/>
    </row>
    <row r="40" spans="1:26" ht="15.75" customHeight="1" x14ac:dyDescent="0.2">
      <c r="A40" s="1"/>
      <c r="B40" s="1"/>
      <c r="C40" s="1"/>
      <c r="D40" s="2"/>
      <c r="E40" s="2"/>
      <c r="F40" s="5"/>
      <c r="G40" s="2"/>
      <c r="H40" s="2"/>
      <c r="I40" s="2"/>
      <c r="J40" s="2"/>
      <c r="K40" s="2"/>
      <c r="L40" s="3"/>
      <c r="M40" s="4"/>
      <c r="N40" s="2"/>
      <c r="O40" s="4"/>
      <c r="P40" s="2"/>
      <c r="Q40" s="2"/>
      <c r="R40" s="4"/>
      <c r="S40" s="2"/>
      <c r="T40" s="2"/>
      <c r="U40" s="1"/>
      <c r="V40" s="2"/>
      <c r="W40" s="2"/>
      <c r="X40" s="2"/>
      <c r="Y40" s="2"/>
      <c r="Z40" s="2"/>
    </row>
    <row r="41" spans="1:26" x14ac:dyDescent="0.2">
      <c r="A41" s="88" t="s">
        <v>47</v>
      </c>
      <c r="B41" s="89"/>
      <c r="C41" s="89"/>
      <c r="D41" s="2"/>
      <c r="E41" s="7" t="s">
        <v>1088</v>
      </c>
      <c r="F41" s="8">
        <v>46136</v>
      </c>
      <c r="G41" s="7" t="s">
        <v>1122</v>
      </c>
      <c r="H41" s="2"/>
      <c r="I41" s="9" t="s">
        <v>2</v>
      </c>
      <c r="J41" s="9"/>
      <c r="K41" s="9"/>
      <c r="L41" s="3"/>
      <c r="M41" s="1"/>
      <c r="N41" s="2"/>
      <c r="O41" s="4"/>
      <c r="P41" s="2"/>
      <c r="Q41" s="2"/>
      <c r="R41" s="4"/>
      <c r="S41" s="2"/>
      <c r="T41" s="2"/>
      <c r="U41" s="1"/>
      <c r="V41" s="2"/>
      <c r="W41" s="2"/>
      <c r="X41" s="2"/>
      <c r="Y41" s="2"/>
      <c r="Z41" s="2"/>
    </row>
    <row r="42" spans="1:26" ht="15.75" customHeight="1" x14ac:dyDescent="0.2">
      <c r="A42" s="1"/>
      <c r="B42" s="1"/>
      <c r="C42" s="1"/>
      <c r="D42" s="2"/>
      <c r="E42" s="2"/>
      <c r="F42" s="5"/>
      <c r="G42" s="2"/>
      <c r="H42" s="2"/>
      <c r="I42" s="2"/>
      <c r="J42" s="2"/>
      <c r="K42" s="2"/>
      <c r="L42" s="3"/>
      <c r="M42" s="4"/>
      <c r="N42" s="2"/>
      <c r="O42" s="4"/>
      <c r="P42" s="2"/>
      <c r="Q42" s="2"/>
      <c r="R42" s="4"/>
      <c r="S42" s="2"/>
      <c r="T42" s="2"/>
      <c r="U42" s="1"/>
      <c r="V42" s="2"/>
      <c r="W42" s="2"/>
      <c r="X42" s="2"/>
      <c r="Y42" s="2"/>
      <c r="Z42" s="2"/>
    </row>
    <row r="43" spans="1:26" ht="15.75" customHeight="1" x14ac:dyDescent="0.2">
      <c r="A43" s="6" t="s">
        <v>3</v>
      </c>
      <c r="B43" s="10" t="s">
        <v>4</v>
      </c>
      <c r="C43" s="6" t="s">
        <v>5</v>
      </c>
      <c r="D43" s="10" t="s">
        <v>6</v>
      </c>
      <c r="E43" s="10" t="s">
        <v>7</v>
      </c>
      <c r="F43" s="10" t="s">
        <v>8</v>
      </c>
      <c r="G43" s="2"/>
      <c r="H43" s="2"/>
      <c r="I43" s="10" t="s">
        <v>9</v>
      </c>
      <c r="J43" s="10" t="s">
        <v>7</v>
      </c>
      <c r="K43" s="10" t="s">
        <v>10</v>
      </c>
      <c r="L43" s="3"/>
      <c r="M43" s="1"/>
      <c r="N43" s="1"/>
      <c r="O43" s="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1</v>
      </c>
      <c r="B44" s="10" t="s">
        <v>15</v>
      </c>
      <c r="C44" s="11" t="s">
        <v>27</v>
      </c>
      <c r="D44" s="13">
        <v>25000</v>
      </c>
      <c r="E44" s="13">
        <f t="shared" ref="E44:E69" si="6">A44*D44</f>
        <v>25000</v>
      </c>
      <c r="F44" s="13">
        <f t="shared" ref="F44:F69" si="7">E44*1.105</f>
        <v>27625</v>
      </c>
      <c r="G44" s="7"/>
      <c r="H44" s="2"/>
      <c r="I44" s="13">
        <v>18300</v>
      </c>
      <c r="J44" s="13">
        <f t="shared" ref="J44:J69" si="8">I44*A44</f>
        <v>18300</v>
      </c>
      <c r="K44" s="13">
        <f t="shared" ref="K44:K69" si="9">F44-J44</f>
        <v>9325</v>
      </c>
      <c r="L44" s="14">
        <f t="shared" ref="L44:L69" si="10">IFERROR(K44/E44, 0)</f>
        <v>0.373</v>
      </c>
      <c r="M44" s="1"/>
      <c r="N44" s="1"/>
      <c r="O44" s="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1</v>
      </c>
      <c r="B45" s="10" t="s">
        <v>15</v>
      </c>
      <c r="C45" s="11" t="s">
        <v>40</v>
      </c>
      <c r="D45" s="13">
        <v>12000</v>
      </c>
      <c r="E45" s="13">
        <f t="shared" si="6"/>
        <v>12000</v>
      </c>
      <c r="F45" s="13">
        <f t="shared" si="7"/>
        <v>13260</v>
      </c>
      <c r="G45" s="2"/>
      <c r="H45" s="2"/>
      <c r="I45" s="13">
        <v>8000</v>
      </c>
      <c r="J45" s="13">
        <f t="shared" si="8"/>
        <v>8000</v>
      </c>
      <c r="K45" s="13">
        <f t="shared" si="9"/>
        <v>5260</v>
      </c>
      <c r="L45" s="14">
        <f t="shared" si="10"/>
        <v>0.43833333333333335</v>
      </c>
      <c r="M45" s="1"/>
      <c r="N45" s="1"/>
      <c r="O45" s="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1</v>
      </c>
      <c r="B46" s="10" t="s">
        <v>15</v>
      </c>
      <c r="C46" s="11" t="s">
        <v>48</v>
      </c>
      <c r="D46" s="13">
        <v>13000</v>
      </c>
      <c r="E46" s="13">
        <f t="shared" si="6"/>
        <v>13000</v>
      </c>
      <c r="F46" s="13">
        <f t="shared" si="7"/>
        <v>14365</v>
      </c>
      <c r="G46" s="2"/>
      <c r="H46" s="2"/>
      <c r="I46" s="13">
        <v>8000</v>
      </c>
      <c r="J46" s="13">
        <f t="shared" si="8"/>
        <v>8000</v>
      </c>
      <c r="K46" s="13">
        <f t="shared" si="9"/>
        <v>6365</v>
      </c>
      <c r="L46" s="14">
        <f t="shared" si="10"/>
        <v>0.48961538461538462</v>
      </c>
      <c r="M46" s="1"/>
      <c r="N46" s="1"/>
      <c r="O46" s="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7</v>
      </c>
      <c r="B47" s="10" t="s">
        <v>17</v>
      </c>
      <c r="C47" s="11" t="s">
        <v>39</v>
      </c>
      <c r="D47" s="13">
        <v>1700</v>
      </c>
      <c r="E47" s="13">
        <f t="shared" si="6"/>
        <v>11900</v>
      </c>
      <c r="F47" s="13">
        <f t="shared" si="7"/>
        <v>13149.5</v>
      </c>
      <c r="G47" s="7"/>
      <c r="H47" s="2"/>
      <c r="I47" s="13">
        <f>18500/15</f>
        <v>1233.3333333333333</v>
      </c>
      <c r="J47" s="13">
        <f t="shared" si="8"/>
        <v>8633.3333333333321</v>
      </c>
      <c r="K47" s="13">
        <f t="shared" si="9"/>
        <v>4516.1666666666679</v>
      </c>
      <c r="L47" s="14">
        <f t="shared" si="10"/>
        <v>0.37950980392156874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1</v>
      </c>
      <c r="B48" s="10" t="s">
        <v>17</v>
      </c>
      <c r="C48" s="11" t="s">
        <v>61</v>
      </c>
      <c r="D48" s="13">
        <v>2800</v>
      </c>
      <c r="E48" s="13">
        <f t="shared" si="6"/>
        <v>2800</v>
      </c>
      <c r="F48" s="13">
        <f t="shared" si="7"/>
        <v>3094</v>
      </c>
      <c r="G48" s="2"/>
      <c r="H48" s="2"/>
      <c r="I48" s="13">
        <f>30000/14</f>
        <v>2142.8571428571427</v>
      </c>
      <c r="J48" s="13">
        <f t="shared" si="8"/>
        <v>2142.8571428571427</v>
      </c>
      <c r="K48" s="13">
        <f t="shared" si="9"/>
        <v>951.14285714285734</v>
      </c>
      <c r="L48" s="14">
        <f t="shared" si="10"/>
        <v>0.33969387755102048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</v>
      </c>
      <c r="B49" s="10" t="s">
        <v>17</v>
      </c>
      <c r="C49" s="11" t="s">
        <v>31</v>
      </c>
      <c r="D49" s="13">
        <v>2800</v>
      </c>
      <c r="E49" s="13">
        <f t="shared" si="6"/>
        <v>2800</v>
      </c>
      <c r="F49" s="13">
        <f t="shared" si="7"/>
        <v>3094</v>
      </c>
      <c r="G49" s="7"/>
      <c r="H49" s="2"/>
      <c r="I49" s="13">
        <f>11000/7</f>
        <v>1571.4285714285713</v>
      </c>
      <c r="J49" s="13">
        <f t="shared" si="8"/>
        <v>1571.4285714285713</v>
      </c>
      <c r="K49" s="13">
        <f t="shared" si="9"/>
        <v>1522.5714285714287</v>
      </c>
      <c r="L49" s="14">
        <f t="shared" si="10"/>
        <v>0.54377551020408166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0.5</v>
      </c>
      <c r="B50" s="10" t="s">
        <v>17</v>
      </c>
      <c r="C50" s="11" t="s">
        <v>32</v>
      </c>
      <c r="D50" s="13">
        <v>2400</v>
      </c>
      <c r="E50" s="13">
        <f t="shared" si="6"/>
        <v>1200</v>
      </c>
      <c r="F50" s="13">
        <f t="shared" si="7"/>
        <v>1326</v>
      </c>
      <c r="G50" s="7"/>
      <c r="H50" s="2"/>
      <c r="I50" s="13">
        <f>12000/7</f>
        <v>1714.2857142857142</v>
      </c>
      <c r="J50" s="13">
        <f t="shared" si="8"/>
        <v>857.14285714285711</v>
      </c>
      <c r="K50" s="13">
        <f t="shared" si="9"/>
        <v>468.85714285714289</v>
      </c>
      <c r="L50" s="14">
        <f t="shared" si="10"/>
        <v>0.39071428571428574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0.5</v>
      </c>
      <c r="B51" s="10" t="s">
        <v>17</v>
      </c>
      <c r="C51" s="11" t="s">
        <v>33</v>
      </c>
      <c r="D51" s="13">
        <v>3000</v>
      </c>
      <c r="E51" s="13">
        <f t="shared" si="6"/>
        <v>1500</v>
      </c>
      <c r="F51" s="13">
        <f t="shared" si="7"/>
        <v>1657.5</v>
      </c>
      <c r="G51" s="7"/>
      <c r="H51" s="2"/>
      <c r="I51" s="13">
        <f>15000/7</f>
        <v>2142.8571428571427</v>
      </c>
      <c r="J51" s="13">
        <f t="shared" si="8"/>
        <v>1071.4285714285713</v>
      </c>
      <c r="K51" s="13">
        <f t="shared" si="9"/>
        <v>586.07142857142867</v>
      </c>
      <c r="L51" s="14">
        <f t="shared" si="10"/>
        <v>0.39071428571428579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6</v>
      </c>
      <c r="B52" s="10" t="s">
        <v>21</v>
      </c>
      <c r="C52" s="11" t="s">
        <v>22</v>
      </c>
      <c r="D52" s="13">
        <v>1500</v>
      </c>
      <c r="E52" s="13">
        <f t="shared" si="6"/>
        <v>9000</v>
      </c>
      <c r="F52" s="13">
        <f t="shared" si="7"/>
        <v>9945</v>
      </c>
      <c r="G52" s="7"/>
      <c r="H52" s="2"/>
      <c r="I52" s="13">
        <v>127</v>
      </c>
      <c r="J52" s="13">
        <f t="shared" si="8"/>
        <v>762</v>
      </c>
      <c r="K52" s="13">
        <f t="shared" si="9"/>
        <v>9183</v>
      </c>
      <c r="L52" s="14">
        <f t="shared" si="10"/>
        <v>1.0203333333333333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2</v>
      </c>
      <c r="B53" s="10" t="s">
        <v>17</v>
      </c>
      <c r="C53" s="11" t="s">
        <v>43</v>
      </c>
      <c r="D53" s="13">
        <v>4500</v>
      </c>
      <c r="E53" s="13">
        <f t="shared" si="6"/>
        <v>9000</v>
      </c>
      <c r="F53" s="13">
        <f t="shared" si="7"/>
        <v>9945</v>
      </c>
      <c r="G53" s="7"/>
      <c r="H53" s="13"/>
      <c r="I53" s="13">
        <f>13000/4</f>
        <v>3250</v>
      </c>
      <c r="J53" s="13">
        <f t="shared" si="8"/>
        <v>6500</v>
      </c>
      <c r="K53" s="13">
        <f t="shared" si="9"/>
        <v>3445</v>
      </c>
      <c r="L53" s="14">
        <f t="shared" si="10"/>
        <v>0.38277777777777777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1</v>
      </c>
      <c r="B54" s="10" t="s">
        <v>17</v>
      </c>
      <c r="C54" s="11" t="s">
        <v>18</v>
      </c>
      <c r="D54" s="13">
        <v>1600</v>
      </c>
      <c r="E54" s="13">
        <f t="shared" si="6"/>
        <v>1600</v>
      </c>
      <c r="F54" s="13">
        <f t="shared" si="7"/>
        <v>1768</v>
      </c>
      <c r="G54" s="7"/>
      <c r="H54" s="2"/>
      <c r="I54" s="13">
        <v>1000</v>
      </c>
      <c r="J54" s="13">
        <f t="shared" si="8"/>
        <v>1000</v>
      </c>
      <c r="K54" s="13">
        <f t="shared" si="9"/>
        <v>768</v>
      </c>
      <c r="L54" s="14">
        <f t="shared" si="10"/>
        <v>0.48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1</v>
      </c>
      <c r="B55" s="10" t="s">
        <v>17</v>
      </c>
      <c r="C55" s="11" t="s">
        <v>56</v>
      </c>
      <c r="D55" s="13">
        <v>1200</v>
      </c>
      <c r="E55" s="13">
        <f t="shared" si="6"/>
        <v>1200</v>
      </c>
      <c r="F55" s="13">
        <f t="shared" si="7"/>
        <v>1326</v>
      </c>
      <c r="G55" s="7"/>
      <c r="H55" s="2"/>
      <c r="I55" s="13">
        <f>10000/15</f>
        <v>666.66666666666663</v>
      </c>
      <c r="J55" s="13">
        <f t="shared" si="8"/>
        <v>666.66666666666663</v>
      </c>
      <c r="K55" s="13">
        <f t="shared" si="9"/>
        <v>659.33333333333337</v>
      </c>
      <c r="L55" s="14">
        <f t="shared" si="10"/>
        <v>0.54944444444444451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0.5</v>
      </c>
      <c r="B56" s="10" t="s">
        <v>17</v>
      </c>
      <c r="C56" s="11" t="s">
        <v>42</v>
      </c>
      <c r="D56" s="13">
        <v>4500</v>
      </c>
      <c r="E56" s="13">
        <f t="shared" si="6"/>
        <v>2250</v>
      </c>
      <c r="F56" s="13">
        <f t="shared" si="7"/>
        <v>2486.25</v>
      </c>
      <c r="G56" s="7"/>
      <c r="H56" s="2"/>
      <c r="I56" s="13">
        <f>25000/14</f>
        <v>1785.7142857142858</v>
      </c>
      <c r="J56" s="13">
        <f t="shared" si="8"/>
        <v>892.85714285714289</v>
      </c>
      <c r="K56" s="13">
        <f t="shared" si="9"/>
        <v>1593.3928571428571</v>
      </c>
      <c r="L56" s="14">
        <f t="shared" si="10"/>
        <v>0.70817460317460312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2</v>
      </c>
      <c r="B57" s="10" t="s">
        <v>17</v>
      </c>
      <c r="C57" s="11" t="s">
        <v>36</v>
      </c>
      <c r="D57" s="13">
        <v>1800</v>
      </c>
      <c r="E57" s="13">
        <f t="shared" si="6"/>
        <v>3600</v>
      </c>
      <c r="F57" s="13">
        <f t="shared" si="7"/>
        <v>3978</v>
      </c>
      <c r="G57" s="7"/>
      <c r="H57" s="2"/>
      <c r="I57" s="13">
        <f>8000/11</f>
        <v>727.27272727272725</v>
      </c>
      <c r="J57" s="13">
        <f t="shared" si="8"/>
        <v>1454.5454545454545</v>
      </c>
      <c r="K57" s="13">
        <f t="shared" si="9"/>
        <v>2523.4545454545455</v>
      </c>
      <c r="L57" s="14">
        <f t="shared" si="10"/>
        <v>0.700959595959596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2</v>
      </c>
      <c r="B58" s="10" t="s">
        <v>17</v>
      </c>
      <c r="C58" s="11" t="s">
        <v>38</v>
      </c>
      <c r="D58" s="13">
        <v>1800</v>
      </c>
      <c r="E58" s="13">
        <f t="shared" si="6"/>
        <v>3600</v>
      </c>
      <c r="F58" s="13">
        <f t="shared" si="7"/>
        <v>3978</v>
      </c>
      <c r="G58" s="7"/>
      <c r="H58" s="2"/>
      <c r="I58" s="13">
        <f>15000/12</f>
        <v>1250</v>
      </c>
      <c r="J58" s="13">
        <f t="shared" si="8"/>
        <v>2500</v>
      </c>
      <c r="K58" s="13">
        <f t="shared" si="9"/>
        <v>1478</v>
      </c>
      <c r="L58" s="14">
        <f t="shared" si="10"/>
        <v>0.41055555555555556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0.4</v>
      </c>
      <c r="B59" s="10" t="s">
        <v>17</v>
      </c>
      <c r="C59" s="11" t="s">
        <v>55</v>
      </c>
      <c r="D59" s="13">
        <v>20000</v>
      </c>
      <c r="E59" s="13">
        <f t="shared" si="6"/>
        <v>8000</v>
      </c>
      <c r="F59" s="13">
        <f t="shared" si="7"/>
        <v>8840</v>
      </c>
      <c r="G59" s="7"/>
      <c r="H59" s="2"/>
      <c r="I59" s="13">
        <v>16000</v>
      </c>
      <c r="J59" s="13">
        <f t="shared" si="8"/>
        <v>6400</v>
      </c>
      <c r="K59" s="13">
        <f t="shared" si="9"/>
        <v>2440</v>
      </c>
      <c r="L59" s="14">
        <f t="shared" si="10"/>
        <v>0.30499999999999999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0.5</v>
      </c>
      <c r="B60" s="10" t="s">
        <v>21</v>
      </c>
      <c r="C60" s="11" t="s">
        <v>29</v>
      </c>
      <c r="D60" s="13">
        <v>3000</v>
      </c>
      <c r="E60" s="13">
        <f t="shared" si="6"/>
        <v>1500</v>
      </c>
      <c r="F60" s="13">
        <f t="shared" si="7"/>
        <v>1657.5</v>
      </c>
      <c r="G60" s="7"/>
      <c r="H60" s="2"/>
      <c r="I60" s="13">
        <v>1200</v>
      </c>
      <c r="J60" s="13">
        <f t="shared" si="8"/>
        <v>600</v>
      </c>
      <c r="K60" s="13">
        <f t="shared" si="9"/>
        <v>1057.5</v>
      </c>
      <c r="L60" s="14">
        <f t="shared" si="10"/>
        <v>0.70499999999999996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</v>
      </c>
      <c r="B61" s="10" t="s">
        <v>21</v>
      </c>
      <c r="C61" s="11" t="s">
        <v>28</v>
      </c>
      <c r="D61" s="13">
        <v>3000</v>
      </c>
      <c r="E61" s="13">
        <f t="shared" si="6"/>
        <v>3000</v>
      </c>
      <c r="F61" s="13">
        <f t="shared" si="7"/>
        <v>3315</v>
      </c>
      <c r="G61" s="7"/>
      <c r="H61" s="2"/>
      <c r="I61" s="13">
        <v>2500</v>
      </c>
      <c r="J61" s="13">
        <f t="shared" si="8"/>
        <v>2500</v>
      </c>
      <c r="K61" s="13">
        <f t="shared" si="9"/>
        <v>815</v>
      </c>
      <c r="L61" s="14">
        <f t="shared" si="10"/>
        <v>0.27166666666666667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1</v>
      </c>
      <c r="B62" s="10" t="s">
        <v>21</v>
      </c>
      <c r="C62" s="11" t="s">
        <v>133</v>
      </c>
      <c r="D62" s="13">
        <v>3000</v>
      </c>
      <c r="E62" s="13">
        <f t="shared" si="6"/>
        <v>3000</v>
      </c>
      <c r="F62" s="13">
        <f t="shared" si="7"/>
        <v>3315</v>
      </c>
      <c r="G62" s="7"/>
      <c r="H62" s="2"/>
      <c r="I62" s="13">
        <v>625</v>
      </c>
      <c r="J62" s="13">
        <f t="shared" si="8"/>
        <v>625</v>
      </c>
      <c r="K62" s="13">
        <f t="shared" si="9"/>
        <v>2690</v>
      </c>
      <c r="L62" s="14">
        <f t="shared" si="10"/>
        <v>0.89666666666666661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12</v>
      </c>
      <c r="B63" s="10" t="s">
        <v>21</v>
      </c>
      <c r="C63" s="11" t="s">
        <v>46</v>
      </c>
      <c r="D63" s="13">
        <v>600</v>
      </c>
      <c r="E63" s="13">
        <f t="shared" si="6"/>
        <v>7200</v>
      </c>
      <c r="F63" s="13">
        <f t="shared" si="7"/>
        <v>7956</v>
      </c>
      <c r="G63" s="7"/>
      <c r="H63" s="2"/>
      <c r="I63" s="13">
        <f>7000/24</f>
        <v>291.66666666666669</v>
      </c>
      <c r="J63" s="13">
        <f t="shared" si="8"/>
        <v>3500</v>
      </c>
      <c r="K63" s="13">
        <f t="shared" si="9"/>
        <v>4456</v>
      </c>
      <c r="L63" s="14">
        <f t="shared" si="10"/>
        <v>0.61888888888888893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1</v>
      </c>
      <c r="B64" s="10" t="s">
        <v>23</v>
      </c>
      <c r="C64" s="11" t="s">
        <v>26</v>
      </c>
      <c r="D64" s="13">
        <v>19000</v>
      </c>
      <c r="E64" s="13">
        <f t="shared" si="6"/>
        <v>19000</v>
      </c>
      <c r="F64" s="13">
        <f t="shared" si="7"/>
        <v>20995</v>
      </c>
      <c r="G64" s="7"/>
      <c r="H64" s="2"/>
      <c r="I64" s="13">
        <v>12000</v>
      </c>
      <c r="J64" s="13">
        <f t="shared" si="8"/>
        <v>12000</v>
      </c>
      <c r="K64" s="13">
        <f t="shared" si="9"/>
        <v>8995</v>
      </c>
      <c r="L64" s="14">
        <f t="shared" si="10"/>
        <v>0.47342105263157896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4</v>
      </c>
      <c r="B65" s="10" t="s">
        <v>17</v>
      </c>
      <c r="C65" s="11" t="s">
        <v>24</v>
      </c>
      <c r="D65" s="13">
        <v>3600</v>
      </c>
      <c r="E65" s="13">
        <f t="shared" si="6"/>
        <v>14400</v>
      </c>
      <c r="F65" s="13">
        <f t="shared" si="7"/>
        <v>15912</v>
      </c>
      <c r="G65" s="7"/>
      <c r="H65" s="2"/>
      <c r="I65" s="13">
        <f>50000/17</f>
        <v>2941.1764705882351</v>
      </c>
      <c r="J65" s="13">
        <f t="shared" si="8"/>
        <v>11764.705882352941</v>
      </c>
      <c r="K65" s="13">
        <f t="shared" si="9"/>
        <v>4147.2941176470595</v>
      </c>
      <c r="L65" s="14">
        <f t="shared" si="10"/>
        <v>0.28800653594771247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3</v>
      </c>
      <c r="B66" s="10" t="s">
        <v>17</v>
      </c>
      <c r="C66" s="11" t="s">
        <v>25</v>
      </c>
      <c r="D66" s="13">
        <v>4500</v>
      </c>
      <c r="E66" s="13">
        <f t="shared" si="6"/>
        <v>13500</v>
      </c>
      <c r="F66" s="13">
        <f t="shared" si="7"/>
        <v>14917.5</v>
      </c>
      <c r="G66" s="7"/>
      <c r="H66" s="2"/>
      <c r="I66" s="13">
        <f>62000/17</f>
        <v>3647.0588235294117</v>
      </c>
      <c r="J66" s="13">
        <f t="shared" si="8"/>
        <v>10941.176470588234</v>
      </c>
      <c r="K66" s="13">
        <f t="shared" si="9"/>
        <v>3976.3235294117658</v>
      </c>
      <c r="L66" s="14">
        <f t="shared" si="10"/>
        <v>0.2945424836601308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4</v>
      </c>
      <c r="B67" s="10" t="s">
        <v>17</v>
      </c>
      <c r="C67" s="11" t="s">
        <v>49</v>
      </c>
      <c r="D67" s="13">
        <v>2800</v>
      </c>
      <c r="E67" s="13">
        <f t="shared" si="6"/>
        <v>11200</v>
      </c>
      <c r="F67" s="13">
        <f t="shared" si="7"/>
        <v>12376</v>
      </c>
      <c r="G67" s="2"/>
      <c r="H67" s="2"/>
      <c r="I67" s="13">
        <f>35000/17</f>
        <v>2058.8235294117649</v>
      </c>
      <c r="J67" s="13">
        <f t="shared" si="8"/>
        <v>8235.2941176470595</v>
      </c>
      <c r="K67" s="13">
        <f t="shared" si="9"/>
        <v>4140.7058823529405</v>
      </c>
      <c r="L67" s="14">
        <f t="shared" si="10"/>
        <v>0.36970588235294111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2</v>
      </c>
      <c r="B68" s="10" t="s">
        <v>17</v>
      </c>
      <c r="C68" s="11" t="s">
        <v>67</v>
      </c>
      <c r="D68" s="13">
        <v>1300</v>
      </c>
      <c r="E68" s="13">
        <f t="shared" si="6"/>
        <v>2600</v>
      </c>
      <c r="F68" s="13">
        <f t="shared" si="7"/>
        <v>2873</v>
      </c>
      <c r="G68" s="7"/>
      <c r="H68" s="2"/>
      <c r="I68" s="13">
        <f>15000/14</f>
        <v>1071.4285714285713</v>
      </c>
      <c r="J68" s="13">
        <f t="shared" si="8"/>
        <v>2142.8571428571427</v>
      </c>
      <c r="K68" s="13">
        <f t="shared" si="9"/>
        <v>730.14285714285734</v>
      </c>
      <c r="L68" s="14">
        <f t="shared" si="10"/>
        <v>0.2808241758241759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2</v>
      </c>
      <c r="B69" s="10" t="s">
        <v>17</v>
      </c>
      <c r="C69" s="11" t="s">
        <v>62</v>
      </c>
      <c r="D69" s="13">
        <v>3000</v>
      </c>
      <c r="E69" s="13">
        <f t="shared" si="6"/>
        <v>6000</v>
      </c>
      <c r="F69" s="13">
        <f t="shared" si="7"/>
        <v>6630</v>
      </c>
      <c r="G69" s="7"/>
      <c r="H69" s="2"/>
      <c r="I69" s="13">
        <f>27000/17</f>
        <v>1588.2352941176471</v>
      </c>
      <c r="J69" s="13">
        <f t="shared" si="8"/>
        <v>3176.4705882352941</v>
      </c>
      <c r="K69" s="13">
        <f t="shared" si="9"/>
        <v>3453.5294117647059</v>
      </c>
      <c r="L69" s="14">
        <f t="shared" si="10"/>
        <v>0.57558823529411762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"/>
      <c r="B70" s="2"/>
      <c r="C70" s="4"/>
      <c r="D70" s="2"/>
      <c r="E70" s="2"/>
      <c r="F70" s="2"/>
      <c r="G70" s="2"/>
      <c r="H70" s="2"/>
      <c r="I70" s="2"/>
      <c r="J70" s="2"/>
      <c r="K70" s="2"/>
      <c r="L70" s="3"/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"/>
      <c r="B71" s="2"/>
      <c r="C71" s="4"/>
      <c r="D71" s="2"/>
      <c r="E71" s="13">
        <f t="shared" ref="E71:F71" si="11">SUM(E44:E69)</f>
        <v>189850</v>
      </c>
      <c r="F71" s="13">
        <f t="shared" si="11"/>
        <v>209784.25</v>
      </c>
      <c r="G71" s="2"/>
      <c r="H71" s="2"/>
      <c r="I71" s="2"/>
      <c r="J71" s="2"/>
      <c r="K71" s="13">
        <f>SUM(K44:K69)</f>
        <v>85546.486058059585</v>
      </c>
      <c r="L71" s="14">
        <f>K71/F71</f>
        <v>0.40778316798358116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88" t="s">
        <v>50</v>
      </c>
      <c r="B74" s="89"/>
      <c r="C74" s="89"/>
      <c r="D74" s="2"/>
      <c r="E74" s="7" t="s">
        <v>1088</v>
      </c>
      <c r="F74" s="8">
        <v>46136</v>
      </c>
      <c r="G74" s="7" t="s">
        <v>1122</v>
      </c>
      <c r="H74" s="2"/>
      <c r="I74" s="9" t="s">
        <v>2</v>
      </c>
      <c r="J74" s="9"/>
      <c r="K74" s="9"/>
      <c r="L74" s="3"/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"/>
      <c r="B75" s="2"/>
      <c r="C75" s="5"/>
      <c r="D75" s="2"/>
      <c r="E75" s="2"/>
      <c r="F75" s="2"/>
      <c r="G75" s="7"/>
      <c r="H75" s="2"/>
      <c r="I75" s="2"/>
      <c r="J75" s="2"/>
      <c r="K75" s="2"/>
      <c r="L75" s="3"/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6" t="s">
        <v>3</v>
      </c>
      <c r="B76" s="10" t="s">
        <v>4</v>
      </c>
      <c r="C76" s="11" t="s">
        <v>5</v>
      </c>
      <c r="D76" s="10" t="s">
        <v>6</v>
      </c>
      <c r="E76" s="10" t="s">
        <v>7</v>
      </c>
      <c r="F76" s="10" t="s">
        <v>8</v>
      </c>
      <c r="G76" s="7"/>
      <c r="H76" s="2"/>
      <c r="I76" s="10" t="s">
        <v>9</v>
      </c>
      <c r="J76" s="10" t="s">
        <v>7</v>
      </c>
      <c r="K76" s="10" t="s">
        <v>10</v>
      </c>
      <c r="L76" s="3"/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2</v>
      </c>
      <c r="B77" s="10" t="s">
        <v>4</v>
      </c>
      <c r="C77" s="11" t="s">
        <v>13</v>
      </c>
      <c r="D77" s="13">
        <v>900</v>
      </c>
      <c r="E77" s="13">
        <f t="shared" ref="E77:E96" si="12">A77*D77</f>
        <v>1800</v>
      </c>
      <c r="F77" s="13">
        <f t="shared" ref="F77:F96" si="13">E77*1.105</f>
        <v>1989</v>
      </c>
      <c r="G77" s="2"/>
      <c r="H77" s="2"/>
      <c r="I77" s="13">
        <f>27000/50</f>
        <v>540</v>
      </c>
      <c r="J77" s="13">
        <f t="shared" ref="J77:J96" si="14">I77*A77</f>
        <v>1080</v>
      </c>
      <c r="K77" s="13">
        <f t="shared" ref="K77:K96" si="15">F77-J77</f>
        <v>909</v>
      </c>
      <c r="L77" s="14">
        <f t="shared" ref="L77:L96" si="16">IFERROR(K77/E77, 0)</f>
        <v>0.505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1</v>
      </c>
      <c r="B78" s="10" t="s">
        <v>21</v>
      </c>
      <c r="C78" s="11" t="s">
        <v>51</v>
      </c>
      <c r="D78" s="13">
        <v>1000</v>
      </c>
      <c r="E78" s="13">
        <f t="shared" si="12"/>
        <v>1000</v>
      </c>
      <c r="F78" s="13">
        <f t="shared" si="13"/>
        <v>1105</v>
      </c>
      <c r="G78" s="2"/>
      <c r="H78" s="2"/>
      <c r="I78" s="13">
        <f>15000/24</f>
        <v>625</v>
      </c>
      <c r="J78" s="13">
        <f t="shared" si="14"/>
        <v>625</v>
      </c>
      <c r="K78" s="13">
        <f t="shared" si="15"/>
        <v>480</v>
      </c>
      <c r="L78" s="14">
        <f t="shared" si="16"/>
        <v>0.48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5</v>
      </c>
      <c r="B79" s="10" t="s">
        <v>17</v>
      </c>
      <c r="C79" s="11" t="s">
        <v>62</v>
      </c>
      <c r="D79" s="13">
        <v>3000</v>
      </c>
      <c r="E79" s="13">
        <f t="shared" si="12"/>
        <v>15000</v>
      </c>
      <c r="F79" s="13">
        <f t="shared" si="13"/>
        <v>16575</v>
      </c>
      <c r="G79" s="2"/>
      <c r="H79" s="2"/>
      <c r="I79" s="13">
        <f>27000/17</f>
        <v>1588.2352941176471</v>
      </c>
      <c r="J79" s="13">
        <f t="shared" si="14"/>
        <v>7941.1764705882351</v>
      </c>
      <c r="K79" s="13">
        <f t="shared" si="15"/>
        <v>8633.8235294117658</v>
      </c>
      <c r="L79" s="14">
        <f t="shared" si="16"/>
        <v>0.57558823529411773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3</v>
      </c>
      <c r="B80" s="10" t="s">
        <v>17</v>
      </c>
      <c r="C80" s="11" t="s">
        <v>129</v>
      </c>
      <c r="D80" s="13">
        <v>1600</v>
      </c>
      <c r="E80" s="13">
        <f t="shared" si="12"/>
        <v>4800</v>
      </c>
      <c r="F80" s="13">
        <f t="shared" si="13"/>
        <v>5304</v>
      </c>
      <c r="G80" s="2"/>
      <c r="H80" s="2"/>
      <c r="I80" s="13">
        <v>1100</v>
      </c>
      <c r="J80" s="13">
        <f t="shared" si="14"/>
        <v>3300</v>
      </c>
      <c r="K80" s="13">
        <f t="shared" si="15"/>
        <v>2004</v>
      </c>
      <c r="L80" s="14">
        <f t="shared" si="16"/>
        <v>0.41749999999999998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1</v>
      </c>
      <c r="B81" s="10" t="s">
        <v>15</v>
      </c>
      <c r="C81" s="11" t="s">
        <v>27</v>
      </c>
      <c r="D81" s="13">
        <v>25000</v>
      </c>
      <c r="E81" s="13">
        <f t="shared" si="12"/>
        <v>25000</v>
      </c>
      <c r="F81" s="13">
        <f t="shared" si="13"/>
        <v>27625</v>
      </c>
      <c r="G81" s="2"/>
      <c r="H81" s="2"/>
      <c r="I81" s="13">
        <v>18300</v>
      </c>
      <c r="J81" s="13">
        <f t="shared" si="14"/>
        <v>18300</v>
      </c>
      <c r="K81" s="13">
        <f t="shared" si="15"/>
        <v>9325</v>
      </c>
      <c r="L81" s="14">
        <f t="shared" si="16"/>
        <v>0.373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12</v>
      </c>
      <c r="B82" s="10" t="s">
        <v>17</v>
      </c>
      <c r="C82" s="11" t="s">
        <v>48</v>
      </c>
      <c r="D82" s="13">
        <v>900</v>
      </c>
      <c r="E82" s="13">
        <f t="shared" si="12"/>
        <v>10800</v>
      </c>
      <c r="F82" s="13">
        <f t="shared" si="13"/>
        <v>11934</v>
      </c>
      <c r="G82" s="2"/>
      <c r="H82" s="2"/>
      <c r="I82" s="13">
        <f>8000/15</f>
        <v>533.33333333333337</v>
      </c>
      <c r="J82" s="13">
        <f t="shared" si="14"/>
        <v>6400</v>
      </c>
      <c r="K82" s="13">
        <f t="shared" si="15"/>
        <v>5534</v>
      </c>
      <c r="L82" s="14">
        <f t="shared" si="16"/>
        <v>0.51240740740740742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2</v>
      </c>
      <c r="B83" s="10" t="s">
        <v>17</v>
      </c>
      <c r="C83" s="11" t="s">
        <v>18</v>
      </c>
      <c r="D83" s="13">
        <v>1600</v>
      </c>
      <c r="E83" s="13">
        <f t="shared" si="12"/>
        <v>3200</v>
      </c>
      <c r="F83" s="13">
        <f t="shared" si="13"/>
        <v>3536</v>
      </c>
      <c r="G83" s="2"/>
      <c r="H83" s="2"/>
      <c r="I83" s="13">
        <v>1000</v>
      </c>
      <c r="J83" s="13">
        <f t="shared" si="14"/>
        <v>2000</v>
      </c>
      <c r="K83" s="13">
        <f t="shared" si="15"/>
        <v>1536</v>
      </c>
      <c r="L83" s="14">
        <f t="shared" si="16"/>
        <v>0.48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0.6</v>
      </c>
      <c r="B84" s="10" t="s">
        <v>17</v>
      </c>
      <c r="C84" s="11" t="s">
        <v>55</v>
      </c>
      <c r="D84" s="13">
        <v>20000</v>
      </c>
      <c r="E84" s="13">
        <f t="shared" si="12"/>
        <v>12000</v>
      </c>
      <c r="F84" s="13">
        <f t="shared" si="13"/>
        <v>13260</v>
      </c>
      <c r="G84" s="2"/>
      <c r="H84" s="2"/>
      <c r="I84" s="13">
        <v>16000</v>
      </c>
      <c r="J84" s="13">
        <f t="shared" si="14"/>
        <v>9600</v>
      </c>
      <c r="K84" s="13">
        <f t="shared" si="15"/>
        <v>3660</v>
      </c>
      <c r="L84" s="14">
        <f t="shared" si="16"/>
        <v>0.30499999999999999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</v>
      </c>
      <c r="B85" s="10" t="s">
        <v>21</v>
      </c>
      <c r="C85" s="11" t="s">
        <v>28</v>
      </c>
      <c r="D85" s="13">
        <v>3000</v>
      </c>
      <c r="E85" s="13">
        <f t="shared" si="12"/>
        <v>3000</v>
      </c>
      <c r="F85" s="13">
        <f t="shared" si="13"/>
        <v>3315</v>
      </c>
      <c r="G85" s="2"/>
      <c r="H85" s="2"/>
      <c r="I85" s="13">
        <v>2500</v>
      </c>
      <c r="J85" s="13">
        <f t="shared" si="14"/>
        <v>2500</v>
      </c>
      <c r="K85" s="13">
        <f t="shared" si="15"/>
        <v>815</v>
      </c>
      <c r="L85" s="14">
        <f t="shared" si="16"/>
        <v>0.27166666666666667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2</v>
      </c>
      <c r="B86" s="10" t="s">
        <v>21</v>
      </c>
      <c r="C86" s="11" t="s">
        <v>133</v>
      </c>
      <c r="D86" s="13">
        <v>3000</v>
      </c>
      <c r="E86" s="13">
        <f t="shared" si="12"/>
        <v>6000</v>
      </c>
      <c r="F86" s="13">
        <f t="shared" si="13"/>
        <v>6630</v>
      </c>
      <c r="G86" s="2"/>
      <c r="H86" s="2"/>
      <c r="I86" s="13">
        <v>625</v>
      </c>
      <c r="J86" s="13">
        <f t="shared" si="14"/>
        <v>1250</v>
      </c>
      <c r="K86" s="13">
        <f t="shared" si="15"/>
        <v>5380</v>
      </c>
      <c r="L86" s="14">
        <f t="shared" si="16"/>
        <v>0.89666666666666661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7</v>
      </c>
      <c r="B87" s="10" t="s">
        <v>21</v>
      </c>
      <c r="C87" s="11" t="s">
        <v>22</v>
      </c>
      <c r="D87" s="13">
        <v>1500</v>
      </c>
      <c r="E87" s="13">
        <f t="shared" si="12"/>
        <v>10500</v>
      </c>
      <c r="F87" s="13">
        <f t="shared" si="13"/>
        <v>11602.5</v>
      </c>
      <c r="G87" s="2"/>
      <c r="H87" s="2"/>
      <c r="I87" s="13">
        <v>127</v>
      </c>
      <c r="J87" s="13">
        <f t="shared" si="14"/>
        <v>889</v>
      </c>
      <c r="K87" s="13">
        <f t="shared" si="15"/>
        <v>10713.5</v>
      </c>
      <c r="L87" s="14">
        <f t="shared" si="16"/>
        <v>1.0203333333333333</v>
      </c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3</v>
      </c>
      <c r="B88" s="10" t="s">
        <v>17</v>
      </c>
      <c r="C88" s="11" t="s">
        <v>43</v>
      </c>
      <c r="D88" s="13">
        <v>4500</v>
      </c>
      <c r="E88" s="13">
        <f t="shared" si="12"/>
        <v>13500</v>
      </c>
      <c r="F88" s="13">
        <f t="shared" si="13"/>
        <v>14917.5</v>
      </c>
      <c r="G88" s="2"/>
      <c r="H88" s="2"/>
      <c r="I88" s="13">
        <f>13000/4</f>
        <v>3250</v>
      </c>
      <c r="J88" s="13">
        <f t="shared" si="14"/>
        <v>9750</v>
      </c>
      <c r="K88" s="13">
        <f t="shared" si="15"/>
        <v>5167.5</v>
      </c>
      <c r="L88" s="18">
        <f t="shared" si="16"/>
        <v>0.38277777777777777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1</v>
      </c>
      <c r="B89" s="10" t="s">
        <v>17</v>
      </c>
      <c r="C89" s="11" t="s">
        <v>31</v>
      </c>
      <c r="D89" s="13">
        <v>2800</v>
      </c>
      <c r="E89" s="13">
        <f t="shared" si="12"/>
        <v>2800</v>
      </c>
      <c r="F89" s="13">
        <f t="shared" si="13"/>
        <v>3094</v>
      </c>
      <c r="G89" s="2"/>
      <c r="H89" s="2"/>
      <c r="I89" s="13">
        <f>11000/7</f>
        <v>1571.4285714285713</v>
      </c>
      <c r="J89" s="13">
        <f t="shared" si="14"/>
        <v>1571.4285714285713</v>
      </c>
      <c r="K89" s="13">
        <f t="shared" si="15"/>
        <v>1522.5714285714287</v>
      </c>
      <c r="L89" s="18">
        <f t="shared" si="16"/>
        <v>0.54377551020408166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17</v>
      </c>
      <c r="C90" s="11" t="s">
        <v>34</v>
      </c>
      <c r="D90" s="13">
        <v>5000</v>
      </c>
      <c r="E90" s="13">
        <f t="shared" si="12"/>
        <v>5000</v>
      </c>
      <c r="F90" s="13">
        <f t="shared" si="13"/>
        <v>5525</v>
      </c>
      <c r="G90" s="2"/>
      <c r="H90" s="2"/>
      <c r="I90" s="13">
        <f>35000/15</f>
        <v>2333.3333333333335</v>
      </c>
      <c r="J90" s="13">
        <f t="shared" si="14"/>
        <v>2333.3333333333335</v>
      </c>
      <c r="K90" s="13">
        <f t="shared" si="15"/>
        <v>3191.6666666666665</v>
      </c>
      <c r="L90" s="18">
        <f t="shared" si="16"/>
        <v>0.63833333333333331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0.5</v>
      </c>
      <c r="B91" s="10" t="s">
        <v>21</v>
      </c>
      <c r="C91" s="11" t="s">
        <v>29</v>
      </c>
      <c r="D91" s="13">
        <v>3000</v>
      </c>
      <c r="E91" s="13">
        <f t="shared" si="12"/>
        <v>1500</v>
      </c>
      <c r="F91" s="13">
        <f t="shared" si="13"/>
        <v>1657.5</v>
      </c>
      <c r="G91" s="2"/>
      <c r="H91" s="2"/>
      <c r="I91" s="13">
        <v>1200</v>
      </c>
      <c r="J91" s="13">
        <f t="shared" si="14"/>
        <v>600</v>
      </c>
      <c r="K91" s="13">
        <f t="shared" si="15"/>
        <v>1057.5</v>
      </c>
      <c r="L91" s="18">
        <f t="shared" si="16"/>
        <v>0.70499999999999996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1.4</v>
      </c>
      <c r="B92" s="10" t="s">
        <v>17</v>
      </c>
      <c r="C92" s="11" t="s">
        <v>36</v>
      </c>
      <c r="D92" s="13">
        <v>1800</v>
      </c>
      <c r="E92" s="13">
        <f t="shared" si="12"/>
        <v>2520</v>
      </c>
      <c r="F92" s="13">
        <f t="shared" si="13"/>
        <v>2784.6</v>
      </c>
      <c r="G92" s="2"/>
      <c r="H92" s="2"/>
      <c r="I92" s="13">
        <f>8000/11</f>
        <v>727.27272727272725</v>
      </c>
      <c r="J92" s="13">
        <f t="shared" si="14"/>
        <v>1018.1818181818181</v>
      </c>
      <c r="K92" s="13">
        <f t="shared" si="15"/>
        <v>1766.4181818181819</v>
      </c>
      <c r="L92" s="33">
        <f t="shared" si="16"/>
        <v>0.700959595959596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1.3</v>
      </c>
      <c r="B93" s="10" t="s">
        <v>17</v>
      </c>
      <c r="C93" s="11" t="s">
        <v>38</v>
      </c>
      <c r="D93" s="13">
        <v>1800</v>
      </c>
      <c r="E93" s="13">
        <f t="shared" si="12"/>
        <v>2340</v>
      </c>
      <c r="F93" s="13">
        <f t="shared" si="13"/>
        <v>2585.6999999999998</v>
      </c>
      <c r="G93" s="2"/>
      <c r="H93" s="2"/>
      <c r="I93" s="13">
        <f>15000/12</f>
        <v>1250</v>
      </c>
      <c r="J93" s="13">
        <f t="shared" si="14"/>
        <v>1625</v>
      </c>
      <c r="K93" s="13">
        <f t="shared" si="15"/>
        <v>960.69999999999982</v>
      </c>
      <c r="L93" s="33">
        <f t="shared" si="16"/>
        <v>0.41055555555555545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15</v>
      </c>
      <c r="B94" s="10" t="s">
        <v>21</v>
      </c>
      <c r="C94" s="11" t="s">
        <v>46</v>
      </c>
      <c r="D94" s="13">
        <v>600</v>
      </c>
      <c r="E94" s="13">
        <f t="shared" si="12"/>
        <v>9000</v>
      </c>
      <c r="F94" s="13">
        <f t="shared" si="13"/>
        <v>9945</v>
      </c>
      <c r="G94" s="2"/>
      <c r="H94" s="2"/>
      <c r="I94" s="13">
        <f>7000/24</f>
        <v>291.66666666666669</v>
      </c>
      <c r="J94" s="13">
        <f t="shared" si="14"/>
        <v>4375</v>
      </c>
      <c r="K94" s="13">
        <f t="shared" si="15"/>
        <v>5570</v>
      </c>
      <c r="L94" s="18">
        <f t="shared" si="16"/>
        <v>0.61888888888888893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8</v>
      </c>
      <c r="B95" s="10" t="s">
        <v>17</v>
      </c>
      <c r="C95" s="11" t="s">
        <v>39</v>
      </c>
      <c r="D95" s="13">
        <v>1700</v>
      </c>
      <c r="E95" s="13">
        <f t="shared" si="12"/>
        <v>13600</v>
      </c>
      <c r="F95" s="13">
        <f t="shared" si="13"/>
        <v>15028</v>
      </c>
      <c r="G95" s="2"/>
      <c r="H95" s="2"/>
      <c r="I95" s="13">
        <f>18500/15</f>
        <v>1233.3333333333333</v>
      </c>
      <c r="J95" s="13">
        <f t="shared" si="14"/>
        <v>9866.6666666666661</v>
      </c>
      <c r="K95" s="13">
        <f t="shared" si="15"/>
        <v>5161.3333333333339</v>
      </c>
      <c r="L95" s="18">
        <f t="shared" si="16"/>
        <v>0.37950980392156869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10</v>
      </c>
      <c r="B96" s="10" t="s">
        <v>17</v>
      </c>
      <c r="C96" s="11" t="s">
        <v>40</v>
      </c>
      <c r="D96" s="13">
        <v>1500</v>
      </c>
      <c r="E96" s="13">
        <f t="shared" si="12"/>
        <v>15000</v>
      </c>
      <c r="F96" s="13">
        <f t="shared" si="13"/>
        <v>16575</v>
      </c>
      <c r="G96" s="2"/>
      <c r="H96" s="2"/>
      <c r="I96" s="13">
        <v>1000</v>
      </c>
      <c r="J96" s="13">
        <f t="shared" si="14"/>
        <v>10000</v>
      </c>
      <c r="K96" s="13">
        <f t="shared" si="15"/>
        <v>6575</v>
      </c>
      <c r="L96" s="18">
        <f t="shared" si="16"/>
        <v>0.43833333333333335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5"/>
      <c r="B97" s="2"/>
      <c r="C97" s="4"/>
      <c r="D97" s="13"/>
      <c r="E97" s="2"/>
      <c r="F97" s="2"/>
      <c r="G97" s="2"/>
      <c r="H97" s="2"/>
      <c r="I97" s="2"/>
      <c r="J97" s="2"/>
      <c r="K97" s="2"/>
      <c r="L97" s="3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"/>
      <c r="B98" s="2"/>
      <c r="C98" s="4"/>
      <c r="D98" s="2"/>
      <c r="E98" s="13">
        <f t="shared" ref="E98:F98" si="17">SUM(E77:E96)</f>
        <v>158360</v>
      </c>
      <c r="F98" s="13">
        <f t="shared" si="17"/>
        <v>174987.80000000002</v>
      </c>
      <c r="G98" s="2"/>
      <c r="H98" s="2"/>
      <c r="I98" s="2"/>
      <c r="J98" s="2"/>
      <c r="K98" s="13">
        <f>SUM(K77:K96)</f>
        <v>79963.013139801362</v>
      </c>
      <c r="L98" s="14">
        <f>K98/F98</f>
        <v>0.45696336053028469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88" t="s">
        <v>53</v>
      </c>
      <c r="B101" s="89"/>
      <c r="C101" s="89"/>
      <c r="D101" s="2"/>
      <c r="E101" s="7" t="s">
        <v>179</v>
      </c>
      <c r="F101" s="8">
        <v>46136</v>
      </c>
      <c r="G101" s="7" t="s">
        <v>1122</v>
      </c>
      <c r="H101" s="2"/>
      <c r="I101" s="9" t="s">
        <v>2</v>
      </c>
      <c r="J101" s="9"/>
      <c r="K101" s="9"/>
      <c r="L101" s="3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3"/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6" t="s">
        <v>3</v>
      </c>
      <c r="B103" s="10" t="s">
        <v>4</v>
      </c>
      <c r="C103" s="11" t="s">
        <v>5</v>
      </c>
      <c r="D103" s="10" t="s">
        <v>6</v>
      </c>
      <c r="E103" s="10" t="s">
        <v>7</v>
      </c>
      <c r="F103" s="10" t="s">
        <v>8</v>
      </c>
      <c r="G103" s="2"/>
      <c r="H103" s="2"/>
      <c r="I103" s="10" t="s">
        <v>9</v>
      </c>
      <c r="J103" s="10" t="s">
        <v>7</v>
      </c>
      <c r="K103" s="10" t="s">
        <v>10</v>
      </c>
      <c r="L103" s="3"/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1.5</v>
      </c>
      <c r="B104" s="10" t="s">
        <v>23</v>
      </c>
      <c r="C104" s="11" t="s">
        <v>39</v>
      </c>
      <c r="D104" s="13">
        <v>23000</v>
      </c>
      <c r="E104" s="13">
        <f t="shared" ref="E104:E140" si="18">A104*D104</f>
        <v>34500</v>
      </c>
      <c r="F104" s="13">
        <f t="shared" ref="F104:F139" si="19">E104*1.105</f>
        <v>38122.5</v>
      </c>
      <c r="G104" s="2"/>
      <c r="H104" s="2"/>
      <c r="I104" s="13">
        <v>18500</v>
      </c>
      <c r="J104" s="13">
        <f t="shared" ref="J104:J140" si="20">I104*A104</f>
        <v>27750</v>
      </c>
      <c r="K104" s="13">
        <f t="shared" ref="K104:K140" si="21">F104-J104</f>
        <v>10372.5</v>
      </c>
      <c r="L104" s="14">
        <f t="shared" ref="L104:L140" si="22">IFERROR(K104/E104, 0)</f>
        <v>0.3006521739130435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1</v>
      </c>
      <c r="B105" s="10" t="s">
        <v>23</v>
      </c>
      <c r="C105" s="11" t="s">
        <v>43</v>
      </c>
      <c r="D105" s="13">
        <v>18000</v>
      </c>
      <c r="E105" s="13">
        <f t="shared" si="18"/>
        <v>18000</v>
      </c>
      <c r="F105" s="13">
        <f t="shared" si="19"/>
        <v>19890</v>
      </c>
      <c r="G105" s="2"/>
      <c r="H105" s="2"/>
      <c r="I105" s="13">
        <v>13000</v>
      </c>
      <c r="J105" s="13">
        <f t="shared" si="20"/>
        <v>13000</v>
      </c>
      <c r="K105" s="13">
        <f t="shared" si="21"/>
        <v>6890</v>
      </c>
      <c r="L105" s="14">
        <f t="shared" si="22"/>
        <v>0.38277777777777777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2</v>
      </c>
      <c r="B106" s="10" t="s">
        <v>23</v>
      </c>
      <c r="C106" s="11" t="s">
        <v>46</v>
      </c>
      <c r="D106" s="13">
        <v>13000</v>
      </c>
      <c r="E106" s="13">
        <f t="shared" si="18"/>
        <v>26000</v>
      </c>
      <c r="F106" s="13">
        <f t="shared" si="19"/>
        <v>28730</v>
      </c>
      <c r="G106" s="2"/>
      <c r="H106" s="2"/>
      <c r="I106" s="13">
        <v>7000</v>
      </c>
      <c r="J106" s="13">
        <f t="shared" si="20"/>
        <v>14000</v>
      </c>
      <c r="K106" s="13">
        <f t="shared" si="21"/>
        <v>14730</v>
      </c>
      <c r="L106" s="14">
        <f t="shared" si="22"/>
        <v>0.56653846153846155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6</v>
      </c>
      <c r="B107" s="10" t="s">
        <v>15</v>
      </c>
      <c r="C107" s="11" t="s">
        <v>27</v>
      </c>
      <c r="D107" s="13">
        <v>25000</v>
      </c>
      <c r="E107" s="13">
        <f t="shared" si="18"/>
        <v>150000</v>
      </c>
      <c r="F107" s="13">
        <f t="shared" si="19"/>
        <v>165750</v>
      </c>
      <c r="G107" s="2"/>
      <c r="H107" s="2"/>
      <c r="I107" s="13">
        <v>18300</v>
      </c>
      <c r="J107" s="13">
        <f t="shared" si="20"/>
        <v>109800</v>
      </c>
      <c r="K107" s="13">
        <f t="shared" si="21"/>
        <v>55950</v>
      </c>
      <c r="L107" s="14">
        <f t="shared" si="22"/>
        <v>0.373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3</v>
      </c>
      <c r="B108" s="10" t="s">
        <v>15</v>
      </c>
      <c r="C108" s="11" t="s">
        <v>16</v>
      </c>
      <c r="D108" s="13">
        <v>13000</v>
      </c>
      <c r="E108" s="13">
        <f t="shared" si="18"/>
        <v>39000</v>
      </c>
      <c r="F108" s="13">
        <f t="shared" si="19"/>
        <v>43095</v>
      </c>
      <c r="G108" s="2"/>
      <c r="H108" s="2"/>
      <c r="I108" s="13">
        <v>8000</v>
      </c>
      <c r="J108" s="13">
        <f t="shared" si="20"/>
        <v>24000</v>
      </c>
      <c r="K108" s="13">
        <f t="shared" si="21"/>
        <v>19095</v>
      </c>
      <c r="L108" s="14">
        <f t="shared" si="22"/>
        <v>0.48961538461538462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</v>
      </c>
      <c r="B109" s="10" t="s">
        <v>15</v>
      </c>
      <c r="C109" s="11" t="s">
        <v>129</v>
      </c>
      <c r="D109" s="13">
        <v>16000</v>
      </c>
      <c r="E109" s="13">
        <f t="shared" si="18"/>
        <v>16000</v>
      </c>
      <c r="F109" s="13">
        <f t="shared" si="19"/>
        <v>17680</v>
      </c>
      <c r="G109" s="2"/>
      <c r="H109" s="2"/>
      <c r="I109" s="13">
        <v>11000</v>
      </c>
      <c r="J109" s="13">
        <f t="shared" si="20"/>
        <v>11000</v>
      </c>
      <c r="K109" s="13">
        <f t="shared" si="21"/>
        <v>6680</v>
      </c>
      <c r="L109" s="14">
        <f t="shared" si="22"/>
        <v>0.41749999999999998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7</v>
      </c>
      <c r="B110" s="10" t="s">
        <v>17</v>
      </c>
      <c r="C110" s="11" t="s">
        <v>36</v>
      </c>
      <c r="D110" s="13">
        <v>1800</v>
      </c>
      <c r="E110" s="13">
        <f t="shared" si="18"/>
        <v>12600</v>
      </c>
      <c r="F110" s="13">
        <f t="shared" si="19"/>
        <v>13923</v>
      </c>
      <c r="G110" s="2"/>
      <c r="H110" s="2"/>
      <c r="I110" s="13">
        <f>8000/11</f>
        <v>727.27272727272725</v>
      </c>
      <c r="J110" s="13">
        <f t="shared" si="20"/>
        <v>5090.909090909091</v>
      </c>
      <c r="K110" s="13">
        <f t="shared" si="21"/>
        <v>8832.0909090909081</v>
      </c>
      <c r="L110" s="14">
        <f t="shared" si="22"/>
        <v>0.70095959595959589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7.45</v>
      </c>
      <c r="B111" s="10" t="s">
        <v>17</v>
      </c>
      <c r="C111" s="11" t="s">
        <v>38</v>
      </c>
      <c r="D111" s="13">
        <v>1800</v>
      </c>
      <c r="E111" s="13">
        <f t="shared" si="18"/>
        <v>13410</v>
      </c>
      <c r="F111" s="13">
        <f t="shared" si="19"/>
        <v>14818.05</v>
      </c>
      <c r="G111" s="2"/>
      <c r="H111" s="2"/>
      <c r="I111" s="13">
        <f>15000/12</f>
        <v>1250</v>
      </c>
      <c r="J111" s="13">
        <f t="shared" si="20"/>
        <v>9312.5</v>
      </c>
      <c r="K111" s="13">
        <f t="shared" si="21"/>
        <v>5505.5499999999993</v>
      </c>
      <c r="L111" s="14">
        <f t="shared" si="22"/>
        <v>0.41055555555555551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5</v>
      </c>
      <c r="B112" s="10" t="s">
        <v>17</v>
      </c>
      <c r="C112" s="11" t="s">
        <v>31</v>
      </c>
      <c r="D112" s="13">
        <v>2800</v>
      </c>
      <c r="E112" s="13">
        <f t="shared" si="18"/>
        <v>14000</v>
      </c>
      <c r="F112" s="13">
        <f t="shared" si="19"/>
        <v>15470</v>
      </c>
      <c r="G112" s="2"/>
      <c r="H112" s="2"/>
      <c r="I112" s="13">
        <f>11000/7</f>
        <v>1571.4285714285713</v>
      </c>
      <c r="J112" s="13">
        <f t="shared" si="20"/>
        <v>7857.1428571428569</v>
      </c>
      <c r="K112" s="13">
        <f t="shared" si="21"/>
        <v>7612.8571428571431</v>
      </c>
      <c r="L112" s="14">
        <f t="shared" si="22"/>
        <v>0.54377551020408166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4</v>
      </c>
      <c r="B113" s="10" t="s">
        <v>17</v>
      </c>
      <c r="C113" s="34" t="s">
        <v>32</v>
      </c>
      <c r="D113" s="13">
        <v>2400</v>
      </c>
      <c r="E113" s="13">
        <f t="shared" si="18"/>
        <v>9600</v>
      </c>
      <c r="F113" s="13">
        <f t="shared" si="19"/>
        <v>10608</v>
      </c>
      <c r="G113" s="2"/>
      <c r="H113" s="2"/>
      <c r="I113" s="13">
        <f>12000/7</f>
        <v>1714.2857142857142</v>
      </c>
      <c r="J113" s="13">
        <f t="shared" si="20"/>
        <v>6857.1428571428569</v>
      </c>
      <c r="K113" s="13">
        <f t="shared" si="21"/>
        <v>3750.8571428571431</v>
      </c>
      <c r="L113" s="14">
        <f t="shared" si="22"/>
        <v>0.39071428571428574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4</v>
      </c>
      <c r="B114" s="10" t="s">
        <v>17</v>
      </c>
      <c r="C114" s="11" t="s">
        <v>33</v>
      </c>
      <c r="D114" s="13">
        <v>3000</v>
      </c>
      <c r="E114" s="13">
        <f t="shared" si="18"/>
        <v>12000</v>
      </c>
      <c r="F114" s="13">
        <f t="shared" si="19"/>
        <v>13260</v>
      </c>
      <c r="G114" s="2"/>
      <c r="H114" s="2"/>
      <c r="I114" s="13">
        <f>15000/7</f>
        <v>2142.8571428571427</v>
      </c>
      <c r="J114" s="13">
        <f t="shared" si="20"/>
        <v>8571.4285714285706</v>
      </c>
      <c r="K114" s="13">
        <f t="shared" si="21"/>
        <v>4688.5714285714294</v>
      </c>
      <c r="L114" s="14">
        <f t="shared" si="22"/>
        <v>0.39071428571428579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1</v>
      </c>
      <c r="B115" s="10" t="s">
        <v>4</v>
      </c>
      <c r="C115" s="11" t="s">
        <v>14</v>
      </c>
      <c r="D115" s="13">
        <v>3200</v>
      </c>
      <c r="E115" s="13">
        <f t="shared" si="18"/>
        <v>3200</v>
      </c>
      <c r="F115" s="13">
        <f t="shared" si="19"/>
        <v>3536</v>
      </c>
      <c r="G115" s="2"/>
      <c r="H115" s="2"/>
      <c r="I115" s="13">
        <f>20000/8</f>
        <v>2500</v>
      </c>
      <c r="J115" s="13">
        <f t="shared" si="20"/>
        <v>2500</v>
      </c>
      <c r="K115" s="13">
        <f t="shared" si="21"/>
        <v>1036</v>
      </c>
      <c r="L115" s="14">
        <f t="shared" si="22"/>
        <v>0.32374999999999998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</v>
      </c>
      <c r="B116" s="10" t="s">
        <v>21</v>
      </c>
      <c r="C116" s="11" t="s">
        <v>64</v>
      </c>
      <c r="D116" s="13">
        <v>2500</v>
      </c>
      <c r="E116" s="13">
        <f t="shared" si="18"/>
        <v>2500</v>
      </c>
      <c r="F116" s="13">
        <f t="shared" si="19"/>
        <v>2762.5</v>
      </c>
      <c r="G116" s="2"/>
      <c r="H116" s="13"/>
      <c r="I116" s="13">
        <v>1000</v>
      </c>
      <c r="J116" s="13">
        <f t="shared" si="20"/>
        <v>1000</v>
      </c>
      <c r="K116" s="13">
        <f t="shared" si="21"/>
        <v>1762.5</v>
      </c>
      <c r="L116" s="14">
        <f t="shared" si="22"/>
        <v>0.70499999999999996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1</v>
      </c>
      <c r="B117" s="10" t="s">
        <v>17</v>
      </c>
      <c r="C117" s="11" t="s">
        <v>30</v>
      </c>
      <c r="D117" s="13">
        <v>2600</v>
      </c>
      <c r="E117" s="13">
        <f t="shared" si="18"/>
        <v>2600</v>
      </c>
      <c r="F117" s="13">
        <f t="shared" si="19"/>
        <v>2873</v>
      </c>
      <c r="G117" s="2"/>
      <c r="H117" s="13"/>
      <c r="I117" s="13">
        <f>30000/14</f>
        <v>2142.8571428571427</v>
      </c>
      <c r="J117" s="13">
        <f t="shared" si="20"/>
        <v>2142.8571428571427</v>
      </c>
      <c r="K117" s="13">
        <f t="shared" si="21"/>
        <v>730.14285714285734</v>
      </c>
      <c r="L117" s="14">
        <f t="shared" si="22"/>
        <v>0.2808241758241759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2</v>
      </c>
      <c r="B118" s="10" t="s">
        <v>21</v>
      </c>
      <c r="C118" s="11" t="s">
        <v>42</v>
      </c>
      <c r="D118" s="13">
        <v>4500</v>
      </c>
      <c r="E118" s="13">
        <f t="shared" si="18"/>
        <v>9000</v>
      </c>
      <c r="F118" s="13">
        <f t="shared" si="19"/>
        <v>9945</v>
      </c>
      <c r="G118" s="2"/>
      <c r="H118" s="2"/>
      <c r="I118" s="13">
        <f>25000/14</f>
        <v>1785.7142857142858</v>
      </c>
      <c r="J118" s="13">
        <f t="shared" si="20"/>
        <v>3571.4285714285716</v>
      </c>
      <c r="K118" s="13">
        <f t="shared" si="21"/>
        <v>6373.5714285714284</v>
      </c>
      <c r="L118" s="14">
        <f t="shared" si="22"/>
        <v>0.70817460317460312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1</v>
      </c>
      <c r="B119" s="10" t="s">
        <v>21</v>
      </c>
      <c r="C119" s="11" t="s">
        <v>34</v>
      </c>
      <c r="D119" s="13">
        <v>5000</v>
      </c>
      <c r="E119" s="13">
        <f t="shared" si="18"/>
        <v>5000</v>
      </c>
      <c r="F119" s="13">
        <f t="shared" si="19"/>
        <v>5525</v>
      </c>
      <c r="G119" s="2"/>
      <c r="H119" s="2"/>
      <c r="I119" s="13">
        <f>35000/15</f>
        <v>2333.3333333333335</v>
      </c>
      <c r="J119" s="13">
        <f t="shared" si="20"/>
        <v>2333.3333333333335</v>
      </c>
      <c r="K119" s="13">
        <f t="shared" si="21"/>
        <v>3191.6666666666665</v>
      </c>
      <c r="L119" s="14">
        <f t="shared" si="22"/>
        <v>0.63833333333333331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1</v>
      </c>
      <c r="B120" s="10" t="s">
        <v>17</v>
      </c>
      <c r="C120" s="11" t="s">
        <v>1131</v>
      </c>
      <c r="D120" s="13">
        <v>4500</v>
      </c>
      <c r="E120" s="13">
        <f t="shared" si="18"/>
        <v>4500</v>
      </c>
      <c r="F120" s="13">
        <f t="shared" si="19"/>
        <v>4972.5</v>
      </c>
      <c r="G120" s="2"/>
      <c r="H120" s="2"/>
      <c r="I120" s="13">
        <f>30000/8</f>
        <v>3750</v>
      </c>
      <c r="J120" s="13">
        <f t="shared" si="20"/>
        <v>3750</v>
      </c>
      <c r="K120" s="13">
        <f t="shared" si="21"/>
        <v>1222.5</v>
      </c>
      <c r="L120" s="14">
        <f t="shared" si="22"/>
        <v>0.27166666666666667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2</v>
      </c>
      <c r="B121" s="10" t="s">
        <v>17</v>
      </c>
      <c r="C121" s="11" t="s">
        <v>61</v>
      </c>
      <c r="D121" s="13">
        <v>2800</v>
      </c>
      <c r="E121" s="13">
        <f t="shared" si="18"/>
        <v>5600</v>
      </c>
      <c r="F121" s="13">
        <f t="shared" si="19"/>
        <v>6188</v>
      </c>
      <c r="G121" s="2"/>
      <c r="H121" s="2"/>
      <c r="I121" s="13">
        <f>30000/14</f>
        <v>2142.8571428571427</v>
      </c>
      <c r="J121" s="13">
        <f t="shared" si="20"/>
        <v>4285.7142857142853</v>
      </c>
      <c r="K121" s="13">
        <f t="shared" si="21"/>
        <v>1902.2857142857147</v>
      </c>
      <c r="L121" s="14">
        <f t="shared" si="22"/>
        <v>0.33969387755102048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1</v>
      </c>
      <c r="B122" s="10" t="s">
        <v>17</v>
      </c>
      <c r="C122" s="11" t="s">
        <v>55</v>
      </c>
      <c r="D122" s="13">
        <v>20000</v>
      </c>
      <c r="E122" s="13">
        <f t="shared" si="18"/>
        <v>20000</v>
      </c>
      <c r="F122" s="13">
        <f t="shared" si="19"/>
        <v>22100</v>
      </c>
      <c r="G122" s="2"/>
      <c r="H122" s="2"/>
      <c r="I122" s="13">
        <v>16000</v>
      </c>
      <c r="J122" s="13">
        <f t="shared" si="20"/>
        <v>16000</v>
      </c>
      <c r="K122" s="13">
        <f t="shared" si="21"/>
        <v>6100</v>
      </c>
      <c r="L122" s="14">
        <f t="shared" si="22"/>
        <v>0.30499999999999999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2</v>
      </c>
      <c r="B123" s="10" t="s">
        <v>21</v>
      </c>
      <c r="C123" s="11" t="s">
        <v>52</v>
      </c>
      <c r="D123" s="13">
        <v>2000</v>
      </c>
      <c r="E123" s="13">
        <f t="shared" si="18"/>
        <v>4000</v>
      </c>
      <c r="F123" s="13">
        <f t="shared" si="19"/>
        <v>4420</v>
      </c>
      <c r="G123" s="2"/>
      <c r="H123" s="2"/>
      <c r="I123" s="13">
        <v>1000</v>
      </c>
      <c r="J123" s="13">
        <f t="shared" si="20"/>
        <v>2000</v>
      </c>
      <c r="K123" s="13">
        <f t="shared" si="21"/>
        <v>2420</v>
      </c>
      <c r="L123" s="14">
        <f t="shared" si="22"/>
        <v>0.60499999999999998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2</v>
      </c>
      <c r="B124" s="10" t="s">
        <v>21</v>
      </c>
      <c r="C124" s="11" t="s">
        <v>133</v>
      </c>
      <c r="D124" s="13">
        <v>3000</v>
      </c>
      <c r="E124" s="13">
        <f t="shared" si="18"/>
        <v>6000</v>
      </c>
      <c r="F124" s="13">
        <f t="shared" si="19"/>
        <v>6630</v>
      </c>
      <c r="G124" s="2"/>
      <c r="H124" s="13"/>
      <c r="I124" s="13">
        <f>15000/24</f>
        <v>625</v>
      </c>
      <c r="J124" s="13">
        <f t="shared" si="20"/>
        <v>1250</v>
      </c>
      <c r="K124" s="13">
        <f t="shared" si="21"/>
        <v>5380</v>
      </c>
      <c r="L124" s="14">
        <f t="shared" si="22"/>
        <v>0.89666666666666661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2</v>
      </c>
      <c r="B125" s="10" t="s">
        <v>21</v>
      </c>
      <c r="C125" s="11" t="s">
        <v>28</v>
      </c>
      <c r="D125" s="13">
        <v>3000</v>
      </c>
      <c r="E125" s="13">
        <f t="shared" si="18"/>
        <v>6000</v>
      </c>
      <c r="F125" s="13">
        <f t="shared" si="19"/>
        <v>6630</v>
      </c>
      <c r="G125" s="2"/>
      <c r="H125" s="13"/>
      <c r="I125" s="13">
        <v>2500</v>
      </c>
      <c r="J125" s="13">
        <f t="shared" si="20"/>
        <v>5000</v>
      </c>
      <c r="K125" s="13">
        <f t="shared" si="21"/>
        <v>1630</v>
      </c>
      <c r="L125" s="14">
        <f t="shared" si="22"/>
        <v>0.27166666666666667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1</v>
      </c>
      <c r="B126" s="10" t="s">
        <v>21</v>
      </c>
      <c r="C126" s="11" t="s">
        <v>29</v>
      </c>
      <c r="D126" s="13">
        <v>3000</v>
      </c>
      <c r="E126" s="13">
        <f t="shared" si="18"/>
        <v>3000</v>
      </c>
      <c r="F126" s="13">
        <f t="shared" si="19"/>
        <v>3315</v>
      </c>
      <c r="G126" s="2"/>
      <c r="H126" s="2"/>
      <c r="I126" s="13">
        <v>1200</v>
      </c>
      <c r="J126" s="13">
        <f t="shared" si="20"/>
        <v>1200</v>
      </c>
      <c r="K126" s="13">
        <f t="shared" si="21"/>
        <v>2115</v>
      </c>
      <c r="L126" s="14">
        <f t="shared" si="22"/>
        <v>0.70499999999999996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2</v>
      </c>
      <c r="B127" s="10" t="s">
        <v>4</v>
      </c>
      <c r="C127" s="11" t="s">
        <v>13</v>
      </c>
      <c r="D127" s="13">
        <v>900</v>
      </c>
      <c r="E127" s="13">
        <f t="shared" si="18"/>
        <v>1800</v>
      </c>
      <c r="F127" s="13">
        <f t="shared" si="19"/>
        <v>1989</v>
      </c>
      <c r="G127" s="2"/>
      <c r="H127" s="2"/>
      <c r="I127" s="13">
        <f>27000/50</f>
        <v>540</v>
      </c>
      <c r="J127" s="13">
        <f t="shared" si="20"/>
        <v>1080</v>
      </c>
      <c r="K127" s="13">
        <f t="shared" si="21"/>
        <v>909</v>
      </c>
      <c r="L127" s="14">
        <f t="shared" si="22"/>
        <v>0.505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5</v>
      </c>
      <c r="B128" s="10" t="s">
        <v>17</v>
      </c>
      <c r="C128" s="11" t="s">
        <v>56</v>
      </c>
      <c r="D128" s="13">
        <v>1200</v>
      </c>
      <c r="E128" s="13">
        <f t="shared" si="18"/>
        <v>6000</v>
      </c>
      <c r="F128" s="13">
        <f t="shared" si="19"/>
        <v>6630</v>
      </c>
      <c r="G128" s="2"/>
      <c r="H128" s="2"/>
      <c r="I128" s="13">
        <f>10000/15</f>
        <v>666.66666666666663</v>
      </c>
      <c r="J128" s="13">
        <f t="shared" si="20"/>
        <v>3333.333333333333</v>
      </c>
      <c r="K128" s="13">
        <f t="shared" si="21"/>
        <v>3296.666666666667</v>
      </c>
      <c r="L128" s="14">
        <f t="shared" si="22"/>
        <v>0.54944444444444451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5</v>
      </c>
      <c r="B129" s="10" t="s">
        <v>17</v>
      </c>
      <c r="C129" s="11" t="s">
        <v>18</v>
      </c>
      <c r="D129" s="13">
        <v>1600</v>
      </c>
      <c r="E129" s="13">
        <f t="shared" si="18"/>
        <v>8000</v>
      </c>
      <c r="F129" s="13">
        <f t="shared" si="19"/>
        <v>8840</v>
      </c>
      <c r="G129" s="2"/>
      <c r="H129" s="2"/>
      <c r="I129" s="13">
        <v>1000</v>
      </c>
      <c r="J129" s="13">
        <f t="shared" si="20"/>
        <v>5000</v>
      </c>
      <c r="K129" s="13">
        <f t="shared" si="21"/>
        <v>3840</v>
      </c>
      <c r="L129" s="14">
        <f t="shared" si="22"/>
        <v>0.48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1</v>
      </c>
      <c r="B130" s="10" t="s">
        <v>21</v>
      </c>
      <c r="C130" s="11" t="s">
        <v>51</v>
      </c>
      <c r="D130" s="13">
        <v>1000</v>
      </c>
      <c r="E130" s="13">
        <f t="shared" si="18"/>
        <v>1000</v>
      </c>
      <c r="F130" s="13">
        <f t="shared" si="19"/>
        <v>1105</v>
      </c>
      <c r="G130" s="2"/>
      <c r="H130" s="2"/>
      <c r="I130" s="13">
        <f>15000/24</f>
        <v>625</v>
      </c>
      <c r="J130" s="13">
        <f t="shared" si="20"/>
        <v>625</v>
      </c>
      <c r="K130" s="13">
        <f t="shared" si="21"/>
        <v>480</v>
      </c>
      <c r="L130" s="14">
        <f t="shared" si="22"/>
        <v>0.48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1</v>
      </c>
      <c r="B131" s="10" t="s">
        <v>17</v>
      </c>
      <c r="C131" s="11" t="s">
        <v>93</v>
      </c>
      <c r="D131" s="13">
        <v>2800</v>
      </c>
      <c r="E131" s="13">
        <f t="shared" si="18"/>
        <v>2800</v>
      </c>
      <c r="F131" s="13">
        <f t="shared" si="19"/>
        <v>3094</v>
      </c>
      <c r="G131" s="2"/>
      <c r="H131" s="2"/>
      <c r="I131" s="13">
        <f>10000/7</f>
        <v>1428.5714285714287</v>
      </c>
      <c r="J131" s="13">
        <f t="shared" si="20"/>
        <v>1428.5714285714287</v>
      </c>
      <c r="K131" s="13">
        <f t="shared" si="21"/>
        <v>1665.4285714285713</v>
      </c>
      <c r="L131" s="14">
        <f t="shared" si="22"/>
        <v>0.59479591836734691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3</v>
      </c>
      <c r="B132" s="10" t="s">
        <v>4</v>
      </c>
      <c r="C132" s="11" t="s">
        <v>65</v>
      </c>
      <c r="D132" s="13">
        <v>800</v>
      </c>
      <c r="E132" s="13">
        <f t="shared" si="18"/>
        <v>2400</v>
      </c>
      <c r="F132" s="13">
        <f t="shared" si="19"/>
        <v>2652</v>
      </c>
      <c r="G132" s="2"/>
      <c r="H132" s="2"/>
      <c r="I132" s="13">
        <f>12000/50</f>
        <v>240</v>
      </c>
      <c r="J132" s="13">
        <f t="shared" si="20"/>
        <v>720</v>
      </c>
      <c r="K132" s="13">
        <f t="shared" si="21"/>
        <v>1932</v>
      </c>
      <c r="L132" s="14">
        <f t="shared" si="22"/>
        <v>0.80500000000000005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1</v>
      </c>
      <c r="B133" s="10" t="s">
        <v>23</v>
      </c>
      <c r="C133" s="11" t="s">
        <v>22</v>
      </c>
      <c r="D133" s="13">
        <v>15000</v>
      </c>
      <c r="E133" s="13">
        <f t="shared" si="18"/>
        <v>15000</v>
      </c>
      <c r="F133" s="13">
        <f t="shared" si="19"/>
        <v>16575</v>
      </c>
      <c r="G133" s="2"/>
      <c r="H133" s="2"/>
      <c r="I133" s="13">
        <v>1000</v>
      </c>
      <c r="J133" s="13">
        <f t="shared" si="20"/>
        <v>1000</v>
      </c>
      <c r="K133" s="13">
        <f t="shared" si="21"/>
        <v>15575</v>
      </c>
      <c r="L133" s="14">
        <f t="shared" si="22"/>
        <v>1.0383333333333333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2</v>
      </c>
      <c r="B134" s="10" t="s">
        <v>17</v>
      </c>
      <c r="C134" s="11" t="s">
        <v>35</v>
      </c>
      <c r="D134" s="13">
        <v>2500</v>
      </c>
      <c r="E134" s="13">
        <f t="shared" si="18"/>
        <v>5000</v>
      </c>
      <c r="F134" s="13">
        <f t="shared" si="19"/>
        <v>5525</v>
      </c>
      <c r="G134" s="2"/>
      <c r="H134" s="2"/>
      <c r="I134" s="13">
        <f>14000/9</f>
        <v>1555.5555555555557</v>
      </c>
      <c r="J134" s="13">
        <f t="shared" si="20"/>
        <v>3111.1111111111113</v>
      </c>
      <c r="K134" s="13">
        <f t="shared" si="21"/>
        <v>2413.8888888888887</v>
      </c>
      <c r="L134" s="14">
        <f t="shared" si="22"/>
        <v>0.48277777777777775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2</v>
      </c>
      <c r="B135" s="10" t="s">
        <v>15</v>
      </c>
      <c r="C135" s="11" t="s">
        <v>40</v>
      </c>
      <c r="D135" s="13">
        <v>12000</v>
      </c>
      <c r="E135" s="13">
        <f t="shared" si="18"/>
        <v>24000</v>
      </c>
      <c r="F135" s="13">
        <f t="shared" si="19"/>
        <v>26520</v>
      </c>
      <c r="G135" s="2"/>
      <c r="H135" s="2"/>
      <c r="I135" s="13">
        <v>8000</v>
      </c>
      <c r="J135" s="13">
        <f t="shared" si="20"/>
        <v>16000</v>
      </c>
      <c r="K135" s="13">
        <f t="shared" si="21"/>
        <v>10520</v>
      </c>
      <c r="L135" s="14">
        <f t="shared" si="22"/>
        <v>0.43833333333333335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1</v>
      </c>
      <c r="B136" s="10" t="s">
        <v>23</v>
      </c>
      <c r="C136" s="11" t="s">
        <v>25</v>
      </c>
      <c r="D136" s="13">
        <v>72000</v>
      </c>
      <c r="E136" s="13">
        <f t="shared" si="18"/>
        <v>72000</v>
      </c>
      <c r="F136" s="13">
        <f t="shared" si="19"/>
        <v>79560</v>
      </c>
      <c r="G136" s="2"/>
      <c r="H136" s="2"/>
      <c r="I136" s="13">
        <v>62000</v>
      </c>
      <c r="J136" s="13">
        <f t="shared" si="20"/>
        <v>62000</v>
      </c>
      <c r="K136" s="13">
        <f t="shared" si="21"/>
        <v>17560</v>
      </c>
      <c r="L136" s="14">
        <f t="shared" si="22"/>
        <v>0.24388888888888888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2</v>
      </c>
      <c r="B137" s="10" t="s">
        <v>23</v>
      </c>
      <c r="C137" s="11" t="s">
        <v>26</v>
      </c>
      <c r="D137" s="13">
        <v>19000</v>
      </c>
      <c r="E137" s="13">
        <f t="shared" si="18"/>
        <v>38000</v>
      </c>
      <c r="F137" s="13">
        <f t="shared" si="19"/>
        <v>41990</v>
      </c>
      <c r="G137" s="2"/>
      <c r="H137" s="2"/>
      <c r="I137" s="13">
        <v>12000</v>
      </c>
      <c r="J137" s="13">
        <f t="shared" si="20"/>
        <v>24000</v>
      </c>
      <c r="K137" s="13">
        <f t="shared" si="21"/>
        <v>17990</v>
      </c>
      <c r="L137" s="14">
        <f t="shared" si="22"/>
        <v>0.47342105263157896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1</v>
      </c>
      <c r="B138" s="10" t="s">
        <v>23</v>
      </c>
      <c r="C138" s="11" t="s">
        <v>67</v>
      </c>
      <c r="D138" s="13">
        <v>18000</v>
      </c>
      <c r="E138" s="13">
        <f t="shared" si="18"/>
        <v>18000</v>
      </c>
      <c r="F138" s="13">
        <f t="shared" si="19"/>
        <v>19890</v>
      </c>
      <c r="G138" s="2"/>
      <c r="H138" s="2"/>
      <c r="I138" s="13">
        <v>15000</v>
      </c>
      <c r="J138" s="13">
        <f t="shared" si="20"/>
        <v>15000</v>
      </c>
      <c r="K138" s="13">
        <f t="shared" si="21"/>
        <v>4890</v>
      </c>
      <c r="L138" s="14">
        <f t="shared" si="22"/>
        <v>0.27166666666666667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12.35</v>
      </c>
      <c r="B139" s="10" t="s">
        <v>17</v>
      </c>
      <c r="C139" s="11" t="s">
        <v>62</v>
      </c>
      <c r="D139" s="13">
        <v>3000</v>
      </c>
      <c r="E139" s="13">
        <f t="shared" si="18"/>
        <v>37050</v>
      </c>
      <c r="F139" s="13">
        <f t="shared" si="19"/>
        <v>40940.25</v>
      </c>
      <c r="G139" s="2"/>
      <c r="H139" s="2"/>
      <c r="I139" s="13">
        <f>27000/17</f>
        <v>1588.2352941176471</v>
      </c>
      <c r="J139" s="13">
        <f t="shared" si="20"/>
        <v>19614.705882352941</v>
      </c>
      <c r="K139" s="13">
        <f t="shared" si="21"/>
        <v>21325.544117647059</v>
      </c>
      <c r="L139" s="14">
        <f t="shared" si="22"/>
        <v>0.57558823529411762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0.5</v>
      </c>
      <c r="B140" s="10" t="s">
        <v>23</v>
      </c>
      <c r="C140" s="11" t="s">
        <v>12</v>
      </c>
      <c r="D140" s="13">
        <v>54000</v>
      </c>
      <c r="E140" s="13">
        <f t="shared" si="18"/>
        <v>27000</v>
      </c>
      <c r="F140" s="13">
        <f>E140*1.21</f>
        <v>32670</v>
      </c>
      <c r="G140" s="2"/>
      <c r="H140" s="2"/>
      <c r="I140" s="13">
        <v>54000</v>
      </c>
      <c r="J140" s="13">
        <f t="shared" si="20"/>
        <v>27000</v>
      </c>
      <c r="K140" s="13">
        <f t="shared" si="21"/>
        <v>5670</v>
      </c>
      <c r="L140" s="14">
        <f t="shared" si="22"/>
        <v>0.21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5"/>
      <c r="B141" s="2"/>
      <c r="C141" s="4"/>
      <c r="D141" s="2"/>
      <c r="E141" s="2"/>
      <c r="F141" s="2"/>
      <c r="G141" s="2"/>
      <c r="H141" s="2"/>
      <c r="I141" s="2"/>
      <c r="J141" s="2"/>
      <c r="K141" s="2"/>
      <c r="L141" s="3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"/>
      <c r="B142" s="2"/>
      <c r="C142" s="4"/>
      <c r="D142" s="2"/>
      <c r="E142" s="13">
        <f t="shared" ref="E142:F142" si="23">SUM(E104:E140)</f>
        <v>674560</v>
      </c>
      <c r="F142" s="13">
        <f t="shared" si="23"/>
        <v>748223.8</v>
      </c>
      <c r="G142" s="2"/>
      <c r="H142" s="2"/>
      <c r="I142" s="2"/>
      <c r="J142" s="2"/>
      <c r="K142" s="13">
        <f>SUM(K104:K140)</f>
        <v>286038.62153467443</v>
      </c>
      <c r="L142" s="14">
        <f>K142/F142</f>
        <v>0.38229019383595442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"/>
      <c r="B143" s="2"/>
      <c r="C143" s="4"/>
      <c r="D143" s="2"/>
      <c r="E143" s="2"/>
      <c r="F143" s="2"/>
      <c r="G143" s="2"/>
      <c r="H143" s="2"/>
      <c r="I143" s="2"/>
      <c r="J143" s="2"/>
      <c r="K143" s="2"/>
      <c r="L143" s="3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"/>
      <c r="B144" s="2"/>
      <c r="C144" s="4"/>
      <c r="D144" s="2"/>
      <c r="E144" s="2"/>
      <c r="F144" s="2"/>
      <c r="G144" s="2"/>
      <c r="H144" s="2"/>
      <c r="I144" s="2"/>
      <c r="J144" s="2"/>
      <c r="K144" s="2"/>
      <c r="L144" s="3"/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"/>
      <c r="B145" s="2"/>
      <c r="C145" s="4"/>
      <c r="D145" s="2"/>
      <c r="E145" s="2"/>
      <c r="F145" s="2"/>
      <c r="G145" s="2"/>
      <c r="H145" s="2"/>
      <c r="I145" s="2"/>
      <c r="J145" s="2"/>
      <c r="K145" s="2"/>
      <c r="L145" s="3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"/>
      <c r="B146" s="1"/>
      <c r="C146" s="1"/>
      <c r="D146" s="2"/>
      <c r="E146" s="2"/>
      <c r="F146" s="5"/>
      <c r="G146" s="2"/>
      <c r="H146" s="2"/>
      <c r="I146" s="2"/>
      <c r="J146" s="2"/>
      <c r="K146" s="2"/>
      <c r="L146" s="3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88" t="s">
        <v>57</v>
      </c>
      <c r="B147" s="89"/>
      <c r="C147" s="89"/>
      <c r="D147" s="2"/>
      <c r="E147" s="7" t="s">
        <v>1098</v>
      </c>
      <c r="F147" s="8">
        <v>46136</v>
      </c>
      <c r="G147" s="7" t="s">
        <v>106</v>
      </c>
      <c r="H147" s="2"/>
      <c r="I147" s="9" t="s">
        <v>2</v>
      </c>
      <c r="J147" s="9"/>
      <c r="K147" s="9"/>
      <c r="L147" s="3"/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3"/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6" t="s">
        <v>3</v>
      </c>
      <c r="B149" s="10" t="s">
        <v>4</v>
      </c>
      <c r="C149" s="11" t="s">
        <v>5</v>
      </c>
      <c r="D149" s="10" t="s">
        <v>6</v>
      </c>
      <c r="E149" s="10" t="s">
        <v>7</v>
      </c>
      <c r="F149" s="10" t="s">
        <v>8</v>
      </c>
      <c r="G149" s="2"/>
      <c r="H149" s="2"/>
      <c r="I149" s="10" t="s">
        <v>9</v>
      </c>
      <c r="J149" s="10" t="s">
        <v>7</v>
      </c>
      <c r="K149" s="10" t="s">
        <v>10</v>
      </c>
      <c r="L149" s="3"/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</v>
      </c>
      <c r="B150" s="10" t="s">
        <v>23</v>
      </c>
      <c r="C150" s="11" t="s">
        <v>24</v>
      </c>
      <c r="D150" s="13">
        <v>60000</v>
      </c>
      <c r="E150" s="13">
        <f t="shared" ref="E150:E171" si="24">A150*D150</f>
        <v>60000</v>
      </c>
      <c r="F150" s="13">
        <f t="shared" ref="F150:F170" si="25">E150*1.105</f>
        <v>66300</v>
      </c>
      <c r="G150" s="2"/>
      <c r="H150" s="2"/>
      <c r="I150" s="13">
        <v>50000</v>
      </c>
      <c r="J150" s="13">
        <f t="shared" ref="J150:J171" si="26">I150*A150</f>
        <v>50000</v>
      </c>
      <c r="K150" s="13">
        <f t="shared" ref="K150:K171" si="27">F150-J150</f>
        <v>16300</v>
      </c>
      <c r="L150" s="14">
        <f t="shared" ref="L150:L171" si="28">IFERROR(K150/E150, 0)</f>
        <v>0.27166666666666667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1.5</v>
      </c>
      <c r="B151" s="10" t="s">
        <v>17</v>
      </c>
      <c r="C151" s="11" t="s">
        <v>43</v>
      </c>
      <c r="D151" s="13">
        <v>4500</v>
      </c>
      <c r="E151" s="13">
        <f t="shared" si="24"/>
        <v>6750</v>
      </c>
      <c r="F151" s="13">
        <f t="shared" si="25"/>
        <v>7458.75</v>
      </c>
      <c r="G151" s="2"/>
      <c r="H151" s="2"/>
      <c r="I151" s="13">
        <f>13000/4</f>
        <v>3250</v>
      </c>
      <c r="J151" s="13">
        <f t="shared" si="26"/>
        <v>4875</v>
      </c>
      <c r="K151" s="13">
        <f t="shared" si="27"/>
        <v>2583.75</v>
      </c>
      <c r="L151" s="14">
        <f t="shared" si="28"/>
        <v>0.38277777777777777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3</v>
      </c>
      <c r="B152" s="10" t="s">
        <v>17</v>
      </c>
      <c r="C152" s="11" t="s">
        <v>36</v>
      </c>
      <c r="D152" s="13">
        <v>1800</v>
      </c>
      <c r="E152" s="13">
        <f t="shared" si="24"/>
        <v>5400</v>
      </c>
      <c r="F152" s="13">
        <f t="shared" si="25"/>
        <v>5967</v>
      </c>
      <c r="G152" s="2"/>
      <c r="H152" s="13"/>
      <c r="I152" s="13">
        <f>8000/11</f>
        <v>727.27272727272725</v>
      </c>
      <c r="J152" s="13">
        <f t="shared" si="26"/>
        <v>2181.818181818182</v>
      </c>
      <c r="K152" s="13">
        <f t="shared" si="27"/>
        <v>3785.181818181818</v>
      </c>
      <c r="L152" s="14">
        <f t="shared" si="28"/>
        <v>0.70095959595959589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</v>
      </c>
      <c r="B153" s="10" t="s">
        <v>21</v>
      </c>
      <c r="C153" s="11" t="s">
        <v>133</v>
      </c>
      <c r="D153" s="13">
        <v>3000</v>
      </c>
      <c r="E153" s="13">
        <f t="shared" si="24"/>
        <v>3000</v>
      </c>
      <c r="F153" s="13">
        <f t="shared" si="25"/>
        <v>3315</v>
      </c>
      <c r="G153" s="2"/>
      <c r="H153" s="13"/>
      <c r="I153" s="13">
        <v>625</v>
      </c>
      <c r="J153" s="13">
        <f t="shared" si="26"/>
        <v>625</v>
      </c>
      <c r="K153" s="13">
        <f t="shared" si="27"/>
        <v>2690</v>
      </c>
      <c r="L153" s="14">
        <f t="shared" si="28"/>
        <v>0.89666666666666661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3</v>
      </c>
      <c r="B154" s="10" t="s">
        <v>17</v>
      </c>
      <c r="C154" s="11" t="s">
        <v>31</v>
      </c>
      <c r="D154" s="13">
        <v>2800</v>
      </c>
      <c r="E154" s="13">
        <f t="shared" si="24"/>
        <v>8400</v>
      </c>
      <c r="F154" s="13">
        <f t="shared" si="25"/>
        <v>9282</v>
      </c>
      <c r="G154" s="2"/>
      <c r="I154" s="13">
        <f>11000/7</f>
        <v>1571.4285714285713</v>
      </c>
      <c r="J154" s="13">
        <f t="shared" si="26"/>
        <v>4714.2857142857138</v>
      </c>
      <c r="K154" s="13">
        <f t="shared" si="27"/>
        <v>4567.7142857142862</v>
      </c>
      <c r="L154" s="14">
        <f t="shared" si="28"/>
        <v>0.54377551020408166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12</v>
      </c>
      <c r="B155" s="10" t="s">
        <v>21</v>
      </c>
      <c r="C155" s="11" t="s">
        <v>22</v>
      </c>
      <c r="D155" s="13">
        <v>1500</v>
      </c>
      <c r="E155" s="13">
        <f t="shared" si="24"/>
        <v>18000</v>
      </c>
      <c r="F155" s="13">
        <f t="shared" si="25"/>
        <v>19890</v>
      </c>
      <c r="G155" s="2"/>
      <c r="I155" s="13">
        <v>1000</v>
      </c>
      <c r="J155" s="13">
        <f t="shared" si="26"/>
        <v>12000</v>
      </c>
      <c r="K155" s="13">
        <f t="shared" si="27"/>
        <v>7890</v>
      </c>
      <c r="L155" s="14">
        <f t="shared" si="28"/>
        <v>0.43833333333333335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0.4</v>
      </c>
      <c r="B156" s="10" t="s">
        <v>17</v>
      </c>
      <c r="C156" s="11" t="s">
        <v>34</v>
      </c>
      <c r="D156" s="13">
        <v>5000</v>
      </c>
      <c r="E156" s="13">
        <f t="shared" si="24"/>
        <v>2000</v>
      </c>
      <c r="F156" s="13">
        <f t="shared" si="25"/>
        <v>2210</v>
      </c>
      <c r="G156" s="2"/>
      <c r="H156" s="2"/>
      <c r="I156" s="13">
        <f>35000/15</f>
        <v>2333.3333333333335</v>
      </c>
      <c r="J156" s="13">
        <f t="shared" si="26"/>
        <v>933.33333333333348</v>
      </c>
      <c r="K156" s="13">
        <f t="shared" si="27"/>
        <v>1276.6666666666665</v>
      </c>
      <c r="L156" s="14">
        <f t="shared" si="28"/>
        <v>0.63833333333333331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3</v>
      </c>
      <c r="B157" s="10" t="s">
        <v>17</v>
      </c>
      <c r="C157" s="11" t="s">
        <v>18</v>
      </c>
      <c r="D157" s="13">
        <v>1600</v>
      </c>
      <c r="E157" s="13">
        <f t="shared" si="24"/>
        <v>4800</v>
      </c>
      <c r="F157" s="13">
        <f t="shared" si="25"/>
        <v>5304</v>
      </c>
      <c r="G157" s="2"/>
      <c r="H157" s="2"/>
      <c r="I157" s="13">
        <v>1000</v>
      </c>
      <c r="J157" s="13">
        <f t="shared" si="26"/>
        <v>3000</v>
      </c>
      <c r="K157" s="13">
        <f t="shared" si="27"/>
        <v>2304</v>
      </c>
      <c r="L157" s="14">
        <f t="shared" si="28"/>
        <v>0.48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3</v>
      </c>
      <c r="B158" s="10" t="s">
        <v>17</v>
      </c>
      <c r="C158" s="11" t="s">
        <v>56</v>
      </c>
      <c r="D158" s="13">
        <v>1200</v>
      </c>
      <c r="E158" s="13">
        <f t="shared" si="24"/>
        <v>3600</v>
      </c>
      <c r="F158" s="13">
        <f t="shared" si="25"/>
        <v>3978</v>
      </c>
      <c r="G158" s="2"/>
      <c r="H158" s="2"/>
      <c r="I158" s="13">
        <f>10000/15</f>
        <v>666.66666666666663</v>
      </c>
      <c r="J158" s="13">
        <f t="shared" si="26"/>
        <v>2000</v>
      </c>
      <c r="K158" s="13">
        <f t="shared" si="27"/>
        <v>1978</v>
      </c>
      <c r="L158" s="14">
        <f t="shared" si="28"/>
        <v>0.5494444444444444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12</v>
      </c>
      <c r="B159" s="10" t="s">
        <v>17</v>
      </c>
      <c r="C159" s="11" t="s">
        <v>39</v>
      </c>
      <c r="D159" s="13">
        <v>1700</v>
      </c>
      <c r="E159" s="13">
        <f t="shared" si="24"/>
        <v>20400</v>
      </c>
      <c r="F159" s="13">
        <f t="shared" si="25"/>
        <v>22542</v>
      </c>
      <c r="G159" s="2"/>
      <c r="H159" s="2"/>
      <c r="I159" s="13">
        <f>18500/15</f>
        <v>1233.3333333333333</v>
      </c>
      <c r="J159" s="13">
        <f t="shared" si="26"/>
        <v>14800</v>
      </c>
      <c r="K159" s="13">
        <f t="shared" si="27"/>
        <v>7742</v>
      </c>
      <c r="L159" s="14">
        <f t="shared" si="28"/>
        <v>0.37950980392156863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2</v>
      </c>
      <c r="B160" s="10" t="s">
        <v>17</v>
      </c>
      <c r="C160" s="11" t="s">
        <v>61</v>
      </c>
      <c r="D160" s="13">
        <v>2800</v>
      </c>
      <c r="E160" s="13">
        <f t="shared" si="24"/>
        <v>5600</v>
      </c>
      <c r="F160" s="13">
        <f t="shared" si="25"/>
        <v>6188</v>
      </c>
      <c r="G160" s="2"/>
      <c r="H160" s="2"/>
      <c r="I160" s="13">
        <f>30000/14</f>
        <v>2142.8571428571427</v>
      </c>
      <c r="J160" s="13">
        <f t="shared" si="26"/>
        <v>4285.7142857142853</v>
      </c>
      <c r="K160" s="13">
        <f t="shared" si="27"/>
        <v>1902.2857142857147</v>
      </c>
      <c r="L160" s="14">
        <f t="shared" si="28"/>
        <v>0.33969387755102048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0.5</v>
      </c>
      <c r="B161" s="10" t="s">
        <v>21</v>
      </c>
      <c r="C161" s="11" t="s">
        <v>29</v>
      </c>
      <c r="D161" s="13">
        <v>3000</v>
      </c>
      <c r="E161" s="13">
        <f t="shared" si="24"/>
        <v>1500</v>
      </c>
      <c r="F161" s="13">
        <f t="shared" si="25"/>
        <v>1657.5</v>
      </c>
      <c r="G161" s="2"/>
      <c r="H161" s="2"/>
      <c r="I161" s="13">
        <v>1200</v>
      </c>
      <c r="J161" s="13">
        <f t="shared" si="26"/>
        <v>600</v>
      </c>
      <c r="K161" s="13">
        <f t="shared" si="27"/>
        <v>1057.5</v>
      </c>
      <c r="L161" s="14">
        <f t="shared" si="28"/>
        <v>0.70499999999999996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1</v>
      </c>
      <c r="B162" s="10" t="s">
        <v>15</v>
      </c>
      <c r="C162" s="11" t="s">
        <v>40</v>
      </c>
      <c r="D162" s="13">
        <v>12000</v>
      </c>
      <c r="E162" s="13">
        <f t="shared" si="24"/>
        <v>12000</v>
      </c>
      <c r="F162" s="13">
        <f t="shared" si="25"/>
        <v>13260</v>
      </c>
      <c r="G162" s="2"/>
      <c r="H162" s="2"/>
      <c r="I162" s="13">
        <v>8000</v>
      </c>
      <c r="J162" s="13">
        <f t="shared" si="26"/>
        <v>8000</v>
      </c>
      <c r="K162" s="13">
        <f t="shared" si="27"/>
        <v>5260</v>
      </c>
      <c r="L162" s="14">
        <f t="shared" si="28"/>
        <v>0.43833333333333335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2">
        <v>0.5</v>
      </c>
      <c r="B163" s="10" t="s">
        <v>17</v>
      </c>
      <c r="C163" s="11" t="s">
        <v>42</v>
      </c>
      <c r="D163" s="13">
        <v>4500</v>
      </c>
      <c r="E163" s="13">
        <f t="shared" si="24"/>
        <v>2250</v>
      </c>
      <c r="F163" s="13">
        <f t="shared" si="25"/>
        <v>2486.25</v>
      </c>
      <c r="G163" s="2"/>
      <c r="H163" s="2"/>
      <c r="I163" s="13">
        <f>25000/14</f>
        <v>1785.7142857142858</v>
      </c>
      <c r="J163" s="13">
        <f t="shared" si="26"/>
        <v>892.85714285714289</v>
      </c>
      <c r="K163" s="13">
        <f t="shared" si="27"/>
        <v>1593.3928571428571</v>
      </c>
      <c r="L163" s="14">
        <f t="shared" si="28"/>
        <v>0.70817460317460312</v>
      </c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1</v>
      </c>
      <c r="B164" s="10" t="s">
        <v>17</v>
      </c>
      <c r="C164" s="11" t="s">
        <v>1131</v>
      </c>
      <c r="D164" s="13">
        <v>4500</v>
      </c>
      <c r="E164" s="13">
        <f t="shared" si="24"/>
        <v>4500</v>
      </c>
      <c r="F164" s="13">
        <f t="shared" si="25"/>
        <v>4972.5</v>
      </c>
      <c r="G164" s="2"/>
      <c r="H164" s="2"/>
      <c r="I164" s="13">
        <f>30000/8</f>
        <v>3750</v>
      </c>
      <c r="J164" s="13">
        <f t="shared" si="26"/>
        <v>3750</v>
      </c>
      <c r="K164" s="13">
        <f t="shared" si="27"/>
        <v>1222.5</v>
      </c>
      <c r="L164" s="14">
        <f t="shared" si="28"/>
        <v>0.27166666666666667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2">
        <v>0.6</v>
      </c>
      <c r="B165" s="10" t="s">
        <v>17</v>
      </c>
      <c r="C165" s="11" t="s">
        <v>55</v>
      </c>
      <c r="D165" s="13">
        <v>20000</v>
      </c>
      <c r="E165" s="13">
        <f t="shared" si="24"/>
        <v>12000</v>
      </c>
      <c r="F165" s="13">
        <f t="shared" si="25"/>
        <v>13260</v>
      </c>
      <c r="G165" s="2"/>
      <c r="H165" s="2"/>
      <c r="I165" s="13">
        <v>16000</v>
      </c>
      <c r="J165" s="13">
        <f t="shared" si="26"/>
        <v>9600</v>
      </c>
      <c r="K165" s="13">
        <f t="shared" si="27"/>
        <v>3660</v>
      </c>
      <c r="L165" s="14">
        <f t="shared" si="28"/>
        <v>0.30499999999999999</v>
      </c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2">
        <v>4</v>
      </c>
      <c r="B166" s="10" t="s">
        <v>15</v>
      </c>
      <c r="C166" s="11" t="s">
        <v>27</v>
      </c>
      <c r="D166" s="13">
        <v>25000</v>
      </c>
      <c r="E166" s="13">
        <f t="shared" si="24"/>
        <v>100000</v>
      </c>
      <c r="F166" s="13">
        <f t="shared" si="25"/>
        <v>110500</v>
      </c>
      <c r="G166" s="2"/>
      <c r="H166" s="2"/>
      <c r="I166" s="13">
        <v>18300</v>
      </c>
      <c r="J166" s="13">
        <f t="shared" si="26"/>
        <v>73200</v>
      </c>
      <c r="K166" s="13">
        <f t="shared" si="27"/>
        <v>37300</v>
      </c>
      <c r="L166" s="14">
        <f t="shared" si="28"/>
        <v>0.373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2">
        <v>5</v>
      </c>
      <c r="B167" s="10" t="s">
        <v>17</v>
      </c>
      <c r="C167" s="11" t="s">
        <v>129</v>
      </c>
      <c r="D167" s="13">
        <v>1600</v>
      </c>
      <c r="E167" s="13">
        <f t="shared" si="24"/>
        <v>8000</v>
      </c>
      <c r="F167" s="13">
        <f t="shared" si="25"/>
        <v>8840</v>
      </c>
      <c r="G167" s="2"/>
      <c r="H167" s="2"/>
      <c r="I167" s="13">
        <v>1100</v>
      </c>
      <c r="J167" s="13">
        <f t="shared" si="26"/>
        <v>5500</v>
      </c>
      <c r="K167" s="13">
        <f t="shared" si="27"/>
        <v>3340</v>
      </c>
      <c r="L167" s="14">
        <f t="shared" si="28"/>
        <v>0.41749999999999998</v>
      </c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10</v>
      </c>
      <c r="B168" s="10" t="s">
        <v>21</v>
      </c>
      <c r="C168" s="11" t="s">
        <v>46</v>
      </c>
      <c r="D168" s="13">
        <v>600</v>
      </c>
      <c r="E168" s="13">
        <f t="shared" si="24"/>
        <v>6000</v>
      </c>
      <c r="F168" s="13">
        <f t="shared" si="25"/>
        <v>6630</v>
      </c>
      <c r="G168" s="2"/>
      <c r="H168" s="2"/>
      <c r="I168" s="13">
        <f>7000/24</f>
        <v>291.66666666666669</v>
      </c>
      <c r="J168" s="13">
        <f t="shared" si="26"/>
        <v>2916.666666666667</v>
      </c>
      <c r="K168" s="13">
        <f t="shared" si="27"/>
        <v>3713.333333333333</v>
      </c>
      <c r="L168" s="14">
        <f t="shared" si="28"/>
        <v>0.61888888888888882</v>
      </c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2</v>
      </c>
      <c r="B169" s="10" t="s">
        <v>17</v>
      </c>
      <c r="C169" s="11" t="s">
        <v>162</v>
      </c>
      <c r="D169" s="13">
        <v>3500</v>
      </c>
      <c r="E169" s="13">
        <f t="shared" si="24"/>
        <v>7000</v>
      </c>
      <c r="F169" s="13">
        <f t="shared" si="25"/>
        <v>7735</v>
      </c>
      <c r="G169" s="2"/>
      <c r="H169" s="2"/>
      <c r="I169" s="13">
        <f>37000/14</f>
        <v>2642.8571428571427</v>
      </c>
      <c r="J169" s="13">
        <f t="shared" si="26"/>
        <v>5285.7142857142853</v>
      </c>
      <c r="K169" s="13">
        <f t="shared" si="27"/>
        <v>2449.2857142857147</v>
      </c>
      <c r="L169" s="14">
        <f t="shared" si="28"/>
        <v>0.3498979591836735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5</v>
      </c>
      <c r="B170" s="10" t="s">
        <v>17</v>
      </c>
      <c r="C170" s="11" t="s">
        <v>62</v>
      </c>
      <c r="D170" s="13">
        <v>3000</v>
      </c>
      <c r="E170" s="13">
        <f t="shared" si="24"/>
        <v>15000</v>
      </c>
      <c r="F170" s="13">
        <f t="shared" si="25"/>
        <v>16575</v>
      </c>
      <c r="G170" s="2"/>
      <c r="H170" s="2"/>
      <c r="I170" s="13">
        <f>27000/17</f>
        <v>1588.2352941176471</v>
      </c>
      <c r="J170" s="13">
        <f t="shared" si="26"/>
        <v>7941.1764705882351</v>
      </c>
      <c r="K170" s="13">
        <f t="shared" si="27"/>
        <v>8633.8235294117658</v>
      </c>
      <c r="L170" s="14">
        <f t="shared" si="28"/>
        <v>0.57558823529411773</v>
      </c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5</v>
      </c>
      <c r="B171" s="10" t="s">
        <v>11</v>
      </c>
      <c r="C171" s="11" t="s">
        <v>12</v>
      </c>
      <c r="D171" s="13">
        <v>4500</v>
      </c>
      <c r="E171" s="13">
        <f t="shared" si="24"/>
        <v>22500</v>
      </c>
      <c r="F171" s="13">
        <f>E171*1.21</f>
        <v>27225</v>
      </c>
      <c r="G171" s="2"/>
      <c r="H171" s="2"/>
      <c r="I171" s="13">
        <f>54000/12</f>
        <v>4500</v>
      </c>
      <c r="J171" s="13">
        <f t="shared" si="26"/>
        <v>22500</v>
      </c>
      <c r="K171" s="13">
        <f t="shared" si="27"/>
        <v>4725</v>
      </c>
      <c r="L171" s="14">
        <f t="shared" si="28"/>
        <v>0.21</v>
      </c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5"/>
      <c r="B172" s="2"/>
      <c r="C172" s="4"/>
      <c r="D172" s="2"/>
      <c r="E172" s="2"/>
      <c r="F172" s="2"/>
      <c r="G172" s="2"/>
      <c r="H172" s="2"/>
      <c r="I172" s="2"/>
      <c r="J172" s="2"/>
      <c r="K172" s="2"/>
      <c r="L172" s="3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"/>
      <c r="B173" s="2"/>
      <c r="C173" s="4"/>
      <c r="D173" s="2"/>
      <c r="E173" s="13">
        <f t="shared" ref="E173:F173" si="29">SUM(E150:E171)</f>
        <v>328700</v>
      </c>
      <c r="F173" s="13">
        <f t="shared" si="29"/>
        <v>365576</v>
      </c>
      <c r="G173" s="2"/>
      <c r="H173" s="2"/>
      <c r="I173" s="2"/>
      <c r="J173" s="2"/>
      <c r="K173" s="13">
        <f>SUM(K150:K171)</f>
        <v>125974.43391902214</v>
      </c>
      <c r="L173" s="14">
        <f>K173/F173</f>
        <v>0.34459164146175386</v>
      </c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88" t="s">
        <v>59</v>
      </c>
      <c r="B176" s="89"/>
      <c r="C176" s="89"/>
      <c r="D176" s="2"/>
      <c r="E176" s="7" t="s">
        <v>143</v>
      </c>
      <c r="F176" s="8">
        <v>46136</v>
      </c>
      <c r="G176" s="2"/>
      <c r="H176" s="2"/>
      <c r="I176" s="9" t="s">
        <v>2</v>
      </c>
      <c r="J176" s="9"/>
      <c r="K176" s="9"/>
      <c r="L176" s="3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"/>
      <c r="B177" s="2"/>
      <c r="C177" s="5"/>
      <c r="D177" s="2"/>
      <c r="E177" s="2"/>
      <c r="F177" s="2"/>
      <c r="G177" s="7" t="s">
        <v>106</v>
      </c>
      <c r="H177" s="2"/>
      <c r="I177" s="2"/>
      <c r="J177" s="2"/>
      <c r="K177" s="2"/>
      <c r="L177" s="3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6" t="s">
        <v>3</v>
      </c>
      <c r="B178" s="10" t="s">
        <v>4</v>
      </c>
      <c r="C178" s="11" t="s">
        <v>5</v>
      </c>
      <c r="D178" s="10" t="s">
        <v>6</v>
      </c>
      <c r="E178" s="10" t="s">
        <v>7</v>
      </c>
      <c r="F178" s="10" t="s">
        <v>8</v>
      </c>
      <c r="G178" s="2"/>
      <c r="H178" s="2"/>
      <c r="I178" s="10" t="s">
        <v>9</v>
      </c>
      <c r="J178" s="10" t="s">
        <v>7</v>
      </c>
      <c r="K178" s="10" t="s">
        <v>10</v>
      </c>
      <c r="L178" s="3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2">
        <v>6</v>
      </c>
      <c r="B179" s="10" t="s">
        <v>17</v>
      </c>
      <c r="C179" s="11" t="s">
        <v>39</v>
      </c>
      <c r="D179" s="13">
        <v>1600</v>
      </c>
      <c r="E179" s="13">
        <f t="shared" ref="E179:E205" si="30">A179*D179</f>
        <v>9600</v>
      </c>
      <c r="F179" s="13">
        <f t="shared" ref="F179:F199" si="31">E179*1.105</f>
        <v>10608</v>
      </c>
      <c r="G179" s="2"/>
      <c r="H179" s="2"/>
      <c r="I179" s="13">
        <f>18500/15</f>
        <v>1233.3333333333333</v>
      </c>
      <c r="J179" s="13">
        <f t="shared" ref="J179:J205" si="32">I179*A179</f>
        <v>7400</v>
      </c>
      <c r="K179" s="13">
        <f t="shared" ref="K179:K205" si="33">F179-J179</f>
        <v>3208</v>
      </c>
      <c r="L179" s="14">
        <f t="shared" ref="L179:L205" si="34">IFERROR(K179/E179, 0)</f>
        <v>0.33416666666666667</v>
      </c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2">
        <v>7</v>
      </c>
      <c r="B180" s="10" t="s">
        <v>17</v>
      </c>
      <c r="C180" s="11" t="s">
        <v>43</v>
      </c>
      <c r="D180" s="13">
        <v>4500</v>
      </c>
      <c r="E180" s="13">
        <f t="shared" si="30"/>
        <v>31500</v>
      </c>
      <c r="F180" s="13">
        <f t="shared" si="31"/>
        <v>34807.5</v>
      </c>
      <c r="G180" s="2"/>
      <c r="H180" s="2"/>
      <c r="I180" s="13">
        <f>13000/4</f>
        <v>3250</v>
      </c>
      <c r="J180" s="13">
        <f t="shared" si="32"/>
        <v>22750</v>
      </c>
      <c r="K180" s="13">
        <f t="shared" si="33"/>
        <v>12057.5</v>
      </c>
      <c r="L180" s="14">
        <f t="shared" si="34"/>
        <v>0.38277777777777777</v>
      </c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10</v>
      </c>
      <c r="B181" s="10" t="s">
        <v>21</v>
      </c>
      <c r="C181" s="11" t="s">
        <v>46</v>
      </c>
      <c r="D181" s="13">
        <v>600</v>
      </c>
      <c r="E181" s="13">
        <f t="shared" si="30"/>
        <v>6000</v>
      </c>
      <c r="F181" s="13">
        <f t="shared" si="31"/>
        <v>6630</v>
      </c>
      <c r="G181" s="2"/>
      <c r="H181" s="2"/>
      <c r="I181" s="13">
        <f>7000/24</f>
        <v>291.66666666666669</v>
      </c>
      <c r="J181" s="13">
        <f t="shared" si="32"/>
        <v>2916.666666666667</v>
      </c>
      <c r="K181" s="13">
        <f t="shared" si="33"/>
        <v>3713.333333333333</v>
      </c>
      <c r="L181" s="14">
        <f t="shared" si="34"/>
        <v>0.61888888888888882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2">
        <v>2.6</v>
      </c>
      <c r="B182" s="10" t="s">
        <v>17</v>
      </c>
      <c r="C182" s="11" t="s">
        <v>36</v>
      </c>
      <c r="D182" s="13">
        <v>1800</v>
      </c>
      <c r="E182" s="13">
        <f t="shared" si="30"/>
        <v>4680</v>
      </c>
      <c r="F182" s="13">
        <f t="shared" si="31"/>
        <v>5171.3999999999996</v>
      </c>
      <c r="G182" s="2"/>
      <c r="H182" s="2"/>
      <c r="I182" s="13">
        <f>8000/11</f>
        <v>727.27272727272725</v>
      </c>
      <c r="J182" s="13">
        <f t="shared" si="32"/>
        <v>1890.909090909091</v>
      </c>
      <c r="K182" s="13">
        <f t="shared" si="33"/>
        <v>3280.4909090909086</v>
      </c>
      <c r="L182" s="14">
        <f t="shared" si="34"/>
        <v>0.70095959595959589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2.8</v>
      </c>
      <c r="B183" s="10" t="s">
        <v>17</v>
      </c>
      <c r="C183" s="11" t="s">
        <v>38</v>
      </c>
      <c r="D183" s="13">
        <v>1800</v>
      </c>
      <c r="E183" s="13">
        <f t="shared" si="30"/>
        <v>5040</v>
      </c>
      <c r="F183" s="13">
        <f t="shared" si="31"/>
        <v>5569.2</v>
      </c>
      <c r="G183" s="2"/>
      <c r="H183" s="2"/>
      <c r="I183" s="13">
        <f>15000/12</f>
        <v>1250</v>
      </c>
      <c r="J183" s="13">
        <f t="shared" si="32"/>
        <v>3500</v>
      </c>
      <c r="K183" s="13">
        <f t="shared" si="33"/>
        <v>2069.1999999999998</v>
      </c>
      <c r="L183" s="14">
        <f t="shared" si="34"/>
        <v>0.41055555555555551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6</v>
      </c>
      <c r="B184" s="10" t="s">
        <v>21</v>
      </c>
      <c r="C184" s="11" t="s">
        <v>22</v>
      </c>
      <c r="D184" s="13">
        <v>1500</v>
      </c>
      <c r="E184" s="13">
        <f t="shared" si="30"/>
        <v>9000</v>
      </c>
      <c r="F184" s="13">
        <f t="shared" si="31"/>
        <v>9945</v>
      </c>
      <c r="G184" s="2"/>
      <c r="H184" s="2"/>
      <c r="I184" s="13">
        <v>127</v>
      </c>
      <c r="J184" s="13">
        <f t="shared" si="32"/>
        <v>762</v>
      </c>
      <c r="K184" s="13">
        <f t="shared" si="33"/>
        <v>9183</v>
      </c>
      <c r="L184" s="14">
        <f t="shared" si="34"/>
        <v>1.0203333333333333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0.6</v>
      </c>
      <c r="B185" s="10" t="s">
        <v>17</v>
      </c>
      <c r="C185" s="11" t="s">
        <v>55</v>
      </c>
      <c r="D185" s="13">
        <v>20000</v>
      </c>
      <c r="E185" s="13">
        <f t="shared" si="30"/>
        <v>12000</v>
      </c>
      <c r="F185" s="13">
        <f t="shared" si="31"/>
        <v>13260</v>
      </c>
      <c r="G185" s="2"/>
      <c r="H185" s="2"/>
      <c r="I185" s="13">
        <v>16000</v>
      </c>
      <c r="J185" s="13">
        <f t="shared" si="32"/>
        <v>9600</v>
      </c>
      <c r="K185" s="13">
        <f t="shared" si="33"/>
        <v>3660</v>
      </c>
      <c r="L185" s="14">
        <f t="shared" si="34"/>
        <v>0.30499999999999999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1</v>
      </c>
      <c r="B186" s="10" t="s">
        <v>17</v>
      </c>
      <c r="C186" s="11" t="s">
        <v>34</v>
      </c>
      <c r="D186" s="13">
        <v>5000</v>
      </c>
      <c r="E186" s="13">
        <f t="shared" si="30"/>
        <v>5000</v>
      </c>
      <c r="F186" s="13">
        <f t="shared" si="31"/>
        <v>5525</v>
      </c>
      <c r="G186" s="2"/>
      <c r="H186" s="2"/>
      <c r="I186" s="13">
        <f>35000/15</f>
        <v>2333.3333333333335</v>
      </c>
      <c r="J186" s="13">
        <f t="shared" si="32"/>
        <v>2333.3333333333335</v>
      </c>
      <c r="K186" s="13">
        <f t="shared" si="33"/>
        <v>3191.6666666666665</v>
      </c>
      <c r="L186" s="14">
        <f t="shared" si="34"/>
        <v>0.63833333333333331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1</v>
      </c>
      <c r="B187" s="10" t="s">
        <v>17</v>
      </c>
      <c r="C187" s="11" t="s">
        <v>144</v>
      </c>
      <c r="D187" s="13">
        <v>4500</v>
      </c>
      <c r="E187" s="13">
        <f t="shared" si="30"/>
        <v>4500</v>
      </c>
      <c r="F187" s="13">
        <f t="shared" si="31"/>
        <v>4972.5</v>
      </c>
      <c r="G187" s="2"/>
      <c r="H187" s="2"/>
      <c r="I187" s="13">
        <f>30000/8</f>
        <v>3750</v>
      </c>
      <c r="J187" s="13">
        <f t="shared" si="32"/>
        <v>3750</v>
      </c>
      <c r="K187" s="13">
        <f t="shared" si="33"/>
        <v>1222.5</v>
      </c>
      <c r="L187" s="14">
        <f t="shared" si="34"/>
        <v>0.27166666666666667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1</v>
      </c>
      <c r="B188" s="10" t="s">
        <v>21</v>
      </c>
      <c r="C188" s="11" t="s">
        <v>133</v>
      </c>
      <c r="D188" s="13">
        <v>3000</v>
      </c>
      <c r="E188" s="13">
        <f t="shared" si="30"/>
        <v>3000</v>
      </c>
      <c r="F188" s="13">
        <f t="shared" si="31"/>
        <v>3315</v>
      </c>
      <c r="G188" s="2"/>
      <c r="H188" s="2"/>
      <c r="I188" s="13">
        <v>625</v>
      </c>
      <c r="J188" s="13">
        <f t="shared" si="32"/>
        <v>625</v>
      </c>
      <c r="K188" s="13">
        <f t="shared" si="33"/>
        <v>2690</v>
      </c>
      <c r="L188" s="14">
        <f t="shared" si="34"/>
        <v>0.89666666666666661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1</v>
      </c>
      <c r="B189" s="10" t="s">
        <v>21</v>
      </c>
      <c r="C189" s="11" t="s">
        <v>29</v>
      </c>
      <c r="D189" s="13">
        <v>3000</v>
      </c>
      <c r="E189" s="13">
        <f t="shared" si="30"/>
        <v>3000</v>
      </c>
      <c r="F189" s="13">
        <f t="shared" si="31"/>
        <v>3315</v>
      </c>
      <c r="G189" s="2"/>
      <c r="H189" s="2"/>
      <c r="I189" s="13">
        <v>1200</v>
      </c>
      <c r="J189" s="13">
        <f t="shared" si="32"/>
        <v>1200</v>
      </c>
      <c r="K189" s="13">
        <f t="shared" si="33"/>
        <v>2115</v>
      </c>
      <c r="L189" s="14">
        <f t="shared" si="34"/>
        <v>0.70499999999999996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1</v>
      </c>
      <c r="B190" s="10" t="s">
        <v>21</v>
      </c>
      <c r="C190" s="11" t="s">
        <v>28</v>
      </c>
      <c r="D190" s="13">
        <v>3000</v>
      </c>
      <c r="E190" s="13">
        <f t="shared" si="30"/>
        <v>3000</v>
      </c>
      <c r="F190" s="13">
        <f t="shared" si="31"/>
        <v>3315</v>
      </c>
      <c r="G190" s="2"/>
      <c r="H190" s="2"/>
      <c r="I190" s="13">
        <v>2500</v>
      </c>
      <c r="J190" s="13">
        <f t="shared" si="32"/>
        <v>2500</v>
      </c>
      <c r="K190" s="13">
        <f t="shared" si="33"/>
        <v>815</v>
      </c>
      <c r="L190" s="14">
        <f t="shared" si="34"/>
        <v>0.27166666666666667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1</v>
      </c>
      <c r="B191" s="10" t="s">
        <v>17</v>
      </c>
      <c r="C191" s="11" t="s">
        <v>64</v>
      </c>
      <c r="D191" s="13">
        <v>2500</v>
      </c>
      <c r="E191" s="13">
        <f t="shared" si="30"/>
        <v>2500</v>
      </c>
      <c r="F191" s="13">
        <f t="shared" si="31"/>
        <v>2762.5</v>
      </c>
      <c r="G191" s="2"/>
      <c r="H191" s="2"/>
      <c r="I191" s="13">
        <v>1000</v>
      </c>
      <c r="J191" s="13">
        <f t="shared" si="32"/>
        <v>1000</v>
      </c>
      <c r="K191" s="13">
        <f t="shared" si="33"/>
        <v>1762.5</v>
      </c>
      <c r="L191" s="18">
        <f t="shared" si="34"/>
        <v>0.70499999999999996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2</v>
      </c>
      <c r="B192" s="10" t="s">
        <v>4</v>
      </c>
      <c r="C192" s="11" t="s">
        <v>65</v>
      </c>
      <c r="D192" s="13">
        <v>800</v>
      </c>
      <c r="E192" s="13">
        <f t="shared" si="30"/>
        <v>1600</v>
      </c>
      <c r="F192" s="13">
        <f t="shared" si="31"/>
        <v>1768</v>
      </c>
      <c r="G192" s="2"/>
      <c r="H192" s="2"/>
      <c r="I192" s="13">
        <f>12000/50</f>
        <v>240</v>
      </c>
      <c r="J192" s="13">
        <f t="shared" si="32"/>
        <v>480</v>
      </c>
      <c r="K192" s="13">
        <f t="shared" si="33"/>
        <v>1288</v>
      </c>
      <c r="L192" s="18">
        <f t="shared" si="34"/>
        <v>0.80500000000000005</v>
      </c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0.5</v>
      </c>
      <c r="B193" s="10" t="s">
        <v>17</v>
      </c>
      <c r="C193" s="11" t="s">
        <v>93</v>
      </c>
      <c r="D193" s="13">
        <v>3000</v>
      </c>
      <c r="E193" s="13">
        <f t="shared" si="30"/>
        <v>1500</v>
      </c>
      <c r="F193" s="13">
        <f t="shared" si="31"/>
        <v>1657.5</v>
      </c>
      <c r="G193" s="2"/>
      <c r="H193" s="2"/>
      <c r="I193" s="13">
        <f>10000/7</f>
        <v>1428.5714285714287</v>
      </c>
      <c r="J193" s="13">
        <f t="shared" si="32"/>
        <v>714.28571428571433</v>
      </c>
      <c r="K193" s="13">
        <f t="shared" si="33"/>
        <v>943.21428571428567</v>
      </c>
      <c r="L193" s="18">
        <f t="shared" si="34"/>
        <v>0.62880952380952382</v>
      </c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1</v>
      </c>
      <c r="B194" s="10" t="s">
        <v>21</v>
      </c>
      <c r="C194" s="11" t="s">
        <v>52</v>
      </c>
      <c r="D194" s="13">
        <v>2000</v>
      </c>
      <c r="E194" s="13">
        <f t="shared" si="30"/>
        <v>2000</v>
      </c>
      <c r="F194" s="13">
        <f t="shared" si="31"/>
        <v>2210</v>
      </c>
      <c r="G194" s="2"/>
      <c r="H194" s="2"/>
      <c r="I194" s="13">
        <v>1000</v>
      </c>
      <c r="J194" s="13">
        <f t="shared" si="32"/>
        <v>1000</v>
      </c>
      <c r="K194" s="13">
        <f t="shared" si="33"/>
        <v>1210</v>
      </c>
      <c r="L194" s="18">
        <f t="shared" si="34"/>
        <v>0.60499999999999998</v>
      </c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1</v>
      </c>
      <c r="B195" s="10" t="s">
        <v>17</v>
      </c>
      <c r="C195" s="11" t="s">
        <v>61</v>
      </c>
      <c r="D195" s="13">
        <v>2800</v>
      </c>
      <c r="E195" s="13">
        <f t="shared" si="30"/>
        <v>2800</v>
      </c>
      <c r="F195" s="13">
        <f t="shared" si="31"/>
        <v>3094</v>
      </c>
      <c r="G195" s="2"/>
      <c r="H195" s="2"/>
      <c r="I195" s="13">
        <f>30000/14</f>
        <v>2142.8571428571427</v>
      </c>
      <c r="J195" s="13">
        <f t="shared" si="32"/>
        <v>2142.8571428571427</v>
      </c>
      <c r="K195" s="13">
        <f t="shared" si="33"/>
        <v>951.14285714285734</v>
      </c>
      <c r="L195" s="18">
        <f t="shared" si="34"/>
        <v>0.33969387755102048</v>
      </c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2">
        <v>3</v>
      </c>
      <c r="B196" s="10" t="s">
        <v>17</v>
      </c>
      <c r="C196" s="11" t="s">
        <v>18</v>
      </c>
      <c r="D196" s="13">
        <v>1600</v>
      </c>
      <c r="E196" s="13">
        <f t="shared" si="30"/>
        <v>4800</v>
      </c>
      <c r="F196" s="13">
        <f t="shared" si="31"/>
        <v>5304</v>
      </c>
      <c r="G196" s="2"/>
      <c r="H196" s="2"/>
      <c r="I196" s="13">
        <v>1000</v>
      </c>
      <c r="J196" s="13">
        <f t="shared" si="32"/>
        <v>3000</v>
      </c>
      <c r="K196" s="13">
        <f t="shared" si="33"/>
        <v>2304</v>
      </c>
      <c r="L196" s="18">
        <f t="shared" si="34"/>
        <v>0.48</v>
      </c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2">
        <v>2</v>
      </c>
      <c r="B197" s="10" t="s">
        <v>17</v>
      </c>
      <c r="C197" s="11" t="s">
        <v>56</v>
      </c>
      <c r="D197" s="13">
        <v>1200</v>
      </c>
      <c r="E197" s="13">
        <f t="shared" si="30"/>
        <v>2400</v>
      </c>
      <c r="F197" s="13">
        <f t="shared" si="31"/>
        <v>2652</v>
      </c>
      <c r="G197" s="2"/>
      <c r="H197" s="2"/>
      <c r="I197" s="13">
        <f>10000/15</f>
        <v>666.66666666666663</v>
      </c>
      <c r="J197" s="13">
        <f t="shared" si="32"/>
        <v>1333.3333333333333</v>
      </c>
      <c r="K197" s="13">
        <f t="shared" si="33"/>
        <v>1318.6666666666667</v>
      </c>
      <c r="L197" s="18">
        <f t="shared" si="34"/>
        <v>0.54944444444444451</v>
      </c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2">
        <v>2</v>
      </c>
      <c r="B198" s="10" t="s">
        <v>15</v>
      </c>
      <c r="C198" s="11" t="s">
        <v>27</v>
      </c>
      <c r="D198" s="13">
        <v>25000</v>
      </c>
      <c r="E198" s="13">
        <f t="shared" si="30"/>
        <v>50000</v>
      </c>
      <c r="F198" s="13">
        <f t="shared" si="31"/>
        <v>55250</v>
      </c>
      <c r="G198" s="2"/>
      <c r="H198" s="2"/>
      <c r="I198" s="13">
        <v>18300</v>
      </c>
      <c r="J198" s="13">
        <f t="shared" si="32"/>
        <v>36600</v>
      </c>
      <c r="K198" s="13">
        <f t="shared" si="33"/>
        <v>18650</v>
      </c>
      <c r="L198" s="18">
        <f t="shared" si="34"/>
        <v>0.373</v>
      </c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2">
        <v>1</v>
      </c>
      <c r="B199" s="10" t="s">
        <v>15</v>
      </c>
      <c r="C199" s="11" t="s">
        <v>48</v>
      </c>
      <c r="D199" s="13">
        <v>13000</v>
      </c>
      <c r="E199" s="13">
        <f t="shared" si="30"/>
        <v>13000</v>
      </c>
      <c r="F199" s="13">
        <f t="shared" si="31"/>
        <v>14365</v>
      </c>
      <c r="G199" s="2"/>
      <c r="H199" s="2"/>
      <c r="I199" s="13">
        <v>8000</v>
      </c>
      <c r="J199" s="13">
        <f t="shared" si="32"/>
        <v>8000</v>
      </c>
      <c r="K199" s="13">
        <f t="shared" si="33"/>
        <v>6365</v>
      </c>
      <c r="L199" s="18">
        <f t="shared" si="34"/>
        <v>0.48961538461538462</v>
      </c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2">
        <v>0.5</v>
      </c>
      <c r="B200" s="10" t="s">
        <v>23</v>
      </c>
      <c r="C200" s="11" t="s">
        <v>12</v>
      </c>
      <c r="D200" s="13">
        <v>54000</v>
      </c>
      <c r="E200" s="13">
        <f t="shared" si="30"/>
        <v>27000</v>
      </c>
      <c r="F200" s="13">
        <f>E200*1.21</f>
        <v>32670</v>
      </c>
      <c r="G200" s="2"/>
      <c r="H200" s="2"/>
      <c r="I200" s="13">
        <v>54000</v>
      </c>
      <c r="J200" s="13">
        <f t="shared" si="32"/>
        <v>27000</v>
      </c>
      <c r="K200" s="13">
        <f t="shared" si="33"/>
        <v>5670</v>
      </c>
      <c r="L200" s="18">
        <f t="shared" si="34"/>
        <v>0.21</v>
      </c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2">
        <v>5</v>
      </c>
      <c r="B201" s="10" t="s">
        <v>17</v>
      </c>
      <c r="C201" s="11" t="s">
        <v>24</v>
      </c>
      <c r="D201" s="13">
        <v>3600</v>
      </c>
      <c r="E201" s="13">
        <f t="shared" si="30"/>
        <v>18000</v>
      </c>
      <c r="F201" s="13">
        <f t="shared" ref="F201:F205" si="35">E201*1.105</f>
        <v>19890</v>
      </c>
      <c r="G201" s="2"/>
      <c r="H201" s="13"/>
      <c r="I201" s="13">
        <f>50000/17</f>
        <v>2941.1764705882351</v>
      </c>
      <c r="J201" s="13">
        <f t="shared" si="32"/>
        <v>14705.882352941175</v>
      </c>
      <c r="K201" s="13">
        <f t="shared" si="33"/>
        <v>5184.1176470588252</v>
      </c>
      <c r="L201" s="18">
        <f t="shared" si="34"/>
        <v>0.28800653594771253</v>
      </c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2">
        <v>3</v>
      </c>
      <c r="B202" s="10" t="s">
        <v>17</v>
      </c>
      <c r="C202" s="11" t="s">
        <v>25</v>
      </c>
      <c r="D202" s="13">
        <v>4500</v>
      </c>
      <c r="E202" s="13">
        <f t="shared" si="30"/>
        <v>13500</v>
      </c>
      <c r="F202" s="13">
        <f t="shared" si="35"/>
        <v>14917.5</v>
      </c>
      <c r="G202" s="2"/>
      <c r="H202" s="13"/>
      <c r="I202" s="13">
        <f>62000/17</f>
        <v>3647.0588235294117</v>
      </c>
      <c r="J202" s="13">
        <f t="shared" si="32"/>
        <v>10941.176470588234</v>
      </c>
      <c r="K202" s="13">
        <f t="shared" si="33"/>
        <v>3976.3235294117658</v>
      </c>
      <c r="L202" s="14">
        <f t="shared" si="34"/>
        <v>0.2945424836601308</v>
      </c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2">
        <v>1</v>
      </c>
      <c r="B203" s="10" t="s">
        <v>23</v>
      </c>
      <c r="C203" s="11" t="s">
        <v>26</v>
      </c>
      <c r="D203" s="13">
        <v>19000</v>
      </c>
      <c r="E203" s="13">
        <f t="shared" si="30"/>
        <v>19000</v>
      </c>
      <c r="F203" s="13">
        <f t="shared" si="35"/>
        <v>20995</v>
      </c>
      <c r="G203" s="2"/>
      <c r="H203" s="2"/>
      <c r="I203" s="13">
        <v>12000</v>
      </c>
      <c r="J203" s="13">
        <f t="shared" si="32"/>
        <v>12000</v>
      </c>
      <c r="K203" s="13">
        <f t="shared" si="33"/>
        <v>8995</v>
      </c>
      <c r="L203" s="14">
        <f t="shared" si="34"/>
        <v>0.47342105263157896</v>
      </c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2">
        <v>3</v>
      </c>
      <c r="B204" s="10" t="s">
        <v>17</v>
      </c>
      <c r="C204" s="11" t="s">
        <v>67</v>
      </c>
      <c r="D204" s="13">
        <v>1300</v>
      </c>
      <c r="E204" s="13">
        <f t="shared" si="30"/>
        <v>3900</v>
      </c>
      <c r="F204" s="13">
        <f t="shared" si="35"/>
        <v>4309.5</v>
      </c>
      <c r="G204" s="2"/>
      <c r="H204" s="2"/>
      <c r="I204" s="13">
        <f>15000/14</f>
        <v>1071.4285714285713</v>
      </c>
      <c r="J204" s="13">
        <f t="shared" si="32"/>
        <v>3214.2857142857138</v>
      </c>
      <c r="K204" s="13">
        <f t="shared" si="33"/>
        <v>1095.2142857142862</v>
      </c>
      <c r="L204" s="14">
        <f t="shared" si="34"/>
        <v>0.28082417582417596</v>
      </c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2">
        <v>4</v>
      </c>
      <c r="B205" s="10" t="s">
        <v>17</v>
      </c>
      <c r="C205" s="11" t="s">
        <v>62</v>
      </c>
      <c r="D205" s="13">
        <v>3000</v>
      </c>
      <c r="E205" s="13">
        <f t="shared" si="30"/>
        <v>12000</v>
      </c>
      <c r="F205" s="13">
        <f t="shared" si="35"/>
        <v>13260</v>
      </c>
      <c r="G205" s="2"/>
      <c r="H205" s="2"/>
      <c r="I205" s="13">
        <f>27000/17</f>
        <v>1588.2352941176471</v>
      </c>
      <c r="J205" s="13">
        <f t="shared" si="32"/>
        <v>6352.9411764705883</v>
      </c>
      <c r="K205" s="13">
        <f t="shared" si="33"/>
        <v>6907.0588235294117</v>
      </c>
      <c r="L205" s="14">
        <f t="shared" si="34"/>
        <v>0.57558823529411762</v>
      </c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5"/>
      <c r="B206" s="2"/>
      <c r="C206" s="4"/>
      <c r="D206" s="2"/>
      <c r="E206" s="2"/>
      <c r="F206" s="2"/>
      <c r="G206" s="2"/>
      <c r="H206" s="2"/>
      <c r="I206" s="2"/>
      <c r="J206" s="2"/>
      <c r="K206" s="2"/>
      <c r="L206" s="3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"/>
      <c r="B207" s="2"/>
      <c r="C207" s="4"/>
      <c r="D207" s="2"/>
      <c r="E207" s="13">
        <f t="shared" ref="E207:F207" si="36">SUM(E179:E205)</f>
        <v>270320</v>
      </c>
      <c r="F207" s="13">
        <f t="shared" si="36"/>
        <v>301538.59999999998</v>
      </c>
      <c r="G207" s="2">
        <f>F207-299947</f>
        <v>1591.5999999999767</v>
      </c>
      <c r="H207" s="2"/>
      <c r="I207" s="2"/>
      <c r="J207" s="2"/>
      <c r="K207" s="13">
        <f>SUM(K179:K205)</f>
        <v>113825.92900432899</v>
      </c>
      <c r="L207" s="14">
        <f>K207/F207</f>
        <v>0.37748377489425566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88" t="s">
        <v>63</v>
      </c>
      <c r="B210" s="89"/>
      <c r="C210" s="89"/>
      <c r="D210" s="2"/>
      <c r="E210" s="7" t="s">
        <v>120</v>
      </c>
      <c r="F210" s="8">
        <v>46136</v>
      </c>
      <c r="G210" s="7" t="s">
        <v>106</v>
      </c>
      <c r="H210" s="2"/>
      <c r="I210" s="9" t="s">
        <v>2</v>
      </c>
      <c r="J210" s="9"/>
      <c r="K210" s="9"/>
      <c r="L210" s="3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3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6" t="s">
        <v>3</v>
      </c>
      <c r="B212" s="10" t="s">
        <v>4</v>
      </c>
      <c r="C212" s="11" t="s">
        <v>5</v>
      </c>
      <c r="D212" s="10" t="s">
        <v>6</v>
      </c>
      <c r="E212" s="10" t="s">
        <v>7</v>
      </c>
      <c r="F212" s="10" t="s">
        <v>8</v>
      </c>
      <c r="G212" s="2"/>
      <c r="H212" s="2"/>
      <c r="I212" s="10" t="s">
        <v>9</v>
      </c>
      <c r="J212" s="10" t="s">
        <v>7</v>
      </c>
      <c r="K212" s="10" t="s">
        <v>10</v>
      </c>
      <c r="L212" s="3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2">
        <v>3</v>
      </c>
      <c r="B213" s="10" t="s">
        <v>4</v>
      </c>
      <c r="C213" s="11" t="s">
        <v>13</v>
      </c>
      <c r="D213" s="13">
        <v>900</v>
      </c>
      <c r="E213" s="13">
        <f t="shared" ref="E213:E240" si="37">A213*D213</f>
        <v>2700</v>
      </c>
      <c r="F213" s="13">
        <f t="shared" ref="F213:F240" si="38">E213*1.105</f>
        <v>2983.5</v>
      </c>
      <c r="G213" s="2"/>
      <c r="H213" s="2"/>
      <c r="I213" s="13">
        <f>27000/50</f>
        <v>540</v>
      </c>
      <c r="J213" s="13">
        <f t="shared" ref="J213:J240" si="39">I213*A213</f>
        <v>1620</v>
      </c>
      <c r="K213" s="13">
        <f t="shared" ref="K213:K240" si="40">F213-J213</f>
        <v>1363.5</v>
      </c>
      <c r="L213" s="14">
        <f t="shared" ref="L213:L240" si="41">IFERROR(K213/E213, 0)</f>
        <v>0.505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2">
        <v>1</v>
      </c>
      <c r="B214" s="10" t="s">
        <v>21</v>
      </c>
      <c r="C214" s="11" t="s">
        <v>51</v>
      </c>
      <c r="D214" s="13">
        <v>1000</v>
      </c>
      <c r="E214" s="13">
        <f t="shared" si="37"/>
        <v>1000</v>
      </c>
      <c r="F214" s="13">
        <f t="shared" si="38"/>
        <v>1105</v>
      </c>
      <c r="G214" s="2"/>
      <c r="H214" s="2"/>
      <c r="I214" s="13">
        <f>15000/24</f>
        <v>625</v>
      </c>
      <c r="J214" s="13">
        <f t="shared" si="39"/>
        <v>625</v>
      </c>
      <c r="K214" s="13">
        <f t="shared" si="40"/>
        <v>480</v>
      </c>
      <c r="L214" s="14">
        <f t="shared" si="41"/>
        <v>0.48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1</v>
      </c>
      <c r="B215" s="10" t="s">
        <v>4</v>
      </c>
      <c r="C215" s="11" t="s">
        <v>64</v>
      </c>
      <c r="D215" s="13">
        <v>2500</v>
      </c>
      <c r="E215" s="13">
        <f t="shared" si="37"/>
        <v>2500</v>
      </c>
      <c r="F215" s="13">
        <f t="shared" si="38"/>
        <v>2762.5</v>
      </c>
      <c r="G215" s="2"/>
      <c r="H215" s="2"/>
      <c r="I215" s="13">
        <v>1000</v>
      </c>
      <c r="J215" s="13">
        <f t="shared" si="39"/>
        <v>1000</v>
      </c>
      <c r="K215" s="13">
        <f t="shared" si="40"/>
        <v>1762.5</v>
      </c>
      <c r="L215" s="14">
        <f t="shared" si="41"/>
        <v>0.70499999999999996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4</v>
      </c>
      <c r="B216" s="10" t="s">
        <v>17</v>
      </c>
      <c r="C216" s="11" t="s">
        <v>62</v>
      </c>
      <c r="D216" s="13">
        <v>3000</v>
      </c>
      <c r="E216" s="13">
        <f t="shared" si="37"/>
        <v>12000</v>
      </c>
      <c r="F216" s="13">
        <f t="shared" si="38"/>
        <v>13260</v>
      </c>
      <c r="G216" s="2"/>
      <c r="H216" s="2"/>
      <c r="I216" s="13">
        <f>27000/17</f>
        <v>1588.2352941176471</v>
      </c>
      <c r="J216" s="13">
        <f t="shared" si="39"/>
        <v>6352.9411764705883</v>
      </c>
      <c r="K216" s="13">
        <f t="shared" si="40"/>
        <v>6907.0588235294117</v>
      </c>
      <c r="L216" s="14">
        <f t="shared" si="41"/>
        <v>0.57558823529411762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1</v>
      </c>
      <c r="B217" s="10" t="s">
        <v>15</v>
      </c>
      <c r="C217" s="11" t="s">
        <v>16</v>
      </c>
      <c r="D217" s="13">
        <v>13000</v>
      </c>
      <c r="E217" s="13">
        <f t="shared" si="37"/>
        <v>13000</v>
      </c>
      <c r="F217" s="13">
        <f t="shared" si="38"/>
        <v>14365</v>
      </c>
      <c r="G217" s="2"/>
      <c r="H217" s="2"/>
      <c r="I217" s="13">
        <v>8000</v>
      </c>
      <c r="J217" s="13">
        <f t="shared" si="39"/>
        <v>8000</v>
      </c>
      <c r="K217" s="13">
        <f t="shared" si="40"/>
        <v>6365</v>
      </c>
      <c r="L217" s="14">
        <f t="shared" si="41"/>
        <v>0.48961538461538462</v>
      </c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1</v>
      </c>
      <c r="B218" s="10" t="s">
        <v>4</v>
      </c>
      <c r="C218" s="11" t="s">
        <v>14</v>
      </c>
      <c r="D218" s="13">
        <v>3200</v>
      </c>
      <c r="E218" s="13">
        <f t="shared" si="37"/>
        <v>3200</v>
      </c>
      <c r="F218" s="13">
        <f t="shared" si="38"/>
        <v>3536</v>
      </c>
      <c r="G218" s="2"/>
      <c r="H218" s="2"/>
      <c r="I218" s="13">
        <f>20000/8</f>
        <v>2500</v>
      </c>
      <c r="J218" s="13">
        <f t="shared" si="39"/>
        <v>2500</v>
      </c>
      <c r="K218" s="13">
        <f t="shared" si="40"/>
        <v>1036</v>
      </c>
      <c r="L218" s="14">
        <f t="shared" si="41"/>
        <v>0.32374999999999998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2">
        <v>5</v>
      </c>
      <c r="B219" s="10" t="s">
        <v>17</v>
      </c>
      <c r="C219" s="11" t="s">
        <v>18</v>
      </c>
      <c r="D219" s="13">
        <v>1600</v>
      </c>
      <c r="E219" s="13">
        <f t="shared" si="37"/>
        <v>8000</v>
      </c>
      <c r="F219" s="13">
        <f t="shared" si="38"/>
        <v>8840</v>
      </c>
      <c r="G219" s="2"/>
      <c r="H219" s="2"/>
      <c r="I219" s="13">
        <v>1000</v>
      </c>
      <c r="J219" s="13">
        <f t="shared" si="39"/>
        <v>5000</v>
      </c>
      <c r="K219" s="13">
        <f t="shared" si="40"/>
        <v>3840</v>
      </c>
      <c r="L219" s="14">
        <f t="shared" si="41"/>
        <v>0.48</v>
      </c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4</v>
      </c>
      <c r="B220" s="10" t="s">
        <v>17</v>
      </c>
      <c r="C220" s="11" t="s">
        <v>56</v>
      </c>
      <c r="D220" s="13">
        <v>1200</v>
      </c>
      <c r="E220" s="13">
        <f t="shared" si="37"/>
        <v>4800</v>
      </c>
      <c r="F220" s="13">
        <f t="shared" si="38"/>
        <v>5304</v>
      </c>
      <c r="G220" s="2"/>
      <c r="H220" s="2"/>
      <c r="I220" s="13">
        <f>10000/15</f>
        <v>666.66666666666663</v>
      </c>
      <c r="J220" s="13">
        <f t="shared" si="39"/>
        <v>2666.6666666666665</v>
      </c>
      <c r="K220" s="13">
        <f t="shared" si="40"/>
        <v>2637.3333333333335</v>
      </c>
      <c r="L220" s="14">
        <f t="shared" si="41"/>
        <v>0.54944444444444451</v>
      </c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2">
        <v>0.5</v>
      </c>
      <c r="B221" s="10" t="s">
        <v>17</v>
      </c>
      <c r="C221" s="11" t="s">
        <v>42</v>
      </c>
      <c r="D221" s="13">
        <v>4500</v>
      </c>
      <c r="E221" s="13">
        <f t="shared" si="37"/>
        <v>2250</v>
      </c>
      <c r="F221" s="13">
        <f t="shared" si="38"/>
        <v>2486.25</v>
      </c>
      <c r="G221" s="2"/>
      <c r="H221" s="2"/>
      <c r="I221" s="13">
        <f>25000/14</f>
        <v>1785.7142857142858</v>
      </c>
      <c r="J221" s="13">
        <f t="shared" si="39"/>
        <v>892.85714285714289</v>
      </c>
      <c r="K221" s="13">
        <f t="shared" si="40"/>
        <v>1593.3928571428571</v>
      </c>
      <c r="L221" s="14">
        <f t="shared" si="41"/>
        <v>0.70817460317460312</v>
      </c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2">
        <v>0.6</v>
      </c>
      <c r="B222" s="10" t="s">
        <v>17</v>
      </c>
      <c r="C222" s="11" t="s">
        <v>55</v>
      </c>
      <c r="D222" s="13">
        <v>20000</v>
      </c>
      <c r="E222" s="13">
        <f t="shared" si="37"/>
        <v>12000</v>
      </c>
      <c r="F222" s="13">
        <f t="shared" si="38"/>
        <v>13260</v>
      </c>
      <c r="G222" s="2"/>
      <c r="H222" s="2"/>
      <c r="I222" s="13">
        <v>16000</v>
      </c>
      <c r="J222" s="13">
        <f t="shared" si="39"/>
        <v>9600</v>
      </c>
      <c r="K222" s="13">
        <f t="shared" si="40"/>
        <v>3660</v>
      </c>
      <c r="L222" s="14">
        <f t="shared" si="41"/>
        <v>0.30499999999999999</v>
      </c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2">
        <v>1</v>
      </c>
      <c r="B223" s="10" t="s">
        <v>17</v>
      </c>
      <c r="C223" s="11" t="s">
        <v>19</v>
      </c>
      <c r="D223" s="13">
        <v>4500</v>
      </c>
      <c r="E223" s="13">
        <f t="shared" si="37"/>
        <v>4500</v>
      </c>
      <c r="F223" s="13">
        <f t="shared" si="38"/>
        <v>4972.5</v>
      </c>
      <c r="G223" s="2"/>
      <c r="H223" s="2"/>
      <c r="I223" s="13">
        <f>30000/8</f>
        <v>3750</v>
      </c>
      <c r="J223" s="13">
        <f t="shared" si="39"/>
        <v>3750</v>
      </c>
      <c r="K223" s="13">
        <f t="shared" si="40"/>
        <v>1222.5</v>
      </c>
      <c r="L223" s="18">
        <f t="shared" si="41"/>
        <v>0.27166666666666667</v>
      </c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2">
        <v>1</v>
      </c>
      <c r="B224" s="10" t="s">
        <v>21</v>
      </c>
      <c r="C224" s="11" t="s">
        <v>133</v>
      </c>
      <c r="D224" s="13">
        <v>3000</v>
      </c>
      <c r="E224" s="13">
        <f t="shared" si="37"/>
        <v>3000</v>
      </c>
      <c r="F224" s="13">
        <f t="shared" si="38"/>
        <v>3315</v>
      </c>
      <c r="G224" s="2"/>
      <c r="H224" s="2"/>
      <c r="I224" s="13">
        <v>625</v>
      </c>
      <c r="J224" s="13">
        <f t="shared" si="39"/>
        <v>625</v>
      </c>
      <c r="K224" s="13">
        <f t="shared" si="40"/>
        <v>2690</v>
      </c>
      <c r="L224" s="33">
        <f t="shared" si="41"/>
        <v>0.89666666666666661</v>
      </c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2">
        <v>0.5</v>
      </c>
      <c r="B225" s="10" t="s">
        <v>21</v>
      </c>
      <c r="C225" s="11" t="s">
        <v>28</v>
      </c>
      <c r="D225" s="13">
        <v>3000</v>
      </c>
      <c r="E225" s="13">
        <f t="shared" si="37"/>
        <v>1500</v>
      </c>
      <c r="F225" s="13">
        <f t="shared" si="38"/>
        <v>1657.5</v>
      </c>
      <c r="G225" s="2"/>
      <c r="H225" s="2"/>
      <c r="I225" s="13">
        <v>2500</v>
      </c>
      <c r="J225" s="13">
        <f t="shared" si="39"/>
        <v>1250</v>
      </c>
      <c r="K225" s="13">
        <f t="shared" si="40"/>
        <v>407.5</v>
      </c>
      <c r="L225" s="18">
        <f t="shared" si="41"/>
        <v>0.27166666666666667</v>
      </c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2">
        <v>3</v>
      </c>
      <c r="B226" s="10" t="s">
        <v>21</v>
      </c>
      <c r="C226" s="11" t="s">
        <v>22</v>
      </c>
      <c r="D226" s="13">
        <v>1500</v>
      </c>
      <c r="E226" s="13">
        <f t="shared" si="37"/>
        <v>4500</v>
      </c>
      <c r="F226" s="13">
        <f t="shared" si="38"/>
        <v>4972.5</v>
      </c>
      <c r="G226" s="7" t="s">
        <v>37</v>
      </c>
      <c r="H226" s="2"/>
      <c r="I226" s="13">
        <v>127</v>
      </c>
      <c r="J226" s="13">
        <f t="shared" si="39"/>
        <v>381</v>
      </c>
      <c r="K226" s="13">
        <f t="shared" si="40"/>
        <v>4591.5</v>
      </c>
      <c r="L226" s="36">
        <f t="shared" si="41"/>
        <v>1.0203333333333333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2">
        <v>5</v>
      </c>
      <c r="B227" s="10" t="s">
        <v>17</v>
      </c>
      <c r="C227" s="11" t="s">
        <v>43</v>
      </c>
      <c r="D227" s="13">
        <v>4500</v>
      </c>
      <c r="E227" s="13">
        <f t="shared" si="37"/>
        <v>22500</v>
      </c>
      <c r="F227" s="13">
        <f t="shared" si="38"/>
        <v>24862.5</v>
      </c>
      <c r="G227" s="2"/>
      <c r="H227" s="2"/>
      <c r="I227" s="13">
        <f>13000/4</f>
        <v>3250</v>
      </c>
      <c r="J227" s="13">
        <f t="shared" si="39"/>
        <v>16250</v>
      </c>
      <c r="K227" s="13">
        <f t="shared" si="40"/>
        <v>8612.5</v>
      </c>
      <c r="L227" s="14">
        <f t="shared" si="41"/>
        <v>0.38277777777777777</v>
      </c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4</v>
      </c>
      <c r="B228" s="10" t="s">
        <v>17</v>
      </c>
      <c r="C228" s="11" t="s">
        <v>24</v>
      </c>
      <c r="D228" s="13">
        <v>3600</v>
      </c>
      <c r="E228" s="13">
        <f t="shared" si="37"/>
        <v>14400</v>
      </c>
      <c r="F228" s="13">
        <f t="shared" si="38"/>
        <v>15912</v>
      </c>
      <c r="G228" s="2"/>
      <c r="H228" s="2"/>
      <c r="I228" s="13">
        <f>50000/17</f>
        <v>2941.1764705882351</v>
      </c>
      <c r="J228" s="13">
        <f t="shared" si="39"/>
        <v>11764.705882352941</v>
      </c>
      <c r="K228" s="13">
        <f t="shared" si="40"/>
        <v>4147.2941176470595</v>
      </c>
      <c r="L228" s="14">
        <f t="shared" si="41"/>
        <v>0.28800653594771247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4</v>
      </c>
      <c r="B229" s="10" t="s">
        <v>17</v>
      </c>
      <c r="C229" s="11" t="s">
        <v>25</v>
      </c>
      <c r="D229" s="13">
        <v>4500</v>
      </c>
      <c r="E229" s="13">
        <f t="shared" si="37"/>
        <v>18000</v>
      </c>
      <c r="F229" s="13">
        <f t="shared" si="38"/>
        <v>19890</v>
      </c>
      <c r="G229" s="2"/>
      <c r="H229" s="2"/>
      <c r="I229" s="13">
        <f>62000/17</f>
        <v>3647.0588235294117</v>
      </c>
      <c r="J229" s="13">
        <f t="shared" si="39"/>
        <v>14588.235294117647</v>
      </c>
      <c r="K229" s="13">
        <f t="shared" si="40"/>
        <v>5301.7647058823532</v>
      </c>
      <c r="L229" s="14">
        <f t="shared" si="41"/>
        <v>0.29454248366013075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1</v>
      </c>
      <c r="B230" s="10" t="s">
        <v>21</v>
      </c>
      <c r="C230" s="11" t="s">
        <v>29</v>
      </c>
      <c r="D230" s="13">
        <v>3000</v>
      </c>
      <c r="E230" s="13">
        <f t="shared" si="37"/>
        <v>3000</v>
      </c>
      <c r="F230" s="13">
        <f t="shared" si="38"/>
        <v>3315</v>
      </c>
      <c r="G230" s="7" t="s">
        <v>37</v>
      </c>
      <c r="H230" s="2"/>
      <c r="I230" s="13">
        <v>1200</v>
      </c>
      <c r="J230" s="13">
        <f t="shared" si="39"/>
        <v>1200</v>
      </c>
      <c r="K230" s="13">
        <f t="shared" si="40"/>
        <v>2115</v>
      </c>
      <c r="L230" s="14">
        <f t="shared" si="41"/>
        <v>0.70499999999999996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3</v>
      </c>
      <c r="B231" s="10" t="s">
        <v>17</v>
      </c>
      <c r="C231" s="11" t="s">
        <v>36</v>
      </c>
      <c r="D231" s="13">
        <v>1800</v>
      </c>
      <c r="E231" s="13">
        <f t="shared" si="37"/>
        <v>5400</v>
      </c>
      <c r="F231" s="13">
        <f t="shared" si="38"/>
        <v>5967</v>
      </c>
      <c r="G231" s="2"/>
      <c r="H231" s="2"/>
      <c r="I231" s="13">
        <f>8000/11</f>
        <v>727.27272727272725</v>
      </c>
      <c r="J231" s="13">
        <f t="shared" si="39"/>
        <v>2181.818181818182</v>
      </c>
      <c r="K231" s="13">
        <f t="shared" si="40"/>
        <v>3785.181818181818</v>
      </c>
      <c r="L231" s="18">
        <f t="shared" si="41"/>
        <v>0.70095959595959589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4</v>
      </c>
      <c r="B232" s="10" t="s">
        <v>17</v>
      </c>
      <c r="C232" s="11" t="s">
        <v>38</v>
      </c>
      <c r="D232" s="13">
        <v>1800</v>
      </c>
      <c r="E232" s="13">
        <f t="shared" si="37"/>
        <v>7200</v>
      </c>
      <c r="F232" s="13">
        <f t="shared" si="38"/>
        <v>7956</v>
      </c>
      <c r="G232" s="2"/>
      <c r="H232" s="2"/>
      <c r="I232" s="13">
        <f>15000/12</f>
        <v>1250</v>
      </c>
      <c r="J232" s="13">
        <f t="shared" si="39"/>
        <v>5000</v>
      </c>
      <c r="K232" s="13">
        <f t="shared" si="40"/>
        <v>2956</v>
      </c>
      <c r="L232" s="18">
        <f t="shared" si="41"/>
        <v>0.41055555555555556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15</v>
      </c>
      <c r="B233" s="10" t="s">
        <v>17</v>
      </c>
      <c r="C233" s="11" t="s">
        <v>39</v>
      </c>
      <c r="D233" s="13">
        <v>1700</v>
      </c>
      <c r="E233" s="13">
        <f t="shared" si="37"/>
        <v>25500</v>
      </c>
      <c r="F233" s="13">
        <f t="shared" si="38"/>
        <v>28177.5</v>
      </c>
      <c r="G233" s="2"/>
      <c r="H233" s="2"/>
      <c r="I233" s="13">
        <f>18500/15</f>
        <v>1233.3333333333333</v>
      </c>
      <c r="J233" s="13">
        <f t="shared" si="39"/>
        <v>18500</v>
      </c>
      <c r="K233" s="13">
        <f t="shared" si="40"/>
        <v>9677.5</v>
      </c>
      <c r="L233" s="18">
        <f t="shared" si="41"/>
        <v>0.37950980392156863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1</v>
      </c>
      <c r="B234" s="10" t="s">
        <v>15</v>
      </c>
      <c r="C234" s="11" t="s">
        <v>40</v>
      </c>
      <c r="D234" s="13">
        <v>12000</v>
      </c>
      <c r="E234" s="13">
        <f t="shared" si="37"/>
        <v>12000</v>
      </c>
      <c r="F234" s="13">
        <f t="shared" si="38"/>
        <v>13260</v>
      </c>
      <c r="G234" s="2"/>
      <c r="H234" s="2"/>
      <c r="I234" s="13">
        <v>8000</v>
      </c>
      <c r="J234" s="13">
        <f t="shared" si="39"/>
        <v>8000</v>
      </c>
      <c r="K234" s="13">
        <f t="shared" si="40"/>
        <v>5260</v>
      </c>
      <c r="L234" s="18">
        <f t="shared" si="41"/>
        <v>0.43833333333333335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3</v>
      </c>
      <c r="B235" s="10" t="s">
        <v>23</v>
      </c>
      <c r="C235" s="11" t="s">
        <v>26</v>
      </c>
      <c r="D235" s="13">
        <v>19000</v>
      </c>
      <c r="E235" s="13">
        <f t="shared" si="37"/>
        <v>57000</v>
      </c>
      <c r="F235" s="13">
        <f t="shared" si="38"/>
        <v>62985</v>
      </c>
      <c r="G235" s="7" t="s">
        <v>37</v>
      </c>
      <c r="H235" s="2"/>
      <c r="I235" s="13">
        <v>12000</v>
      </c>
      <c r="J235" s="13">
        <f t="shared" si="39"/>
        <v>36000</v>
      </c>
      <c r="K235" s="13">
        <f t="shared" si="40"/>
        <v>26985</v>
      </c>
      <c r="L235" s="18">
        <f t="shared" si="41"/>
        <v>0.47342105263157896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2">
        <v>30</v>
      </c>
      <c r="B236" s="10" t="s">
        <v>21</v>
      </c>
      <c r="C236" s="11" t="s">
        <v>46</v>
      </c>
      <c r="D236" s="13">
        <v>600</v>
      </c>
      <c r="E236" s="13">
        <f t="shared" si="37"/>
        <v>18000</v>
      </c>
      <c r="F236" s="13">
        <f t="shared" si="38"/>
        <v>19890</v>
      </c>
      <c r="G236" s="2"/>
      <c r="H236" s="2"/>
      <c r="I236" s="13">
        <f>7000/24</f>
        <v>291.66666666666669</v>
      </c>
      <c r="J236" s="13">
        <f t="shared" si="39"/>
        <v>8750</v>
      </c>
      <c r="K236" s="13">
        <f t="shared" si="40"/>
        <v>11140</v>
      </c>
      <c r="L236" s="18">
        <f t="shared" si="41"/>
        <v>0.61888888888888893</v>
      </c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2">
        <v>0.65</v>
      </c>
      <c r="B237" s="10" t="s">
        <v>17</v>
      </c>
      <c r="C237" s="11" t="s">
        <v>61</v>
      </c>
      <c r="D237" s="13">
        <v>2800</v>
      </c>
      <c r="E237" s="13">
        <f t="shared" si="37"/>
        <v>1820</v>
      </c>
      <c r="F237" s="13">
        <f t="shared" si="38"/>
        <v>2011.1</v>
      </c>
      <c r="G237" s="2"/>
      <c r="H237" s="2"/>
      <c r="I237" s="13">
        <f>30000/14</f>
        <v>2142.8571428571427</v>
      </c>
      <c r="J237" s="13">
        <f t="shared" si="39"/>
        <v>1392.8571428571429</v>
      </c>
      <c r="K237" s="13">
        <f t="shared" si="40"/>
        <v>618.24285714285702</v>
      </c>
      <c r="L237" s="14">
        <f t="shared" si="41"/>
        <v>0.33969387755102032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2">
        <v>2</v>
      </c>
      <c r="B238" s="10" t="s">
        <v>17</v>
      </c>
      <c r="C238" s="11" t="s">
        <v>34</v>
      </c>
      <c r="D238" s="13">
        <v>5000</v>
      </c>
      <c r="E238" s="13">
        <f t="shared" si="37"/>
        <v>10000</v>
      </c>
      <c r="F238" s="13">
        <f t="shared" si="38"/>
        <v>11050</v>
      </c>
      <c r="G238" s="7" t="s">
        <v>37</v>
      </c>
      <c r="H238" s="2"/>
      <c r="I238" s="13">
        <f>35000/15</f>
        <v>2333.3333333333335</v>
      </c>
      <c r="J238" s="13">
        <f t="shared" si="39"/>
        <v>4666.666666666667</v>
      </c>
      <c r="K238" s="13">
        <f t="shared" si="40"/>
        <v>6383.333333333333</v>
      </c>
      <c r="L238" s="14">
        <f t="shared" si="41"/>
        <v>0.63833333333333331</v>
      </c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2">
        <v>3</v>
      </c>
      <c r="B239" s="10" t="s">
        <v>17</v>
      </c>
      <c r="C239" s="11" t="s">
        <v>162</v>
      </c>
      <c r="D239" s="13">
        <v>3500</v>
      </c>
      <c r="E239" s="13">
        <f t="shared" si="37"/>
        <v>10500</v>
      </c>
      <c r="F239" s="13">
        <f t="shared" si="38"/>
        <v>11602.5</v>
      </c>
      <c r="G239" s="7" t="s">
        <v>37</v>
      </c>
      <c r="H239" s="2"/>
      <c r="I239" s="13">
        <f>37000/14</f>
        <v>2642.8571428571427</v>
      </c>
      <c r="J239" s="13">
        <f t="shared" si="39"/>
        <v>7928.5714285714275</v>
      </c>
      <c r="K239" s="13">
        <f t="shared" si="40"/>
        <v>3673.9285714285725</v>
      </c>
      <c r="L239" s="14">
        <f t="shared" si="41"/>
        <v>0.34989795918367356</v>
      </c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2">
        <v>2</v>
      </c>
      <c r="B240" s="10" t="s">
        <v>17</v>
      </c>
      <c r="C240" s="11" t="s">
        <v>49</v>
      </c>
      <c r="D240" s="13">
        <v>2800</v>
      </c>
      <c r="E240" s="13">
        <f t="shared" si="37"/>
        <v>5600</v>
      </c>
      <c r="F240" s="13">
        <f t="shared" si="38"/>
        <v>6188</v>
      </c>
      <c r="G240" s="2"/>
      <c r="H240" s="2"/>
      <c r="I240" s="13">
        <f>35000/17</f>
        <v>2058.8235294117649</v>
      </c>
      <c r="J240" s="13">
        <f t="shared" si="39"/>
        <v>4117.6470588235297</v>
      </c>
      <c r="K240" s="13">
        <f t="shared" si="40"/>
        <v>2070.3529411764703</v>
      </c>
      <c r="L240" s="14">
        <f t="shared" si="41"/>
        <v>0.36970588235294111</v>
      </c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2"/>
      <c r="C241" s="4"/>
      <c r="D241" s="2"/>
      <c r="E241" s="2"/>
      <c r="F241" s="2"/>
      <c r="G241" s="2"/>
      <c r="H241" s="2"/>
      <c r="I241" s="2"/>
      <c r="J241" s="2"/>
      <c r="K241" s="2"/>
      <c r="L241" s="3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"/>
      <c r="B242" s="2"/>
      <c r="C242" s="4"/>
      <c r="D242" s="2"/>
      <c r="E242" s="13">
        <f t="shared" ref="E242:F242" si="42">SUM(E213:E240)</f>
        <v>285870</v>
      </c>
      <c r="F242" s="13">
        <f t="shared" si="42"/>
        <v>315886.34999999998</v>
      </c>
      <c r="G242" s="2"/>
      <c r="H242" s="2"/>
      <c r="I242" s="2"/>
      <c r="J242" s="2"/>
      <c r="K242" s="13">
        <f>SUM(K213:K240)</f>
        <v>131282.38335879808</v>
      </c>
      <c r="L242" s="14">
        <f>K242/F242</f>
        <v>0.41560005159703195</v>
      </c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0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0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88" t="s">
        <v>66</v>
      </c>
      <c r="B245" s="89"/>
      <c r="C245" s="89"/>
      <c r="D245" s="2"/>
      <c r="E245" s="7" t="s">
        <v>953</v>
      </c>
      <c r="F245" s="8">
        <v>46136</v>
      </c>
      <c r="G245" s="7" t="s">
        <v>106</v>
      </c>
      <c r="H245" s="2"/>
      <c r="I245" s="9" t="s">
        <v>2</v>
      </c>
      <c r="J245" s="9"/>
      <c r="K245" s="9"/>
      <c r="L245" s="3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3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6" t="s">
        <v>3</v>
      </c>
      <c r="B247" s="10" t="s">
        <v>4</v>
      </c>
      <c r="C247" s="11" t="s">
        <v>5</v>
      </c>
      <c r="D247" s="10" t="s">
        <v>6</v>
      </c>
      <c r="E247" s="10" t="s">
        <v>7</v>
      </c>
      <c r="F247" s="10" t="s">
        <v>8</v>
      </c>
      <c r="G247" s="2"/>
      <c r="H247" s="2"/>
      <c r="I247" s="10" t="s">
        <v>9</v>
      </c>
      <c r="J247" s="10" t="s">
        <v>7</v>
      </c>
      <c r="K247" s="10" t="s">
        <v>10</v>
      </c>
      <c r="L247" s="3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4</v>
      </c>
      <c r="B248" s="10" t="s">
        <v>15</v>
      </c>
      <c r="C248" s="11" t="s">
        <v>27</v>
      </c>
      <c r="D248" s="13">
        <v>25000</v>
      </c>
      <c r="E248" s="13">
        <f t="shared" ref="E248:E277" si="43">A248*D248</f>
        <v>100000</v>
      </c>
      <c r="F248" s="13">
        <f t="shared" ref="F248:F277" si="44">E248*1.105</f>
        <v>110500</v>
      </c>
      <c r="G248" s="2"/>
      <c r="H248" s="2"/>
      <c r="I248" s="13">
        <v>18300</v>
      </c>
      <c r="J248" s="13">
        <f t="shared" ref="J248:J277" si="45">I248*A248</f>
        <v>73200</v>
      </c>
      <c r="K248" s="13">
        <f t="shared" ref="K248:K277" si="46">F248-J248</f>
        <v>37300</v>
      </c>
      <c r="L248" s="14">
        <f t="shared" ref="L248:L277" si="47">IFERROR(K248/E248, 0)</f>
        <v>0.373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</v>
      </c>
      <c r="B249" s="10" t="s">
        <v>15</v>
      </c>
      <c r="C249" s="11" t="s">
        <v>16</v>
      </c>
      <c r="D249" s="13">
        <v>13000</v>
      </c>
      <c r="E249" s="13">
        <f t="shared" si="43"/>
        <v>13000</v>
      </c>
      <c r="F249" s="13">
        <f t="shared" si="44"/>
        <v>14365</v>
      </c>
      <c r="G249" s="2"/>
      <c r="H249" s="2"/>
      <c r="I249" s="13">
        <v>8000</v>
      </c>
      <c r="J249" s="13">
        <f t="shared" si="45"/>
        <v>8000</v>
      </c>
      <c r="K249" s="13">
        <f t="shared" si="46"/>
        <v>6365</v>
      </c>
      <c r="L249" s="14">
        <f t="shared" si="47"/>
        <v>0.48961538461538462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5</v>
      </c>
      <c r="B250" s="10" t="s">
        <v>17</v>
      </c>
      <c r="C250" s="11" t="s">
        <v>56</v>
      </c>
      <c r="D250" s="13">
        <v>1200</v>
      </c>
      <c r="E250" s="13">
        <f t="shared" si="43"/>
        <v>6000</v>
      </c>
      <c r="F250" s="13">
        <f t="shared" si="44"/>
        <v>6630</v>
      </c>
      <c r="G250" s="2"/>
      <c r="H250" s="7" t="s">
        <v>37</v>
      </c>
      <c r="I250" s="13">
        <f>10000/15</f>
        <v>666.66666666666663</v>
      </c>
      <c r="J250" s="13">
        <f t="shared" si="45"/>
        <v>3333.333333333333</v>
      </c>
      <c r="K250" s="13">
        <f t="shared" si="46"/>
        <v>3296.666666666667</v>
      </c>
      <c r="L250" s="14">
        <f t="shared" si="47"/>
        <v>0.54944444444444451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4</v>
      </c>
      <c r="B251" s="10" t="s">
        <v>17</v>
      </c>
      <c r="C251" s="11" t="s">
        <v>18</v>
      </c>
      <c r="D251" s="13">
        <v>1600</v>
      </c>
      <c r="E251" s="13">
        <f t="shared" si="43"/>
        <v>6400</v>
      </c>
      <c r="F251" s="13">
        <f t="shared" si="44"/>
        <v>7072</v>
      </c>
      <c r="G251" s="2"/>
      <c r="H251" s="2"/>
      <c r="I251" s="13">
        <v>1000</v>
      </c>
      <c r="J251" s="13">
        <f t="shared" si="45"/>
        <v>4000</v>
      </c>
      <c r="K251" s="13">
        <f t="shared" si="46"/>
        <v>3072</v>
      </c>
      <c r="L251" s="14">
        <f t="shared" si="47"/>
        <v>0.48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10</v>
      </c>
      <c r="B252" s="10" t="s">
        <v>21</v>
      </c>
      <c r="C252" s="11" t="s">
        <v>22</v>
      </c>
      <c r="D252" s="13">
        <v>1500</v>
      </c>
      <c r="E252" s="13">
        <f t="shared" si="43"/>
        <v>15000</v>
      </c>
      <c r="F252" s="13">
        <f t="shared" si="44"/>
        <v>16575</v>
      </c>
      <c r="G252" s="2"/>
      <c r="H252" s="2"/>
      <c r="I252" s="13">
        <v>127</v>
      </c>
      <c r="J252" s="13">
        <f t="shared" si="45"/>
        <v>1270</v>
      </c>
      <c r="K252" s="13">
        <f t="shared" si="46"/>
        <v>15305</v>
      </c>
      <c r="L252" s="14">
        <f t="shared" si="47"/>
        <v>1.0203333333333333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2</v>
      </c>
      <c r="B253" s="10" t="s">
        <v>4</v>
      </c>
      <c r="C253" s="11" t="s">
        <v>65</v>
      </c>
      <c r="D253" s="13">
        <v>800</v>
      </c>
      <c r="E253" s="13">
        <f t="shared" si="43"/>
        <v>1600</v>
      </c>
      <c r="F253" s="13">
        <f t="shared" si="44"/>
        <v>1768</v>
      </c>
      <c r="G253" s="2"/>
      <c r="H253" s="2"/>
      <c r="I253" s="13">
        <f>12000/50</f>
        <v>240</v>
      </c>
      <c r="J253" s="13">
        <f t="shared" si="45"/>
        <v>480</v>
      </c>
      <c r="K253" s="13">
        <f t="shared" si="46"/>
        <v>1288</v>
      </c>
      <c r="L253" s="14">
        <f t="shared" si="47"/>
        <v>0.80500000000000005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2</v>
      </c>
      <c r="B254" s="10" t="s">
        <v>17</v>
      </c>
      <c r="C254" s="11" t="s">
        <v>38</v>
      </c>
      <c r="D254" s="13">
        <v>1800</v>
      </c>
      <c r="E254" s="13">
        <f t="shared" si="43"/>
        <v>3600</v>
      </c>
      <c r="F254" s="13">
        <f t="shared" si="44"/>
        <v>3978</v>
      </c>
      <c r="G254" s="2"/>
      <c r="H254" s="13"/>
      <c r="I254" s="13">
        <f>15000/12</f>
        <v>1250</v>
      </c>
      <c r="J254" s="13">
        <f t="shared" si="45"/>
        <v>2500</v>
      </c>
      <c r="K254" s="13">
        <f t="shared" si="46"/>
        <v>1478</v>
      </c>
      <c r="L254" s="14">
        <f t="shared" si="47"/>
        <v>0.41055555555555556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2</v>
      </c>
      <c r="B255" s="10" t="s">
        <v>17</v>
      </c>
      <c r="C255" s="11" t="s">
        <v>36</v>
      </c>
      <c r="D255" s="13">
        <v>1800</v>
      </c>
      <c r="E255" s="13">
        <f t="shared" si="43"/>
        <v>3600</v>
      </c>
      <c r="F255" s="13">
        <f t="shared" si="44"/>
        <v>3978</v>
      </c>
      <c r="G255" s="2"/>
      <c r="H255" s="13"/>
      <c r="I255" s="13">
        <f>8000/11</f>
        <v>727.27272727272725</v>
      </c>
      <c r="J255" s="13">
        <f t="shared" si="45"/>
        <v>1454.5454545454545</v>
      </c>
      <c r="K255" s="13">
        <f t="shared" si="46"/>
        <v>2523.4545454545455</v>
      </c>
      <c r="L255" s="14">
        <f t="shared" si="47"/>
        <v>0.700959595959596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2</v>
      </c>
      <c r="B256" s="10" t="s">
        <v>15</v>
      </c>
      <c r="C256" s="11" t="s">
        <v>40</v>
      </c>
      <c r="D256" s="13">
        <v>12000</v>
      </c>
      <c r="E256" s="13">
        <f t="shared" si="43"/>
        <v>24000</v>
      </c>
      <c r="F256" s="13">
        <f t="shared" si="44"/>
        <v>26520</v>
      </c>
      <c r="G256" s="2"/>
      <c r="H256" s="7"/>
      <c r="I256" s="13">
        <v>8000</v>
      </c>
      <c r="J256" s="13">
        <f t="shared" si="45"/>
        <v>16000</v>
      </c>
      <c r="K256" s="13">
        <f t="shared" si="46"/>
        <v>10520</v>
      </c>
      <c r="L256" s="14">
        <f t="shared" si="47"/>
        <v>0.43833333333333335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0.5</v>
      </c>
      <c r="B257" s="10" t="s">
        <v>17</v>
      </c>
      <c r="C257" s="11" t="s">
        <v>34</v>
      </c>
      <c r="D257" s="13">
        <v>5000</v>
      </c>
      <c r="E257" s="13">
        <f t="shared" si="43"/>
        <v>2500</v>
      </c>
      <c r="F257" s="13">
        <f t="shared" si="44"/>
        <v>2762.5</v>
      </c>
      <c r="G257" s="2"/>
      <c r="H257" s="2"/>
      <c r="I257" s="13">
        <f>35000/15</f>
        <v>2333.3333333333335</v>
      </c>
      <c r="J257" s="13">
        <f t="shared" si="45"/>
        <v>1166.6666666666667</v>
      </c>
      <c r="K257" s="13">
        <f t="shared" si="46"/>
        <v>1595.8333333333333</v>
      </c>
      <c r="L257" s="14">
        <f t="shared" si="47"/>
        <v>0.63833333333333331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1</v>
      </c>
      <c r="B258" s="10" t="s">
        <v>21</v>
      </c>
      <c r="C258" s="11" t="s">
        <v>51</v>
      </c>
      <c r="D258" s="13">
        <v>1500</v>
      </c>
      <c r="E258" s="13">
        <f t="shared" si="43"/>
        <v>1500</v>
      </c>
      <c r="F258" s="13">
        <f t="shared" si="44"/>
        <v>1657.5</v>
      </c>
      <c r="G258" s="2"/>
      <c r="H258" s="2"/>
      <c r="I258" s="13">
        <f>15000/24</f>
        <v>625</v>
      </c>
      <c r="J258" s="13">
        <f t="shared" si="45"/>
        <v>625</v>
      </c>
      <c r="K258" s="13">
        <f t="shared" si="46"/>
        <v>1032.5</v>
      </c>
      <c r="L258" s="14">
        <f t="shared" si="47"/>
        <v>0.68833333333333335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0.25</v>
      </c>
      <c r="B259" s="10" t="s">
        <v>21</v>
      </c>
      <c r="C259" s="11" t="s">
        <v>133</v>
      </c>
      <c r="D259" s="13">
        <v>3000</v>
      </c>
      <c r="E259" s="13">
        <f t="shared" si="43"/>
        <v>750</v>
      </c>
      <c r="F259" s="13">
        <f t="shared" si="44"/>
        <v>828.75</v>
      </c>
      <c r="G259" s="2"/>
      <c r="H259" s="7" t="s">
        <v>37</v>
      </c>
      <c r="I259" s="13">
        <v>625</v>
      </c>
      <c r="J259" s="13">
        <f t="shared" si="45"/>
        <v>156.25</v>
      </c>
      <c r="K259" s="13">
        <f t="shared" si="46"/>
        <v>672.5</v>
      </c>
      <c r="L259" s="14">
        <f t="shared" si="47"/>
        <v>0.89666666666666661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0.25</v>
      </c>
      <c r="B260" s="10" t="s">
        <v>21</v>
      </c>
      <c r="C260" s="11" t="s">
        <v>28</v>
      </c>
      <c r="D260" s="13">
        <v>3000</v>
      </c>
      <c r="E260" s="13">
        <f t="shared" si="43"/>
        <v>750</v>
      </c>
      <c r="F260" s="13">
        <f t="shared" si="44"/>
        <v>828.75</v>
      </c>
      <c r="G260" s="2"/>
      <c r="H260" s="2"/>
      <c r="I260" s="13">
        <v>2500</v>
      </c>
      <c r="J260" s="13">
        <f t="shared" si="45"/>
        <v>625</v>
      </c>
      <c r="K260" s="13">
        <f t="shared" si="46"/>
        <v>203.75</v>
      </c>
      <c r="L260" s="14">
        <f t="shared" si="47"/>
        <v>0.27166666666666667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1</v>
      </c>
      <c r="B261" s="10" t="s">
        <v>17</v>
      </c>
      <c r="C261" s="11" t="s">
        <v>61</v>
      </c>
      <c r="D261" s="13">
        <v>2800</v>
      </c>
      <c r="E261" s="13">
        <f t="shared" si="43"/>
        <v>2800</v>
      </c>
      <c r="F261" s="13">
        <f t="shared" si="44"/>
        <v>3094</v>
      </c>
      <c r="G261" s="2"/>
      <c r="H261" s="2"/>
      <c r="I261" s="13">
        <f>30000/14</f>
        <v>2142.8571428571427</v>
      </c>
      <c r="J261" s="13">
        <f t="shared" si="45"/>
        <v>2142.8571428571427</v>
      </c>
      <c r="K261" s="13">
        <f t="shared" si="46"/>
        <v>951.14285714285734</v>
      </c>
      <c r="L261" s="14">
        <f t="shared" si="47"/>
        <v>0.33969387755102048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1</v>
      </c>
      <c r="B262" s="10" t="s">
        <v>17</v>
      </c>
      <c r="C262" s="11" t="s">
        <v>19</v>
      </c>
      <c r="D262" s="13">
        <v>4500</v>
      </c>
      <c r="E262" s="13">
        <f t="shared" si="43"/>
        <v>4500</v>
      </c>
      <c r="F262" s="13">
        <f t="shared" si="44"/>
        <v>4972.5</v>
      </c>
      <c r="G262" s="2"/>
      <c r="H262" s="2"/>
      <c r="I262" s="13">
        <f>30000/8</f>
        <v>3750</v>
      </c>
      <c r="J262" s="13">
        <f t="shared" si="45"/>
        <v>3750</v>
      </c>
      <c r="K262" s="13">
        <f t="shared" si="46"/>
        <v>1222.5</v>
      </c>
      <c r="L262" s="14">
        <f t="shared" si="47"/>
        <v>0.27166666666666667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0.3</v>
      </c>
      <c r="B263" s="10" t="s">
        <v>17</v>
      </c>
      <c r="C263" s="11" t="s">
        <v>55</v>
      </c>
      <c r="D263" s="13">
        <v>20000</v>
      </c>
      <c r="E263" s="13">
        <f t="shared" si="43"/>
        <v>6000</v>
      </c>
      <c r="F263" s="13">
        <f t="shared" si="44"/>
        <v>6630</v>
      </c>
      <c r="G263" s="2"/>
      <c r="H263" s="2"/>
      <c r="I263" s="13">
        <v>16000</v>
      </c>
      <c r="J263" s="13">
        <f t="shared" si="45"/>
        <v>4800</v>
      </c>
      <c r="K263" s="13">
        <f t="shared" si="46"/>
        <v>1830</v>
      </c>
      <c r="L263" s="14">
        <f t="shared" si="47"/>
        <v>0.30499999999999999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0.5</v>
      </c>
      <c r="B264" s="10" t="s">
        <v>17</v>
      </c>
      <c r="C264" s="11" t="s">
        <v>42</v>
      </c>
      <c r="D264" s="13">
        <v>4500</v>
      </c>
      <c r="E264" s="13">
        <f t="shared" si="43"/>
        <v>2250</v>
      </c>
      <c r="F264" s="13">
        <f t="shared" si="44"/>
        <v>2486.25</v>
      </c>
      <c r="G264" s="2"/>
      <c r="H264" s="2"/>
      <c r="I264" s="13">
        <f>25000/14</f>
        <v>1785.7142857142858</v>
      </c>
      <c r="J264" s="13">
        <f t="shared" si="45"/>
        <v>892.85714285714289</v>
      </c>
      <c r="K264" s="13">
        <f t="shared" si="46"/>
        <v>1593.3928571428571</v>
      </c>
      <c r="L264" s="14">
        <f t="shared" si="47"/>
        <v>0.70817460317460312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9</v>
      </c>
      <c r="B265" s="10" t="s">
        <v>17</v>
      </c>
      <c r="C265" s="11" t="s">
        <v>39</v>
      </c>
      <c r="D265" s="13">
        <v>1700</v>
      </c>
      <c r="E265" s="13">
        <f t="shared" si="43"/>
        <v>15300</v>
      </c>
      <c r="F265" s="13">
        <f t="shared" si="44"/>
        <v>16906.5</v>
      </c>
      <c r="G265" s="2"/>
      <c r="H265" s="2"/>
      <c r="I265" s="13">
        <f>18500/15</f>
        <v>1233.3333333333333</v>
      </c>
      <c r="J265" s="13">
        <f t="shared" si="45"/>
        <v>11100</v>
      </c>
      <c r="K265" s="13">
        <f t="shared" si="46"/>
        <v>5806.5</v>
      </c>
      <c r="L265" s="14">
        <f t="shared" si="47"/>
        <v>0.37950980392156863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0.5</v>
      </c>
      <c r="B266" s="10" t="s">
        <v>17</v>
      </c>
      <c r="C266" s="11" t="s">
        <v>93</v>
      </c>
      <c r="D266" s="13">
        <v>3000</v>
      </c>
      <c r="E266" s="13">
        <f t="shared" si="43"/>
        <v>1500</v>
      </c>
      <c r="F266" s="13">
        <f t="shared" si="44"/>
        <v>1657.5</v>
      </c>
      <c r="G266" s="2"/>
      <c r="H266" s="2"/>
      <c r="I266" s="13">
        <f>10000/7</f>
        <v>1428.5714285714287</v>
      </c>
      <c r="J266" s="13">
        <f t="shared" si="45"/>
        <v>714.28571428571433</v>
      </c>
      <c r="K266" s="13">
        <f t="shared" si="46"/>
        <v>943.21428571428567</v>
      </c>
      <c r="L266" s="14">
        <f t="shared" si="47"/>
        <v>0.62880952380952382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6</v>
      </c>
      <c r="B267" s="10" t="s">
        <v>17</v>
      </c>
      <c r="C267" s="11" t="s">
        <v>43</v>
      </c>
      <c r="D267" s="13">
        <v>4500</v>
      </c>
      <c r="E267" s="13">
        <f t="shared" si="43"/>
        <v>27000</v>
      </c>
      <c r="F267" s="13">
        <f t="shared" si="44"/>
        <v>29835</v>
      </c>
      <c r="G267" s="2"/>
      <c r="H267" s="2"/>
      <c r="I267" s="13">
        <f>13000/4</f>
        <v>3250</v>
      </c>
      <c r="J267" s="13">
        <f t="shared" si="45"/>
        <v>19500</v>
      </c>
      <c r="K267" s="13">
        <f t="shared" si="46"/>
        <v>10335</v>
      </c>
      <c r="L267" s="14">
        <f t="shared" si="47"/>
        <v>0.38277777777777777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20</v>
      </c>
      <c r="B268" s="10" t="s">
        <v>21</v>
      </c>
      <c r="C268" s="11" t="s">
        <v>46</v>
      </c>
      <c r="D268" s="13">
        <v>600</v>
      </c>
      <c r="E268" s="13">
        <f t="shared" si="43"/>
        <v>12000</v>
      </c>
      <c r="F268" s="13">
        <f t="shared" si="44"/>
        <v>13260</v>
      </c>
      <c r="G268" s="2"/>
      <c r="H268" s="2"/>
      <c r="I268" s="13">
        <f>7000/24</f>
        <v>291.66666666666669</v>
      </c>
      <c r="J268" s="13">
        <f t="shared" si="45"/>
        <v>5833.3333333333339</v>
      </c>
      <c r="K268" s="13">
        <f t="shared" si="46"/>
        <v>7426.6666666666661</v>
      </c>
      <c r="L268" s="14">
        <f t="shared" si="47"/>
        <v>0.61888888888888882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2</v>
      </c>
      <c r="B269" s="10" t="s">
        <v>21</v>
      </c>
      <c r="C269" s="11" t="s">
        <v>52</v>
      </c>
      <c r="D269" s="13">
        <v>2000</v>
      </c>
      <c r="E269" s="13">
        <f t="shared" si="43"/>
        <v>4000</v>
      </c>
      <c r="F269" s="13">
        <f t="shared" si="44"/>
        <v>4420</v>
      </c>
      <c r="G269" s="2"/>
      <c r="H269" s="2"/>
      <c r="I269" s="13">
        <v>1000</v>
      </c>
      <c r="J269" s="13">
        <f t="shared" si="45"/>
        <v>2000</v>
      </c>
      <c r="K269" s="13">
        <f t="shared" si="46"/>
        <v>2420</v>
      </c>
      <c r="L269" s="14">
        <f t="shared" si="47"/>
        <v>0.60499999999999998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0.5</v>
      </c>
      <c r="B270" s="10" t="s">
        <v>17</v>
      </c>
      <c r="C270" s="11" t="s">
        <v>35</v>
      </c>
      <c r="D270" s="13">
        <v>2500</v>
      </c>
      <c r="E270" s="13">
        <f t="shared" si="43"/>
        <v>1250</v>
      </c>
      <c r="F270" s="13">
        <f t="shared" si="44"/>
        <v>1381.25</v>
      </c>
      <c r="G270" s="2"/>
      <c r="H270" s="2"/>
      <c r="I270" s="13">
        <f>14000/9</f>
        <v>1555.5555555555557</v>
      </c>
      <c r="J270" s="13">
        <f t="shared" si="45"/>
        <v>777.77777777777783</v>
      </c>
      <c r="K270" s="13">
        <f t="shared" si="46"/>
        <v>603.47222222222217</v>
      </c>
      <c r="L270" s="14">
        <f t="shared" si="47"/>
        <v>0.48277777777777775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3</v>
      </c>
      <c r="B271" s="10" t="s">
        <v>17</v>
      </c>
      <c r="C271" s="11" t="s">
        <v>31</v>
      </c>
      <c r="D271" s="13">
        <v>2800</v>
      </c>
      <c r="E271" s="13">
        <f t="shared" si="43"/>
        <v>8400</v>
      </c>
      <c r="F271" s="13">
        <f t="shared" si="44"/>
        <v>9282</v>
      </c>
      <c r="G271" s="2"/>
      <c r="H271" s="13"/>
      <c r="I271" s="13">
        <f>11000/7</f>
        <v>1571.4285714285713</v>
      </c>
      <c r="J271" s="13">
        <f t="shared" si="45"/>
        <v>4714.2857142857138</v>
      </c>
      <c r="K271" s="13">
        <f t="shared" si="46"/>
        <v>4567.7142857142862</v>
      </c>
      <c r="L271" s="14">
        <f t="shared" si="47"/>
        <v>0.54377551020408166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1.5</v>
      </c>
      <c r="B272" s="10" t="s">
        <v>23</v>
      </c>
      <c r="C272" s="11" t="s">
        <v>26</v>
      </c>
      <c r="D272" s="13">
        <v>19000</v>
      </c>
      <c r="E272" s="13">
        <f t="shared" si="43"/>
        <v>28500</v>
      </c>
      <c r="F272" s="13">
        <f t="shared" si="44"/>
        <v>31492.5</v>
      </c>
      <c r="G272" s="2"/>
      <c r="H272" s="13"/>
      <c r="I272" s="13">
        <v>12000</v>
      </c>
      <c r="J272" s="13">
        <f t="shared" si="45"/>
        <v>18000</v>
      </c>
      <c r="K272" s="13">
        <f t="shared" si="46"/>
        <v>13492.5</v>
      </c>
      <c r="L272" s="14">
        <f t="shared" si="47"/>
        <v>0.47342105263157896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10</v>
      </c>
      <c r="B273" s="10" t="s">
        <v>17</v>
      </c>
      <c r="C273" s="11" t="s">
        <v>24</v>
      </c>
      <c r="D273" s="13">
        <v>3600</v>
      </c>
      <c r="E273" s="13">
        <f t="shared" si="43"/>
        <v>36000</v>
      </c>
      <c r="F273" s="13">
        <f t="shared" si="44"/>
        <v>39780</v>
      </c>
      <c r="G273" s="2"/>
      <c r="H273" s="13"/>
      <c r="I273" s="13">
        <f>50000/17</f>
        <v>2941.1764705882351</v>
      </c>
      <c r="J273" s="13">
        <f t="shared" si="45"/>
        <v>29411.76470588235</v>
      </c>
      <c r="K273" s="13">
        <f t="shared" si="46"/>
        <v>10368.23529411765</v>
      </c>
      <c r="L273" s="14">
        <f t="shared" si="47"/>
        <v>0.28800653594771253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6</v>
      </c>
      <c r="B274" s="10" t="s">
        <v>17</v>
      </c>
      <c r="C274" s="11" t="s">
        <v>25</v>
      </c>
      <c r="D274" s="13">
        <v>4500</v>
      </c>
      <c r="E274" s="13">
        <f t="shared" si="43"/>
        <v>27000</v>
      </c>
      <c r="F274" s="13">
        <f t="shared" si="44"/>
        <v>29835</v>
      </c>
      <c r="G274" s="2"/>
      <c r="H274" s="2"/>
      <c r="I274" s="13">
        <f>62000/17</f>
        <v>3647.0588235294117</v>
      </c>
      <c r="J274" s="13">
        <f t="shared" si="45"/>
        <v>21882.352941176468</v>
      </c>
      <c r="K274" s="13">
        <f t="shared" si="46"/>
        <v>7952.6470588235316</v>
      </c>
      <c r="L274" s="14">
        <f t="shared" si="47"/>
        <v>0.2945424836601308</v>
      </c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4</v>
      </c>
      <c r="B275" s="10" t="s">
        <v>17</v>
      </c>
      <c r="C275" s="11" t="s">
        <v>67</v>
      </c>
      <c r="D275" s="13">
        <v>1300</v>
      </c>
      <c r="E275" s="13">
        <f t="shared" si="43"/>
        <v>5200</v>
      </c>
      <c r="F275" s="13">
        <f t="shared" si="44"/>
        <v>5746</v>
      </c>
      <c r="G275" s="2"/>
      <c r="H275" s="2"/>
      <c r="I275" s="13">
        <f>15000/14</f>
        <v>1071.4285714285713</v>
      </c>
      <c r="J275" s="13">
        <f t="shared" si="45"/>
        <v>4285.7142857142853</v>
      </c>
      <c r="K275" s="13">
        <f t="shared" si="46"/>
        <v>1460.2857142857147</v>
      </c>
      <c r="L275" s="14">
        <f t="shared" si="47"/>
        <v>0.2808241758241759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3</v>
      </c>
      <c r="B276" s="10" t="s">
        <v>17</v>
      </c>
      <c r="C276" s="11" t="s">
        <v>62</v>
      </c>
      <c r="D276" s="13">
        <v>3000</v>
      </c>
      <c r="E276" s="13">
        <f t="shared" si="43"/>
        <v>9000</v>
      </c>
      <c r="F276" s="13">
        <f t="shared" si="44"/>
        <v>9945</v>
      </c>
      <c r="G276" s="2"/>
      <c r="H276" s="2"/>
      <c r="I276" s="13">
        <f>27000/17</f>
        <v>1588.2352941176471</v>
      </c>
      <c r="J276" s="13">
        <f t="shared" si="45"/>
        <v>4764.7058823529414</v>
      </c>
      <c r="K276" s="13">
        <f t="shared" si="46"/>
        <v>5180.2941176470586</v>
      </c>
      <c r="L276" s="14">
        <f t="shared" si="47"/>
        <v>0.57558823529411762</v>
      </c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0.75</v>
      </c>
      <c r="B277" s="10" t="s">
        <v>17</v>
      </c>
      <c r="C277" s="11" t="s">
        <v>1085</v>
      </c>
      <c r="D277" s="13">
        <v>4000</v>
      </c>
      <c r="E277" s="13">
        <f t="shared" si="43"/>
        <v>3000</v>
      </c>
      <c r="F277" s="13">
        <f t="shared" si="44"/>
        <v>3315</v>
      </c>
      <c r="G277" s="2"/>
      <c r="H277" s="2"/>
      <c r="I277" s="13">
        <f>25000/8</f>
        <v>3125</v>
      </c>
      <c r="J277" s="13">
        <f t="shared" si="45"/>
        <v>2343.75</v>
      </c>
      <c r="K277" s="13">
        <f t="shared" si="46"/>
        <v>971.25</v>
      </c>
      <c r="L277" s="14">
        <f t="shared" si="47"/>
        <v>0.32374999999999998</v>
      </c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"/>
      <c r="B278" s="2"/>
      <c r="C278" s="4"/>
      <c r="D278" s="2"/>
      <c r="E278" s="2"/>
      <c r="F278" s="2"/>
      <c r="G278" s="2"/>
      <c r="H278" s="2"/>
      <c r="I278" s="2"/>
      <c r="J278" s="2"/>
      <c r="K278" s="2"/>
      <c r="L278" s="3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"/>
      <c r="B279" s="2"/>
      <c r="C279" s="4"/>
      <c r="D279" s="2"/>
      <c r="E279" s="13">
        <f t="shared" ref="E279:F279" si="48">SUM(E248:E277)</f>
        <v>372400</v>
      </c>
      <c r="F279" s="13">
        <f t="shared" si="48"/>
        <v>411502</v>
      </c>
      <c r="G279" s="2"/>
      <c r="H279" s="2"/>
      <c r="I279" s="2"/>
      <c r="J279" s="2"/>
      <c r="K279" s="13">
        <f>SUM(K248:K277)</f>
        <v>161777.51990493166</v>
      </c>
      <c r="L279" s="14">
        <f>K279/F279</f>
        <v>0.39313908536272402</v>
      </c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0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0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88" t="s">
        <v>44</v>
      </c>
      <c r="B282" s="89"/>
      <c r="C282" s="89"/>
      <c r="D282" s="2"/>
      <c r="E282" s="7" t="s">
        <v>953</v>
      </c>
      <c r="F282" s="8">
        <v>46136</v>
      </c>
      <c r="G282" s="7" t="s">
        <v>106</v>
      </c>
      <c r="H282" s="2"/>
      <c r="I282" s="91" t="s">
        <v>2</v>
      </c>
      <c r="J282" s="89"/>
      <c r="K282" s="89"/>
      <c r="L282" s="3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3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6" t="s">
        <v>3</v>
      </c>
      <c r="B284" s="10" t="s">
        <v>4</v>
      </c>
      <c r="C284" s="11" t="s">
        <v>5</v>
      </c>
      <c r="D284" s="10" t="s">
        <v>6</v>
      </c>
      <c r="E284" s="10" t="s">
        <v>7</v>
      </c>
      <c r="F284" s="10" t="s">
        <v>8</v>
      </c>
      <c r="G284" s="2"/>
      <c r="H284" s="2"/>
      <c r="I284" s="10" t="s">
        <v>9</v>
      </c>
      <c r="J284" s="10" t="s">
        <v>7</v>
      </c>
      <c r="K284" s="10" t="s">
        <v>10</v>
      </c>
      <c r="L284" s="3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4</v>
      </c>
      <c r="B285" s="10" t="s">
        <v>15</v>
      </c>
      <c r="C285" s="11" t="s">
        <v>27</v>
      </c>
      <c r="D285" s="13">
        <v>25000</v>
      </c>
      <c r="E285" s="13">
        <f t="shared" ref="E285:E312" si="49">A285*D285</f>
        <v>100000</v>
      </c>
      <c r="F285" s="13">
        <f t="shared" ref="F285:F311" si="50">E285*1.105</f>
        <v>110500</v>
      </c>
      <c r="G285" s="2"/>
      <c r="H285" s="2"/>
      <c r="I285" s="13">
        <v>18300</v>
      </c>
      <c r="J285" s="13">
        <f t="shared" ref="J285:J312" si="51">I285*A285</f>
        <v>73200</v>
      </c>
      <c r="K285" s="13">
        <f t="shared" ref="K285:K312" si="52">F285-J285</f>
        <v>37300</v>
      </c>
      <c r="L285" s="14">
        <f t="shared" ref="L285:L304" si="53">IFERROR(K285/E285, 0)</f>
        <v>0.373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4</v>
      </c>
      <c r="B286" s="10" t="s">
        <v>17</v>
      </c>
      <c r="C286" s="11" t="s">
        <v>48</v>
      </c>
      <c r="D286" s="13">
        <v>900</v>
      </c>
      <c r="E286" s="13">
        <f t="shared" si="49"/>
        <v>3600</v>
      </c>
      <c r="F286" s="13">
        <f t="shared" si="50"/>
        <v>3978</v>
      </c>
      <c r="G286" s="2"/>
      <c r="H286" s="2"/>
      <c r="I286" s="13">
        <f>8000/15</f>
        <v>533.33333333333337</v>
      </c>
      <c r="J286" s="13">
        <f t="shared" si="51"/>
        <v>2133.3333333333335</v>
      </c>
      <c r="K286" s="13">
        <f t="shared" si="52"/>
        <v>1844.6666666666665</v>
      </c>
      <c r="L286" s="14">
        <f t="shared" si="53"/>
        <v>0.51240740740740731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1</v>
      </c>
      <c r="B287" s="10" t="s">
        <v>15</v>
      </c>
      <c r="C287" s="11" t="s">
        <v>40</v>
      </c>
      <c r="D287" s="13">
        <v>12000</v>
      </c>
      <c r="E287" s="13">
        <f t="shared" si="49"/>
        <v>12000</v>
      </c>
      <c r="F287" s="13">
        <f t="shared" si="50"/>
        <v>13260</v>
      </c>
      <c r="G287" s="2"/>
      <c r="H287" s="2"/>
      <c r="I287" s="13">
        <v>8000</v>
      </c>
      <c r="J287" s="13">
        <f t="shared" si="51"/>
        <v>8000</v>
      </c>
      <c r="K287" s="13">
        <f t="shared" si="52"/>
        <v>5260</v>
      </c>
      <c r="L287" s="14">
        <f t="shared" si="53"/>
        <v>0.43833333333333335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3</v>
      </c>
      <c r="B288" s="10" t="s">
        <v>17</v>
      </c>
      <c r="C288" s="11" t="s">
        <v>18</v>
      </c>
      <c r="D288" s="13">
        <v>1600</v>
      </c>
      <c r="E288" s="13">
        <f t="shared" si="49"/>
        <v>4800</v>
      </c>
      <c r="F288" s="13">
        <f t="shared" si="50"/>
        <v>5304</v>
      </c>
      <c r="G288" s="2"/>
      <c r="H288" s="2"/>
      <c r="I288" s="13">
        <v>1000</v>
      </c>
      <c r="J288" s="13">
        <f t="shared" si="51"/>
        <v>3000</v>
      </c>
      <c r="K288" s="13">
        <f t="shared" si="52"/>
        <v>2304</v>
      </c>
      <c r="L288" s="14">
        <f t="shared" si="53"/>
        <v>0.48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0.15</v>
      </c>
      <c r="B289" s="10" t="s">
        <v>17</v>
      </c>
      <c r="C289" s="11" t="s">
        <v>88</v>
      </c>
      <c r="D289" s="13">
        <v>1500</v>
      </c>
      <c r="E289" s="13">
        <f t="shared" si="49"/>
        <v>225</v>
      </c>
      <c r="F289" s="13">
        <f t="shared" si="50"/>
        <v>248.625</v>
      </c>
      <c r="G289" s="2"/>
      <c r="H289" s="2"/>
      <c r="I289" s="13">
        <f>13000/15</f>
        <v>866.66666666666663</v>
      </c>
      <c r="J289" s="13">
        <f t="shared" si="51"/>
        <v>130</v>
      </c>
      <c r="K289" s="13">
        <f t="shared" si="52"/>
        <v>118.625</v>
      </c>
      <c r="L289" s="14">
        <f t="shared" si="53"/>
        <v>0.52722222222222226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1</v>
      </c>
      <c r="B290" s="10" t="s">
        <v>4</v>
      </c>
      <c r="C290" s="11" t="s">
        <v>13</v>
      </c>
      <c r="D290" s="13">
        <v>900</v>
      </c>
      <c r="E290" s="13">
        <f t="shared" si="49"/>
        <v>900</v>
      </c>
      <c r="F290" s="13">
        <f t="shared" si="50"/>
        <v>994.5</v>
      </c>
      <c r="G290" s="2"/>
      <c r="H290" s="2"/>
      <c r="I290" s="13">
        <f>27000/50</f>
        <v>540</v>
      </c>
      <c r="J290" s="13">
        <f t="shared" si="51"/>
        <v>540</v>
      </c>
      <c r="K290" s="13">
        <f t="shared" si="52"/>
        <v>454.5</v>
      </c>
      <c r="L290" s="14">
        <f t="shared" si="53"/>
        <v>0.505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4</v>
      </c>
      <c r="B291" s="10" t="s">
        <v>21</v>
      </c>
      <c r="C291" s="11" t="s">
        <v>22</v>
      </c>
      <c r="D291" s="13">
        <v>1500</v>
      </c>
      <c r="E291" s="13">
        <f t="shared" si="49"/>
        <v>6000</v>
      </c>
      <c r="F291" s="13">
        <f t="shared" si="50"/>
        <v>6630</v>
      </c>
      <c r="G291" s="2"/>
      <c r="H291" s="2"/>
      <c r="I291" s="13">
        <v>1000</v>
      </c>
      <c r="J291" s="13">
        <f t="shared" si="51"/>
        <v>4000</v>
      </c>
      <c r="K291" s="13">
        <f t="shared" si="52"/>
        <v>2630</v>
      </c>
      <c r="L291" s="14">
        <f t="shared" si="53"/>
        <v>0.43833333333333335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0.9</v>
      </c>
      <c r="B292" s="10" t="s">
        <v>17</v>
      </c>
      <c r="C292" s="11" t="s">
        <v>1132</v>
      </c>
      <c r="D292" s="13">
        <v>4500</v>
      </c>
      <c r="E292" s="13">
        <f t="shared" si="49"/>
        <v>4050</v>
      </c>
      <c r="F292" s="13">
        <f t="shared" si="50"/>
        <v>4475.25</v>
      </c>
      <c r="G292" s="2"/>
      <c r="H292" s="2"/>
      <c r="I292" s="13">
        <f>30000/8</f>
        <v>3750</v>
      </c>
      <c r="J292" s="13">
        <f t="shared" si="51"/>
        <v>3375</v>
      </c>
      <c r="K292" s="13">
        <f t="shared" si="52"/>
        <v>1100.25</v>
      </c>
      <c r="L292" s="14">
        <f t="shared" si="53"/>
        <v>0.27166666666666667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2.4</v>
      </c>
      <c r="B293" s="10" t="s">
        <v>17</v>
      </c>
      <c r="C293" s="11" t="s">
        <v>36</v>
      </c>
      <c r="D293" s="13">
        <v>1800</v>
      </c>
      <c r="E293" s="13">
        <f t="shared" si="49"/>
        <v>4320</v>
      </c>
      <c r="F293" s="13">
        <f t="shared" si="50"/>
        <v>4773.6000000000004</v>
      </c>
      <c r="G293" s="2"/>
      <c r="H293" s="2"/>
      <c r="I293" s="13">
        <f>8000/11</f>
        <v>727.27272727272725</v>
      </c>
      <c r="J293" s="13">
        <f t="shared" si="51"/>
        <v>1745.4545454545453</v>
      </c>
      <c r="K293" s="13">
        <f t="shared" si="52"/>
        <v>3028.1454545454553</v>
      </c>
      <c r="L293" s="14">
        <f t="shared" si="53"/>
        <v>0.70095959595959612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2.6</v>
      </c>
      <c r="B294" s="10" t="s">
        <v>17</v>
      </c>
      <c r="C294" s="11" t="s">
        <v>38</v>
      </c>
      <c r="D294" s="13">
        <v>1800</v>
      </c>
      <c r="E294" s="13">
        <f t="shared" si="49"/>
        <v>4680</v>
      </c>
      <c r="F294" s="13">
        <f t="shared" si="50"/>
        <v>5171.3999999999996</v>
      </c>
      <c r="G294" s="2"/>
      <c r="H294" s="2"/>
      <c r="I294" s="13">
        <f>15000/12</f>
        <v>1250</v>
      </c>
      <c r="J294" s="13">
        <f t="shared" si="51"/>
        <v>3250</v>
      </c>
      <c r="K294" s="13">
        <f t="shared" si="52"/>
        <v>1921.3999999999996</v>
      </c>
      <c r="L294" s="14">
        <f t="shared" si="53"/>
        <v>0.41055555555555545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16</v>
      </c>
      <c r="B295" s="10" t="s">
        <v>17</v>
      </c>
      <c r="C295" s="11" t="s">
        <v>39</v>
      </c>
      <c r="D295" s="13">
        <v>1700</v>
      </c>
      <c r="E295" s="13">
        <f t="shared" si="49"/>
        <v>27200</v>
      </c>
      <c r="F295" s="13">
        <f t="shared" si="50"/>
        <v>30056</v>
      </c>
      <c r="G295" s="2"/>
      <c r="H295" s="2"/>
      <c r="I295" s="13">
        <f>18500/15</f>
        <v>1233.3333333333333</v>
      </c>
      <c r="J295" s="13">
        <f t="shared" si="51"/>
        <v>19733.333333333332</v>
      </c>
      <c r="K295" s="13">
        <f t="shared" si="52"/>
        <v>10322.666666666668</v>
      </c>
      <c r="L295" s="14">
        <f t="shared" si="53"/>
        <v>0.37950980392156869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0.5</v>
      </c>
      <c r="B296" s="10" t="s">
        <v>17</v>
      </c>
      <c r="C296" s="11" t="s">
        <v>61</v>
      </c>
      <c r="D296" s="13">
        <v>2800</v>
      </c>
      <c r="E296" s="13">
        <f t="shared" si="49"/>
        <v>1400</v>
      </c>
      <c r="F296" s="13">
        <f t="shared" si="50"/>
        <v>1547</v>
      </c>
      <c r="G296" s="2"/>
      <c r="H296" s="2"/>
      <c r="I296" s="13">
        <f>30000/14</f>
        <v>2142.8571428571427</v>
      </c>
      <c r="J296" s="13">
        <f t="shared" si="51"/>
        <v>1071.4285714285713</v>
      </c>
      <c r="K296" s="13">
        <f t="shared" si="52"/>
        <v>475.57142857142867</v>
      </c>
      <c r="L296" s="18">
        <f t="shared" si="53"/>
        <v>0.33969387755102048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0.5</v>
      </c>
      <c r="B297" s="10" t="s">
        <v>17</v>
      </c>
      <c r="C297" s="11" t="s">
        <v>42</v>
      </c>
      <c r="D297" s="13">
        <v>4500</v>
      </c>
      <c r="E297" s="13">
        <f t="shared" si="49"/>
        <v>2250</v>
      </c>
      <c r="F297" s="13">
        <f t="shared" si="50"/>
        <v>2486.25</v>
      </c>
      <c r="G297" s="2"/>
      <c r="H297" s="2"/>
      <c r="I297" s="13">
        <f>25000/14</f>
        <v>1785.7142857142858</v>
      </c>
      <c r="J297" s="13">
        <f t="shared" si="51"/>
        <v>892.85714285714289</v>
      </c>
      <c r="K297" s="13">
        <f t="shared" si="52"/>
        <v>1593.3928571428571</v>
      </c>
      <c r="L297" s="18">
        <f t="shared" si="53"/>
        <v>0.70817460317460312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1</v>
      </c>
      <c r="B298" s="10" t="s">
        <v>21</v>
      </c>
      <c r="C298" s="11" t="s">
        <v>133</v>
      </c>
      <c r="D298" s="13">
        <v>3000</v>
      </c>
      <c r="E298" s="13">
        <f t="shared" si="49"/>
        <v>3000</v>
      </c>
      <c r="F298" s="13">
        <f t="shared" si="50"/>
        <v>3315</v>
      </c>
      <c r="G298" s="2"/>
      <c r="H298" s="2"/>
      <c r="I298" s="13">
        <v>625</v>
      </c>
      <c r="J298" s="13">
        <f t="shared" si="51"/>
        <v>625</v>
      </c>
      <c r="K298" s="13">
        <f t="shared" si="52"/>
        <v>2690</v>
      </c>
      <c r="L298" s="18">
        <f t="shared" si="53"/>
        <v>0.89666666666666661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0.5</v>
      </c>
      <c r="B299" s="10" t="s">
        <v>21</v>
      </c>
      <c r="C299" s="11" t="s">
        <v>29</v>
      </c>
      <c r="D299" s="13">
        <v>3000</v>
      </c>
      <c r="E299" s="13">
        <f t="shared" si="49"/>
        <v>1500</v>
      </c>
      <c r="F299" s="13">
        <f t="shared" si="50"/>
        <v>1657.5</v>
      </c>
      <c r="G299" s="2"/>
      <c r="H299" s="2"/>
      <c r="I299" s="13">
        <v>1200</v>
      </c>
      <c r="J299" s="13">
        <f t="shared" si="51"/>
        <v>600</v>
      </c>
      <c r="K299" s="13">
        <f t="shared" si="52"/>
        <v>1057.5</v>
      </c>
      <c r="L299" s="18">
        <f t="shared" si="53"/>
        <v>0.70499999999999996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1</v>
      </c>
      <c r="B300" s="10" t="s">
        <v>17</v>
      </c>
      <c r="C300" s="11" t="s">
        <v>34</v>
      </c>
      <c r="D300" s="13">
        <v>5000</v>
      </c>
      <c r="E300" s="13">
        <f t="shared" si="49"/>
        <v>5000</v>
      </c>
      <c r="F300" s="13">
        <f t="shared" si="50"/>
        <v>5525</v>
      </c>
      <c r="G300" s="2"/>
      <c r="H300" s="2"/>
      <c r="I300" s="13">
        <f>35000/15</f>
        <v>2333.3333333333335</v>
      </c>
      <c r="J300" s="13">
        <f t="shared" si="51"/>
        <v>2333.3333333333335</v>
      </c>
      <c r="K300" s="13">
        <f t="shared" si="52"/>
        <v>3191.6666666666665</v>
      </c>
      <c r="L300" s="18">
        <f t="shared" si="53"/>
        <v>0.63833333333333331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2</v>
      </c>
      <c r="B301" s="10" t="s">
        <v>17</v>
      </c>
      <c r="C301" s="11" t="s">
        <v>62</v>
      </c>
      <c r="D301" s="13">
        <v>3000</v>
      </c>
      <c r="E301" s="13">
        <f t="shared" si="49"/>
        <v>6000</v>
      </c>
      <c r="F301" s="13">
        <f t="shared" si="50"/>
        <v>6630</v>
      </c>
      <c r="G301" s="2"/>
      <c r="H301" s="2"/>
      <c r="I301" s="13">
        <f>27000/17</f>
        <v>1588.2352941176471</v>
      </c>
      <c r="J301" s="13">
        <f t="shared" si="51"/>
        <v>3176.4705882352941</v>
      </c>
      <c r="K301" s="13">
        <f t="shared" si="52"/>
        <v>3453.5294117647059</v>
      </c>
      <c r="L301" s="33">
        <f t="shared" si="53"/>
        <v>0.57558823529411762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1</v>
      </c>
      <c r="B302" s="10" t="s">
        <v>23</v>
      </c>
      <c r="C302" s="11" t="s">
        <v>24</v>
      </c>
      <c r="D302" s="13">
        <v>60000</v>
      </c>
      <c r="E302" s="13">
        <f t="shared" si="49"/>
        <v>60000</v>
      </c>
      <c r="F302" s="13">
        <f t="shared" si="50"/>
        <v>66300</v>
      </c>
      <c r="G302" s="2"/>
      <c r="H302" s="2"/>
      <c r="I302" s="13">
        <v>50000</v>
      </c>
      <c r="J302" s="13">
        <f t="shared" si="51"/>
        <v>50000</v>
      </c>
      <c r="K302" s="13">
        <f t="shared" si="52"/>
        <v>16300</v>
      </c>
      <c r="L302" s="18">
        <f t="shared" si="53"/>
        <v>0.27166666666666667</v>
      </c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3</v>
      </c>
      <c r="B303" s="10" t="s">
        <v>17</v>
      </c>
      <c r="C303" s="11" t="s">
        <v>25</v>
      </c>
      <c r="D303" s="13">
        <v>4500</v>
      </c>
      <c r="E303" s="13">
        <f t="shared" si="49"/>
        <v>13500</v>
      </c>
      <c r="F303" s="13">
        <f t="shared" si="50"/>
        <v>14917.5</v>
      </c>
      <c r="G303" s="2"/>
      <c r="I303" s="13">
        <f>62000/17</f>
        <v>3647.0588235294117</v>
      </c>
      <c r="J303" s="13">
        <f t="shared" si="51"/>
        <v>10941.176470588234</v>
      </c>
      <c r="K303" s="13">
        <f t="shared" si="52"/>
        <v>3976.3235294117658</v>
      </c>
      <c r="L303" s="18">
        <f t="shared" si="53"/>
        <v>0.2945424836601308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1</v>
      </c>
      <c r="B304" s="10" t="s">
        <v>23</v>
      </c>
      <c r="C304" s="11" t="s">
        <v>26</v>
      </c>
      <c r="D304" s="13">
        <v>19000</v>
      </c>
      <c r="E304" s="13">
        <f t="shared" si="49"/>
        <v>19000</v>
      </c>
      <c r="F304" s="13">
        <f t="shared" si="50"/>
        <v>20995</v>
      </c>
      <c r="G304" s="2"/>
      <c r="I304" s="13">
        <v>12000</v>
      </c>
      <c r="J304" s="13">
        <f t="shared" si="51"/>
        <v>12000</v>
      </c>
      <c r="K304" s="13">
        <f t="shared" si="52"/>
        <v>8995</v>
      </c>
      <c r="L304" s="14">
        <f t="shared" si="53"/>
        <v>0.47342105263157896</v>
      </c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1</v>
      </c>
      <c r="B305" s="10" t="s">
        <v>17</v>
      </c>
      <c r="C305" s="11" t="s">
        <v>31</v>
      </c>
      <c r="D305" s="13">
        <v>2800</v>
      </c>
      <c r="E305" s="13">
        <f t="shared" si="49"/>
        <v>2800</v>
      </c>
      <c r="F305" s="13">
        <f t="shared" si="50"/>
        <v>3094</v>
      </c>
      <c r="G305" s="2"/>
      <c r="H305" s="2"/>
      <c r="I305" s="13">
        <f>11000/7</f>
        <v>1571.4285714285713</v>
      </c>
      <c r="J305" s="13">
        <f t="shared" si="51"/>
        <v>1571.4285714285713</v>
      </c>
      <c r="K305" s="13">
        <f t="shared" si="52"/>
        <v>1522.5714285714287</v>
      </c>
      <c r="L305" s="18">
        <f>IFERROR(K305/E305, 0)</f>
        <v>0.54377551020408166</v>
      </c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2">
        <v>1</v>
      </c>
      <c r="B306" s="10" t="s">
        <v>17</v>
      </c>
      <c r="C306" s="11" t="s">
        <v>32</v>
      </c>
      <c r="D306" s="13">
        <v>2400</v>
      </c>
      <c r="E306" s="13">
        <f t="shared" si="49"/>
        <v>2400</v>
      </c>
      <c r="F306" s="13">
        <f t="shared" si="50"/>
        <v>2652</v>
      </c>
      <c r="G306" s="2"/>
      <c r="H306" s="2"/>
      <c r="I306" s="13">
        <f>12000/7</f>
        <v>1714.2857142857142</v>
      </c>
      <c r="J306" s="13">
        <f t="shared" si="51"/>
        <v>1714.2857142857142</v>
      </c>
      <c r="K306" s="13">
        <f t="shared" si="52"/>
        <v>937.71428571428578</v>
      </c>
      <c r="L306" s="14">
        <f t="shared" ref="L306:L312" si="54">IFERROR(K306/E306, 0)</f>
        <v>0.39071428571428574</v>
      </c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2">
        <v>1</v>
      </c>
      <c r="B307" s="10" t="s">
        <v>17</v>
      </c>
      <c r="C307" s="11" t="s">
        <v>33</v>
      </c>
      <c r="D307" s="13">
        <v>3000</v>
      </c>
      <c r="E307" s="13">
        <f t="shared" si="49"/>
        <v>3000</v>
      </c>
      <c r="F307" s="13">
        <f t="shared" si="50"/>
        <v>3315</v>
      </c>
      <c r="G307" s="2"/>
      <c r="H307" s="2"/>
      <c r="I307" s="13">
        <f>15000/7</f>
        <v>2142.8571428571427</v>
      </c>
      <c r="J307" s="13">
        <f t="shared" si="51"/>
        <v>2142.8571428571427</v>
      </c>
      <c r="K307" s="13">
        <f t="shared" si="52"/>
        <v>1172.1428571428573</v>
      </c>
      <c r="L307" s="14">
        <f t="shared" si="54"/>
        <v>0.39071428571428579</v>
      </c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2">
        <v>0.5</v>
      </c>
      <c r="B308" s="10" t="s">
        <v>17</v>
      </c>
      <c r="C308" s="11" t="s">
        <v>30</v>
      </c>
      <c r="D308" s="13">
        <v>2600</v>
      </c>
      <c r="E308" s="13">
        <f t="shared" si="49"/>
        <v>1300</v>
      </c>
      <c r="F308" s="13">
        <f t="shared" si="50"/>
        <v>1436.5</v>
      </c>
      <c r="G308" s="2"/>
      <c r="H308" s="2"/>
      <c r="I308" s="13">
        <f>20000/14</f>
        <v>1428.5714285714287</v>
      </c>
      <c r="J308" s="13">
        <f t="shared" si="51"/>
        <v>714.28571428571433</v>
      </c>
      <c r="K308" s="13">
        <f t="shared" si="52"/>
        <v>722.21428571428567</v>
      </c>
      <c r="L308" s="14">
        <f t="shared" si="54"/>
        <v>0.55554945054945049</v>
      </c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2">
        <v>3</v>
      </c>
      <c r="B309" s="10" t="s">
        <v>17</v>
      </c>
      <c r="C309" s="11" t="s">
        <v>43</v>
      </c>
      <c r="D309" s="13">
        <v>4500</v>
      </c>
      <c r="E309" s="13">
        <f t="shared" si="49"/>
        <v>13500</v>
      </c>
      <c r="F309" s="13">
        <f t="shared" si="50"/>
        <v>14917.5</v>
      </c>
      <c r="G309" s="2"/>
      <c r="H309" s="2"/>
      <c r="I309" s="13">
        <f>13000/4</f>
        <v>3250</v>
      </c>
      <c r="J309" s="13">
        <f t="shared" si="51"/>
        <v>9750</v>
      </c>
      <c r="K309" s="13">
        <f t="shared" si="52"/>
        <v>5167.5</v>
      </c>
      <c r="L309" s="14">
        <f t="shared" si="54"/>
        <v>0.38277777777777777</v>
      </c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2">
        <v>20</v>
      </c>
      <c r="B310" s="10" t="s">
        <v>21</v>
      </c>
      <c r="C310" s="11" t="s">
        <v>46</v>
      </c>
      <c r="D310" s="13">
        <v>600</v>
      </c>
      <c r="E310" s="13">
        <f t="shared" si="49"/>
        <v>12000</v>
      </c>
      <c r="F310" s="13">
        <f t="shared" si="50"/>
        <v>13260</v>
      </c>
      <c r="G310" s="2"/>
      <c r="H310" s="2"/>
      <c r="I310" s="13">
        <f>7000/24</f>
        <v>291.66666666666669</v>
      </c>
      <c r="J310" s="13">
        <f t="shared" si="51"/>
        <v>5833.3333333333339</v>
      </c>
      <c r="K310" s="13">
        <f t="shared" si="52"/>
        <v>7426.6666666666661</v>
      </c>
      <c r="L310" s="14">
        <f t="shared" si="54"/>
        <v>0.61888888888888882</v>
      </c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2">
        <v>1</v>
      </c>
      <c r="B311" s="10" t="s">
        <v>21</v>
      </c>
      <c r="C311" s="11" t="s">
        <v>28</v>
      </c>
      <c r="D311" s="13">
        <v>3000</v>
      </c>
      <c r="E311" s="13">
        <f t="shared" si="49"/>
        <v>3000</v>
      </c>
      <c r="F311" s="13">
        <f t="shared" si="50"/>
        <v>3315</v>
      </c>
      <c r="G311" s="2"/>
      <c r="H311" s="2"/>
      <c r="I311" s="13">
        <v>2500</v>
      </c>
      <c r="J311" s="13">
        <f t="shared" si="51"/>
        <v>2500</v>
      </c>
      <c r="K311" s="13">
        <f t="shared" si="52"/>
        <v>815</v>
      </c>
      <c r="L311" s="18">
        <f t="shared" si="54"/>
        <v>0.27166666666666667</v>
      </c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2">
        <v>8</v>
      </c>
      <c r="B312" s="10" t="s">
        <v>11</v>
      </c>
      <c r="C312" s="11" t="s">
        <v>12</v>
      </c>
      <c r="D312" s="13">
        <v>4500</v>
      </c>
      <c r="E312" s="13">
        <f t="shared" si="49"/>
        <v>36000</v>
      </c>
      <c r="F312" s="13">
        <f>E312*1.21</f>
        <v>43560</v>
      </c>
      <c r="G312" s="2"/>
      <c r="H312" s="2"/>
      <c r="I312" s="13">
        <f>54000/12</f>
        <v>4500</v>
      </c>
      <c r="J312" s="13">
        <f t="shared" si="51"/>
        <v>36000</v>
      </c>
      <c r="K312" s="13">
        <f t="shared" si="52"/>
        <v>7560</v>
      </c>
      <c r="L312" s="18">
        <f t="shared" si="54"/>
        <v>0.21</v>
      </c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5"/>
      <c r="B313" s="2"/>
      <c r="C313" s="4"/>
      <c r="D313" s="2"/>
      <c r="E313" s="2"/>
      <c r="F313" s="2"/>
      <c r="G313" s="2"/>
      <c r="H313" s="2"/>
      <c r="I313" s="2"/>
      <c r="J313" s="2"/>
      <c r="K313" s="2"/>
      <c r="L313" s="3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2"/>
      <c r="C314" s="4"/>
      <c r="D314" s="2"/>
      <c r="E314" s="13">
        <f t="shared" ref="E314:F314" si="55">SUM(E285:E312)</f>
        <v>353425</v>
      </c>
      <c r="F314" s="13">
        <f t="shared" si="55"/>
        <v>394314.625</v>
      </c>
      <c r="G314" s="2"/>
      <c r="H314" s="2"/>
      <c r="I314" s="2"/>
      <c r="J314" s="2"/>
      <c r="K314" s="13">
        <f>SUM(K285:K312)</f>
        <v>133341.04720524576</v>
      </c>
      <c r="L314" s="14">
        <f>K314/F314</f>
        <v>0.33815902011051646</v>
      </c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0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6"/>
      <c r="B316" s="1"/>
      <c r="C316" s="1"/>
      <c r="D316" s="22"/>
      <c r="E316" s="8"/>
      <c r="F316" s="24"/>
      <c r="G316" s="2"/>
      <c r="H316" s="2"/>
      <c r="I316" s="2"/>
      <c r="J316" s="2"/>
      <c r="K316" s="2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6" t="s">
        <v>116</v>
      </c>
      <c r="B317" s="1"/>
      <c r="C317" s="1"/>
      <c r="D317" s="22" t="s">
        <v>1133</v>
      </c>
      <c r="E317" s="8">
        <v>46136</v>
      </c>
      <c r="F317" s="24" t="s">
        <v>1122</v>
      </c>
      <c r="G317" s="2"/>
      <c r="H317" s="2"/>
      <c r="I317" s="2"/>
      <c r="J317" s="2"/>
      <c r="K317" s="2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2"/>
      <c r="C318" s="4"/>
      <c r="D318" s="2"/>
      <c r="E318" s="2"/>
      <c r="F318" s="2"/>
      <c r="G318" s="2"/>
      <c r="H318" s="2"/>
      <c r="I318" s="2"/>
      <c r="J318" s="2"/>
      <c r="K318" s="2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6" t="s">
        <v>3</v>
      </c>
      <c r="B319" s="10" t="s">
        <v>4</v>
      </c>
      <c r="C319" s="11" t="s">
        <v>5</v>
      </c>
      <c r="D319" s="10" t="s">
        <v>6</v>
      </c>
      <c r="E319" s="10" t="s">
        <v>7</v>
      </c>
      <c r="F319" s="2"/>
      <c r="G319" s="2"/>
      <c r="H319" s="2"/>
      <c r="I319" s="10" t="s">
        <v>6</v>
      </c>
      <c r="J319" s="10" t="s">
        <v>7</v>
      </c>
      <c r="K319" s="10" t="s">
        <v>10</v>
      </c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2">
        <v>2</v>
      </c>
      <c r="B320" s="10" t="s">
        <v>17</v>
      </c>
      <c r="C320" s="11" t="s">
        <v>31</v>
      </c>
      <c r="D320" s="13">
        <v>3000</v>
      </c>
      <c r="E320" s="13">
        <f t="shared" ref="E320:E338" si="56">A320*D320</f>
        <v>6000</v>
      </c>
      <c r="F320" s="2"/>
      <c r="G320" s="2"/>
      <c r="H320" s="2"/>
      <c r="I320" s="13">
        <f>11000/7</f>
        <v>1571.4285714285713</v>
      </c>
      <c r="J320" s="13">
        <f t="shared" ref="J320:J338" si="57">I320*A320</f>
        <v>3142.8571428571427</v>
      </c>
      <c r="K320" s="13">
        <f t="shared" ref="K320:K338" si="58">E320-J320</f>
        <v>2857.1428571428573</v>
      </c>
      <c r="L320" s="14">
        <f t="shared" ref="L320:L338" si="59">K320/E320</f>
        <v>0.47619047619047622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2">
        <v>1</v>
      </c>
      <c r="B321" s="10" t="s">
        <v>17</v>
      </c>
      <c r="C321" s="11" t="s">
        <v>113</v>
      </c>
      <c r="D321" s="13">
        <v>4000</v>
      </c>
      <c r="E321" s="13">
        <f t="shared" si="56"/>
        <v>4000</v>
      </c>
      <c r="F321" s="2"/>
      <c r="G321" s="2"/>
      <c r="H321" s="2"/>
      <c r="I321" s="13">
        <v>2000</v>
      </c>
      <c r="J321" s="13">
        <f t="shared" si="57"/>
        <v>2000</v>
      </c>
      <c r="K321" s="13">
        <f t="shared" si="58"/>
        <v>2000</v>
      </c>
      <c r="L321" s="14">
        <f t="shared" si="59"/>
        <v>0.5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2">
        <v>2</v>
      </c>
      <c r="B322" s="10" t="s">
        <v>15</v>
      </c>
      <c r="C322" s="11" t="s">
        <v>27</v>
      </c>
      <c r="D322" s="13">
        <v>24000</v>
      </c>
      <c r="E322" s="13">
        <f t="shared" si="56"/>
        <v>48000</v>
      </c>
      <c r="F322" s="2"/>
      <c r="G322" s="2"/>
      <c r="H322" s="2"/>
      <c r="I322" s="13">
        <v>18300</v>
      </c>
      <c r="J322" s="13">
        <f t="shared" si="57"/>
        <v>36600</v>
      </c>
      <c r="K322" s="13">
        <f t="shared" si="58"/>
        <v>11400</v>
      </c>
      <c r="L322" s="14">
        <f t="shared" si="59"/>
        <v>0.23749999999999999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2">
        <v>1</v>
      </c>
      <c r="B323" s="10" t="s">
        <v>23</v>
      </c>
      <c r="C323" s="11" t="s">
        <v>46</v>
      </c>
      <c r="D323" s="13">
        <v>10000</v>
      </c>
      <c r="E323" s="13">
        <f t="shared" si="56"/>
        <v>10000</v>
      </c>
      <c r="F323" s="2"/>
      <c r="G323" s="2"/>
      <c r="H323" s="2"/>
      <c r="I323" s="13">
        <v>7000</v>
      </c>
      <c r="J323" s="13">
        <f t="shared" si="57"/>
        <v>7000</v>
      </c>
      <c r="K323" s="13">
        <f t="shared" si="58"/>
        <v>3000</v>
      </c>
      <c r="L323" s="14">
        <f t="shared" si="59"/>
        <v>0.3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2">
        <v>1</v>
      </c>
      <c r="B324" s="10" t="s">
        <v>23</v>
      </c>
      <c r="C324" s="11" t="s">
        <v>118</v>
      </c>
      <c r="D324" s="13">
        <v>12000</v>
      </c>
      <c r="E324" s="13">
        <f t="shared" si="56"/>
        <v>12000</v>
      </c>
      <c r="F324" s="2"/>
      <c r="G324" s="2"/>
      <c r="H324" s="2"/>
      <c r="I324" s="13">
        <v>9000</v>
      </c>
      <c r="J324" s="13">
        <f t="shared" si="57"/>
        <v>9000</v>
      </c>
      <c r="K324" s="13">
        <f t="shared" si="58"/>
        <v>3000</v>
      </c>
      <c r="L324" s="14">
        <f t="shared" si="59"/>
        <v>0.25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2">
        <v>0.5</v>
      </c>
      <c r="B325" s="10" t="s">
        <v>23</v>
      </c>
      <c r="C325" s="11" t="s">
        <v>110</v>
      </c>
      <c r="D325" s="13">
        <v>14000</v>
      </c>
      <c r="E325" s="13">
        <f t="shared" si="56"/>
        <v>7000</v>
      </c>
      <c r="F325" s="2"/>
      <c r="G325" s="2"/>
      <c r="H325" s="2"/>
      <c r="I325" s="13">
        <v>9000</v>
      </c>
      <c r="J325" s="13">
        <f t="shared" si="57"/>
        <v>4500</v>
      </c>
      <c r="K325" s="13">
        <f t="shared" si="58"/>
        <v>2500</v>
      </c>
      <c r="L325" s="14">
        <f t="shared" si="59"/>
        <v>0.35714285714285715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2">
        <v>3</v>
      </c>
      <c r="B326" s="10" t="s">
        <v>17</v>
      </c>
      <c r="C326" s="11" t="s">
        <v>39</v>
      </c>
      <c r="D326" s="13">
        <v>1800</v>
      </c>
      <c r="E326" s="13">
        <f t="shared" si="56"/>
        <v>5400</v>
      </c>
      <c r="F326" s="2"/>
      <c r="G326" s="2"/>
      <c r="H326" s="2"/>
      <c r="I326" s="13">
        <f>18500/15</f>
        <v>1233.3333333333333</v>
      </c>
      <c r="J326" s="13">
        <f t="shared" si="57"/>
        <v>3700</v>
      </c>
      <c r="K326" s="13">
        <f t="shared" si="58"/>
        <v>1700</v>
      </c>
      <c r="L326" s="14">
        <f t="shared" si="59"/>
        <v>0.31481481481481483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2">
        <v>3</v>
      </c>
      <c r="B327" s="10" t="s">
        <v>23</v>
      </c>
      <c r="C327" s="11" t="s">
        <v>22</v>
      </c>
      <c r="D327" s="13">
        <v>15000</v>
      </c>
      <c r="E327" s="13">
        <f t="shared" si="56"/>
        <v>45000</v>
      </c>
      <c r="F327" s="2"/>
      <c r="G327" s="2"/>
      <c r="H327" s="2"/>
      <c r="I327" s="13">
        <v>1000</v>
      </c>
      <c r="J327" s="13">
        <f t="shared" si="57"/>
        <v>3000</v>
      </c>
      <c r="K327" s="13">
        <f t="shared" si="58"/>
        <v>42000</v>
      </c>
      <c r="L327" s="14">
        <f t="shared" si="59"/>
        <v>0.93333333333333335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2">
        <v>1</v>
      </c>
      <c r="B328" s="10" t="s">
        <v>21</v>
      </c>
      <c r="C328" s="11" t="s">
        <v>64</v>
      </c>
      <c r="D328" s="13">
        <v>2000</v>
      </c>
      <c r="E328" s="13">
        <f t="shared" si="56"/>
        <v>2000</v>
      </c>
      <c r="F328" s="2"/>
      <c r="G328" s="2"/>
      <c r="H328" s="2"/>
      <c r="I328" s="13">
        <v>1000</v>
      </c>
      <c r="J328" s="13">
        <f t="shared" si="57"/>
        <v>1000</v>
      </c>
      <c r="K328" s="13">
        <f t="shared" si="58"/>
        <v>1000</v>
      </c>
      <c r="L328" s="14">
        <f t="shared" si="59"/>
        <v>0.5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2">
        <v>1</v>
      </c>
      <c r="B329" s="10" t="s">
        <v>21</v>
      </c>
      <c r="C329" s="11" t="s">
        <v>34</v>
      </c>
      <c r="D329" s="13">
        <v>5000</v>
      </c>
      <c r="E329" s="13">
        <f t="shared" si="56"/>
        <v>5000</v>
      </c>
      <c r="F329" s="2"/>
      <c r="G329" s="2"/>
      <c r="H329" s="2"/>
      <c r="I329" s="13">
        <f>35000/15</f>
        <v>2333.3333333333335</v>
      </c>
      <c r="J329" s="13">
        <f t="shared" si="57"/>
        <v>2333.3333333333335</v>
      </c>
      <c r="K329" s="13">
        <f t="shared" si="58"/>
        <v>2666.6666666666665</v>
      </c>
      <c r="L329" s="14">
        <f t="shared" si="59"/>
        <v>0.53333333333333333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2">
        <v>1</v>
      </c>
      <c r="B330" s="10" t="s">
        <v>4</v>
      </c>
      <c r="C330" s="11" t="s">
        <v>183</v>
      </c>
      <c r="D330" s="13">
        <v>6000</v>
      </c>
      <c r="E330" s="13">
        <f t="shared" si="56"/>
        <v>6000</v>
      </c>
      <c r="F330" s="2"/>
      <c r="G330" s="2"/>
      <c r="H330" s="2"/>
      <c r="I330" s="13">
        <v>4500</v>
      </c>
      <c r="J330" s="13">
        <f t="shared" si="57"/>
        <v>4500</v>
      </c>
      <c r="K330" s="13">
        <f t="shared" si="58"/>
        <v>1500</v>
      </c>
      <c r="L330" s="14">
        <f t="shared" si="59"/>
        <v>0.25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2">
        <v>2</v>
      </c>
      <c r="B331" s="10" t="s">
        <v>4</v>
      </c>
      <c r="C331" s="11" t="s">
        <v>114</v>
      </c>
      <c r="D331" s="13">
        <v>3000</v>
      </c>
      <c r="E331" s="13">
        <f t="shared" si="56"/>
        <v>6000</v>
      </c>
      <c r="F331" s="2"/>
      <c r="G331" s="2"/>
      <c r="H331" s="2"/>
      <c r="I331" s="13">
        <f>15000/12</f>
        <v>1250</v>
      </c>
      <c r="J331" s="13">
        <f t="shared" si="57"/>
        <v>2500</v>
      </c>
      <c r="K331" s="13">
        <f t="shared" si="58"/>
        <v>3500</v>
      </c>
      <c r="L331" s="14">
        <f t="shared" si="59"/>
        <v>0.58333333333333337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2">
        <v>2</v>
      </c>
      <c r="B332" s="10" t="s">
        <v>17</v>
      </c>
      <c r="C332" s="11" t="s">
        <v>129</v>
      </c>
      <c r="D332" s="13">
        <v>1600</v>
      </c>
      <c r="E332" s="13">
        <f t="shared" si="56"/>
        <v>3200</v>
      </c>
      <c r="F332" s="2"/>
      <c r="G332" s="2"/>
      <c r="H332" s="2"/>
      <c r="I332" s="13">
        <v>1100</v>
      </c>
      <c r="J332" s="13">
        <f t="shared" si="57"/>
        <v>2200</v>
      </c>
      <c r="K332" s="13">
        <f t="shared" si="58"/>
        <v>1000</v>
      </c>
      <c r="L332" s="14">
        <f t="shared" si="59"/>
        <v>0.3125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2">
        <v>2</v>
      </c>
      <c r="B333" s="10" t="s">
        <v>17</v>
      </c>
      <c r="C333" s="11" t="s">
        <v>77</v>
      </c>
      <c r="D333" s="13">
        <v>2800</v>
      </c>
      <c r="E333" s="13">
        <f t="shared" si="56"/>
        <v>5600</v>
      </c>
      <c r="F333" s="2"/>
      <c r="G333" s="2"/>
      <c r="H333" s="2"/>
      <c r="I333" s="2">
        <f>19000/11</f>
        <v>1727.2727272727273</v>
      </c>
      <c r="J333" s="13">
        <f t="shared" si="57"/>
        <v>3454.5454545454545</v>
      </c>
      <c r="K333" s="13">
        <f t="shared" si="58"/>
        <v>2145.4545454545455</v>
      </c>
      <c r="L333" s="14">
        <f t="shared" si="59"/>
        <v>0.38311688311688313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2">
        <v>1</v>
      </c>
      <c r="B334" s="10" t="s">
        <v>23</v>
      </c>
      <c r="C334" s="11" t="s">
        <v>41</v>
      </c>
      <c r="D334" s="13">
        <v>26000</v>
      </c>
      <c r="E334" s="13">
        <f t="shared" si="56"/>
        <v>26000</v>
      </c>
      <c r="F334" s="2"/>
      <c r="G334" s="2"/>
      <c r="H334" s="2"/>
      <c r="I334" s="13">
        <v>20000</v>
      </c>
      <c r="J334" s="13">
        <f t="shared" si="57"/>
        <v>20000</v>
      </c>
      <c r="K334" s="13">
        <f t="shared" si="58"/>
        <v>6000</v>
      </c>
      <c r="L334" s="14">
        <f t="shared" si="59"/>
        <v>0.23076923076923078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2">
        <v>5</v>
      </c>
      <c r="B335" s="10" t="s">
        <v>4</v>
      </c>
      <c r="C335" s="11" t="s">
        <v>13</v>
      </c>
      <c r="D335" s="13">
        <v>900</v>
      </c>
      <c r="E335" s="13">
        <f t="shared" si="56"/>
        <v>4500</v>
      </c>
      <c r="F335" s="2"/>
      <c r="G335" s="2"/>
      <c r="H335" s="2"/>
      <c r="I335" s="13">
        <f>27000/50</f>
        <v>540</v>
      </c>
      <c r="J335" s="13">
        <f t="shared" si="57"/>
        <v>2700</v>
      </c>
      <c r="K335" s="13">
        <f t="shared" si="58"/>
        <v>1800</v>
      </c>
      <c r="L335" s="14">
        <f t="shared" si="59"/>
        <v>0.4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2">
        <v>10</v>
      </c>
      <c r="B336" s="10" t="s">
        <v>17</v>
      </c>
      <c r="C336" s="11" t="s">
        <v>88</v>
      </c>
      <c r="D336" s="13">
        <v>1800</v>
      </c>
      <c r="E336" s="13">
        <f t="shared" si="56"/>
        <v>18000</v>
      </c>
      <c r="F336" s="2"/>
      <c r="G336" s="2"/>
      <c r="H336" s="2"/>
      <c r="I336" s="13">
        <f>13000/15</f>
        <v>866.66666666666663</v>
      </c>
      <c r="J336" s="13">
        <f t="shared" si="57"/>
        <v>8666.6666666666661</v>
      </c>
      <c r="K336" s="13">
        <f t="shared" si="58"/>
        <v>9333.3333333333339</v>
      </c>
      <c r="L336" s="14">
        <f t="shared" si="59"/>
        <v>0.5185185185185186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2">
        <v>8</v>
      </c>
      <c r="B337" s="10" t="s">
        <v>17</v>
      </c>
      <c r="C337" s="11" t="s">
        <v>26</v>
      </c>
      <c r="D337" s="13">
        <v>1400</v>
      </c>
      <c r="E337" s="13">
        <f t="shared" si="56"/>
        <v>11200</v>
      </c>
      <c r="F337" s="2"/>
      <c r="G337" s="2"/>
      <c r="H337" s="2"/>
      <c r="I337" s="13">
        <f>12000/15</f>
        <v>800</v>
      </c>
      <c r="J337" s="13">
        <f t="shared" si="57"/>
        <v>6400</v>
      </c>
      <c r="K337" s="13">
        <f t="shared" si="58"/>
        <v>4800</v>
      </c>
      <c r="L337" s="14">
        <f t="shared" si="59"/>
        <v>0.42857142857142855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2">
        <v>1</v>
      </c>
      <c r="B338" s="10" t="s">
        <v>21</v>
      </c>
      <c r="C338" s="11" t="s">
        <v>112</v>
      </c>
      <c r="D338" s="13">
        <v>3000</v>
      </c>
      <c r="E338" s="13">
        <f t="shared" si="56"/>
        <v>3000</v>
      </c>
      <c r="F338" s="2"/>
      <c r="G338" s="2"/>
      <c r="H338" s="2"/>
      <c r="I338" s="13">
        <v>2000</v>
      </c>
      <c r="J338" s="13">
        <f t="shared" si="57"/>
        <v>2000</v>
      </c>
      <c r="K338" s="13">
        <f t="shared" si="58"/>
        <v>1000</v>
      </c>
      <c r="L338" s="14">
        <f t="shared" si="59"/>
        <v>0.33333333333333331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"/>
      <c r="B339" s="2"/>
      <c r="C339" s="4"/>
      <c r="D339" s="2"/>
      <c r="E339" s="2"/>
      <c r="F339" s="2"/>
      <c r="G339" s="4"/>
      <c r="H339" s="2"/>
      <c r="I339" s="2"/>
      <c r="J339" s="2"/>
      <c r="K339" s="2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"/>
      <c r="B340" s="2"/>
      <c r="C340" s="4"/>
      <c r="D340" s="2"/>
      <c r="E340" s="13">
        <f>SUM(E320:E338)</f>
        <v>227900</v>
      </c>
      <c r="F340" s="2"/>
      <c r="G340" s="2"/>
      <c r="H340" s="2"/>
      <c r="I340" s="2"/>
      <c r="J340" s="2"/>
      <c r="K340" s="13">
        <f>SUM(K320:K338)</f>
        <v>103202.5974025974</v>
      </c>
      <c r="L340" s="14">
        <f>K340/E340</f>
        <v>0.45284158579463535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0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0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6" t="s">
        <v>149</v>
      </c>
      <c r="B343" s="1"/>
      <c r="C343" s="1"/>
      <c r="D343" s="22" t="s">
        <v>1134</v>
      </c>
      <c r="E343" s="8">
        <v>46136</v>
      </c>
      <c r="F343" s="24" t="s">
        <v>37</v>
      </c>
      <c r="G343" s="2"/>
      <c r="H343" s="2"/>
      <c r="I343" s="2"/>
      <c r="J343" s="2"/>
      <c r="K343" s="2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2"/>
      <c r="C344" s="4"/>
      <c r="D344" s="2"/>
      <c r="E344" s="2"/>
      <c r="F344" s="7" t="s">
        <v>1122</v>
      </c>
      <c r="G344" s="2"/>
      <c r="H344" s="2"/>
      <c r="I344" s="2"/>
      <c r="J344" s="2"/>
      <c r="K344" s="2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6" t="s">
        <v>3</v>
      </c>
      <c r="B345" s="10" t="s">
        <v>4</v>
      </c>
      <c r="C345" s="11" t="s">
        <v>5</v>
      </c>
      <c r="D345" s="10" t="s">
        <v>6</v>
      </c>
      <c r="E345" s="10" t="s">
        <v>7</v>
      </c>
      <c r="F345" s="2"/>
      <c r="G345" s="2"/>
      <c r="H345" s="2"/>
      <c r="I345" s="10" t="s">
        <v>6</v>
      </c>
      <c r="J345" s="10" t="s">
        <v>7</v>
      </c>
      <c r="K345" s="10" t="s">
        <v>10</v>
      </c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2">
        <v>0.5</v>
      </c>
      <c r="B346" s="10" t="s">
        <v>23</v>
      </c>
      <c r="C346" s="11" t="s">
        <v>26</v>
      </c>
      <c r="D346" s="13">
        <v>20000</v>
      </c>
      <c r="E346" s="13">
        <f t="shared" ref="E346:E359" si="60">A346*D346</f>
        <v>10000</v>
      </c>
      <c r="F346" s="2"/>
      <c r="G346" s="2"/>
      <c r="H346" s="2"/>
      <c r="I346" s="13">
        <v>12000</v>
      </c>
      <c r="J346" s="13">
        <f t="shared" ref="J346:J359" si="61">I346*A346</f>
        <v>6000</v>
      </c>
      <c r="K346" s="13">
        <f t="shared" ref="K346:K359" si="62">E346-J346</f>
        <v>4000</v>
      </c>
      <c r="L346" s="14">
        <f t="shared" ref="L346:L359" si="63">K346/E346</f>
        <v>0.4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2">
        <v>0.5</v>
      </c>
      <c r="B347" s="10" t="s">
        <v>23</v>
      </c>
      <c r="C347" s="11" t="s">
        <v>123</v>
      </c>
      <c r="D347" s="13">
        <v>18000</v>
      </c>
      <c r="E347" s="13">
        <f t="shared" si="60"/>
        <v>9000</v>
      </c>
      <c r="F347" s="2"/>
      <c r="G347" s="2"/>
      <c r="H347" s="2"/>
      <c r="I347" s="13">
        <v>12000</v>
      </c>
      <c r="J347" s="13">
        <f t="shared" si="61"/>
        <v>6000</v>
      </c>
      <c r="K347" s="13">
        <f t="shared" si="62"/>
        <v>3000</v>
      </c>
      <c r="L347" s="14">
        <f t="shared" si="63"/>
        <v>0.33333333333333331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2">
        <v>1</v>
      </c>
      <c r="B348" s="10" t="s">
        <v>21</v>
      </c>
      <c r="C348" s="11" t="s">
        <v>112</v>
      </c>
      <c r="D348" s="13">
        <v>3000</v>
      </c>
      <c r="E348" s="13">
        <f t="shared" si="60"/>
        <v>3000</v>
      </c>
      <c r="F348" s="2"/>
      <c r="G348" s="2"/>
      <c r="H348" s="2"/>
      <c r="I348" s="13">
        <v>2000</v>
      </c>
      <c r="J348" s="13">
        <f t="shared" si="61"/>
        <v>2000</v>
      </c>
      <c r="K348" s="13">
        <f t="shared" si="62"/>
        <v>1000</v>
      </c>
      <c r="L348" s="14">
        <f t="shared" si="63"/>
        <v>0.33333333333333331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2">
        <v>4</v>
      </c>
      <c r="B349" s="10" t="s">
        <v>15</v>
      </c>
      <c r="C349" s="11" t="s">
        <v>27</v>
      </c>
      <c r="D349" s="13">
        <v>24000</v>
      </c>
      <c r="E349" s="13">
        <f t="shared" si="60"/>
        <v>96000</v>
      </c>
      <c r="F349" s="2"/>
      <c r="G349" s="2"/>
      <c r="H349" s="2"/>
      <c r="I349" s="13">
        <v>18300</v>
      </c>
      <c r="J349" s="13">
        <f t="shared" si="61"/>
        <v>73200</v>
      </c>
      <c r="K349" s="13">
        <f t="shared" si="62"/>
        <v>22800</v>
      </c>
      <c r="L349" s="14">
        <f t="shared" si="63"/>
        <v>0.23749999999999999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2">
        <v>3</v>
      </c>
      <c r="B350" s="10" t="s">
        <v>17</v>
      </c>
      <c r="C350" s="11" t="s">
        <v>39</v>
      </c>
      <c r="D350" s="13">
        <v>1800</v>
      </c>
      <c r="E350" s="13">
        <f t="shared" si="60"/>
        <v>5400</v>
      </c>
      <c r="F350" s="2"/>
      <c r="G350" s="2"/>
      <c r="H350" s="2"/>
      <c r="I350" s="13">
        <f>18500/15</f>
        <v>1233.3333333333333</v>
      </c>
      <c r="J350" s="13">
        <f t="shared" si="61"/>
        <v>3700</v>
      </c>
      <c r="K350" s="13">
        <f t="shared" si="62"/>
        <v>1700</v>
      </c>
      <c r="L350" s="14">
        <f t="shared" si="63"/>
        <v>0.31481481481481483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2">
        <v>1</v>
      </c>
      <c r="B351" s="10" t="s">
        <v>23</v>
      </c>
      <c r="C351" s="11" t="s">
        <v>46</v>
      </c>
      <c r="D351" s="13">
        <v>10000</v>
      </c>
      <c r="E351" s="13">
        <f t="shared" si="60"/>
        <v>10000</v>
      </c>
      <c r="F351" s="2"/>
      <c r="G351" s="2"/>
      <c r="H351" s="2"/>
      <c r="I351" s="13">
        <v>7000</v>
      </c>
      <c r="J351" s="13">
        <f t="shared" si="61"/>
        <v>7000</v>
      </c>
      <c r="K351" s="13">
        <f t="shared" si="62"/>
        <v>3000</v>
      </c>
      <c r="L351" s="36">
        <f t="shared" si="63"/>
        <v>0.3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2">
        <v>1</v>
      </c>
      <c r="B352" s="10" t="s">
        <v>23</v>
      </c>
      <c r="C352" s="11" t="s">
        <v>118</v>
      </c>
      <c r="D352" s="13">
        <v>12000</v>
      </c>
      <c r="E352" s="13">
        <f t="shared" si="60"/>
        <v>12000</v>
      </c>
      <c r="F352" s="2"/>
      <c r="G352" s="2"/>
      <c r="H352" s="2"/>
      <c r="I352" s="13">
        <v>9000</v>
      </c>
      <c r="J352" s="13">
        <f t="shared" si="61"/>
        <v>9000</v>
      </c>
      <c r="K352" s="13">
        <f t="shared" si="62"/>
        <v>3000</v>
      </c>
      <c r="L352" s="33">
        <f t="shared" si="63"/>
        <v>0.25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2">
        <v>0.5</v>
      </c>
      <c r="B353" s="10" t="s">
        <v>23</v>
      </c>
      <c r="C353" s="11" t="s">
        <v>110</v>
      </c>
      <c r="D353" s="13">
        <v>14000</v>
      </c>
      <c r="E353" s="13">
        <f t="shared" si="60"/>
        <v>7000</v>
      </c>
      <c r="F353" s="2"/>
      <c r="G353" s="2"/>
      <c r="H353" s="2"/>
      <c r="I353" s="13">
        <v>9000</v>
      </c>
      <c r="J353" s="13">
        <f t="shared" si="61"/>
        <v>4500</v>
      </c>
      <c r="K353" s="13">
        <f t="shared" si="62"/>
        <v>2500</v>
      </c>
      <c r="L353" s="33">
        <f t="shared" si="63"/>
        <v>0.35714285714285715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2">
        <v>0.5</v>
      </c>
      <c r="B354" s="10" t="s">
        <v>23</v>
      </c>
      <c r="C354" s="11" t="s">
        <v>85</v>
      </c>
      <c r="D354" s="13">
        <v>58000</v>
      </c>
      <c r="E354" s="13">
        <f t="shared" si="60"/>
        <v>29000</v>
      </c>
      <c r="F354" s="2"/>
      <c r="G354" s="2"/>
      <c r="H354" s="2"/>
      <c r="I354" s="13">
        <v>50000</v>
      </c>
      <c r="J354" s="13">
        <f t="shared" si="61"/>
        <v>25000</v>
      </c>
      <c r="K354" s="13">
        <f t="shared" si="62"/>
        <v>4000</v>
      </c>
      <c r="L354" s="18">
        <f t="shared" si="63"/>
        <v>0.13793103448275862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2">
        <v>12</v>
      </c>
      <c r="B355" s="10" t="s">
        <v>4</v>
      </c>
      <c r="C355" s="11" t="s">
        <v>65</v>
      </c>
      <c r="D355" s="13">
        <v>1000</v>
      </c>
      <c r="E355" s="13">
        <f t="shared" si="60"/>
        <v>12000</v>
      </c>
      <c r="F355" s="2"/>
      <c r="G355" s="2"/>
      <c r="H355" s="2"/>
      <c r="I355" s="13">
        <f>12000/50</f>
        <v>240</v>
      </c>
      <c r="J355" s="13">
        <f t="shared" si="61"/>
        <v>2880</v>
      </c>
      <c r="K355" s="13">
        <f t="shared" si="62"/>
        <v>9120</v>
      </c>
      <c r="L355" s="14">
        <f t="shared" si="63"/>
        <v>0.76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2">
        <v>1</v>
      </c>
      <c r="B356" s="10" t="s">
        <v>21</v>
      </c>
      <c r="C356" s="11" t="s">
        <v>133</v>
      </c>
      <c r="D356" s="13">
        <v>3000</v>
      </c>
      <c r="E356" s="13">
        <f t="shared" si="60"/>
        <v>3000</v>
      </c>
      <c r="F356" s="2"/>
      <c r="G356" s="2"/>
      <c r="H356" s="2"/>
      <c r="I356" s="13">
        <v>625</v>
      </c>
      <c r="J356" s="13">
        <f t="shared" si="61"/>
        <v>625</v>
      </c>
      <c r="K356" s="13">
        <f t="shared" si="62"/>
        <v>2375</v>
      </c>
      <c r="L356" s="14">
        <f t="shared" si="63"/>
        <v>0.79166666666666663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2">
        <v>2</v>
      </c>
      <c r="B357" s="10" t="s">
        <v>17</v>
      </c>
      <c r="C357" s="11" t="s">
        <v>31</v>
      </c>
      <c r="D357" s="13">
        <v>3000</v>
      </c>
      <c r="E357" s="13">
        <f t="shared" si="60"/>
        <v>6000</v>
      </c>
      <c r="F357" s="2"/>
      <c r="G357" s="2"/>
      <c r="H357" s="2"/>
      <c r="I357" s="13">
        <f>11000/7</f>
        <v>1571.4285714285713</v>
      </c>
      <c r="J357" s="13">
        <f t="shared" si="61"/>
        <v>3142.8571428571427</v>
      </c>
      <c r="K357" s="13">
        <f t="shared" si="62"/>
        <v>2857.1428571428573</v>
      </c>
      <c r="L357" s="14">
        <f t="shared" si="63"/>
        <v>0.47619047619047622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2">
        <v>1</v>
      </c>
      <c r="B358" s="10" t="s">
        <v>21</v>
      </c>
      <c r="C358" s="11" t="s">
        <v>28</v>
      </c>
      <c r="D358" s="13">
        <v>3500</v>
      </c>
      <c r="E358" s="13">
        <f t="shared" si="60"/>
        <v>3500</v>
      </c>
      <c r="F358" s="2"/>
      <c r="G358" s="2"/>
      <c r="H358" s="2"/>
      <c r="I358" s="13">
        <v>2500</v>
      </c>
      <c r="J358" s="13">
        <f t="shared" si="61"/>
        <v>2500</v>
      </c>
      <c r="K358" s="13">
        <f t="shared" si="62"/>
        <v>1000</v>
      </c>
      <c r="L358" s="14">
        <f t="shared" si="63"/>
        <v>0.2857142857142857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2">
        <v>1</v>
      </c>
      <c r="B359" s="10" t="s">
        <v>17</v>
      </c>
      <c r="C359" s="11" t="s">
        <v>113</v>
      </c>
      <c r="D359" s="13">
        <v>4000</v>
      </c>
      <c r="E359" s="13">
        <f t="shared" si="60"/>
        <v>4000</v>
      </c>
      <c r="F359" s="2"/>
      <c r="G359" s="2"/>
      <c r="H359" s="2"/>
      <c r="I359" s="13">
        <v>2000</v>
      </c>
      <c r="J359" s="13">
        <f t="shared" si="61"/>
        <v>2000</v>
      </c>
      <c r="K359" s="13">
        <f t="shared" si="62"/>
        <v>2000</v>
      </c>
      <c r="L359" s="14">
        <f t="shared" si="63"/>
        <v>0.5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"/>
      <c r="B360" s="2"/>
      <c r="C360" s="4"/>
      <c r="D360" s="2"/>
      <c r="E360" s="2"/>
      <c r="F360" s="2"/>
      <c r="G360" s="4"/>
      <c r="H360" s="2"/>
      <c r="I360" s="2"/>
      <c r="J360" s="2"/>
      <c r="K360" s="2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"/>
      <c r="B361" s="2"/>
      <c r="C361" s="4"/>
      <c r="D361" s="2"/>
      <c r="E361" s="13">
        <f>SUM(E346:E359)</f>
        <v>209900</v>
      </c>
      <c r="F361" s="2"/>
      <c r="G361" s="2"/>
      <c r="H361" s="2"/>
      <c r="I361" s="2"/>
      <c r="J361" s="2"/>
      <c r="K361" s="13">
        <f>SUM(K346:K359)</f>
        <v>62352.142857142855</v>
      </c>
      <c r="L361" s="14">
        <f>K361/E361</f>
        <v>0.29705642142516842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0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0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6" t="s">
        <v>131</v>
      </c>
      <c r="B364" s="1"/>
      <c r="C364" s="1"/>
      <c r="D364" s="12" t="s">
        <v>1135</v>
      </c>
      <c r="E364" s="8">
        <v>46136</v>
      </c>
      <c r="F364" s="15" t="s">
        <v>37</v>
      </c>
      <c r="G364" s="2"/>
      <c r="H364" s="2"/>
      <c r="I364" s="2"/>
      <c r="J364" s="2"/>
      <c r="K364" s="2"/>
      <c r="L364" s="3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3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6" t="s">
        <v>3</v>
      </c>
      <c r="B366" s="10" t="s">
        <v>4</v>
      </c>
      <c r="C366" s="6" t="s">
        <v>5</v>
      </c>
      <c r="D366" s="10" t="s">
        <v>6</v>
      </c>
      <c r="E366" s="10" t="s">
        <v>7</v>
      </c>
      <c r="F366" s="7" t="s">
        <v>37</v>
      </c>
      <c r="G366" s="2"/>
      <c r="H366" s="2"/>
      <c r="I366" s="10" t="s">
        <v>6</v>
      </c>
      <c r="J366" s="10" t="s">
        <v>7</v>
      </c>
      <c r="K366" s="10" t="s">
        <v>10</v>
      </c>
      <c r="L366" s="3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80">
        <v>2</v>
      </c>
      <c r="B367" s="10" t="s">
        <v>17</v>
      </c>
      <c r="C367" s="6" t="s">
        <v>31</v>
      </c>
      <c r="D367" s="13">
        <v>3000</v>
      </c>
      <c r="E367" s="13">
        <f t="shared" ref="E367:E379" si="64">A367*D367</f>
        <v>6000</v>
      </c>
      <c r="F367" s="2"/>
      <c r="G367" s="2"/>
      <c r="H367" s="2"/>
      <c r="I367" s="13">
        <f>11000/7</f>
        <v>1571.4285714285713</v>
      </c>
      <c r="J367" s="13">
        <f t="shared" ref="J367:J379" si="65">I367*A367</f>
        <v>3142.8571428571427</v>
      </c>
      <c r="K367" s="13">
        <f t="shared" ref="K367:K379" si="66">E367-J367</f>
        <v>2857.1428571428573</v>
      </c>
      <c r="L367" s="14">
        <f t="shared" ref="L367:L379" si="67">K367/E367</f>
        <v>0.47619047619047622</v>
      </c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80">
        <v>2</v>
      </c>
      <c r="B368" s="10" t="s">
        <v>21</v>
      </c>
      <c r="C368" s="6" t="s">
        <v>1116</v>
      </c>
      <c r="D368" s="13">
        <v>3500</v>
      </c>
      <c r="E368" s="13">
        <f t="shared" si="64"/>
        <v>7000</v>
      </c>
      <c r="F368" s="2"/>
      <c r="G368" s="2"/>
      <c r="H368" s="2"/>
      <c r="I368" s="13">
        <v>2500</v>
      </c>
      <c r="J368" s="13">
        <f t="shared" si="65"/>
        <v>5000</v>
      </c>
      <c r="K368" s="13">
        <f t="shared" si="66"/>
        <v>2000</v>
      </c>
      <c r="L368" s="14">
        <f t="shared" si="67"/>
        <v>0.2857142857142857</v>
      </c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80">
        <v>1</v>
      </c>
      <c r="B369" s="10" t="s">
        <v>21</v>
      </c>
      <c r="C369" s="6" t="s">
        <v>133</v>
      </c>
      <c r="D369" s="13">
        <v>2000</v>
      </c>
      <c r="E369" s="13">
        <f t="shared" si="64"/>
        <v>2000</v>
      </c>
      <c r="F369" s="2"/>
      <c r="G369" s="2"/>
      <c r="H369" s="7"/>
      <c r="I369" s="13">
        <v>625</v>
      </c>
      <c r="J369" s="13">
        <f t="shared" si="65"/>
        <v>625</v>
      </c>
      <c r="K369" s="13">
        <f t="shared" si="66"/>
        <v>1375</v>
      </c>
      <c r="L369" s="14">
        <f t="shared" si="67"/>
        <v>0.6875</v>
      </c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80">
        <v>1</v>
      </c>
      <c r="B370" s="10" t="s">
        <v>4</v>
      </c>
      <c r="C370" s="6" t="s">
        <v>64</v>
      </c>
      <c r="D370" s="13">
        <v>2000</v>
      </c>
      <c r="E370" s="13">
        <f t="shared" si="64"/>
        <v>2000</v>
      </c>
      <c r="F370" s="2"/>
      <c r="G370" s="2"/>
      <c r="H370" s="7"/>
      <c r="I370" s="13">
        <v>1000</v>
      </c>
      <c r="J370" s="13">
        <f t="shared" si="65"/>
        <v>1000</v>
      </c>
      <c r="K370" s="13">
        <f t="shared" si="66"/>
        <v>1000</v>
      </c>
      <c r="L370" s="14">
        <f t="shared" si="67"/>
        <v>0.5</v>
      </c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80">
        <v>4</v>
      </c>
      <c r="B371" s="10" t="s">
        <v>4</v>
      </c>
      <c r="C371" s="6" t="s">
        <v>13</v>
      </c>
      <c r="D371" s="13">
        <v>900</v>
      </c>
      <c r="E371" s="13">
        <f t="shared" si="64"/>
        <v>3600</v>
      </c>
      <c r="F371" s="2"/>
      <c r="G371" s="2"/>
      <c r="H371" s="2"/>
      <c r="I371" s="13">
        <f>27000/50</f>
        <v>540</v>
      </c>
      <c r="J371" s="13">
        <f t="shared" si="65"/>
        <v>2160</v>
      </c>
      <c r="K371" s="13">
        <f t="shared" si="66"/>
        <v>1440</v>
      </c>
      <c r="L371" s="14">
        <f t="shared" si="67"/>
        <v>0.4</v>
      </c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80">
        <v>2</v>
      </c>
      <c r="B372" s="10" t="s">
        <v>21</v>
      </c>
      <c r="C372" s="6" t="s">
        <v>1114</v>
      </c>
      <c r="D372" s="13">
        <v>3000</v>
      </c>
      <c r="E372" s="13">
        <f t="shared" si="64"/>
        <v>6000</v>
      </c>
      <c r="F372" s="2"/>
      <c r="G372" s="2"/>
      <c r="H372" s="7"/>
      <c r="I372" s="13">
        <f>25000/14</f>
        <v>1785.7142857142858</v>
      </c>
      <c r="J372" s="13">
        <f t="shared" si="65"/>
        <v>3571.4285714285716</v>
      </c>
      <c r="K372" s="13">
        <f t="shared" si="66"/>
        <v>2428.5714285714284</v>
      </c>
      <c r="L372" s="14">
        <f t="shared" si="67"/>
        <v>0.40476190476190477</v>
      </c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80">
        <v>2.7</v>
      </c>
      <c r="B373" s="10" t="s">
        <v>17</v>
      </c>
      <c r="C373" s="6" t="s">
        <v>34</v>
      </c>
      <c r="D373" s="13">
        <v>4500</v>
      </c>
      <c r="E373" s="13">
        <f t="shared" si="64"/>
        <v>12150</v>
      </c>
      <c r="F373" s="2"/>
      <c r="G373" s="2"/>
      <c r="H373" s="2"/>
      <c r="I373" s="13">
        <f>35000/15</f>
        <v>2333.3333333333335</v>
      </c>
      <c r="J373" s="13">
        <f t="shared" si="65"/>
        <v>6300.0000000000009</v>
      </c>
      <c r="K373" s="13">
        <f t="shared" si="66"/>
        <v>5849.9999999999991</v>
      </c>
      <c r="L373" s="14">
        <f t="shared" si="67"/>
        <v>0.4814814814814814</v>
      </c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80">
        <v>1</v>
      </c>
      <c r="B374" s="10" t="s">
        <v>4</v>
      </c>
      <c r="C374" s="6" t="s">
        <v>1136</v>
      </c>
      <c r="D374" s="13">
        <v>2500</v>
      </c>
      <c r="E374" s="13">
        <f t="shared" si="64"/>
        <v>2500</v>
      </c>
      <c r="F374" s="2"/>
      <c r="G374" s="2"/>
      <c r="H374" s="2"/>
      <c r="I374" s="13">
        <v>1000</v>
      </c>
      <c r="J374" s="13">
        <f t="shared" si="65"/>
        <v>1000</v>
      </c>
      <c r="K374" s="13">
        <f t="shared" si="66"/>
        <v>1500</v>
      </c>
      <c r="L374" s="14">
        <f t="shared" si="67"/>
        <v>0.6</v>
      </c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80">
        <v>0.5</v>
      </c>
      <c r="B375" s="10" t="s">
        <v>17</v>
      </c>
      <c r="C375" s="6" t="s">
        <v>1102</v>
      </c>
      <c r="D375" s="13">
        <v>12000</v>
      </c>
      <c r="E375" s="13">
        <f t="shared" si="64"/>
        <v>6000</v>
      </c>
      <c r="F375" s="2"/>
      <c r="G375" s="2"/>
      <c r="H375" s="7"/>
      <c r="I375" s="13">
        <v>8000</v>
      </c>
      <c r="J375" s="13">
        <f t="shared" si="65"/>
        <v>4000</v>
      </c>
      <c r="K375" s="13">
        <f t="shared" si="66"/>
        <v>2000</v>
      </c>
      <c r="L375" s="14">
        <f t="shared" si="67"/>
        <v>0.33333333333333331</v>
      </c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80">
        <v>0.25</v>
      </c>
      <c r="B376" s="10" t="s">
        <v>17</v>
      </c>
      <c r="C376" s="6" t="s">
        <v>73</v>
      </c>
      <c r="D376" s="13">
        <v>1400</v>
      </c>
      <c r="E376" s="13">
        <f t="shared" si="64"/>
        <v>350</v>
      </c>
      <c r="F376" s="2"/>
      <c r="G376" s="2"/>
      <c r="H376" s="7"/>
      <c r="I376" s="13">
        <v>533</v>
      </c>
      <c r="J376" s="13">
        <f t="shared" si="65"/>
        <v>133.25</v>
      </c>
      <c r="K376" s="13">
        <f t="shared" si="66"/>
        <v>216.75</v>
      </c>
      <c r="L376" s="14">
        <f t="shared" si="67"/>
        <v>0.61928571428571433</v>
      </c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80">
        <v>1</v>
      </c>
      <c r="B377" s="10" t="s">
        <v>100</v>
      </c>
      <c r="C377" s="6" t="s">
        <v>155</v>
      </c>
      <c r="D377" s="13">
        <v>6000</v>
      </c>
      <c r="E377" s="13">
        <f t="shared" si="64"/>
        <v>6000</v>
      </c>
      <c r="F377" s="2"/>
      <c r="G377" s="2"/>
      <c r="H377" s="2"/>
      <c r="I377" s="13">
        <v>4500</v>
      </c>
      <c r="J377" s="13">
        <f t="shared" si="65"/>
        <v>4500</v>
      </c>
      <c r="K377" s="13">
        <f t="shared" si="66"/>
        <v>1500</v>
      </c>
      <c r="L377" s="14">
        <f t="shared" si="67"/>
        <v>0.25</v>
      </c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80">
        <v>2</v>
      </c>
      <c r="B378" s="10" t="s">
        <v>17</v>
      </c>
      <c r="C378" s="6" t="s">
        <v>154</v>
      </c>
      <c r="D378" s="13">
        <v>1800</v>
      </c>
      <c r="E378" s="13">
        <f t="shared" si="64"/>
        <v>3600</v>
      </c>
      <c r="F378" s="2"/>
      <c r="G378" s="2"/>
      <c r="H378" s="7"/>
      <c r="I378" s="13">
        <f>18300/17</f>
        <v>1076.4705882352941</v>
      </c>
      <c r="J378" s="13">
        <f t="shared" si="65"/>
        <v>2152.9411764705883</v>
      </c>
      <c r="K378" s="13">
        <f t="shared" si="66"/>
        <v>1447.0588235294117</v>
      </c>
      <c r="L378" s="14">
        <f t="shared" si="67"/>
        <v>0.40196078431372545</v>
      </c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80">
        <v>2</v>
      </c>
      <c r="B379" s="10" t="s">
        <v>17</v>
      </c>
      <c r="C379" s="6" t="s">
        <v>18</v>
      </c>
      <c r="D379" s="13">
        <v>1600</v>
      </c>
      <c r="E379" s="13">
        <f t="shared" si="64"/>
        <v>3200</v>
      </c>
      <c r="F379" s="2"/>
      <c r="G379" s="2"/>
      <c r="H379" s="2"/>
      <c r="I379" s="13">
        <v>1000</v>
      </c>
      <c r="J379" s="13">
        <f t="shared" si="65"/>
        <v>2000</v>
      </c>
      <c r="K379" s="13">
        <f t="shared" si="66"/>
        <v>1200</v>
      </c>
      <c r="L379" s="14">
        <f t="shared" si="67"/>
        <v>0.375</v>
      </c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81"/>
      <c r="B380" s="2"/>
      <c r="C380" s="1"/>
      <c r="D380" s="2"/>
      <c r="E380" s="2"/>
      <c r="F380" s="2"/>
      <c r="G380" s="1"/>
      <c r="H380" s="2"/>
      <c r="I380" s="2"/>
      <c r="J380" s="2"/>
      <c r="K380" s="2"/>
      <c r="L380" s="3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81"/>
      <c r="B381" s="2"/>
      <c r="C381" s="1"/>
      <c r="D381" s="2"/>
      <c r="E381" s="13">
        <f>SUM(E367:E379)</f>
        <v>60400</v>
      </c>
      <c r="F381" s="2"/>
      <c r="G381" s="2"/>
      <c r="H381" s="2"/>
      <c r="I381" s="2"/>
      <c r="J381" s="2"/>
      <c r="K381" s="13">
        <f>SUM(K367:K379)</f>
        <v>24814.523109243699</v>
      </c>
      <c r="L381" s="14">
        <f>K381/E381</f>
        <v>0.41083647531860429</v>
      </c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0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0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6" t="s">
        <v>214</v>
      </c>
      <c r="B384" s="6"/>
      <c r="C384" s="6"/>
      <c r="D384" s="22" t="s">
        <v>95</v>
      </c>
      <c r="E384" s="8">
        <v>46136</v>
      </c>
      <c r="F384" s="24"/>
      <c r="G384" s="2"/>
      <c r="H384" s="2"/>
      <c r="I384" s="2"/>
      <c r="J384" s="13"/>
      <c r="K384" s="13"/>
      <c r="L384" s="14"/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B385" s="2"/>
      <c r="C385" s="4"/>
      <c r="D385" s="2"/>
      <c r="E385" s="2"/>
      <c r="F385" s="2"/>
      <c r="G385" s="2"/>
      <c r="H385" s="2"/>
      <c r="I385" s="2"/>
      <c r="J385" s="13"/>
      <c r="K385" s="13"/>
      <c r="L385" s="14"/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6" t="s">
        <v>3</v>
      </c>
      <c r="B386" s="10" t="s">
        <v>4</v>
      </c>
      <c r="C386" s="11" t="s">
        <v>5</v>
      </c>
      <c r="D386" s="10" t="s">
        <v>6</v>
      </c>
      <c r="E386" s="10" t="s">
        <v>7</v>
      </c>
      <c r="F386" s="10"/>
      <c r="G386" s="2"/>
      <c r="H386" s="2"/>
      <c r="I386" s="10" t="s">
        <v>6</v>
      </c>
      <c r="J386" s="10" t="s">
        <v>7</v>
      </c>
      <c r="K386" s="10" t="s">
        <v>10</v>
      </c>
      <c r="L386" s="14"/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A387" s="12">
        <v>7</v>
      </c>
      <c r="B387" s="10" t="s">
        <v>17</v>
      </c>
      <c r="C387" s="11" t="s">
        <v>39</v>
      </c>
      <c r="D387" s="13">
        <v>1800</v>
      </c>
      <c r="E387" s="13">
        <f t="shared" ref="E387:E389" si="68">A387*D387</f>
        <v>12600</v>
      </c>
      <c r="F387" s="13"/>
      <c r="G387" s="2"/>
      <c r="H387" s="7"/>
      <c r="I387" s="13">
        <f>18500/15</f>
        <v>1233.3333333333333</v>
      </c>
      <c r="J387" s="13">
        <f t="shared" ref="J387:J389" si="69">I387*A387</f>
        <v>8633.3333333333321</v>
      </c>
      <c r="K387" s="13">
        <f t="shared" ref="K387:K389" si="70">E387-J387</f>
        <v>3966.6666666666679</v>
      </c>
      <c r="L387" s="14">
        <f t="shared" ref="L387:L389" si="71">K387/E387</f>
        <v>0.31481481481481494</v>
      </c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A388" s="12">
        <v>1</v>
      </c>
      <c r="B388" s="10" t="s">
        <v>23</v>
      </c>
      <c r="C388" s="11" t="s">
        <v>110</v>
      </c>
      <c r="D388" s="13">
        <v>18000</v>
      </c>
      <c r="E388" s="13">
        <f t="shared" si="68"/>
        <v>18000</v>
      </c>
      <c r="F388" s="13"/>
      <c r="G388" s="2"/>
      <c r="H388" s="7"/>
      <c r="I388" s="13">
        <v>9000</v>
      </c>
      <c r="J388" s="13">
        <f t="shared" si="69"/>
        <v>9000</v>
      </c>
      <c r="K388" s="13">
        <f t="shared" si="70"/>
        <v>9000</v>
      </c>
      <c r="L388" s="14">
        <f t="shared" si="71"/>
        <v>0.5</v>
      </c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A389" s="12">
        <v>1</v>
      </c>
      <c r="B389" s="10" t="s">
        <v>23</v>
      </c>
      <c r="C389" s="11" t="s">
        <v>87</v>
      </c>
      <c r="D389" s="13">
        <v>40000</v>
      </c>
      <c r="E389" s="13">
        <f t="shared" si="68"/>
        <v>40000</v>
      </c>
      <c r="F389" s="13"/>
      <c r="G389" s="2"/>
      <c r="H389" s="7"/>
      <c r="I389" s="13">
        <v>27000</v>
      </c>
      <c r="J389" s="13">
        <f t="shared" si="69"/>
        <v>27000</v>
      </c>
      <c r="K389" s="13">
        <f t="shared" si="70"/>
        <v>13000</v>
      </c>
      <c r="L389" s="14">
        <f t="shared" si="71"/>
        <v>0.32500000000000001</v>
      </c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A390" s="12"/>
      <c r="B390" s="10"/>
      <c r="C390" s="11"/>
      <c r="D390" s="13"/>
      <c r="E390" s="13"/>
      <c r="F390" s="13"/>
      <c r="H390" s="2"/>
      <c r="I390" s="2"/>
      <c r="J390" s="13"/>
      <c r="K390" s="13"/>
      <c r="L390" s="1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2"/>
      <c r="B391" s="10"/>
      <c r="C391" s="11"/>
      <c r="D391" s="13"/>
      <c r="E391" s="13">
        <f>SUM(E387:E390)</f>
        <v>70600</v>
      </c>
      <c r="F391" s="13"/>
      <c r="G391" s="2"/>
      <c r="H391" s="2"/>
      <c r="I391" s="2"/>
      <c r="J391" s="13"/>
      <c r="K391" s="13">
        <f>SUM(K387:K389)</f>
        <v>25966.666666666668</v>
      </c>
      <c r="L391" s="14">
        <f>K391/E391</f>
        <v>0.36779981114258736</v>
      </c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A392" s="12"/>
      <c r="B392" s="10"/>
      <c r="C392" s="11"/>
      <c r="D392" s="13"/>
      <c r="E392" s="13"/>
      <c r="F392" s="13"/>
      <c r="G392" s="2"/>
      <c r="H392" s="2"/>
      <c r="I392" s="2"/>
      <c r="J392" s="13"/>
      <c r="K392" s="13"/>
      <c r="L392" s="1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2"/>
      <c r="B393" s="10"/>
      <c r="C393" s="11"/>
      <c r="D393" s="13"/>
      <c r="E393" s="13"/>
      <c r="F393" s="13"/>
      <c r="G393" s="2"/>
      <c r="H393" s="2"/>
      <c r="I393" s="2"/>
      <c r="J393" s="13"/>
      <c r="K393" s="13"/>
      <c r="L393" s="1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12"/>
      <c r="B394" s="10"/>
      <c r="C394" s="11"/>
      <c r="D394" s="13"/>
      <c r="E394" s="13"/>
      <c r="F394" s="13"/>
      <c r="G394" s="2"/>
      <c r="H394" s="2"/>
      <c r="I394" s="2"/>
      <c r="J394" s="13"/>
      <c r="K394" s="13"/>
      <c r="L394" s="1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6" t="s">
        <v>214</v>
      </c>
      <c r="B395" s="6"/>
      <c r="C395" s="6"/>
      <c r="D395" s="22" t="s">
        <v>71</v>
      </c>
      <c r="E395" s="8">
        <v>46136</v>
      </c>
      <c r="F395" s="24"/>
      <c r="G395" s="2"/>
      <c r="H395" s="2"/>
      <c r="I395" s="2"/>
      <c r="J395" s="13"/>
      <c r="K395" s="13"/>
      <c r="L395" s="14"/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B396" s="2"/>
      <c r="C396" s="4"/>
      <c r="D396" s="2"/>
      <c r="E396" s="2"/>
      <c r="F396" s="2"/>
      <c r="G396" s="2"/>
      <c r="H396" s="2"/>
      <c r="I396" s="2"/>
      <c r="J396" s="13"/>
      <c r="K396" s="13"/>
      <c r="L396" s="14"/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6" t="s">
        <v>3</v>
      </c>
      <c r="B397" s="10" t="s">
        <v>4</v>
      </c>
      <c r="C397" s="11" t="s">
        <v>5</v>
      </c>
      <c r="D397" s="10" t="s">
        <v>6</v>
      </c>
      <c r="E397" s="10" t="s">
        <v>7</v>
      </c>
      <c r="F397" s="10"/>
      <c r="G397" s="2"/>
      <c r="H397" s="2"/>
      <c r="I397" s="10" t="s">
        <v>6</v>
      </c>
      <c r="J397" s="10" t="s">
        <v>7</v>
      </c>
      <c r="K397" s="10" t="s">
        <v>10</v>
      </c>
      <c r="L397" s="14"/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2">
        <v>6</v>
      </c>
      <c r="B398" s="10" t="s">
        <v>17</v>
      </c>
      <c r="C398" s="11" t="s">
        <v>18</v>
      </c>
      <c r="D398" s="13">
        <v>1600</v>
      </c>
      <c r="E398" s="13">
        <f t="shared" ref="E398:E411" si="72">A398*D398</f>
        <v>9600</v>
      </c>
      <c r="F398" s="13"/>
      <c r="G398" s="2"/>
      <c r="H398" s="7"/>
      <c r="I398" s="13">
        <v>1000</v>
      </c>
      <c r="J398" s="13">
        <f t="shared" ref="J398:J411" si="73">I398*A398</f>
        <v>6000</v>
      </c>
      <c r="K398" s="13">
        <f t="shared" ref="K398:K411" si="74">E398-J398</f>
        <v>3600</v>
      </c>
      <c r="L398" s="14">
        <f t="shared" ref="L398:L411" si="75">K398/E398</f>
        <v>0.375</v>
      </c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2">
        <v>0.5</v>
      </c>
      <c r="B399" s="10" t="s">
        <v>23</v>
      </c>
      <c r="C399" s="11" t="s">
        <v>110</v>
      </c>
      <c r="D399" s="13">
        <v>18000</v>
      </c>
      <c r="E399" s="13">
        <f t="shared" si="72"/>
        <v>9000</v>
      </c>
      <c r="F399" s="13"/>
      <c r="G399" s="2"/>
      <c r="H399" s="7"/>
      <c r="I399" s="13">
        <v>9000</v>
      </c>
      <c r="J399" s="13">
        <f t="shared" si="73"/>
        <v>4500</v>
      </c>
      <c r="K399" s="13">
        <f t="shared" si="74"/>
        <v>4500</v>
      </c>
      <c r="L399" s="14">
        <f t="shared" si="75"/>
        <v>0.5</v>
      </c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2">
        <v>6</v>
      </c>
      <c r="B400" s="10" t="s">
        <v>17</v>
      </c>
      <c r="C400" s="11" t="s">
        <v>39</v>
      </c>
      <c r="D400" s="13">
        <v>1800</v>
      </c>
      <c r="E400" s="13">
        <f t="shared" si="72"/>
        <v>10800</v>
      </c>
      <c r="F400" s="13"/>
      <c r="G400" s="2"/>
      <c r="H400" s="7"/>
      <c r="I400" s="13">
        <f>18500/15</f>
        <v>1233.3333333333333</v>
      </c>
      <c r="J400" s="13">
        <f t="shared" si="73"/>
        <v>7400</v>
      </c>
      <c r="K400" s="13">
        <f t="shared" si="74"/>
        <v>3400</v>
      </c>
      <c r="L400" s="14">
        <f t="shared" si="75"/>
        <v>0.31481481481481483</v>
      </c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2">
        <v>100</v>
      </c>
      <c r="B401" s="10" t="s">
        <v>4</v>
      </c>
      <c r="C401" s="11" t="s">
        <v>65</v>
      </c>
      <c r="D401" s="13">
        <v>1000</v>
      </c>
      <c r="E401" s="13">
        <f t="shared" si="72"/>
        <v>100000</v>
      </c>
      <c r="F401" s="13"/>
      <c r="G401" s="2"/>
      <c r="H401" s="13"/>
      <c r="I401" s="13">
        <f>12000/50</f>
        <v>240</v>
      </c>
      <c r="J401" s="13">
        <f t="shared" si="73"/>
        <v>24000</v>
      </c>
      <c r="K401" s="13">
        <f t="shared" si="74"/>
        <v>76000</v>
      </c>
      <c r="L401" s="14">
        <f t="shared" si="75"/>
        <v>0.76</v>
      </c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A402" s="12">
        <v>6</v>
      </c>
      <c r="B402" s="10" t="s">
        <v>17</v>
      </c>
      <c r="C402" s="11" t="s">
        <v>31</v>
      </c>
      <c r="D402" s="13">
        <v>3000</v>
      </c>
      <c r="E402" s="13">
        <f t="shared" si="72"/>
        <v>18000</v>
      </c>
      <c r="F402" s="13"/>
      <c r="G402" s="2"/>
      <c r="H402" s="7"/>
      <c r="I402" s="13">
        <f>11000/7</f>
        <v>1571.4285714285713</v>
      </c>
      <c r="J402" s="13">
        <f t="shared" si="73"/>
        <v>9428.5714285714275</v>
      </c>
      <c r="K402" s="13">
        <f t="shared" si="74"/>
        <v>8571.4285714285725</v>
      </c>
      <c r="L402" s="14">
        <f t="shared" si="75"/>
        <v>0.47619047619047628</v>
      </c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A403" s="12">
        <v>3</v>
      </c>
      <c r="B403" s="10" t="s">
        <v>21</v>
      </c>
      <c r="C403" s="11" t="s">
        <v>42</v>
      </c>
      <c r="D403" s="13">
        <v>4000</v>
      </c>
      <c r="E403" s="13">
        <f t="shared" si="72"/>
        <v>12000</v>
      </c>
      <c r="F403" s="13"/>
      <c r="G403" s="2"/>
      <c r="H403" s="7"/>
      <c r="I403" s="13">
        <f>25000/14</f>
        <v>1785.7142857142858</v>
      </c>
      <c r="J403" s="13">
        <f t="shared" si="73"/>
        <v>5357.1428571428569</v>
      </c>
      <c r="K403" s="13">
        <f t="shared" si="74"/>
        <v>6642.8571428571431</v>
      </c>
      <c r="L403" s="14">
        <f t="shared" si="75"/>
        <v>0.5535714285714286</v>
      </c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A404" s="12">
        <v>5</v>
      </c>
      <c r="B404" s="10" t="s">
        <v>21</v>
      </c>
      <c r="C404" s="11" t="s">
        <v>133</v>
      </c>
      <c r="D404" s="13">
        <v>3000</v>
      </c>
      <c r="E404" s="13">
        <f t="shared" si="72"/>
        <v>15000</v>
      </c>
      <c r="F404" s="13"/>
      <c r="G404" s="2"/>
      <c r="H404" s="7"/>
      <c r="I404" s="13">
        <v>625</v>
      </c>
      <c r="J404" s="13">
        <f t="shared" si="73"/>
        <v>3125</v>
      </c>
      <c r="K404" s="13">
        <f t="shared" si="74"/>
        <v>11875</v>
      </c>
      <c r="L404" s="14">
        <f t="shared" si="75"/>
        <v>0.79166666666666663</v>
      </c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A405" s="12">
        <v>10</v>
      </c>
      <c r="B405" s="10" t="s">
        <v>17</v>
      </c>
      <c r="C405" s="11" t="s">
        <v>77</v>
      </c>
      <c r="D405" s="13">
        <v>2900</v>
      </c>
      <c r="E405" s="13">
        <f t="shared" si="72"/>
        <v>29000</v>
      </c>
      <c r="F405" s="13"/>
      <c r="G405" s="2"/>
      <c r="H405" s="7"/>
      <c r="I405" s="13">
        <f>24000/11</f>
        <v>2181.818181818182</v>
      </c>
      <c r="J405" s="13">
        <f t="shared" si="73"/>
        <v>21818.18181818182</v>
      </c>
      <c r="K405" s="13">
        <f t="shared" si="74"/>
        <v>7181.8181818181802</v>
      </c>
      <c r="L405" s="14">
        <f t="shared" si="75"/>
        <v>0.24764890282131655</v>
      </c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2">
        <v>4.5</v>
      </c>
      <c r="B406" s="10" t="s">
        <v>17</v>
      </c>
      <c r="C406" s="11" t="s">
        <v>38</v>
      </c>
      <c r="D406" s="13">
        <v>1800</v>
      </c>
      <c r="E406" s="13">
        <f t="shared" si="72"/>
        <v>8100</v>
      </c>
      <c r="F406" s="13"/>
      <c r="G406" s="2"/>
      <c r="H406" s="13"/>
      <c r="I406" s="13">
        <f>15000/12</f>
        <v>1250</v>
      </c>
      <c r="J406" s="13">
        <f t="shared" si="73"/>
        <v>5625</v>
      </c>
      <c r="K406" s="13">
        <f t="shared" si="74"/>
        <v>2475</v>
      </c>
      <c r="L406" s="14">
        <f t="shared" si="75"/>
        <v>0.30555555555555558</v>
      </c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A407" s="12">
        <v>5.4</v>
      </c>
      <c r="B407" s="10" t="s">
        <v>17</v>
      </c>
      <c r="C407" s="11" t="s">
        <v>36</v>
      </c>
      <c r="D407" s="13">
        <v>1800</v>
      </c>
      <c r="E407" s="13">
        <f t="shared" si="72"/>
        <v>9720</v>
      </c>
      <c r="F407" s="13"/>
      <c r="G407" s="2"/>
      <c r="H407" s="13"/>
      <c r="I407" s="13">
        <f>8000/11</f>
        <v>727.27272727272725</v>
      </c>
      <c r="J407" s="13">
        <f t="shared" si="73"/>
        <v>3927.2727272727275</v>
      </c>
      <c r="K407" s="13">
        <f t="shared" si="74"/>
        <v>5792.7272727272721</v>
      </c>
      <c r="L407" s="14">
        <f t="shared" si="75"/>
        <v>0.59595959595959591</v>
      </c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2">
        <v>5</v>
      </c>
      <c r="B408" s="10" t="s">
        <v>17</v>
      </c>
      <c r="C408" s="11" t="s">
        <v>40</v>
      </c>
      <c r="D408" s="13">
        <v>1500</v>
      </c>
      <c r="E408" s="13">
        <f t="shared" si="72"/>
        <v>7500</v>
      </c>
      <c r="F408" s="13"/>
      <c r="G408" s="2"/>
      <c r="H408" s="7"/>
      <c r="I408" s="13">
        <v>1000</v>
      </c>
      <c r="J408" s="13">
        <f t="shared" si="73"/>
        <v>5000</v>
      </c>
      <c r="K408" s="13">
        <f t="shared" si="74"/>
        <v>2500</v>
      </c>
      <c r="L408" s="14">
        <f t="shared" si="75"/>
        <v>0.33333333333333331</v>
      </c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2">
        <v>6</v>
      </c>
      <c r="B409" s="10" t="s">
        <v>17</v>
      </c>
      <c r="C409" s="11" t="s">
        <v>55</v>
      </c>
      <c r="D409" s="13">
        <v>21000</v>
      </c>
      <c r="E409" s="13">
        <f t="shared" si="72"/>
        <v>126000</v>
      </c>
      <c r="F409" s="13"/>
      <c r="G409" s="2"/>
      <c r="H409" s="7"/>
      <c r="I409" s="13">
        <v>16000</v>
      </c>
      <c r="J409" s="13">
        <f t="shared" si="73"/>
        <v>96000</v>
      </c>
      <c r="K409" s="13">
        <f t="shared" si="74"/>
        <v>30000</v>
      </c>
      <c r="L409" s="14">
        <f t="shared" si="75"/>
        <v>0.23809523809523808</v>
      </c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2">
        <v>8</v>
      </c>
      <c r="B410" s="10" t="s">
        <v>21</v>
      </c>
      <c r="C410" s="11" t="s">
        <v>51</v>
      </c>
      <c r="D410" s="13">
        <v>1500</v>
      </c>
      <c r="E410" s="13">
        <f t="shared" si="72"/>
        <v>12000</v>
      </c>
      <c r="F410" s="13"/>
      <c r="G410" s="2"/>
      <c r="H410" s="7"/>
      <c r="I410" s="13">
        <f>15000/24</f>
        <v>625</v>
      </c>
      <c r="J410" s="13">
        <f t="shared" si="73"/>
        <v>5000</v>
      </c>
      <c r="K410" s="13">
        <f t="shared" si="74"/>
        <v>7000</v>
      </c>
      <c r="L410" s="14">
        <f t="shared" si="75"/>
        <v>0.58333333333333337</v>
      </c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>
        <v>8</v>
      </c>
      <c r="B411" s="10" t="s">
        <v>4</v>
      </c>
      <c r="C411" s="11" t="s">
        <v>13</v>
      </c>
      <c r="D411" s="13">
        <v>900</v>
      </c>
      <c r="E411" s="13">
        <f t="shared" si="72"/>
        <v>7200</v>
      </c>
      <c r="F411" s="13"/>
      <c r="G411" s="2"/>
      <c r="H411" s="13"/>
      <c r="I411" s="13">
        <f>27000/50</f>
        <v>540</v>
      </c>
      <c r="J411" s="13">
        <f t="shared" si="73"/>
        <v>4320</v>
      </c>
      <c r="K411" s="13">
        <f t="shared" si="74"/>
        <v>2880</v>
      </c>
      <c r="L411" s="14">
        <f t="shared" si="75"/>
        <v>0.4</v>
      </c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/>
      <c r="B412" s="10"/>
      <c r="C412" s="11"/>
      <c r="D412" s="13"/>
      <c r="E412" s="13"/>
      <c r="F412" s="13"/>
      <c r="H412" s="2"/>
      <c r="I412" s="2"/>
      <c r="J412" s="13"/>
      <c r="K412" s="13"/>
      <c r="L412" s="1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/>
      <c r="B413" s="10"/>
      <c r="C413" s="11"/>
      <c r="D413" s="13"/>
      <c r="E413" s="13">
        <f>SUM(E398:E412)</f>
        <v>373920</v>
      </c>
      <c r="F413" s="13"/>
      <c r="G413" s="2"/>
      <c r="H413" s="2"/>
      <c r="I413" s="2"/>
      <c r="J413" s="13"/>
      <c r="K413" s="13">
        <f>SUM(K398:K411)</f>
        <v>172418.83116883118</v>
      </c>
      <c r="L413" s="14">
        <f>K413/E413</f>
        <v>0.4611115510505755</v>
      </c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/>
      <c r="B414" s="10"/>
      <c r="C414" s="11"/>
      <c r="D414" s="13"/>
      <c r="E414" s="13"/>
      <c r="F414" s="13"/>
      <c r="G414" s="2"/>
      <c r="H414" s="2"/>
      <c r="I414" s="2"/>
      <c r="J414" s="13"/>
      <c r="K414" s="13"/>
      <c r="L414" s="1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0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0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0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6" t="s">
        <v>222</v>
      </c>
      <c r="B418" s="6"/>
      <c r="C418" s="6"/>
      <c r="D418" s="22" t="s">
        <v>1137</v>
      </c>
      <c r="E418" s="8">
        <v>46136</v>
      </c>
      <c r="F418" s="24"/>
      <c r="G418" s="2"/>
      <c r="H418" s="2"/>
      <c r="I418" s="2"/>
      <c r="J418" s="13"/>
      <c r="K418" s="13"/>
      <c r="L418" s="14"/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B419" s="2"/>
      <c r="C419" s="4"/>
      <c r="D419" s="2"/>
      <c r="E419" s="2"/>
      <c r="F419" s="2"/>
      <c r="G419" s="2"/>
      <c r="H419" s="2"/>
      <c r="I419" s="2"/>
      <c r="J419" s="13"/>
      <c r="K419" s="13"/>
      <c r="L419" s="14"/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6" t="s">
        <v>3</v>
      </c>
      <c r="B420" s="10" t="s">
        <v>4</v>
      </c>
      <c r="C420" s="11" t="s">
        <v>5</v>
      </c>
      <c r="D420" s="10" t="s">
        <v>6</v>
      </c>
      <c r="E420" s="10" t="s">
        <v>7</v>
      </c>
      <c r="F420" s="10"/>
      <c r="G420" s="2"/>
      <c r="H420" s="2"/>
      <c r="I420" s="10" t="s">
        <v>6</v>
      </c>
      <c r="J420" s="10" t="s">
        <v>7</v>
      </c>
      <c r="K420" s="10" t="s">
        <v>10</v>
      </c>
      <c r="L420" s="14"/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>
        <v>8</v>
      </c>
      <c r="B421" s="10" t="s">
        <v>4</v>
      </c>
      <c r="C421" s="11" t="s">
        <v>13</v>
      </c>
      <c r="D421" s="13">
        <v>900</v>
      </c>
      <c r="E421" s="13">
        <f t="shared" ref="E421:E431" si="76">A421*D421</f>
        <v>7200</v>
      </c>
      <c r="F421" s="13"/>
      <c r="G421" s="2"/>
      <c r="H421" s="7"/>
      <c r="I421" s="13">
        <f>27000/50</f>
        <v>540</v>
      </c>
      <c r="J421" s="13">
        <f t="shared" ref="J421:J431" si="77">I421*A421</f>
        <v>4320</v>
      </c>
      <c r="K421" s="13">
        <f t="shared" ref="K421:K431" si="78">E421-J421</f>
        <v>2880</v>
      </c>
      <c r="L421" s="14">
        <f t="shared" ref="L421:L431" si="79">K421/E421</f>
        <v>0.4</v>
      </c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2">
        <v>9</v>
      </c>
      <c r="B422" s="10" t="s">
        <v>21</v>
      </c>
      <c r="C422" s="11" t="s">
        <v>46</v>
      </c>
      <c r="D422" s="13">
        <v>500</v>
      </c>
      <c r="E422" s="13">
        <f t="shared" si="76"/>
        <v>4500</v>
      </c>
      <c r="F422" s="13"/>
      <c r="G422" s="2"/>
      <c r="H422" s="7"/>
      <c r="I422" s="13">
        <f>7000/24</f>
        <v>291.66666666666669</v>
      </c>
      <c r="J422" s="13">
        <f t="shared" si="77"/>
        <v>2625</v>
      </c>
      <c r="K422" s="13">
        <f t="shared" si="78"/>
        <v>1875</v>
      </c>
      <c r="L422" s="14">
        <f t="shared" si="79"/>
        <v>0.41666666666666669</v>
      </c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2">
        <v>1</v>
      </c>
      <c r="B423" s="10" t="s">
        <v>23</v>
      </c>
      <c r="C423" s="11" t="s">
        <v>25</v>
      </c>
      <c r="D423" s="13">
        <v>50000</v>
      </c>
      <c r="E423" s="13">
        <f t="shared" si="76"/>
        <v>50000</v>
      </c>
      <c r="F423" s="13"/>
      <c r="G423" s="2"/>
      <c r="H423" s="7"/>
      <c r="I423" s="13">
        <v>36200</v>
      </c>
      <c r="J423" s="13">
        <f t="shared" si="77"/>
        <v>36200</v>
      </c>
      <c r="K423" s="13">
        <f t="shared" si="78"/>
        <v>13800</v>
      </c>
      <c r="L423" s="14">
        <f t="shared" si="79"/>
        <v>0.27600000000000002</v>
      </c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2">
        <v>2</v>
      </c>
      <c r="B424" s="10" t="s">
        <v>17</v>
      </c>
      <c r="C424" s="11" t="s">
        <v>93</v>
      </c>
      <c r="D424" s="13">
        <v>2800</v>
      </c>
      <c r="E424" s="13">
        <f t="shared" si="76"/>
        <v>5600</v>
      </c>
      <c r="F424" s="13"/>
      <c r="G424" s="2"/>
      <c r="H424" s="7"/>
      <c r="I424" s="13">
        <f>10000/7</f>
        <v>1428.5714285714287</v>
      </c>
      <c r="J424" s="13">
        <f t="shared" si="77"/>
        <v>2857.1428571428573</v>
      </c>
      <c r="K424" s="13">
        <f t="shared" si="78"/>
        <v>2742.8571428571427</v>
      </c>
      <c r="L424" s="14">
        <f t="shared" si="79"/>
        <v>0.48979591836734693</v>
      </c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2">
        <v>1</v>
      </c>
      <c r="B425" s="10" t="s">
        <v>21</v>
      </c>
      <c r="C425" s="11" t="s">
        <v>1138</v>
      </c>
      <c r="D425" s="13">
        <v>3500</v>
      </c>
      <c r="E425" s="13">
        <f t="shared" si="76"/>
        <v>3500</v>
      </c>
      <c r="F425" s="13"/>
      <c r="G425" s="2"/>
      <c r="H425" s="7"/>
      <c r="I425" s="13">
        <v>2500</v>
      </c>
      <c r="J425" s="13">
        <f t="shared" si="77"/>
        <v>2500</v>
      </c>
      <c r="K425" s="13">
        <f t="shared" si="78"/>
        <v>1000</v>
      </c>
      <c r="L425" s="14">
        <f t="shared" si="79"/>
        <v>0.2857142857142857</v>
      </c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2">
        <v>0.25</v>
      </c>
      <c r="B426" s="10" t="s">
        <v>17</v>
      </c>
      <c r="C426" s="11" t="s">
        <v>42</v>
      </c>
      <c r="D426" s="13">
        <v>3000</v>
      </c>
      <c r="E426" s="13">
        <f t="shared" si="76"/>
        <v>750</v>
      </c>
      <c r="F426" s="13"/>
      <c r="G426" s="2"/>
      <c r="H426" s="7"/>
      <c r="I426" s="13">
        <f>25000/14</f>
        <v>1785.7142857142858</v>
      </c>
      <c r="J426" s="13">
        <f t="shared" si="77"/>
        <v>446.42857142857144</v>
      </c>
      <c r="K426" s="13">
        <f t="shared" si="78"/>
        <v>303.57142857142856</v>
      </c>
      <c r="L426" s="14">
        <f t="shared" si="79"/>
        <v>0.40476190476190477</v>
      </c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2">
        <v>2</v>
      </c>
      <c r="B427" s="10" t="s">
        <v>17</v>
      </c>
      <c r="C427" s="11" t="s">
        <v>24</v>
      </c>
      <c r="D427" s="13">
        <v>3400</v>
      </c>
      <c r="E427" s="13">
        <f t="shared" si="76"/>
        <v>6800</v>
      </c>
      <c r="F427" s="13"/>
      <c r="G427" s="2"/>
      <c r="H427" s="7"/>
      <c r="I427" s="13">
        <f>50000/17</f>
        <v>2941.1764705882351</v>
      </c>
      <c r="J427" s="13">
        <f t="shared" si="77"/>
        <v>5882.3529411764703</v>
      </c>
      <c r="K427" s="13">
        <f t="shared" si="78"/>
        <v>917.64705882352973</v>
      </c>
      <c r="L427" s="14">
        <f t="shared" si="79"/>
        <v>0.13494809688581319</v>
      </c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>
        <v>4</v>
      </c>
      <c r="B428" s="10" t="s">
        <v>17</v>
      </c>
      <c r="C428" s="11" t="s">
        <v>67</v>
      </c>
      <c r="D428" s="13">
        <v>900</v>
      </c>
      <c r="E428" s="13">
        <f t="shared" si="76"/>
        <v>3600</v>
      </c>
      <c r="F428" s="13"/>
      <c r="G428" s="2"/>
      <c r="H428" s="7"/>
      <c r="I428" s="13">
        <f>15000/14</f>
        <v>1071.4285714285713</v>
      </c>
      <c r="J428" s="13">
        <f t="shared" si="77"/>
        <v>4285.7142857142853</v>
      </c>
      <c r="K428" s="13">
        <f t="shared" si="78"/>
        <v>-685.71428571428532</v>
      </c>
      <c r="L428" s="14">
        <f t="shared" si="79"/>
        <v>-0.19047619047619035</v>
      </c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>
        <v>4</v>
      </c>
      <c r="B429" s="10" t="s">
        <v>17</v>
      </c>
      <c r="C429" s="11" t="s">
        <v>30</v>
      </c>
      <c r="D429" s="13">
        <v>2500</v>
      </c>
      <c r="E429" s="13">
        <f t="shared" si="76"/>
        <v>10000</v>
      </c>
      <c r="F429" s="13"/>
      <c r="G429" s="2"/>
      <c r="H429" s="7"/>
      <c r="I429" s="13">
        <f>20000/14</f>
        <v>1428.5714285714287</v>
      </c>
      <c r="J429" s="13">
        <f t="shared" si="77"/>
        <v>5714.2857142857147</v>
      </c>
      <c r="K429" s="13">
        <f t="shared" si="78"/>
        <v>4285.7142857142853</v>
      </c>
      <c r="L429" s="14">
        <f t="shared" si="79"/>
        <v>0.42857142857142855</v>
      </c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>
        <v>2</v>
      </c>
      <c r="B430" s="10" t="s">
        <v>17</v>
      </c>
      <c r="C430" s="11" t="s">
        <v>81</v>
      </c>
      <c r="D430" s="13">
        <v>1600</v>
      </c>
      <c r="E430" s="13">
        <f t="shared" si="76"/>
        <v>3200</v>
      </c>
      <c r="F430" s="13"/>
      <c r="G430" s="2"/>
      <c r="H430" s="7"/>
      <c r="I430" s="2">
        <f>8000/15</f>
        <v>533.33333333333337</v>
      </c>
      <c r="J430" s="13">
        <f t="shared" si="77"/>
        <v>1066.6666666666667</v>
      </c>
      <c r="K430" s="13">
        <f t="shared" si="78"/>
        <v>2133.333333333333</v>
      </c>
      <c r="L430" s="14">
        <f t="shared" si="79"/>
        <v>0.66666666666666652</v>
      </c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>
        <v>1</v>
      </c>
      <c r="B431" s="10" t="s">
        <v>21</v>
      </c>
      <c r="C431" s="11" t="s">
        <v>112</v>
      </c>
      <c r="D431" s="13">
        <v>3000</v>
      </c>
      <c r="E431" s="13">
        <f t="shared" si="76"/>
        <v>3000</v>
      </c>
      <c r="F431" s="13"/>
      <c r="G431" s="2"/>
      <c r="H431" s="7"/>
      <c r="I431" s="13">
        <v>2000</v>
      </c>
      <c r="J431" s="13">
        <f t="shared" si="77"/>
        <v>2000</v>
      </c>
      <c r="K431" s="13">
        <f t="shared" si="78"/>
        <v>1000</v>
      </c>
      <c r="L431" s="14">
        <f t="shared" si="79"/>
        <v>0.33333333333333331</v>
      </c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/>
      <c r="B432" s="10"/>
      <c r="C432" s="11"/>
      <c r="D432" s="13"/>
      <c r="E432" s="13"/>
      <c r="F432" s="13"/>
      <c r="H432" s="2"/>
      <c r="I432" s="2"/>
      <c r="J432" s="13"/>
      <c r="K432" s="13"/>
      <c r="L432" s="1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/>
      <c r="B433" s="10"/>
      <c r="C433" s="11"/>
      <c r="D433" s="13"/>
      <c r="E433" s="13">
        <f>SUM(E421:E431)</f>
        <v>98150</v>
      </c>
      <c r="F433" s="13"/>
      <c r="G433" s="2"/>
      <c r="H433" s="2"/>
      <c r="I433" s="2"/>
      <c r="J433" s="13"/>
      <c r="K433" s="13">
        <f>SUM(K421:K431)</f>
        <v>30252.408963585429</v>
      </c>
      <c r="L433" s="14">
        <f>K433/E433</f>
        <v>0.30822627573698858</v>
      </c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0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0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0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88" t="s">
        <v>70</v>
      </c>
      <c r="B437" s="89"/>
      <c r="C437" s="89"/>
      <c r="D437" s="2"/>
      <c r="E437" s="7" t="s">
        <v>122</v>
      </c>
      <c r="F437" s="8">
        <v>46136</v>
      </c>
      <c r="G437" s="7"/>
      <c r="H437" s="2"/>
      <c r="I437" s="91" t="s">
        <v>2</v>
      </c>
      <c r="J437" s="89"/>
      <c r="K437" s="89"/>
      <c r="L437" s="3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3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6" t="s">
        <v>3</v>
      </c>
      <c r="B439" s="10" t="s">
        <v>4</v>
      </c>
      <c r="C439" s="11" t="s">
        <v>5</v>
      </c>
      <c r="D439" s="10" t="s">
        <v>6</v>
      </c>
      <c r="E439" s="10" t="s">
        <v>7</v>
      </c>
      <c r="F439" s="10" t="s">
        <v>8</v>
      </c>
      <c r="G439" s="2"/>
      <c r="H439" s="2"/>
      <c r="I439" s="10" t="s">
        <v>9</v>
      </c>
      <c r="J439" s="10" t="s">
        <v>7</v>
      </c>
      <c r="K439" s="10" t="s">
        <v>10</v>
      </c>
      <c r="L439" s="3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2">
        <v>1</v>
      </c>
      <c r="B440" s="10" t="s">
        <v>15</v>
      </c>
      <c r="C440" s="11" t="s">
        <v>27</v>
      </c>
      <c r="D440" s="13">
        <v>25000</v>
      </c>
      <c r="E440" s="13">
        <f t="shared" ref="E440:E457" si="80">A440*D440</f>
        <v>25000</v>
      </c>
      <c r="F440" s="13">
        <f t="shared" ref="F440:F457" si="81">E440*1.105</f>
        <v>27625</v>
      </c>
      <c r="G440" s="2"/>
      <c r="H440" s="2"/>
      <c r="I440" s="13">
        <v>18300</v>
      </c>
      <c r="J440" s="13">
        <f t="shared" ref="J440:J457" si="82">I440*A440</f>
        <v>18300</v>
      </c>
      <c r="K440" s="13">
        <f t="shared" ref="K440:K457" si="83">F440-J440</f>
        <v>9325</v>
      </c>
      <c r="L440" s="18">
        <f t="shared" ref="L440:L457" si="84">IFERROR(K440/E440, 0)</f>
        <v>0.373</v>
      </c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2">
        <v>1</v>
      </c>
      <c r="B441" s="10" t="s">
        <v>17</v>
      </c>
      <c r="C441" s="11" t="s">
        <v>153</v>
      </c>
      <c r="D441" s="13">
        <v>2800</v>
      </c>
      <c r="E441" s="13">
        <f t="shared" si="80"/>
        <v>2800</v>
      </c>
      <c r="F441" s="13">
        <f t="shared" si="81"/>
        <v>3094</v>
      </c>
      <c r="G441" s="2"/>
      <c r="H441" s="2"/>
      <c r="I441" s="13">
        <f>11000/7</f>
        <v>1571.4285714285713</v>
      </c>
      <c r="J441" s="13">
        <f t="shared" si="82"/>
        <v>1571.4285714285713</v>
      </c>
      <c r="K441" s="13">
        <f t="shared" si="83"/>
        <v>1522.5714285714287</v>
      </c>
      <c r="L441" s="18">
        <f t="shared" si="84"/>
        <v>0.54377551020408166</v>
      </c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2">
        <v>7.1</v>
      </c>
      <c r="B442" s="10" t="s">
        <v>17</v>
      </c>
      <c r="C442" s="11" t="s">
        <v>48</v>
      </c>
      <c r="D442" s="13">
        <v>900</v>
      </c>
      <c r="E442" s="13">
        <f t="shared" si="80"/>
        <v>6390</v>
      </c>
      <c r="F442" s="13">
        <f t="shared" si="81"/>
        <v>7060.95</v>
      </c>
      <c r="G442" s="2"/>
      <c r="H442" s="2"/>
      <c r="I442" s="13">
        <f>8000/15</f>
        <v>533.33333333333337</v>
      </c>
      <c r="J442" s="13">
        <f t="shared" si="82"/>
        <v>3786.666666666667</v>
      </c>
      <c r="K442" s="13">
        <f t="shared" si="83"/>
        <v>3274.2833333333328</v>
      </c>
      <c r="L442" s="18">
        <f t="shared" si="84"/>
        <v>0.51240740740740731</v>
      </c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2">
        <v>4</v>
      </c>
      <c r="B443" s="10" t="s">
        <v>17</v>
      </c>
      <c r="C443" s="11" t="s">
        <v>56</v>
      </c>
      <c r="D443" s="13">
        <v>1200</v>
      </c>
      <c r="E443" s="13">
        <f t="shared" si="80"/>
        <v>4800</v>
      </c>
      <c r="F443" s="13">
        <f t="shared" si="81"/>
        <v>5304</v>
      </c>
      <c r="G443" s="2"/>
      <c r="H443" s="2"/>
      <c r="I443" s="13">
        <f>10000/15</f>
        <v>666.66666666666663</v>
      </c>
      <c r="J443" s="13">
        <f t="shared" si="82"/>
        <v>2666.6666666666665</v>
      </c>
      <c r="K443" s="13">
        <f t="shared" si="83"/>
        <v>2637.3333333333335</v>
      </c>
      <c r="L443" s="18">
        <f t="shared" si="84"/>
        <v>0.54944444444444451</v>
      </c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2">
        <v>5</v>
      </c>
      <c r="B444" s="10" t="s">
        <v>17</v>
      </c>
      <c r="C444" s="11" t="s">
        <v>39</v>
      </c>
      <c r="D444" s="13">
        <v>1700</v>
      </c>
      <c r="E444" s="13">
        <f t="shared" si="80"/>
        <v>8500</v>
      </c>
      <c r="F444" s="13">
        <f t="shared" si="81"/>
        <v>9392.5</v>
      </c>
      <c r="G444" s="2"/>
      <c r="H444" s="2"/>
      <c r="I444" s="13">
        <f>18500/15</f>
        <v>1233.3333333333333</v>
      </c>
      <c r="J444" s="13">
        <f t="shared" si="82"/>
        <v>6166.6666666666661</v>
      </c>
      <c r="K444" s="13">
        <f t="shared" si="83"/>
        <v>3225.8333333333339</v>
      </c>
      <c r="L444" s="18">
        <f t="shared" si="84"/>
        <v>0.37950980392156869</v>
      </c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2">
        <v>1</v>
      </c>
      <c r="B445" s="10" t="s">
        <v>21</v>
      </c>
      <c r="C445" s="11" t="s">
        <v>34</v>
      </c>
      <c r="D445" s="13">
        <v>5000</v>
      </c>
      <c r="E445" s="13">
        <f t="shared" si="80"/>
        <v>5000</v>
      </c>
      <c r="F445" s="13">
        <f t="shared" si="81"/>
        <v>5525</v>
      </c>
      <c r="G445" s="2"/>
      <c r="H445" s="2"/>
      <c r="I445" s="13">
        <f>35000/15</f>
        <v>2333.3333333333335</v>
      </c>
      <c r="J445" s="13">
        <f t="shared" si="82"/>
        <v>2333.3333333333335</v>
      </c>
      <c r="K445" s="13">
        <f t="shared" si="83"/>
        <v>3191.6666666666665</v>
      </c>
      <c r="L445" s="18">
        <f t="shared" si="84"/>
        <v>0.63833333333333331</v>
      </c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2">
        <v>1</v>
      </c>
      <c r="B446" s="10" t="s">
        <v>17</v>
      </c>
      <c r="C446" s="11" t="s">
        <v>129</v>
      </c>
      <c r="D446" s="13">
        <v>1600</v>
      </c>
      <c r="E446" s="13">
        <f t="shared" si="80"/>
        <v>1600</v>
      </c>
      <c r="F446" s="13">
        <f t="shared" si="81"/>
        <v>1768</v>
      </c>
      <c r="G446" s="2"/>
      <c r="H446" s="2"/>
      <c r="I446" s="13">
        <v>1100</v>
      </c>
      <c r="J446" s="13">
        <f t="shared" si="82"/>
        <v>1100</v>
      </c>
      <c r="K446" s="13">
        <f t="shared" si="83"/>
        <v>668</v>
      </c>
      <c r="L446" s="18">
        <f t="shared" si="84"/>
        <v>0.41749999999999998</v>
      </c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2">
        <v>0.35</v>
      </c>
      <c r="B447" s="10" t="s">
        <v>17</v>
      </c>
      <c r="C447" s="11" t="s">
        <v>1092</v>
      </c>
      <c r="D447" s="13">
        <v>4500</v>
      </c>
      <c r="E447" s="13">
        <f t="shared" si="80"/>
        <v>1575</v>
      </c>
      <c r="F447" s="13">
        <f t="shared" si="81"/>
        <v>1740.375</v>
      </c>
      <c r="G447" s="2"/>
      <c r="H447" s="2"/>
      <c r="I447" s="13">
        <f>13000/4</f>
        <v>3250</v>
      </c>
      <c r="J447" s="13">
        <f t="shared" si="82"/>
        <v>1137.5</v>
      </c>
      <c r="K447" s="13">
        <f t="shared" si="83"/>
        <v>602.875</v>
      </c>
      <c r="L447" s="18">
        <f t="shared" si="84"/>
        <v>0.38277777777777777</v>
      </c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2">
        <v>1</v>
      </c>
      <c r="B448" s="10" t="s">
        <v>17</v>
      </c>
      <c r="C448" s="11" t="s">
        <v>82</v>
      </c>
      <c r="D448" s="13">
        <v>2200</v>
      </c>
      <c r="E448" s="13">
        <f t="shared" si="80"/>
        <v>2200</v>
      </c>
      <c r="F448" s="13">
        <f t="shared" si="81"/>
        <v>2431</v>
      </c>
      <c r="G448" s="2"/>
      <c r="H448" s="2"/>
      <c r="I448" s="13">
        <f>25000/14</f>
        <v>1785.7142857142858</v>
      </c>
      <c r="J448" s="13">
        <f t="shared" si="82"/>
        <v>1785.7142857142858</v>
      </c>
      <c r="K448" s="13">
        <f t="shared" si="83"/>
        <v>645.28571428571422</v>
      </c>
      <c r="L448" s="18">
        <f t="shared" si="84"/>
        <v>0.2933116883116883</v>
      </c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2">
        <v>1</v>
      </c>
      <c r="B449" s="10" t="s">
        <v>21</v>
      </c>
      <c r="C449" s="11" t="s">
        <v>46</v>
      </c>
      <c r="D449" s="13">
        <v>600</v>
      </c>
      <c r="E449" s="13">
        <f t="shared" si="80"/>
        <v>600</v>
      </c>
      <c r="F449" s="13">
        <f t="shared" si="81"/>
        <v>663</v>
      </c>
      <c r="G449" s="2"/>
      <c r="H449" s="2"/>
      <c r="I449" s="13">
        <f>7000/24</f>
        <v>291.66666666666669</v>
      </c>
      <c r="J449" s="13">
        <f t="shared" si="82"/>
        <v>291.66666666666669</v>
      </c>
      <c r="K449" s="13">
        <f t="shared" si="83"/>
        <v>371.33333333333331</v>
      </c>
      <c r="L449" s="18">
        <f t="shared" si="84"/>
        <v>0.61888888888888882</v>
      </c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2">
        <v>1</v>
      </c>
      <c r="B450" s="10" t="s">
        <v>21</v>
      </c>
      <c r="C450" s="11" t="s">
        <v>51</v>
      </c>
      <c r="D450" s="13">
        <v>1000</v>
      </c>
      <c r="E450" s="13">
        <f t="shared" si="80"/>
        <v>1000</v>
      </c>
      <c r="F450" s="13">
        <f t="shared" si="81"/>
        <v>1105</v>
      </c>
      <c r="G450" s="2"/>
      <c r="H450" s="2"/>
      <c r="I450" s="13">
        <f>15000/24</f>
        <v>625</v>
      </c>
      <c r="J450" s="13">
        <f t="shared" si="82"/>
        <v>625</v>
      </c>
      <c r="K450" s="13">
        <f t="shared" si="83"/>
        <v>480</v>
      </c>
      <c r="L450" s="18">
        <f t="shared" si="84"/>
        <v>0.48</v>
      </c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2">
        <v>1</v>
      </c>
      <c r="B451" s="10" t="s">
        <v>17</v>
      </c>
      <c r="C451" s="11" t="s">
        <v>88</v>
      </c>
      <c r="D451" s="13">
        <v>1500</v>
      </c>
      <c r="E451" s="13">
        <f t="shared" si="80"/>
        <v>1500</v>
      </c>
      <c r="F451" s="13">
        <f t="shared" si="81"/>
        <v>1657.5</v>
      </c>
      <c r="G451" s="2"/>
      <c r="H451" s="2"/>
      <c r="I451" s="13">
        <f>13000/15</f>
        <v>866.66666666666663</v>
      </c>
      <c r="J451" s="13">
        <f t="shared" si="82"/>
        <v>866.66666666666663</v>
      </c>
      <c r="K451" s="13">
        <f t="shared" si="83"/>
        <v>790.83333333333337</v>
      </c>
      <c r="L451" s="18">
        <f t="shared" si="84"/>
        <v>0.52722222222222226</v>
      </c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2">
        <v>2</v>
      </c>
      <c r="B452" s="10" t="s">
        <v>17</v>
      </c>
      <c r="C452" s="11" t="s">
        <v>40</v>
      </c>
      <c r="D452" s="13">
        <v>1500</v>
      </c>
      <c r="E452" s="13">
        <f t="shared" si="80"/>
        <v>3000</v>
      </c>
      <c r="F452" s="13">
        <f t="shared" si="81"/>
        <v>3315</v>
      </c>
      <c r="G452" s="2"/>
      <c r="H452" s="2"/>
      <c r="I452" s="13">
        <v>1000</v>
      </c>
      <c r="J452" s="13">
        <f t="shared" si="82"/>
        <v>2000</v>
      </c>
      <c r="K452" s="13">
        <f t="shared" si="83"/>
        <v>1315</v>
      </c>
      <c r="L452" s="18">
        <f t="shared" si="84"/>
        <v>0.43833333333333335</v>
      </c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2">
        <v>2</v>
      </c>
      <c r="B453" s="10" t="s">
        <v>17</v>
      </c>
      <c r="C453" s="11" t="s">
        <v>62</v>
      </c>
      <c r="D453" s="13">
        <v>3000</v>
      </c>
      <c r="E453" s="13">
        <f t="shared" si="80"/>
        <v>6000</v>
      </c>
      <c r="F453" s="13">
        <f t="shared" si="81"/>
        <v>6630</v>
      </c>
      <c r="G453" s="2"/>
      <c r="H453" s="2"/>
      <c r="I453" s="13">
        <f>27000/17</f>
        <v>1588.2352941176471</v>
      </c>
      <c r="J453" s="13">
        <f t="shared" si="82"/>
        <v>3176.4705882352941</v>
      </c>
      <c r="K453" s="13">
        <f t="shared" si="83"/>
        <v>3453.5294117647059</v>
      </c>
      <c r="L453" s="18">
        <f t="shared" si="84"/>
        <v>0.57558823529411762</v>
      </c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2">
        <v>4</v>
      </c>
      <c r="B454" s="10" t="s">
        <v>17</v>
      </c>
      <c r="C454" s="11" t="s">
        <v>26</v>
      </c>
      <c r="D454" s="13">
        <v>1400</v>
      </c>
      <c r="E454" s="13">
        <f t="shared" si="80"/>
        <v>5600</v>
      </c>
      <c r="F454" s="13">
        <f t="shared" si="81"/>
        <v>6188</v>
      </c>
      <c r="G454" s="2"/>
      <c r="H454" s="2"/>
      <c r="I454" s="13">
        <f>12000/15</f>
        <v>800</v>
      </c>
      <c r="J454" s="13">
        <f t="shared" si="82"/>
        <v>3200</v>
      </c>
      <c r="K454" s="13">
        <f t="shared" si="83"/>
        <v>2988</v>
      </c>
      <c r="L454" s="18">
        <f t="shared" si="84"/>
        <v>0.53357142857142859</v>
      </c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2">
        <v>1</v>
      </c>
      <c r="B455" s="10" t="s">
        <v>17</v>
      </c>
      <c r="C455" s="11" t="s">
        <v>25</v>
      </c>
      <c r="D455" s="13">
        <v>4500</v>
      </c>
      <c r="E455" s="13">
        <f t="shared" si="80"/>
        <v>4500</v>
      </c>
      <c r="F455" s="13">
        <f t="shared" si="81"/>
        <v>4972.5</v>
      </c>
      <c r="G455" s="2"/>
      <c r="I455" s="13">
        <f>62000/17</f>
        <v>3647.0588235294117</v>
      </c>
      <c r="J455" s="13">
        <f t="shared" si="82"/>
        <v>3647.0588235294117</v>
      </c>
      <c r="K455" s="13">
        <f t="shared" si="83"/>
        <v>1325.4411764705883</v>
      </c>
      <c r="L455" s="18">
        <f t="shared" si="84"/>
        <v>0.29454248366013075</v>
      </c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2">
        <v>2</v>
      </c>
      <c r="B456" s="10" t="s">
        <v>17</v>
      </c>
      <c r="C456" s="11" t="s">
        <v>24</v>
      </c>
      <c r="D456" s="13">
        <v>3600</v>
      </c>
      <c r="E456" s="13">
        <f t="shared" si="80"/>
        <v>7200</v>
      </c>
      <c r="F456" s="13">
        <f t="shared" si="81"/>
        <v>7956</v>
      </c>
      <c r="G456" s="2"/>
      <c r="I456" s="13">
        <f>50000/17</f>
        <v>2941.1764705882351</v>
      </c>
      <c r="J456" s="13">
        <f t="shared" si="82"/>
        <v>5882.3529411764703</v>
      </c>
      <c r="K456" s="13">
        <f t="shared" si="83"/>
        <v>2073.6470588235297</v>
      </c>
      <c r="L456" s="18">
        <f t="shared" si="84"/>
        <v>0.28800653594771247</v>
      </c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2">
        <v>1</v>
      </c>
      <c r="B457" s="10" t="s">
        <v>17</v>
      </c>
      <c r="C457" s="11" t="s">
        <v>123</v>
      </c>
      <c r="D457" s="13">
        <v>2000</v>
      </c>
      <c r="E457" s="13">
        <f t="shared" si="80"/>
        <v>2000</v>
      </c>
      <c r="F457" s="13">
        <f t="shared" si="81"/>
        <v>2210</v>
      </c>
      <c r="G457" s="2"/>
      <c r="H457" s="2"/>
      <c r="I457" s="13">
        <f>18000/15</f>
        <v>1200</v>
      </c>
      <c r="J457" s="13">
        <f t="shared" si="82"/>
        <v>1200</v>
      </c>
      <c r="K457" s="13">
        <f t="shared" si="83"/>
        <v>1010</v>
      </c>
      <c r="L457" s="18">
        <f t="shared" si="84"/>
        <v>0.505</v>
      </c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2"/>
      <c r="C458" s="4"/>
      <c r="D458" s="2"/>
      <c r="E458" s="2"/>
      <c r="F458" s="2"/>
      <c r="G458" s="2"/>
      <c r="H458" s="2"/>
      <c r="I458" s="2"/>
      <c r="J458" s="2"/>
      <c r="K458" s="2"/>
      <c r="L458" s="3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2"/>
      <c r="C459" s="4"/>
      <c r="D459" s="2"/>
      <c r="E459" s="13">
        <f t="shared" ref="E459:F459" si="85">SUM(E440:E457)</f>
        <v>89265</v>
      </c>
      <c r="F459" s="13">
        <f t="shared" si="85"/>
        <v>98637.824999999997</v>
      </c>
      <c r="G459" s="2"/>
      <c r="H459" s="2"/>
      <c r="I459" s="2"/>
      <c r="J459" s="2"/>
      <c r="K459" s="13">
        <f>SUM(K440:K457)</f>
        <v>38900.633123249303</v>
      </c>
      <c r="L459" s="18">
        <f>K459/F459</f>
        <v>0.39437845596503474</v>
      </c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0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0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0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6" t="s">
        <v>96</v>
      </c>
      <c r="B463" s="1"/>
      <c r="C463" s="1"/>
      <c r="D463" s="22" t="s">
        <v>122</v>
      </c>
      <c r="E463" s="8">
        <v>46136</v>
      </c>
      <c r="F463" s="24" t="s">
        <v>37</v>
      </c>
      <c r="G463" s="2"/>
      <c r="H463" s="2"/>
      <c r="I463" s="2"/>
      <c r="J463" s="2"/>
      <c r="K463" s="2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2"/>
      <c r="C464" s="4"/>
      <c r="D464" s="2"/>
      <c r="E464" s="2"/>
      <c r="F464" s="2"/>
      <c r="G464" s="2"/>
      <c r="H464" s="2"/>
      <c r="I464" s="2"/>
      <c r="J464" s="2"/>
      <c r="K464" s="2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6" t="s">
        <v>3</v>
      </c>
      <c r="B465" s="10" t="s">
        <v>4</v>
      </c>
      <c r="C465" s="11" t="s">
        <v>5</v>
      </c>
      <c r="D465" s="10" t="s">
        <v>6</v>
      </c>
      <c r="E465" s="10" t="s">
        <v>7</v>
      </c>
      <c r="F465" s="7"/>
      <c r="G465" s="2"/>
      <c r="H465" s="2"/>
      <c r="I465" s="10" t="s">
        <v>6</v>
      </c>
      <c r="J465" s="10" t="s">
        <v>7</v>
      </c>
      <c r="K465" s="10" t="s">
        <v>10</v>
      </c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2">
        <v>2</v>
      </c>
      <c r="B466" s="10" t="s">
        <v>23</v>
      </c>
      <c r="C466" s="11" t="s">
        <v>130</v>
      </c>
      <c r="D466" s="13">
        <v>11000</v>
      </c>
      <c r="E466" s="13">
        <f t="shared" ref="E466:E477" si="86">A466*D466</f>
        <v>22000</v>
      </c>
      <c r="F466" s="2"/>
      <c r="G466" s="2"/>
      <c r="H466" s="2"/>
      <c r="I466" s="13">
        <v>7000</v>
      </c>
      <c r="J466" s="13">
        <f t="shared" ref="J466:J477" si="87">I466*A466</f>
        <v>14000</v>
      </c>
      <c r="K466" s="13">
        <f t="shared" ref="K466:K477" si="88">E466-J466</f>
        <v>8000</v>
      </c>
      <c r="L466" s="14">
        <f t="shared" ref="L466:L477" si="89">K466/E466</f>
        <v>0.36363636363636365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2">
        <v>0.5</v>
      </c>
      <c r="B467" s="10" t="s">
        <v>23</v>
      </c>
      <c r="C467" s="11" t="s">
        <v>99</v>
      </c>
      <c r="D467" s="13">
        <v>10000</v>
      </c>
      <c r="E467" s="13">
        <f t="shared" si="86"/>
        <v>5000</v>
      </c>
      <c r="F467" s="2"/>
      <c r="G467" s="2"/>
      <c r="H467" s="2"/>
      <c r="I467" s="13">
        <v>7000</v>
      </c>
      <c r="J467" s="13">
        <f t="shared" si="87"/>
        <v>3500</v>
      </c>
      <c r="K467" s="13">
        <f t="shared" si="88"/>
        <v>1500</v>
      </c>
      <c r="L467" s="14">
        <f t="shared" si="89"/>
        <v>0.3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2">
        <v>2</v>
      </c>
      <c r="B468" s="10" t="s">
        <v>23</v>
      </c>
      <c r="C468" s="11" t="s">
        <v>22</v>
      </c>
      <c r="D468" s="13">
        <v>15000</v>
      </c>
      <c r="E468" s="13">
        <f t="shared" si="86"/>
        <v>30000</v>
      </c>
      <c r="F468" s="2"/>
      <c r="G468" s="2"/>
      <c r="H468" s="2"/>
      <c r="I468" s="13">
        <v>10000</v>
      </c>
      <c r="J468" s="13">
        <f t="shared" si="87"/>
        <v>20000</v>
      </c>
      <c r="K468" s="13">
        <f t="shared" si="88"/>
        <v>10000</v>
      </c>
      <c r="L468" s="14">
        <f t="shared" si="89"/>
        <v>0.33333333333333331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2">
        <v>1</v>
      </c>
      <c r="B469" s="10" t="s">
        <v>23</v>
      </c>
      <c r="C469" s="11" t="s">
        <v>31</v>
      </c>
      <c r="D469" s="13">
        <v>16000</v>
      </c>
      <c r="E469" s="13">
        <f t="shared" si="86"/>
        <v>16000</v>
      </c>
      <c r="F469" s="2"/>
      <c r="G469" s="2"/>
      <c r="H469" s="2"/>
      <c r="I469" s="13">
        <v>11000</v>
      </c>
      <c r="J469" s="13">
        <f t="shared" si="87"/>
        <v>11000</v>
      </c>
      <c r="K469" s="13">
        <f t="shared" si="88"/>
        <v>5000</v>
      </c>
      <c r="L469" s="14">
        <f t="shared" si="89"/>
        <v>0.3125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2">
        <v>2</v>
      </c>
      <c r="B470" s="10" t="s">
        <v>21</v>
      </c>
      <c r="C470" s="11" t="s">
        <v>34</v>
      </c>
      <c r="D470" s="13">
        <v>4000</v>
      </c>
      <c r="E470" s="13">
        <f t="shared" si="86"/>
        <v>8000</v>
      </c>
      <c r="F470" s="2"/>
      <c r="G470" s="2"/>
      <c r="H470" s="2"/>
      <c r="I470" s="13">
        <v>2300</v>
      </c>
      <c r="J470" s="13">
        <f t="shared" si="87"/>
        <v>4600</v>
      </c>
      <c r="K470" s="13">
        <f t="shared" si="88"/>
        <v>3400</v>
      </c>
      <c r="L470" s="14">
        <f t="shared" si="89"/>
        <v>0.42499999999999999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2">
        <v>2</v>
      </c>
      <c r="B471" s="10" t="s">
        <v>21</v>
      </c>
      <c r="C471" s="11" t="s">
        <v>42</v>
      </c>
      <c r="D471" s="13">
        <v>3500</v>
      </c>
      <c r="E471" s="13">
        <f t="shared" si="86"/>
        <v>7000</v>
      </c>
      <c r="F471" s="2"/>
      <c r="G471" s="2"/>
      <c r="H471" s="2"/>
      <c r="I471" s="13">
        <f>25000/14</f>
        <v>1785.7142857142858</v>
      </c>
      <c r="J471" s="13">
        <f t="shared" si="87"/>
        <v>3571.4285714285716</v>
      </c>
      <c r="K471" s="13">
        <f t="shared" si="88"/>
        <v>3428.5714285714284</v>
      </c>
      <c r="L471" s="14">
        <f t="shared" si="89"/>
        <v>0.48979591836734693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2">
        <v>2</v>
      </c>
      <c r="B472" s="10" t="s">
        <v>15</v>
      </c>
      <c r="C472" s="11" t="s">
        <v>135</v>
      </c>
      <c r="D472" s="13">
        <v>16000</v>
      </c>
      <c r="E472" s="13">
        <f t="shared" si="86"/>
        <v>32000</v>
      </c>
      <c r="F472" s="2"/>
      <c r="G472" s="2"/>
      <c r="H472" s="2"/>
      <c r="I472" s="13">
        <v>12000</v>
      </c>
      <c r="J472" s="13">
        <f t="shared" si="87"/>
        <v>24000</v>
      </c>
      <c r="K472" s="13">
        <f t="shared" si="88"/>
        <v>8000</v>
      </c>
      <c r="L472" s="14">
        <f t="shared" si="89"/>
        <v>0.25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2">
        <v>2</v>
      </c>
      <c r="B473" s="10" t="s">
        <v>15</v>
      </c>
      <c r="C473" s="11" t="s">
        <v>56</v>
      </c>
      <c r="D473" s="13">
        <v>15000</v>
      </c>
      <c r="E473" s="13">
        <f t="shared" si="86"/>
        <v>30000</v>
      </c>
      <c r="F473" s="2"/>
      <c r="G473" s="2"/>
      <c r="H473" s="2"/>
      <c r="I473" s="13">
        <v>10000</v>
      </c>
      <c r="J473" s="13">
        <f t="shared" si="87"/>
        <v>20000</v>
      </c>
      <c r="K473" s="13">
        <f t="shared" si="88"/>
        <v>10000</v>
      </c>
      <c r="L473" s="14">
        <f t="shared" si="89"/>
        <v>0.33333333333333331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2">
        <v>2</v>
      </c>
      <c r="B474" s="10" t="s">
        <v>23</v>
      </c>
      <c r="C474" s="11" t="s">
        <v>14</v>
      </c>
      <c r="D474" s="13">
        <v>24000</v>
      </c>
      <c r="E474" s="13">
        <f t="shared" si="86"/>
        <v>48000</v>
      </c>
      <c r="F474" s="2"/>
      <c r="G474" s="2"/>
      <c r="H474" s="2"/>
      <c r="I474" s="13">
        <v>20000</v>
      </c>
      <c r="J474" s="13">
        <f t="shared" si="87"/>
        <v>40000</v>
      </c>
      <c r="K474" s="13">
        <f t="shared" si="88"/>
        <v>8000</v>
      </c>
      <c r="L474" s="14">
        <f t="shared" si="89"/>
        <v>0.16666666666666666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2">
        <v>1</v>
      </c>
      <c r="B475" s="10" t="s">
        <v>15</v>
      </c>
      <c r="C475" s="11" t="s">
        <v>167</v>
      </c>
      <c r="D475" s="13">
        <v>16000</v>
      </c>
      <c r="E475" s="13">
        <f t="shared" si="86"/>
        <v>16000</v>
      </c>
      <c r="F475" s="2"/>
      <c r="G475" s="2"/>
      <c r="H475" s="2"/>
      <c r="I475" s="13">
        <v>10000</v>
      </c>
      <c r="J475" s="13">
        <f t="shared" si="87"/>
        <v>10000</v>
      </c>
      <c r="K475" s="13">
        <f t="shared" si="88"/>
        <v>6000</v>
      </c>
      <c r="L475" s="14">
        <f t="shared" si="89"/>
        <v>0.375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2">
        <v>0.5</v>
      </c>
      <c r="B476" s="10" t="s">
        <v>23</v>
      </c>
      <c r="C476" s="11" t="s">
        <v>39</v>
      </c>
      <c r="D476" s="13">
        <v>26000</v>
      </c>
      <c r="E476" s="13">
        <f t="shared" si="86"/>
        <v>13000</v>
      </c>
      <c r="F476" s="2"/>
      <c r="G476" s="2"/>
      <c r="H476" s="2"/>
      <c r="I476" s="13">
        <v>18500</v>
      </c>
      <c r="J476" s="13">
        <f t="shared" si="87"/>
        <v>9250</v>
      </c>
      <c r="K476" s="13">
        <f t="shared" si="88"/>
        <v>3750</v>
      </c>
      <c r="L476" s="14">
        <f t="shared" si="89"/>
        <v>0.28846153846153844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2">
        <v>2</v>
      </c>
      <c r="B477" s="10" t="s">
        <v>17</v>
      </c>
      <c r="C477" s="11" t="s">
        <v>55</v>
      </c>
      <c r="D477" s="13">
        <v>21000</v>
      </c>
      <c r="E477" s="13">
        <f t="shared" si="86"/>
        <v>42000</v>
      </c>
      <c r="F477" s="2"/>
      <c r="G477" s="2"/>
      <c r="H477" s="2"/>
      <c r="I477" s="13">
        <v>16000</v>
      </c>
      <c r="J477" s="13">
        <f t="shared" si="87"/>
        <v>32000</v>
      </c>
      <c r="K477" s="13">
        <f t="shared" si="88"/>
        <v>10000</v>
      </c>
      <c r="L477" s="14">
        <f t="shared" si="89"/>
        <v>0.23809523809523808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"/>
      <c r="B478" s="2"/>
      <c r="C478" s="4"/>
      <c r="D478" s="2"/>
      <c r="E478" s="2"/>
      <c r="F478" s="2"/>
      <c r="G478" s="4"/>
      <c r="H478" s="2"/>
      <c r="I478" s="2"/>
      <c r="J478" s="2"/>
      <c r="K478" s="2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"/>
      <c r="B479" s="2"/>
      <c r="C479" s="4"/>
      <c r="D479" s="2"/>
      <c r="E479" s="13">
        <f>SUM(E466:E477)</f>
        <v>269000</v>
      </c>
      <c r="F479" s="2"/>
      <c r="G479" s="2"/>
      <c r="H479" s="2"/>
      <c r="I479" s="2"/>
      <c r="J479" s="2"/>
      <c r="K479" s="13">
        <f>SUM(K466:K477)</f>
        <v>77078.57142857142</v>
      </c>
      <c r="L479" s="14">
        <f>K479/E479</f>
        <v>0.28653744025491235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0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0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1"/>
      <c r="C482" s="1"/>
      <c r="D482" s="1"/>
      <c r="E482" s="8"/>
      <c r="F482" s="1"/>
      <c r="G482" s="1"/>
      <c r="H482" s="1"/>
      <c r="I482" s="1"/>
      <c r="J482" s="1"/>
      <c r="K482" s="1"/>
      <c r="L482" s="20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6" t="s">
        <v>91</v>
      </c>
      <c r="B483" s="1"/>
      <c r="C483" s="1"/>
      <c r="D483" s="22" t="s">
        <v>1137</v>
      </c>
      <c r="E483" s="8">
        <v>46136</v>
      </c>
      <c r="F483" s="24" t="s">
        <v>37</v>
      </c>
      <c r="G483" s="2"/>
      <c r="H483" s="2"/>
      <c r="I483" s="2"/>
      <c r="J483" s="2"/>
      <c r="K483" s="2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2"/>
      <c r="C484" s="4"/>
      <c r="D484" s="2"/>
      <c r="E484" s="2"/>
      <c r="F484" s="2"/>
      <c r="G484" s="2"/>
      <c r="H484" s="2"/>
      <c r="I484" s="2"/>
      <c r="J484" s="2"/>
      <c r="K484" s="2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6" t="s">
        <v>3</v>
      </c>
      <c r="B485" s="10" t="s">
        <v>4</v>
      </c>
      <c r="C485" s="11" t="s">
        <v>5</v>
      </c>
      <c r="D485" s="10" t="s">
        <v>6</v>
      </c>
      <c r="E485" s="10" t="s">
        <v>7</v>
      </c>
      <c r="F485" s="2"/>
      <c r="G485" s="2"/>
      <c r="H485" s="2"/>
      <c r="I485" s="10" t="s">
        <v>6</v>
      </c>
      <c r="J485" s="10" t="s">
        <v>7</v>
      </c>
      <c r="K485" s="10" t="s">
        <v>10</v>
      </c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2">
        <v>1</v>
      </c>
      <c r="B486" s="10" t="s">
        <v>23</v>
      </c>
      <c r="C486" s="11" t="s">
        <v>1139</v>
      </c>
      <c r="D486" s="13">
        <v>13000</v>
      </c>
      <c r="E486" s="13">
        <f t="shared" ref="E486:E490" si="90">A486*D486</f>
        <v>13000</v>
      </c>
      <c r="F486" s="2"/>
      <c r="G486" s="2"/>
      <c r="H486" s="2"/>
      <c r="I486" s="13">
        <v>7000</v>
      </c>
      <c r="J486" s="13">
        <f t="shared" ref="J486:J490" si="91">I486*A486</f>
        <v>7000</v>
      </c>
      <c r="K486" s="13">
        <f t="shared" ref="K486:K490" si="92">E486-J486</f>
        <v>6000</v>
      </c>
      <c r="L486" s="14">
        <f t="shared" ref="L486:L490" si="93">K486/E486</f>
        <v>0.46153846153846156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2">
        <v>1</v>
      </c>
      <c r="B487" s="10" t="s">
        <v>17</v>
      </c>
      <c r="C487" s="11" t="s">
        <v>79</v>
      </c>
      <c r="D487" s="13">
        <v>5000</v>
      </c>
      <c r="E487" s="13">
        <f t="shared" si="90"/>
        <v>5000</v>
      </c>
      <c r="F487" s="2"/>
      <c r="G487" s="2"/>
      <c r="H487" s="2"/>
      <c r="I487" s="13">
        <f>13000/4</f>
        <v>3250</v>
      </c>
      <c r="J487" s="13">
        <f t="shared" si="91"/>
        <v>3250</v>
      </c>
      <c r="K487" s="13">
        <f t="shared" si="92"/>
        <v>1750</v>
      </c>
      <c r="L487" s="14">
        <f t="shared" si="93"/>
        <v>0.35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2">
        <v>3</v>
      </c>
      <c r="B488" s="10" t="s">
        <v>17</v>
      </c>
      <c r="C488" s="11" t="s">
        <v>39</v>
      </c>
      <c r="D488" s="13">
        <v>1800</v>
      </c>
      <c r="E488" s="13">
        <f t="shared" si="90"/>
        <v>5400</v>
      </c>
      <c r="F488" s="2"/>
      <c r="G488" s="2"/>
      <c r="H488" s="2"/>
      <c r="I488" s="13">
        <f>18500/15</f>
        <v>1233.3333333333333</v>
      </c>
      <c r="J488" s="13">
        <f t="shared" si="91"/>
        <v>3700</v>
      </c>
      <c r="K488" s="13">
        <f t="shared" si="92"/>
        <v>1700</v>
      </c>
      <c r="L488" s="36">
        <f t="shared" si="93"/>
        <v>0.31481481481481483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2">
        <v>2</v>
      </c>
      <c r="B489" s="10" t="s">
        <v>21</v>
      </c>
      <c r="C489" s="11" t="s">
        <v>22</v>
      </c>
      <c r="D489" s="13">
        <v>1500</v>
      </c>
      <c r="E489" s="13">
        <f t="shared" si="90"/>
        <v>3000</v>
      </c>
      <c r="F489" s="2"/>
      <c r="G489" s="2"/>
      <c r="H489" s="2"/>
      <c r="I489" s="13">
        <v>1000</v>
      </c>
      <c r="J489" s="13">
        <f t="shared" si="91"/>
        <v>2000</v>
      </c>
      <c r="K489" s="13">
        <f t="shared" si="92"/>
        <v>1000</v>
      </c>
      <c r="L489" s="36">
        <f t="shared" si="93"/>
        <v>0.33333333333333331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2">
        <v>1</v>
      </c>
      <c r="B490" s="10" t="s">
        <v>17</v>
      </c>
      <c r="C490" s="11" t="s">
        <v>40</v>
      </c>
      <c r="D490" s="13">
        <v>1500</v>
      </c>
      <c r="E490" s="13">
        <f t="shared" si="90"/>
        <v>1500</v>
      </c>
      <c r="F490" s="2"/>
      <c r="G490" s="2"/>
      <c r="H490" s="2"/>
      <c r="I490" s="13">
        <v>1000</v>
      </c>
      <c r="J490" s="13">
        <f t="shared" si="91"/>
        <v>1000</v>
      </c>
      <c r="K490" s="13">
        <f t="shared" si="92"/>
        <v>500</v>
      </c>
      <c r="L490" s="14">
        <f t="shared" si="93"/>
        <v>0.33333333333333331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"/>
      <c r="B491" s="2"/>
      <c r="C491" s="4"/>
      <c r="D491" s="2"/>
      <c r="E491" s="2"/>
      <c r="F491" s="2"/>
      <c r="G491" s="4"/>
      <c r="H491" s="2"/>
      <c r="I491" s="2"/>
      <c r="J491" s="2"/>
      <c r="K491" s="2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"/>
      <c r="B492" s="2"/>
      <c r="C492" s="4"/>
      <c r="D492" s="2"/>
      <c r="E492" s="13">
        <f>SUM(E486:E490)</f>
        <v>27900</v>
      </c>
      <c r="F492" s="2"/>
      <c r="G492" s="2"/>
      <c r="H492" s="2"/>
      <c r="I492" s="2"/>
      <c r="J492" s="2"/>
      <c r="K492" s="13">
        <f>SUM(K486:K490)</f>
        <v>10950</v>
      </c>
      <c r="L492" s="14">
        <f>K492/E492</f>
        <v>0.39247311827956988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0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0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88" t="s">
        <v>140</v>
      </c>
      <c r="B495" s="89"/>
      <c r="C495" s="89"/>
      <c r="D495" s="2"/>
      <c r="E495" s="7" t="s">
        <v>71</v>
      </c>
      <c r="F495" s="8">
        <v>46136</v>
      </c>
      <c r="G495" s="7" t="s">
        <v>106</v>
      </c>
      <c r="H495" s="2"/>
      <c r="I495" s="9" t="s">
        <v>2</v>
      </c>
      <c r="J495" s="9"/>
      <c r="K495" s="9"/>
      <c r="L495" s="3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3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6" t="s">
        <v>3</v>
      </c>
      <c r="B497" s="10" t="s">
        <v>4</v>
      </c>
      <c r="C497" s="11" t="s">
        <v>5</v>
      </c>
      <c r="D497" s="10" t="s">
        <v>6</v>
      </c>
      <c r="E497" s="10" t="s">
        <v>7</v>
      </c>
      <c r="F497" s="10" t="s">
        <v>8</v>
      </c>
      <c r="G497" s="2"/>
      <c r="H497" s="2"/>
      <c r="I497" s="10" t="s">
        <v>9</v>
      </c>
      <c r="J497" s="10" t="s">
        <v>7</v>
      </c>
      <c r="K497" s="10" t="s">
        <v>10</v>
      </c>
      <c r="L497" s="3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2">
        <v>1</v>
      </c>
      <c r="B498" s="10" t="s">
        <v>23</v>
      </c>
      <c r="C498" s="11" t="s">
        <v>81</v>
      </c>
      <c r="D498" s="13">
        <v>22000</v>
      </c>
      <c r="E498" s="13">
        <f t="shared" ref="E498:E502" si="94">A498*D498</f>
        <v>22000</v>
      </c>
      <c r="F498" s="13">
        <f t="shared" ref="F498:F502" si="95">E498*1.105</f>
        <v>24310</v>
      </c>
      <c r="G498" s="2"/>
      <c r="H498" s="2"/>
      <c r="I498" s="2">
        <f>8000/15</f>
        <v>533.33333333333337</v>
      </c>
      <c r="J498" s="13">
        <f t="shared" ref="J498:J502" si="96">I498*A498</f>
        <v>533.33333333333337</v>
      </c>
      <c r="K498" s="13">
        <f t="shared" ref="K498:K502" si="97">F498-J498</f>
        <v>23776.666666666668</v>
      </c>
      <c r="L498" s="14">
        <f t="shared" ref="L498:L499" si="98">IFERROR(K498/E498, 0)</f>
        <v>1.0807575757575758</v>
      </c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2">
        <v>1</v>
      </c>
      <c r="B499" s="10" t="s">
        <v>23</v>
      </c>
      <c r="C499" s="11" t="s">
        <v>130</v>
      </c>
      <c r="D499" s="13">
        <v>11000</v>
      </c>
      <c r="E499" s="13">
        <f t="shared" si="94"/>
        <v>11000</v>
      </c>
      <c r="F499" s="13">
        <f t="shared" si="95"/>
        <v>12155</v>
      </c>
      <c r="G499" s="2"/>
      <c r="H499" s="2"/>
      <c r="I499" s="13">
        <v>7000</v>
      </c>
      <c r="J499" s="13">
        <f t="shared" si="96"/>
        <v>7000</v>
      </c>
      <c r="K499" s="13">
        <f t="shared" si="97"/>
        <v>5155</v>
      </c>
      <c r="L499" s="14">
        <f t="shared" si="98"/>
        <v>0.46863636363636363</v>
      </c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2">
        <v>1</v>
      </c>
      <c r="B500" s="10" t="s">
        <v>17</v>
      </c>
      <c r="C500" s="11" t="s">
        <v>88</v>
      </c>
      <c r="D500" s="13">
        <v>2600</v>
      </c>
      <c r="E500" s="13">
        <f t="shared" si="94"/>
        <v>2600</v>
      </c>
      <c r="F500" s="13">
        <f t="shared" si="95"/>
        <v>2873</v>
      </c>
      <c r="G500" s="2"/>
      <c r="H500" s="2"/>
      <c r="I500" s="13">
        <f>13000/15</f>
        <v>866.66666666666663</v>
      </c>
      <c r="J500" s="13">
        <f t="shared" si="96"/>
        <v>866.66666666666663</v>
      </c>
      <c r="K500" s="13">
        <f t="shared" si="97"/>
        <v>2006.3333333333335</v>
      </c>
      <c r="L500" s="18">
        <f>IFERROR(K500/E500, 0)</f>
        <v>0.77166666666666672</v>
      </c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2">
        <v>15</v>
      </c>
      <c r="B501" s="10" t="s">
        <v>21</v>
      </c>
      <c r="C501" s="11" t="s">
        <v>46</v>
      </c>
      <c r="D501" s="13">
        <v>500</v>
      </c>
      <c r="E501" s="13">
        <f t="shared" si="94"/>
        <v>7500</v>
      </c>
      <c r="F501" s="13">
        <f t="shared" si="95"/>
        <v>8287.5</v>
      </c>
      <c r="G501" s="2"/>
      <c r="H501" s="2"/>
      <c r="I501" s="13">
        <f>7000/24</f>
        <v>291.66666666666669</v>
      </c>
      <c r="J501" s="13">
        <f t="shared" si="96"/>
        <v>4375</v>
      </c>
      <c r="K501" s="13">
        <f t="shared" si="97"/>
        <v>3912.5</v>
      </c>
      <c r="L501" s="14">
        <f t="shared" ref="L501:L502" si="99">IFERROR(K501/E501, 0)</f>
        <v>0.52166666666666661</v>
      </c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2">
        <v>3</v>
      </c>
      <c r="B502" s="10" t="s">
        <v>15</v>
      </c>
      <c r="C502" s="83" t="s">
        <v>1140</v>
      </c>
      <c r="D502" s="13">
        <v>0</v>
      </c>
      <c r="E502" s="13">
        <f t="shared" si="94"/>
        <v>0</v>
      </c>
      <c r="F502" s="13">
        <f t="shared" si="95"/>
        <v>0</v>
      </c>
      <c r="G502" s="2"/>
      <c r="H502" s="2"/>
      <c r="I502" s="13"/>
      <c r="J502" s="13">
        <f t="shared" si="96"/>
        <v>0</v>
      </c>
      <c r="K502" s="13">
        <f t="shared" si="97"/>
        <v>0</v>
      </c>
      <c r="L502" s="14">
        <f t="shared" si="99"/>
        <v>0</v>
      </c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2"/>
      <c r="C503" s="4"/>
      <c r="D503" s="2"/>
      <c r="E503" s="2"/>
      <c r="F503" s="13"/>
      <c r="G503" s="2"/>
      <c r="H503" s="2"/>
      <c r="I503" s="2"/>
      <c r="J503" s="2"/>
      <c r="K503" s="2"/>
      <c r="L503" s="3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2"/>
      <c r="C504" s="4"/>
      <c r="D504" s="2"/>
      <c r="E504" s="13">
        <f t="shared" ref="E504:F504" si="100">SUM(E498:E502)</f>
        <v>43100</v>
      </c>
      <c r="F504" s="13">
        <f t="shared" si="100"/>
        <v>47625.5</v>
      </c>
      <c r="G504" s="2"/>
      <c r="H504" s="2"/>
      <c r="I504" s="2"/>
      <c r="J504" s="2"/>
      <c r="K504" s="13">
        <f>SUM(K498:K502)</f>
        <v>34850.5</v>
      </c>
      <c r="L504" s="14">
        <f>K504/F504</f>
        <v>0.73176134633757128</v>
      </c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0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0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6" t="s">
        <v>1000</v>
      </c>
      <c r="B507" s="1"/>
      <c r="C507" s="1"/>
      <c r="D507" s="22" t="s">
        <v>1090</v>
      </c>
      <c r="E507" s="8">
        <v>46136</v>
      </c>
      <c r="F507" s="24" t="s">
        <v>106</v>
      </c>
      <c r="G507" s="2"/>
      <c r="H507" s="2"/>
      <c r="I507" s="2"/>
      <c r="J507" s="2"/>
      <c r="K507" s="2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2"/>
      <c r="C508" s="4"/>
      <c r="D508" s="2"/>
      <c r="E508" s="2"/>
      <c r="F508" s="2"/>
      <c r="G508" s="2"/>
      <c r="H508" s="2"/>
      <c r="I508" s="2"/>
      <c r="J508" s="2"/>
      <c r="K508" s="2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6" t="s">
        <v>3</v>
      </c>
      <c r="B509" s="10" t="s">
        <v>4</v>
      </c>
      <c r="C509" s="11" t="s">
        <v>5</v>
      </c>
      <c r="D509" s="10" t="s">
        <v>6</v>
      </c>
      <c r="E509" s="10" t="s">
        <v>7</v>
      </c>
      <c r="F509" s="2"/>
      <c r="G509" s="2"/>
      <c r="H509" s="2"/>
      <c r="I509" s="10" t="s">
        <v>6</v>
      </c>
      <c r="J509" s="10" t="s">
        <v>7</v>
      </c>
      <c r="K509" s="10" t="s">
        <v>10</v>
      </c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2">
        <v>1</v>
      </c>
      <c r="B510" s="10" t="s">
        <v>17</v>
      </c>
      <c r="C510" s="11" t="s">
        <v>110</v>
      </c>
      <c r="D510" s="13">
        <v>4000</v>
      </c>
      <c r="E510" s="13">
        <f t="shared" ref="E510:E514" si="101">A510*D510</f>
        <v>4000</v>
      </c>
      <c r="F510" s="2"/>
      <c r="G510" s="2"/>
      <c r="H510" s="2"/>
      <c r="I510" s="13">
        <f>9000/5</f>
        <v>1800</v>
      </c>
      <c r="J510" s="13">
        <f t="shared" ref="J510:J514" si="102">I510*A510</f>
        <v>1800</v>
      </c>
      <c r="K510" s="13">
        <f t="shared" ref="K510:K514" si="103">E510-J510</f>
        <v>2200</v>
      </c>
      <c r="L510" s="14">
        <f t="shared" ref="L510:L514" si="104">K510/E510</f>
        <v>0.55000000000000004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2">
        <v>6</v>
      </c>
      <c r="B511" s="10" t="s">
        <v>21</v>
      </c>
      <c r="C511" s="11" t="s">
        <v>46</v>
      </c>
      <c r="D511" s="13">
        <v>500</v>
      </c>
      <c r="E511" s="13">
        <f t="shared" si="101"/>
        <v>3000</v>
      </c>
      <c r="F511" s="2"/>
      <c r="G511" s="2"/>
      <c r="H511" s="2"/>
      <c r="I511" s="13">
        <f>7000/24</f>
        <v>291.66666666666669</v>
      </c>
      <c r="J511" s="13">
        <f t="shared" si="102"/>
        <v>1750</v>
      </c>
      <c r="K511" s="13">
        <f t="shared" si="103"/>
        <v>1250</v>
      </c>
      <c r="L511" s="14">
        <f t="shared" si="104"/>
        <v>0.41666666666666669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2">
        <v>2.5</v>
      </c>
      <c r="B512" s="10" t="s">
        <v>17</v>
      </c>
      <c r="C512" s="11" t="s">
        <v>38</v>
      </c>
      <c r="D512" s="13">
        <v>1800</v>
      </c>
      <c r="E512" s="13">
        <f t="shared" si="101"/>
        <v>4500</v>
      </c>
      <c r="F512" s="2"/>
      <c r="G512" s="2"/>
      <c r="H512" s="13"/>
      <c r="I512" s="13">
        <f>15000/12</f>
        <v>1250</v>
      </c>
      <c r="J512" s="13">
        <f t="shared" si="102"/>
        <v>3125</v>
      </c>
      <c r="K512" s="13">
        <f t="shared" si="103"/>
        <v>1375</v>
      </c>
      <c r="L512" s="14">
        <f t="shared" si="104"/>
        <v>0.30555555555555558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2">
        <v>1</v>
      </c>
      <c r="B513" s="10" t="s">
        <v>15</v>
      </c>
      <c r="C513" s="11" t="s">
        <v>83</v>
      </c>
      <c r="D513" s="13">
        <v>16000</v>
      </c>
      <c r="E513" s="13">
        <f t="shared" si="101"/>
        <v>16000</v>
      </c>
      <c r="F513" s="2"/>
      <c r="G513" s="2"/>
      <c r="H513" s="13"/>
      <c r="I513" s="13">
        <v>10000</v>
      </c>
      <c r="J513" s="13">
        <f t="shared" si="102"/>
        <v>10000</v>
      </c>
      <c r="K513" s="13">
        <f t="shared" si="103"/>
        <v>6000</v>
      </c>
      <c r="L513" s="14">
        <f t="shared" si="104"/>
        <v>0.375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2">
        <v>1</v>
      </c>
      <c r="B514" s="10" t="s">
        <v>15</v>
      </c>
      <c r="C514" s="11" t="s">
        <v>56</v>
      </c>
      <c r="D514" s="13">
        <v>15000</v>
      </c>
      <c r="E514" s="13">
        <f t="shared" si="101"/>
        <v>15000</v>
      </c>
      <c r="F514" s="2"/>
      <c r="G514" s="2"/>
      <c r="H514" s="2"/>
      <c r="I514" s="13">
        <v>10000</v>
      </c>
      <c r="J514" s="13">
        <f t="shared" si="102"/>
        <v>10000</v>
      </c>
      <c r="K514" s="13">
        <f t="shared" si="103"/>
        <v>5000</v>
      </c>
      <c r="L514" s="14">
        <f t="shared" si="104"/>
        <v>0.33333333333333331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2"/>
      <c r="C515" s="4"/>
      <c r="D515" s="2"/>
      <c r="E515" s="2"/>
      <c r="F515" s="2"/>
      <c r="G515" s="4"/>
      <c r="H515" s="2"/>
      <c r="I515" s="2"/>
      <c r="J515" s="2"/>
      <c r="K515" s="2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2"/>
      <c r="C516" s="4"/>
      <c r="D516" s="2"/>
      <c r="E516" s="13">
        <f>SUM(E510:E514)</f>
        <v>42500</v>
      </c>
      <c r="F516" s="2"/>
      <c r="G516" s="2"/>
      <c r="H516" s="2"/>
      <c r="I516" s="2"/>
      <c r="J516" s="2"/>
      <c r="K516" s="13">
        <f>SUM(K510:K514)</f>
        <v>15825</v>
      </c>
      <c r="L516" s="14">
        <f>K516/E516</f>
        <v>0.37235294117647061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0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0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0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6" t="s">
        <v>121</v>
      </c>
      <c r="B520" s="1"/>
      <c r="C520" s="1"/>
      <c r="D520" s="22" t="s">
        <v>45</v>
      </c>
      <c r="E520" s="8">
        <v>46136</v>
      </c>
      <c r="F520" s="24" t="s">
        <v>37</v>
      </c>
      <c r="G520" s="2"/>
      <c r="H520" s="2"/>
      <c r="I520" s="2"/>
      <c r="J520" s="2"/>
      <c r="K520" s="2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2"/>
      <c r="C521" s="4"/>
      <c r="D521" s="2"/>
      <c r="E521" s="2"/>
      <c r="F521" s="2"/>
      <c r="G521" s="2"/>
      <c r="H521" s="2"/>
      <c r="I521" s="2"/>
      <c r="J521" s="2"/>
      <c r="K521" s="2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6" t="s">
        <v>3</v>
      </c>
      <c r="B522" s="10" t="s">
        <v>4</v>
      </c>
      <c r="C522" s="11" t="s">
        <v>5</v>
      </c>
      <c r="D522" s="10" t="s">
        <v>6</v>
      </c>
      <c r="E522" s="10" t="s">
        <v>7</v>
      </c>
      <c r="F522" s="2"/>
      <c r="G522" s="2"/>
      <c r="H522" s="2"/>
      <c r="I522" s="10" t="s">
        <v>6</v>
      </c>
      <c r="J522" s="10" t="s">
        <v>7</v>
      </c>
      <c r="K522" s="10" t="s">
        <v>10</v>
      </c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2">
        <v>1</v>
      </c>
      <c r="B523" s="10" t="s">
        <v>21</v>
      </c>
      <c r="C523" s="11" t="s">
        <v>51</v>
      </c>
      <c r="D523" s="13">
        <v>1500</v>
      </c>
      <c r="E523" s="13">
        <f t="shared" ref="E523:E534" si="105">A523*D523</f>
        <v>1500</v>
      </c>
      <c r="F523" s="2"/>
      <c r="G523" s="2"/>
      <c r="H523" s="2"/>
      <c r="I523" s="13">
        <f>15000/24</f>
        <v>625</v>
      </c>
      <c r="J523" s="13">
        <f t="shared" ref="J523:J534" si="106">I523*A523</f>
        <v>625</v>
      </c>
      <c r="K523" s="13">
        <f t="shared" ref="K523:K534" si="107">E523-J523</f>
        <v>875</v>
      </c>
      <c r="L523" s="14">
        <f t="shared" ref="L523:L534" si="108">K523/E523</f>
        <v>0.58333333333333337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2">
        <v>1</v>
      </c>
      <c r="B524" s="10" t="s">
        <v>17</v>
      </c>
      <c r="C524" s="11" t="s">
        <v>87</v>
      </c>
      <c r="D524" s="13">
        <v>3000</v>
      </c>
      <c r="E524" s="13">
        <f t="shared" si="105"/>
        <v>3000</v>
      </c>
      <c r="F524" s="2"/>
      <c r="G524" s="2"/>
      <c r="H524" s="2"/>
      <c r="I524" s="13">
        <f>27000/17</f>
        <v>1588.2352941176471</v>
      </c>
      <c r="J524" s="13">
        <f t="shared" si="106"/>
        <v>1588.2352941176471</v>
      </c>
      <c r="K524" s="13">
        <f t="shared" si="107"/>
        <v>1411.7647058823529</v>
      </c>
      <c r="L524" s="14">
        <f t="shared" si="108"/>
        <v>0.47058823529411764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2">
        <v>1</v>
      </c>
      <c r="B525" s="10" t="s">
        <v>17</v>
      </c>
      <c r="C525" s="11" t="s">
        <v>99</v>
      </c>
      <c r="D525" s="13">
        <v>1000</v>
      </c>
      <c r="E525" s="13">
        <f t="shared" si="105"/>
        <v>1000</v>
      </c>
      <c r="F525" s="2"/>
      <c r="G525" s="2"/>
      <c r="H525" s="2"/>
      <c r="I525" s="13">
        <v>700</v>
      </c>
      <c r="J525" s="13">
        <f t="shared" si="106"/>
        <v>700</v>
      </c>
      <c r="K525" s="13">
        <f t="shared" si="107"/>
        <v>300</v>
      </c>
      <c r="L525" s="14">
        <f t="shared" si="108"/>
        <v>0.3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2">
        <v>1</v>
      </c>
      <c r="B526" s="10" t="s">
        <v>17</v>
      </c>
      <c r="C526" s="11" t="s">
        <v>129</v>
      </c>
      <c r="D526" s="13">
        <v>1600</v>
      </c>
      <c r="E526" s="13">
        <f t="shared" si="105"/>
        <v>1600</v>
      </c>
      <c r="F526" s="2"/>
      <c r="G526" s="2"/>
      <c r="H526" s="2"/>
      <c r="I526" s="13">
        <v>1100</v>
      </c>
      <c r="J526" s="13">
        <f t="shared" si="106"/>
        <v>1100</v>
      </c>
      <c r="K526" s="13">
        <f t="shared" si="107"/>
        <v>500</v>
      </c>
      <c r="L526" s="14">
        <f t="shared" si="108"/>
        <v>0.3125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2">
        <v>1</v>
      </c>
      <c r="B527" s="10" t="s">
        <v>17</v>
      </c>
      <c r="C527" s="11" t="s">
        <v>56</v>
      </c>
      <c r="D527" s="13">
        <v>1200</v>
      </c>
      <c r="E527" s="13">
        <f t="shared" si="105"/>
        <v>1200</v>
      </c>
      <c r="F527" s="2"/>
      <c r="G527" s="2"/>
      <c r="H527" s="2"/>
      <c r="I527" s="13">
        <f>10000/15</f>
        <v>666.66666666666663</v>
      </c>
      <c r="J527" s="13">
        <f t="shared" si="106"/>
        <v>666.66666666666663</v>
      </c>
      <c r="K527" s="13">
        <f t="shared" si="107"/>
        <v>533.33333333333337</v>
      </c>
      <c r="L527" s="14">
        <f t="shared" si="108"/>
        <v>0.44444444444444448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2">
        <v>1</v>
      </c>
      <c r="B528" s="10" t="s">
        <v>17</v>
      </c>
      <c r="C528" s="11" t="s">
        <v>31</v>
      </c>
      <c r="D528" s="13">
        <v>3000</v>
      </c>
      <c r="E528" s="13">
        <f t="shared" si="105"/>
        <v>3000</v>
      </c>
      <c r="F528" s="2"/>
      <c r="G528" s="2"/>
      <c r="H528" s="2"/>
      <c r="I528" s="13">
        <f>11000/7</f>
        <v>1571.4285714285713</v>
      </c>
      <c r="J528" s="13">
        <f t="shared" si="106"/>
        <v>1571.4285714285713</v>
      </c>
      <c r="K528" s="13">
        <f t="shared" si="107"/>
        <v>1428.5714285714287</v>
      </c>
      <c r="L528" s="14">
        <f t="shared" si="108"/>
        <v>0.47619047619047622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2">
        <v>1</v>
      </c>
      <c r="B529" s="10" t="s">
        <v>17</v>
      </c>
      <c r="C529" s="11" t="s">
        <v>32</v>
      </c>
      <c r="D529" s="13">
        <v>2600</v>
      </c>
      <c r="E529" s="13">
        <f t="shared" si="105"/>
        <v>2600</v>
      </c>
      <c r="F529" s="2"/>
      <c r="G529" s="2"/>
      <c r="H529" s="2"/>
      <c r="I529" s="13">
        <f>12000/7</f>
        <v>1714.2857142857142</v>
      </c>
      <c r="J529" s="13">
        <f t="shared" si="106"/>
        <v>1714.2857142857142</v>
      </c>
      <c r="K529" s="13">
        <f t="shared" si="107"/>
        <v>885.71428571428578</v>
      </c>
      <c r="L529" s="14">
        <f t="shared" si="108"/>
        <v>0.34065934065934067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2">
        <v>1</v>
      </c>
      <c r="B530" s="10" t="s">
        <v>23</v>
      </c>
      <c r="C530" s="11" t="s">
        <v>26</v>
      </c>
      <c r="D530" s="13">
        <v>20000</v>
      </c>
      <c r="E530" s="13">
        <f t="shared" si="105"/>
        <v>20000</v>
      </c>
      <c r="F530" s="2"/>
      <c r="G530" s="2"/>
      <c r="H530" s="2"/>
      <c r="I530" s="13">
        <v>12000</v>
      </c>
      <c r="J530" s="13">
        <f t="shared" si="106"/>
        <v>12000</v>
      </c>
      <c r="K530" s="13">
        <f t="shared" si="107"/>
        <v>8000</v>
      </c>
      <c r="L530" s="14">
        <f t="shared" si="108"/>
        <v>0.4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2">
        <v>1</v>
      </c>
      <c r="B531" s="10" t="s">
        <v>17</v>
      </c>
      <c r="C531" s="11" t="s">
        <v>27</v>
      </c>
      <c r="D531" s="13">
        <v>1800</v>
      </c>
      <c r="E531" s="13">
        <f t="shared" si="105"/>
        <v>1800</v>
      </c>
      <c r="F531" s="2"/>
      <c r="G531" s="2"/>
      <c r="H531" s="2"/>
      <c r="I531" s="13">
        <f>18300/17</f>
        <v>1076.4705882352941</v>
      </c>
      <c r="J531" s="13">
        <f t="shared" si="106"/>
        <v>1076.4705882352941</v>
      </c>
      <c r="K531" s="13">
        <f t="shared" si="107"/>
        <v>723.52941176470586</v>
      </c>
      <c r="L531" s="14">
        <f t="shared" si="108"/>
        <v>0.40196078431372545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2">
        <v>1.5</v>
      </c>
      <c r="B532" s="10" t="s">
        <v>17</v>
      </c>
      <c r="C532" s="11" t="s">
        <v>73</v>
      </c>
      <c r="D532" s="13">
        <v>1600</v>
      </c>
      <c r="E532" s="13">
        <f t="shared" si="105"/>
        <v>2400</v>
      </c>
      <c r="F532" s="2"/>
      <c r="G532" s="2"/>
      <c r="H532" s="2"/>
      <c r="I532" s="13">
        <v>533</v>
      </c>
      <c r="J532" s="13">
        <f t="shared" si="106"/>
        <v>799.5</v>
      </c>
      <c r="K532" s="13">
        <f t="shared" si="107"/>
        <v>1600.5</v>
      </c>
      <c r="L532" s="14">
        <f t="shared" si="108"/>
        <v>0.666875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2">
        <v>0.5</v>
      </c>
      <c r="B533" s="10" t="s">
        <v>17</v>
      </c>
      <c r="C533" s="11" t="s">
        <v>1085</v>
      </c>
      <c r="D533" s="13">
        <v>4000</v>
      </c>
      <c r="E533" s="13">
        <f t="shared" si="105"/>
        <v>2000</v>
      </c>
      <c r="F533" s="2"/>
      <c r="G533" s="2"/>
      <c r="H533" s="2"/>
      <c r="I533" s="13">
        <f>25000/8</f>
        <v>3125</v>
      </c>
      <c r="J533" s="13">
        <f t="shared" si="106"/>
        <v>1562.5</v>
      </c>
      <c r="K533" s="13">
        <f t="shared" si="107"/>
        <v>437.5</v>
      </c>
      <c r="L533" s="14">
        <f t="shared" si="108"/>
        <v>0.21875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2">
        <v>1</v>
      </c>
      <c r="B534" s="10" t="s">
        <v>17</v>
      </c>
      <c r="C534" s="11" t="s">
        <v>61</v>
      </c>
      <c r="D534" s="13">
        <v>2800</v>
      </c>
      <c r="E534" s="13">
        <f t="shared" si="105"/>
        <v>2800</v>
      </c>
      <c r="F534" s="2"/>
      <c r="G534" s="2"/>
      <c r="H534" s="2"/>
      <c r="I534" s="13">
        <f>30000/14</f>
        <v>2142.8571428571427</v>
      </c>
      <c r="J534" s="13">
        <f t="shared" si="106"/>
        <v>2142.8571428571427</v>
      </c>
      <c r="K534" s="13">
        <f t="shared" si="107"/>
        <v>657.14285714285734</v>
      </c>
      <c r="L534" s="14">
        <f t="shared" si="108"/>
        <v>0.23469387755102047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"/>
      <c r="B535" s="2"/>
      <c r="C535" s="4"/>
      <c r="D535" s="2"/>
      <c r="E535" s="2"/>
      <c r="F535" s="2"/>
      <c r="G535" s="4"/>
      <c r="H535" s="2"/>
      <c r="I535" s="2"/>
      <c r="J535" s="2"/>
      <c r="K535" s="2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"/>
      <c r="B536" s="2"/>
      <c r="C536" s="4"/>
      <c r="D536" s="2"/>
      <c r="E536" s="13">
        <f>SUM(E523:E534)</f>
        <v>42900</v>
      </c>
      <c r="F536" s="2"/>
      <c r="G536" s="2"/>
      <c r="H536" s="2"/>
      <c r="I536" s="2"/>
      <c r="J536" s="2"/>
      <c r="K536" s="13">
        <f>SUM(K523:K534)</f>
        <v>17353.056022408968</v>
      </c>
      <c r="L536" s="14">
        <f>K536/E536</f>
        <v>0.40450014038249343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0"/>
      <c r="M537" s="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0"/>
      <c r="M538" s="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0"/>
      <c r="M539" s="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6" t="s">
        <v>108</v>
      </c>
      <c r="B540" s="1"/>
      <c r="C540" s="1"/>
      <c r="D540" s="22" t="s">
        <v>173</v>
      </c>
      <c r="E540" s="8">
        <v>46136</v>
      </c>
      <c r="F540" s="24" t="s">
        <v>37</v>
      </c>
      <c r="G540" s="2"/>
      <c r="H540" s="2"/>
      <c r="I540" s="2"/>
      <c r="J540" s="2"/>
      <c r="K540" s="2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2"/>
      <c r="C541" s="4"/>
      <c r="D541" s="2"/>
      <c r="E541" s="2"/>
      <c r="F541" s="2"/>
      <c r="G541" s="2"/>
      <c r="H541" s="2"/>
      <c r="I541" s="2"/>
      <c r="J541" s="2"/>
      <c r="K541" s="2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6" t="s">
        <v>3</v>
      </c>
      <c r="B542" s="10" t="s">
        <v>4</v>
      </c>
      <c r="C542" s="11" t="s">
        <v>5</v>
      </c>
      <c r="D542" s="10" t="s">
        <v>6</v>
      </c>
      <c r="E542" s="10" t="s">
        <v>7</v>
      </c>
      <c r="F542" s="2"/>
      <c r="G542" s="2"/>
      <c r="H542" s="2"/>
      <c r="I542" s="10" t="s">
        <v>6</v>
      </c>
      <c r="J542" s="10" t="s">
        <v>7</v>
      </c>
      <c r="K542" s="10" t="s">
        <v>10</v>
      </c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2">
        <v>1</v>
      </c>
      <c r="B543" s="10" t="s">
        <v>15</v>
      </c>
      <c r="C543" s="11" t="s">
        <v>56</v>
      </c>
      <c r="D543" s="13">
        <v>14000</v>
      </c>
      <c r="E543" s="13">
        <f t="shared" ref="E543:E555" si="109">A543*D543</f>
        <v>14000</v>
      </c>
      <c r="F543" s="2"/>
      <c r="G543" s="2"/>
      <c r="H543" s="2"/>
      <c r="I543" s="13">
        <v>10000</v>
      </c>
      <c r="J543" s="13">
        <f t="shared" ref="J543:J555" si="110">I543*A543</f>
        <v>10000</v>
      </c>
      <c r="K543" s="13">
        <f t="shared" ref="K543:K555" si="111">E543-J543</f>
        <v>4000</v>
      </c>
      <c r="L543" s="14">
        <f t="shared" ref="L543:L555" si="112">K543/E543</f>
        <v>0.2857142857142857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2">
        <v>5</v>
      </c>
      <c r="B544" s="10" t="s">
        <v>21</v>
      </c>
      <c r="C544" s="11" t="s">
        <v>51</v>
      </c>
      <c r="D544" s="13">
        <v>1500</v>
      </c>
      <c r="E544" s="13">
        <f t="shared" si="109"/>
        <v>7500</v>
      </c>
      <c r="F544" s="2"/>
      <c r="G544" s="2"/>
      <c r="H544" s="2"/>
      <c r="I544" s="13">
        <f>15000/24</f>
        <v>625</v>
      </c>
      <c r="J544" s="13">
        <f t="shared" si="110"/>
        <v>3125</v>
      </c>
      <c r="K544" s="13">
        <f t="shared" si="111"/>
        <v>4375</v>
      </c>
      <c r="L544" s="14">
        <f t="shared" si="112"/>
        <v>0.58333333333333337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2">
        <v>1</v>
      </c>
      <c r="B545" s="10" t="s">
        <v>23</v>
      </c>
      <c r="C545" s="11" t="s">
        <v>31</v>
      </c>
      <c r="D545" s="13">
        <v>16000</v>
      </c>
      <c r="E545" s="13">
        <f t="shared" si="109"/>
        <v>16000</v>
      </c>
      <c r="F545" s="2"/>
      <c r="G545" s="2"/>
      <c r="H545" s="2"/>
      <c r="I545" s="13">
        <v>11000</v>
      </c>
      <c r="J545" s="13">
        <f t="shared" si="110"/>
        <v>11000</v>
      </c>
      <c r="K545" s="13">
        <f t="shared" si="111"/>
        <v>5000</v>
      </c>
      <c r="L545" s="14">
        <f t="shared" si="112"/>
        <v>0.3125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2">
        <v>1</v>
      </c>
      <c r="B546" s="10" t="s">
        <v>23</v>
      </c>
      <c r="C546" s="11" t="s">
        <v>39</v>
      </c>
      <c r="D546" s="13">
        <v>25000</v>
      </c>
      <c r="E546" s="13">
        <f t="shared" si="109"/>
        <v>25000</v>
      </c>
      <c r="F546" s="2"/>
      <c r="G546" s="2"/>
      <c r="H546" s="2"/>
      <c r="I546" s="13">
        <v>18500</v>
      </c>
      <c r="J546" s="13">
        <f t="shared" si="110"/>
        <v>18500</v>
      </c>
      <c r="K546" s="13">
        <f t="shared" si="111"/>
        <v>6500</v>
      </c>
      <c r="L546" s="14">
        <f t="shared" si="112"/>
        <v>0.26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2">
        <v>2</v>
      </c>
      <c r="B547" s="10" t="s">
        <v>17</v>
      </c>
      <c r="C547" s="11" t="s">
        <v>30</v>
      </c>
      <c r="D547" s="13">
        <v>2500</v>
      </c>
      <c r="E547" s="13">
        <f t="shared" si="109"/>
        <v>5000</v>
      </c>
      <c r="F547" s="2"/>
      <c r="G547" s="2"/>
      <c r="H547" s="2"/>
      <c r="I547" s="13">
        <f>20000/14</f>
        <v>1428.5714285714287</v>
      </c>
      <c r="J547" s="13">
        <f t="shared" si="110"/>
        <v>2857.1428571428573</v>
      </c>
      <c r="K547" s="13">
        <f t="shared" si="111"/>
        <v>2142.8571428571427</v>
      </c>
      <c r="L547" s="14">
        <f t="shared" si="112"/>
        <v>0.42857142857142855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2">
        <v>3</v>
      </c>
      <c r="B548" s="10" t="s">
        <v>21</v>
      </c>
      <c r="C548" s="11" t="s">
        <v>133</v>
      </c>
      <c r="D548" s="13">
        <v>3000</v>
      </c>
      <c r="E548" s="13">
        <f t="shared" si="109"/>
        <v>9000</v>
      </c>
      <c r="F548" s="2"/>
      <c r="G548" s="2"/>
      <c r="H548" s="2"/>
      <c r="I548" s="13">
        <v>625</v>
      </c>
      <c r="J548" s="13">
        <f t="shared" si="110"/>
        <v>1875</v>
      </c>
      <c r="K548" s="13">
        <f t="shared" si="111"/>
        <v>7125</v>
      </c>
      <c r="L548" s="14">
        <f t="shared" si="112"/>
        <v>0.79166666666666663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2">
        <v>1.5</v>
      </c>
      <c r="B549" s="10" t="s">
        <v>86</v>
      </c>
      <c r="C549" s="11" t="s">
        <v>65</v>
      </c>
      <c r="D549" s="13">
        <v>40000</v>
      </c>
      <c r="E549" s="13">
        <f t="shared" si="109"/>
        <v>60000</v>
      </c>
      <c r="F549" s="2"/>
      <c r="G549" s="2"/>
      <c r="H549" s="2"/>
      <c r="I549" s="13">
        <v>12000</v>
      </c>
      <c r="J549" s="13">
        <f t="shared" si="110"/>
        <v>18000</v>
      </c>
      <c r="K549" s="13">
        <f t="shared" si="111"/>
        <v>42000</v>
      </c>
      <c r="L549" s="14">
        <f t="shared" si="112"/>
        <v>0.7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2">
        <v>2</v>
      </c>
      <c r="B550" s="10" t="s">
        <v>21</v>
      </c>
      <c r="C550" s="11" t="s">
        <v>112</v>
      </c>
      <c r="D550" s="13">
        <v>3000</v>
      </c>
      <c r="E550" s="13">
        <f t="shared" si="109"/>
        <v>6000</v>
      </c>
      <c r="F550" s="2"/>
      <c r="G550" s="2"/>
      <c r="H550" s="2"/>
      <c r="I550" s="13">
        <v>2000</v>
      </c>
      <c r="J550" s="13">
        <f t="shared" si="110"/>
        <v>4000</v>
      </c>
      <c r="K550" s="13">
        <f t="shared" si="111"/>
        <v>2000</v>
      </c>
      <c r="L550" s="14">
        <f t="shared" si="112"/>
        <v>0.33333333333333331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2">
        <v>2</v>
      </c>
      <c r="B551" s="10" t="s">
        <v>21</v>
      </c>
      <c r="C551" s="11" t="s">
        <v>42</v>
      </c>
      <c r="D551" s="13">
        <v>4000</v>
      </c>
      <c r="E551" s="13">
        <f t="shared" si="109"/>
        <v>8000</v>
      </c>
      <c r="F551" s="2"/>
      <c r="G551" s="2"/>
      <c r="H551" s="2"/>
      <c r="I551" s="13">
        <f>25000/14</f>
        <v>1785.7142857142858</v>
      </c>
      <c r="J551" s="13">
        <f t="shared" si="110"/>
        <v>3571.4285714285716</v>
      </c>
      <c r="K551" s="13">
        <f t="shared" si="111"/>
        <v>4428.5714285714284</v>
      </c>
      <c r="L551" s="14">
        <f t="shared" si="112"/>
        <v>0.5535714285714286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2">
        <v>2</v>
      </c>
      <c r="B552" s="10" t="s">
        <v>21</v>
      </c>
      <c r="C552" s="11" t="s">
        <v>29</v>
      </c>
      <c r="D552" s="13">
        <v>3000</v>
      </c>
      <c r="E552" s="13">
        <f t="shared" si="109"/>
        <v>6000</v>
      </c>
      <c r="F552" s="2"/>
      <c r="G552" s="2"/>
      <c r="H552" s="2"/>
      <c r="I552" s="13">
        <v>1200</v>
      </c>
      <c r="J552" s="13">
        <f t="shared" si="110"/>
        <v>2400</v>
      </c>
      <c r="K552" s="13">
        <f t="shared" si="111"/>
        <v>3600</v>
      </c>
      <c r="L552" s="14">
        <f t="shared" si="112"/>
        <v>0.6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2">
        <v>1</v>
      </c>
      <c r="B553" s="10" t="s">
        <v>15</v>
      </c>
      <c r="C553" s="11" t="s">
        <v>129</v>
      </c>
      <c r="D553" s="13">
        <v>16000</v>
      </c>
      <c r="E553" s="13">
        <f t="shared" si="109"/>
        <v>16000</v>
      </c>
      <c r="F553" s="2"/>
      <c r="G553" s="2"/>
      <c r="H553" s="2"/>
      <c r="I553" s="13">
        <v>11000</v>
      </c>
      <c r="J553" s="13">
        <f t="shared" si="110"/>
        <v>11000</v>
      </c>
      <c r="K553" s="13">
        <f t="shared" si="111"/>
        <v>5000</v>
      </c>
      <c r="L553" s="14">
        <f t="shared" si="112"/>
        <v>0.3125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2">
        <v>1</v>
      </c>
      <c r="B554" s="10" t="s">
        <v>15</v>
      </c>
      <c r="C554" s="11" t="s">
        <v>77</v>
      </c>
      <c r="D554" s="13">
        <v>29000</v>
      </c>
      <c r="E554" s="13">
        <f t="shared" si="109"/>
        <v>29000</v>
      </c>
      <c r="F554" s="2"/>
      <c r="G554" s="2"/>
      <c r="H554" s="2"/>
      <c r="I554" s="13">
        <v>24000</v>
      </c>
      <c r="J554" s="13">
        <f t="shared" si="110"/>
        <v>24000</v>
      </c>
      <c r="K554" s="13">
        <f t="shared" si="111"/>
        <v>5000</v>
      </c>
      <c r="L554" s="14">
        <f t="shared" si="112"/>
        <v>0.17241379310344829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2">
        <v>1</v>
      </c>
      <c r="B555" s="10" t="s">
        <v>23</v>
      </c>
      <c r="C555" s="11" t="s">
        <v>110</v>
      </c>
      <c r="D555" s="13">
        <v>11000</v>
      </c>
      <c r="E555" s="13">
        <f t="shared" si="109"/>
        <v>11000</v>
      </c>
      <c r="F555" s="2"/>
      <c r="G555" s="2"/>
      <c r="H555" s="2"/>
      <c r="I555" s="13">
        <v>9000</v>
      </c>
      <c r="J555" s="13">
        <f t="shared" si="110"/>
        <v>9000</v>
      </c>
      <c r="K555" s="13">
        <f t="shared" si="111"/>
        <v>2000</v>
      </c>
      <c r="L555" s="14">
        <f t="shared" si="112"/>
        <v>0.18181818181818182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"/>
      <c r="B556" s="2"/>
      <c r="C556" s="4"/>
      <c r="D556" s="2"/>
      <c r="E556" s="2"/>
      <c r="F556" s="2"/>
      <c r="G556" s="4"/>
      <c r="H556" s="2"/>
      <c r="I556" s="2"/>
      <c r="J556" s="2"/>
      <c r="K556" s="2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"/>
      <c r="B557" s="2"/>
      <c r="C557" s="4"/>
      <c r="D557" s="2"/>
      <c r="E557" s="13">
        <f>SUM(E543:E555)</f>
        <v>212500</v>
      </c>
      <c r="F557" s="2"/>
      <c r="G557" s="2"/>
      <c r="H557" s="2"/>
      <c r="I557" s="2"/>
      <c r="J557" s="2"/>
      <c r="K557" s="13">
        <f>SUM(K543:K555)</f>
        <v>93171.42857142858</v>
      </c>
      <c r="L557" s="14">
        <f>K557/E557</f>
        <v>0.43845378151260506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0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0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88" t="s">
        <v>68</v>
      </c>
      <c r="B560" s="89"/>
      <c r="C560" s="89"/>
      <c r="D560" s="2"/>
      <c r="E560" s="7" t="s">
        <v>1088</v>
      </c>
      <c r="F560" s="8">
        <v>46136</v>
      </c>
      <c r="G560" s="2"/>
      <c r="H560" s="2"/>
      <c r="I560" s="91" t="s">
        <v>2</v>
      </c>
      <c r="J560" s="89"/>
      <c r="K560" s="89"/>
      <c r="L560" s="3"/>
      <c r="M560" s="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3"/>
      <c r="M561" s="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6" t="s">
        <v>3</v>
      </c>
      <c r="B562" s="10" t="s">
        <v>4</v>
      </c>
      <c r="C562" s="11" t="s">
        <v>5</v>
      </c>
      <c r="D562" s="10" t="s">
        <v>6</v>
      </c>
      <c r="E562" s="10" t="s">
        <v>7</v>
      </c>
      <c r="F562" s="10" t="s">
        <v>8</v>
      </c>
      <c r="G562" s="2"/>
      <c r="H562" s="2"/>
      <c r="I562" s="10" t="s">
        <v>9</v>
      </c>
      <c r="J562" s="10" t="s">
        <v>7</v>
      </c>
      <c r="K562" s="10" t="s">
        <v>10</v>
      </c>
      <c r="L562" s="3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2">
        <v>3</v>
      </c>
      <c r="B563" s="10" t="s">
        <v>15</v>
      </c>
      <c r="C563" s="11" t="s">
        <v>27</v>
      </c>
      <c r="D563" s="13">
        <v>25000</v>
      </c>
      <c r="E563" s="13">
        <f t="shared" ref="E563:E593" si="113">A563*D563</f>
        <v>75000</v>
      </c>
      <c r="F563" s="13">
        <f t="shared" ref="F563:F584" si="114">E563*1.105</f>
        <v>82875</v>
      </c>
      <c r="G563" s="2"/>
      <c r="H563" s="2"/>
      <c r="I563" s="13">
        <v>18300</v>
      </c>
      <c r="J563" s="13">
        <f t="shared" ref="J563:J593" si="115">I563*A563</f>
        <v>54900</v>
      </c>
      <c r="K563" s="13">
        <f t="shared" ref="K563:K593" si="116">F563-J563</f>
        <v>27975</v>
      </c>
      <c r="L563" s="14">
        <f t="shared" ref="L563:L593" si="117">IFERROR(K563/E563, 0)</f>
        <v>0.373</v>
      </c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2">
        <v>1</v>
      </c>
      <c r="B564" s="10" t="s">
        <v>15</v>
      </c>
      <c r="C564" s="11" t="s">
        <v>16</v>
      </c>
      <c r="D564" s="13">
        <v>13000</v>
      </c>
      <c r="E564" s="13">
        <f t="shared" si="113"/>
        <v>13000</v>
      </c>
      <c r="F564" s="13">
        <f t="shared" si="114"/>
        <v>14365</v>
      </c>
      <c r="G564" s="2"/>
      <c r="H564" s="2"/>
      <c r="I564" s="13">
        <v>8000</v>
      </c>
      <c r="J564" s="13">
        <f t="shared" si="115"/>
        <v>8000</v>
      </c>
      <c r="K564" s="13">
        <f t="shared" si="116"/>
        <v>6365</v>
      </c>
      <c r="L564" s="14">
        <f t="shared" si="117"/>
        <v>0.48961538461538462</v>
      </c>
      <c r="M564" s="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2">
        <v>1</v>
      </c>
      <c r="B565" s="10" t="s">
        <v>15</v>
      </c>
      <c r="C565" s="11" t="s">
        <v>40</v>
      </c>
      <c r="D565" s="13">
        <v>12000</v>
      </c>
      <c r="E565" s="13">
        <f t="shared" si="113"/>
        <v>12000</v>
      </c>
      <c r="F565" s="13">
        <f t="shared" si="114"/>
        <v>13260</v>
      </c>
      <c r="G565" s="2"/>
      <c r="H565" s="2"/>
      <c r="I565" s="13">
        <v>8000</v>
      </c>
      <c r="J565" s="13">
        <f t="shared" si="115"/>
        <v>8000</v>
      </c>
      <c r="K565" s="13">
        <f t="shared" si="116"/>
        <v>5260</v>
      </c>
      <c r="L565" s="14">
        <f t="shared" si="117"/>
        <v>0.43833333333333335</v>
      </c>
      <c r="M565" s="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2">
        <v>1</v>
      </c>
      <c r="B566" s="10" t="s">
        <v>15</v>
      </c>
      <c r="C566" s="11" t="s">
        <v>129</v>
      </c>
      <c r="D566" s="13">
        <v>16000</v>
      </c>
      <c r="E566" s="13">
        <f t="shared" si="113"/>
        <v>16000</v>
      </c>
      <c r="F566" s="13">
        <f t="shared" si="114"/>
        <v>17680</v>
      </c>
      <c r="G566" s="2"/>
      <c r="H566" s="2"/>
      <c r="I566" s="13">
        <v>11000</v>
      </c>
      <c r="J566" s="13">
        <f t="shared" si="115"/>
        <v>11000</v>
      </c>
      <c r="K566" s="13">
        <f t="shared" si="116"/>
        <v>6680</v>
      </c>
      <c r="L566" s="14">
        <f t="shared" si="117"/>
        <v>0.41749999999999998</v>
      </c>
      <c r="M566" s="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2">
        <v>3</v>
      </c>
      <c r="B567" s="10" t="s">
        <v>17</v>
      </c>
      <c r="C567" s="11" t="s">
        <v>31</v>
      </c>
      <c r="D567" s="13">
        <v>2800</v>
      </c>
      <c r="E567" s="13">
        <f t="shared" si="113"/>
        <v>8400</v>
      </c>
      <c r="F567" s="13">
        <f t="shared" si="114"/>
        <v>9282</v>
      </c>
      <c r="G567" s="2"/>
      <c r="H567" s="2"/>
      <c r="I567" s="13">
        <f>11000/7</f>
        <v>1571.4285714285713</v>
      </c>
      <c r="J567" s="13">
        <f t="shared" si="115"/>
        <v>4714.2857142857138</v>
      </c>
      <c r="K567" s="13">
        <f t="shared" si="116"/>
        <v>4567.7142857142862</v>
      </c>
      <c r="L567" s="14">
        <f t="shared" si="117"/>
        <v>0.54377551020408166</v>
      </c>
      <c r="M567" s="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2">
        <v>2</v>
      </c>
      <c r="B568" s="10" t="s">
        <v>17</v>
      </c>
      <c r="C568" s="34" t="s">
        <v>32</v>
      </c>
      <c r="D568" s="13">
        <v>2400</v>
      </c>
      <c r="E568" s="13">
        <f t="shared" si="113"/>
        <v>4800</v>
      </c>
      <c r="F568" s="13">
        <f t="shared" si="114"/>
        <v>5304</v>
      </c>
      <c r="G568" s="2"/>
      <c r="H568" s="2"/>
      <c r="I568" s="13">
        <f>12000/7</f>
        <v>1714.2857142857142</v>
      </c>
      <c r="J568" s="13">
        <f t="shared" si="115"/>
        <v>3428.5714285714284</v>
      </c>
      <c r="K568" s="13">
        <f t="shared" si="116"/>
        <v>1875.4285714285716</v>
      </c>
      <c r="L568" s="14">
        <f t="shared" si="117"/>
        <v>0.39071428571428574</v>
      </c>
      <c r="M568" s="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2">
        <v>2</v>
      </c>
      <c r="B569" s="10" t="s">
        <v>17</v>
      </c>
      <c r="C569" s="11" t="s">
        <v>33</v>
      </c>
      <c r="D569" s="13">
        <v>3000</v>
      </c>
      <c r="E569" s="13">
        <f t="shared" si="113"/>
        <v>6000</v>
      </c>
      <c r="F569" s="13">
        <f t="shared" si="114"/>
        <v>6630</v>
      </c>
      <c r="G569" s="2"/>
      <c r="H569" s="2"/>
      <c r="I569" s="13">
        <f>15000/7</f>
        <v>2142.8571428571427</v>
      </c>
      <c r="J569" s="13">
        <f t="shared" si="115"/>
        <v>4285.7142857142853</v>
      </c>
      <c r="K569" s="13">
        <f t="shared" si="116"/>
        <v>2344.2857142857147</v>
      </c>
      <c r="L569" s="14">
        <f t="shared" si="117"/>
        <v>0.39071428571428579</v>
      </c>
      <c r="M569" s="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2">
        <v>3</v>
      </c>
      <c r="B570" s="10" t="s">
        <v>17</v>
      </c>
      <c r="C570" s="11" t="s">
        <v>56</v>
      </c>
      <c r="D570" s="13">
        <v>1200</v>
      </c>
      <c r="E570" s="13">
        <f t="shared" si="113"/>
        <v>3600</v>
      </c>
      <c r="F570" s="13">
        <f t="shared" si="114"/>
        <v>3978</v>
      </c>
      <c r="G570" s="2"/>
      <c r="H570" s="2"/>
      <c r="I570" s="13">
        <f>10000/15</f>
        <v>666.66666666666663</v>
      </c>
      <c r="J570" s="13">
        <f t="shared" si="115"/>
        <v>2000</v>
      </c>
      <c r="K570" s="13">
        <f t="shared" si="116"/>
        <v>1978</v>
      </c>
      <c r="L570" s="14">
        <f t="shared" si="117"/>
        <v>0.5494444444444444</v>
      </c>
      <c r="M570" s="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2">
        <v>2</v>
      </c>
      <c r="B571" s="10" t="s">
        <v>17</v>
      </c>
      <c r="C571" s="11" t="s">
        <v>18</v>
      </c>
      <c r="D571" s="13">
        <v>1600</v>
      </c>
      <c r="E571" s="13">
        <f t="shared" si="113"/>
        <v>3200</v>
      </c>
      <c r="F571" s="13">
        <f t="shared" si="114"/>
        <v>3536</v>
      </c>
      <c r="G571" s="2"/>
      <c r="H571" s="2"/>
      <c r="I571" s="13">
        <v>1000</v>
      </c>
      <c r="J571" s="13">
        <f t="shared" si="115"/>
        <v>2000</v>
      </c>
      <c r="K571" s="13">
        <f t="shared" si="116"/>
        <v>1536</v>
      </c>
      <c r="L571" s="14">
        <f t="shared" si="117"/>
        <v>0.48</v>
      </c>
      <c r="M571" s="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2">
        <v>3</v>
      </c>
      <c r="B572" s="10" t="s">
        <v>100</v>
      </c>
      <c r="C572" s="11" t="s">
        <v>55</v>
      </c>
      <c r="D572" s="13">
        <v>5000</v>
      </c>
      <c r="E572" s="13">
        <f t="shared" si="113"/>
        <v>15000</v>
      </c>
      <c r="F572" s="13">
        <f t="shared" si="114"/>
        <v>16575</v>
      </c>
      <c r="G572" s="2"/>
      <c r="H572" s="2"/>
      <c r="I572" s="13">
        <v>4000</v>
      </c>
      <c r="J572" s="13">
        <f t="shared" si="115"/>
        <v>12000</v>
      </c>
      <c r="K572" s="13">
        <f t="shared" si="116"/>
        <v>4575</v>
      </c>
      <c r="L572" s="14">
        <f t="shared" si="117"/>
        <v>0.30499999999999999</v>
      </c>
      <c r="M572" s="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2">
        <v>12</v>
      </c>
      <c r="B573" s="10" t="s">
        <v>21</v>
      </c>
      <c r="C573" s="11" t="s">
        <v>22</v>
      </c>
      <c r="D573" s="13">
        <v>1500</v>
      </c>
      <c r="E573" s="13">
        <f t="shared" si="113"/>
        <v>18000</v>
      </c>
      <c r="F573" s="13">
        <f t="shared" si="114"/>
        <v>19890</v>
      </c>
      <c r="G573" s="2"/>
      <c r="H573" s="2"/>
      <c r="I573" s="13">
        <v>1000</v>
      </c>
      <c r="J573" s="13">
        <f t="shared" si="115"/>
        <v>12000</v>
      </c>
      <c r="K573" s="13">
        <f t="shared" si="116"/>
        <v>7890</v>
      </c>
      <c r="L573" s="14">
        <f t="shared" si="117"/>
        <v>0.43833333333333335</v>
      </c>
      <c r="M573" s="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2">
        <v>1</v>
      </c>
      <c r="B574" s="10" t="s">
        <v>21</v>
      </c>
      <c r="C574" s="11" t="s">
        <v>64</v>
      </c>
      <c r="D574" s="13">
        <v>2500</v>
      </c>
      <c r="E574" s="13">
        <f t="shared" si="113"/>
        <v>2500</v>
      </c>
      <c r="F574" s="13">
        <f t="shared" si="114"/>
        <v>2762.5</v>
      </c>
      <c r="G574" s="2"/>
      <c r="H574" s="2"/>
      <c r="I574" s="13">
        <v>1000</v>
      </c>
      <c r="J574" s="13">
        <f t="shared" si="115"/>
        <v>1000</v>
      </c>
      <c r="K574" s="13">
        <f t="shared" si="116"/>
        <v>1762.5</v>
      </c>
      <c r="L574" s="14">
        <f t="shared" si="117"/>
        <v>0.70499999999999996</v>
      </c>
      <c r="M574" s="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2">
        <v>1</v>
      </c>
      <c r="B575" s="10" t="s">
        <v>21</v>
      </c>
      <c r="C575" s="11" t="s">
        <v>42</v>
      </c>
      <c r="D575" s="13">
        <v>4500</v>
      </c>
      <c r="E575" s="13">
        <f t="shared" si="113"/>
        <v>4500</v>
      </c>
      <c r="F575" s="13">
        <f t="shared" si="114"/>
        <v>4972.5</v>
      </c>
      <c r="G575" s="2"/>
      <c r="H575" s="13"/>
      <c r="I575" s="13">
        <f t="shared" ref="I575:I576" si="118">25000/14</f>
        <v>1785.7142857142858</v>
      </c>
      <c r="J575" s="13">
        <f t="shared" si="115"/>
        <v>1785.7142857142858</v>
      </c>
      <c r="K575" s="13">
        <f t="shared" si="116"/>
        <v>3186.7857142857142</v>
      </c>
      <c r="L575" s="14">
        <f t="shared" si="117"/>
        <v>0.70817460317460312</v>
      </c>
      <c r="M575" s="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2">
        <v>2</v>
      </c>
      <c r="B576" s="10" t="s">
        <v>17</v>
      </c>
      <c r="C576" s="11" t="s">
        <v>82</v>
      </c>
      <c r="D576" s="13">
        <v>2200</v>
      </c>
      <c r="E576" s="13">
        <f t="shared" si="113"/>
        <v>4400</v>
      </c>
      <c r="F576" s="13">
        <f t="shared" si="114"/>
        <v>4862</v>
      </c>
      <c r="G576" s="2"/>
      <c r="H576" s="2"/>
      <c r="I576" s="13">
        <f t="shared" si="118"/>
        <v>1785.7142857142858</v>
      </c>
      <c r="J576" s="13">
        <f t="shared" si="115"/>
        <v>3571.4285714285716</v>
      </c>
      <c r="K576" s="13">
        <f t="shared" si="116"/>
        <v>1290.5714285714284</v>
      </c>
      <c r="L576" s="14">
        <f t="shared" si="117"/>
        <v>0.2933116883116883</v>
      </c>
      <c r="M576" s="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2">
        <v>2</v>
      </c>
      <c r="B577" s="10" t="s">
        <v>17</v>
      </c>
      <c r="C577" s="11" t="s">
        <v>43</v>
      </c>
      <c r="D577" s="13">
        <v>4500</v>
      </c>
      <c r="E577" s="13">
        <f t="shared" si="113"/>
        <v>9000</v>
      </c>
      <c r="F577" s="13">
        <f t="shared" si="114"/>
        <v>9945</v>
      </c>
      <c r="G577" s="2"/>
      <c r="H577" s="2"/>
      <c r="I577" s="13">
        <f>13000/4</f>
        <v>3250</v>
      </c>
      <c r="J577" s="13">
        <f t="shared" si="115"/>
        <v>6500</v>
      </c>
      <c r="K577" s="13">
        <f t="shared" si="116"/>
        <v>3445</v>
      </c>
      <c r="L577" s="14">
        <f t="shared" si="117"/>
        <v>0.38277777777777777</v>
      </c>
      <c r="M577" s="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2">
        <v>10</v>
      </c>
      <c r="B578" s="10" t="s">
        <v>17</v>
      </c>
      <c r="C578" s="11" t="s">
        <v>39</v>
      </c>
      <c r="D578" s="13">
        <v>1700</v>
      </c>
      <c r="E578" s="13">
        <f t="shared" si="113"/>
        <v>17000</v>
      </c>
      <c r="F578" s="13">
        <f t="shared" si="114"/>
        <v>18785</v>
      </c>
      <c r="G578" s="2"/>
      <c r="H578" s="2"/>
      <c r="I578" s="13">
        <f>18500/15</f>
        <v>1233.3333333333333</v>
      </c>
      <c r="J578" s="13">
        <f t="shared" si="115"/>
        <v>12333.333333333332</v>
      </c>
      <c r="K578" s="13">
        <f t="shared" si="116"/>
        <v>6451.6666666666679</v>
      </c>
      <c r="L578" s="14">
        <f t="shared" si="117"/>
        <v>0.37950980392156869</v>
      </c>
      <c r="M578" s="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2">
        <v>15</v>
      </c>
      <c r="B579" s="10" t="s">
        <v>21</v>
      </c>
      <c r="C579" s="11" t="s">
        <v>46</v>
      </c>
      <c r="D579" s="13">
        <v>600</v>
      </c>
      <c r="E579" s="13">
        <f t="shared" si="113"/>
        <v>9000</v>
      </c>
      <c r="F579" s="13">
        <f t="shared" si="114"/>
        <v>9945</v>
      </c>
      <c r="G579" s="2"/>
      <c r="H579" s="2"/>
      <c r="I579" s="13">
        <f>7000/24</f>
        <v>291.66666666666669</v>
      </c>
      <c r="J579" s="13">
        <f t="shared" si="115"/>
        <v>4375</v>
      </c>
      <c r="K579" s="13">
        <f t="shared" si="116"/>
        <v>5570</v>
      </c>
      <c r="L579" s="14">
        <f t="shared" si="117"/>
        <v>0.61888888888888893</v>
      </c>
      <c r="M579" s="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2">
        <v>1</v>
      </c>
      <c r="B580" s="10" t="s">
        <v>17</v>
      </c>
      <c r="C580" s="11" t="s">
        <v>93</v>
      </c>
      <c r="D580" s="13">
        <v>3000</v>
      </c>
      <c r="E580" s="13">
        <f t="shared" si="113"/>
        <v>3000</v>
      </c>
      <c r="F580" s="13">
        <f t="shared" si="114"/>
        <v>3315</v>
      </c>
      <c r="G580" s="2"/>
      <c r="H580" s="2"/>
      <c r="I580" s="13">
        <f>10000/7</f>
        <v>1428.5714285714287</v>
      </c>
      <c r="J580" s="13">
        <f t="shared" si="115"/>
        <v>1428.5714285714287</v>
      </c>
      <c r="K580" s="13">
        <f t="shared" si="116"/>
        <v>1886.4285714285713</v>
      </c>
      <c r="L580" s="14">
        <f t="shared" si="117"/>
        <v>0.62880952380952382</v>
      </c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2">
        <v>3</v>
      </c>
      <c r="B581" s="10" t="s">
        <v>4</v>
      </c>
      <c r="C581" s="11" t="s">
        <v>65</v>
      </c>
      <c r="D581" s="13">
        <v>800</v>
      </c>
      <c r="E581" s="13">
        <f t="shared" si="113"/>
        <v>2400</v>
      </c>
      <c r="F581" s="13">
        <f t="shared" si="114"/>
        <v>2652</v>
      </c>
      <c r="G581" s="2"/>
      <c r="H581" s="2"/>
      <c r="I581" s="13">
        <f>12000/50</f>
        <v>240</v>
      </c>
      <c r="J581" s="13">
        <f t="shared" si="115"/>
        <v>720</v>
      </c>
      <c r="K581" s="13">
        <f t="shared" si="116"/>
        <v>1932</v>
      </c>
      <c r="L581" s="14">
        <f t="shared" si="117"/>
        <v>0.80500000000000005</v>
      </c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2">
        <v>1</v>
      </c>
      <c r="B582" s="10" t="s">
        <v>17</v>
      </c>
      <c r="C582" s="11" t="s">
        <v>30</v>
      </c>
      <c r="D582" s="13">
        <v>2600</v>
      </c>
      <c r="E582" s="13">
        <f t="shared" si="113"/>
        <v>2600</v>
      </c>
      <c r="F582" s="13">
        <f t="shared" si="114"/>
        <v>2873</v>
      </c>
      <c r="G582" s="2"/>
      <c r="H582" s="2"/>
      <c r="I582" s="13">
        <f>20000/14</f>
        <v>1428.5714285714287</v>
      </c>
      <c r="J582" s="13">
        <f t="shared" si="115"/>
        <v>1428.5714285714287</v>
      </c>
      <c r="K582" s="13">
        <f t="shared" si="116"/>
        <v>1444.4285714285713</v>
      </c>
      <c r="L582" s="14">
        <f t="shared" si="117"/>
        <v>0.55554945054945049</v>
      </c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2">
        <v>1</v>
      </c>
      <c r="B583" s="10" t="s">
        <v>17</v>
      </c>
      <c r="C583" s="11" t="s">
        <v>61</v>
      </c>
      <c r="D583" s="13">
        <v>2800</v>
      </c>
      <c r="E583" s="13">
        <f t="shared" si="113"/>
        <v>2800</v>
      </c>
      <c r="F583" s="13">
        <f t="shared" si="114"/>
        <v>3094</v>
      </c>
      <c r="G583" s="2"/>
      <c r="H583" s="2"/>
      <c r="I583" s="13">
        <f>30000/14</f>
        <v>2142.8571428571427</v>
      </c>
      <c r="J583" s="13">
        <f t="shared" si="115"/>
        <v>2142.8571428571427</v>
      </c>
      <c r="K583" s="13">
        <f t="shared" si="116"/>
        <v>951.14285714285734</v>
      </c>
      <c r="L583" s="14">
        <f t="shared" si="117"/>
        <v>0.33969387755102048</v>
      </c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2">
        <v>1</v>
      </c>
      <c r="B584" s="10" t="s">
        <v>21</v>
      </c>
      <c r="C584" s="11" t="s">
        <v>29</v>
      </c>
      <c r="D584" s="13">
        <v>3000</v>
      </c>
      <c r="E584" s="13">
        <f t="shared" si="113"/>
        <v>3000</v>
      </c>
      <c r="F584" s="13">
        <f t="shared" si="114"/>
        <v>3315</v>
      </c>
      <c r="G584" s="2"/>
      <c r="H584" s="2"/>
      <c r="I584" s="13">
        <v>1200</v>
      </c>
      <c r="J584" s="13">
        <f t="shared" si="115"/>
        <v>1200</v>
      </c>
      <c r="K584" s="13">
        <f t="shared" si="116"/>
        <v>2115</v>
      </c>
      <c r="L584" s="14">
        <f t="shared" si="117"/>
        <v>0.70499999999999996</v>
      </c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2">
        <v>0.5</v>
      </c>
      <c r="B585" s="10" t="s">
        <v>23</v>
      </c>
      <c r="C585" s="34" t="s">
        <v>12</v>
      </c>
      <c r="D585" s="13">
        <v>54000</v>
      </c>
      <c r="E585" s="13">
        <f t="shared" si="113"/>
        <v>27000</v>
      </c>
      <c r="F585" s="13">
        <f>E585*1.21</f>
        <v>32670</v>
      </c>
      <c r="G585" s="2"/>
      <c r="H585" s="2"/>
      <c r="I585" s="13">
        <v>54000</v>
      </c>
      <c r="J585" s="13">
        <f t="shared" si="115"/>
        <v>27000</v>
      </c>
      <c r="K585" s="13">
        <f t="shared" si="116"/>
        <v>5670</v>
      </c>
      <c r="L585" s="14">
        <f t="shared" si="117"/>
        <v>0.21</v>
      </c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2">
        <v>1.5</v>
      </c>
      <c r="B586" s="10" t="s">
        <v>23</v>
      </c>
      <c r="C586" s="11" t="s">
        <v>26</v>
      </c>
      <c r="D586" s="13">
        <v>19000</v>
      </c>
      <c r="E586" s="13">
        <f t="shared" si="113"/>
        <v>28500</v>
      </c>
      <c r="F586" s="13">
        <f t="shared" ref="F586:F593" si="119">E586*1.105</f>
        <v>31492.5</v>
      </c>
      <c r="G586" s="2"/>
      <c r="H586" s="2"/>
      <c r="I586" s="13">
        <v>12000</v>
      </c>
      <c r="J586" s="13">
        <f t="shared" si="115"/>
        <v>18000</v>
      </c>
      <c r="K586" s="13">
        <f t="shared" si="116"/>
        <v>13492.5</v>
      </c>
      <c r="L586" s="14">
        <f t="shared" si="117"/>
        <v>0.47342105263157896</v>
      </c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2">
        <v>1</v>
      </c>
      <c r="B587" s="10" t="s">
        <v>23</v>
      </c>
      <c r="C587" s="11" t="s">
        <v>25</v>
      </c>
      <c r="D587" s="13">
        <v>72000</v>
      </c>
      <c r="E587" s="13">
        <f t="shared" si="113"/>
        <v>72000</v>
      </c>
      <c r="F587" s="13">
        <f t="shared" si="119"/>
        <v>79560</v>
      </c>
      <c r="G587" s="13"/>
      <c r="H587" s="2"/>
      <c r="I587" s="13">
        <v>62000</v>
      </c>
      <c r="J587" s="13">
        <f t="shared" si="115"/>
        <v>62000</v>
      </c>
      <c r="K587" s="13">
        <f t="shared" si="116"/>
        <v>17560</v>
      </c>
      <c r="L587" s="14">
        <f t="shared" si="117"/>
        <v>0.24388888888888888</v>
      </c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2">
        <v>1</v>
      </c>
      <c r="B588" s="10" t="s">
        <v>17</v>
      </c>
      <c r="C588" s="11" t="s">
        <v>1085</v>
      </c>
      <c r="D588" s="13">
        <v>4000</v>
      </c>
      <c r="E588" s="13">
        <f t="shared" si="113"/>
        <v>4000</v>
      </c>
      <c r="F588" s="13">
        <f t="shared" si="119"/>
        <v>4420</v>
      </c>
      <c r="G588" s="13"/>
      <c r="H588" s="2"/>
      <c r="I588" s="13">
        <f>25000/8</f>
        <v>3125</v>
      </c>
      <c r="J588" s="13">
        <f t="shared" si="115"/>
        <v>3125</v>
      </c>
      <c r="K588" s="13">
        <f t="shared" si="116"/>
        <v>1295</v>
      </c>
      <c r="L588" s="14">
        <f t="shared" si="117"/>
        <v>0.32374999999999998</v>
      </c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2">
        <v>6</v>
      </c>
      <c r="B589" s="10" t="s">
        <v>17</v>
      </c>
      <c r="C589" s="11" t="s">
        <v>123</v>
      </c>
      <c r="D589" s="13">
        <v>2000</v>
      </c>
      <c r="E589" s="13">
        <f t="shared" si="113"/>
        <v>12000</v>
      </c>
      <c r="F589" s="13">
        <f t="shared" si="119"/>
        <v>13260</v>
      </c>
      <c r="G589" s="2"/>
      <c r="H589" s="2"/>
      <c r="I589" s="13">
        <f>18000/15</f>
        <v>1200</v>
      </c>
      <c r="J589" s="13">
        <f t="shared" si="115"/>
        <v>7200</v>
      </c>
      <c r="K589" s="13">
        <f t="shared" si="116"/>
        <v>6060</v>
      </c>
      <c r="L589" s="14">
        <f t="shared" si="117"/>
        <v>0.505</v>
      </c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2">
        <v>4</v>
      </c>
      <c r="B590" s="10" t="s">
        <v>17</v>
      </c>
      <c r="C590" s="11" t="s">
        <v>62</v>
      </c>
      <c r="D590" s="13">
        <v>3000</v>
      </c>
      <c r="E590" s="13">
        <f t="shared" si="113"/>
        <v>12000</v>
      </c>
      <c r="F590" s="13">
        <f t="shared" si="119"/>
        <v>13260</v>
      </c>
      <c r="G590" s="2"/>
      <c r="H590" s="2"/>
      <c r="I590" s="13">
        <f>27000/17</f>
        <v>1588.2352941176471</v>
      </c>
      <c r="J590" s="13">
        <f t="shared" si="115"/>
        <v>6352.9411764705883</v>
      </c>
      <c r="K590" s="13">
        <f t="shared" si="116"/>
        <v>6907.0588235294117</v>
      </c>
      <c r="L590" s="14">
        <f t="shared" si="117"/>
        <v>0.57558823529411762</v>
      </c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2">
        <v>2.4</v>
      </c>
      <c r="B591" s="10" t="s">
        <v>17</v>
      </c>
      <c r="C591" s="11" t="s">
        <v>67</v>
      </c>
      <c r="D591" s="13">
        <v>1300</v>
      </c>
      <c r="E591" s="13">
        <f t="shared" si="113"/>
        <v>3120</v>
      </c>
      <c r="F591" s="13">
        <f t="shared" si="119"/>
        <v>3447.6</v>
      </c>
      <c r="G591" s="2"/>
      <c r="H591" s="2"/>
      <c r="I591" s="13">
        <f>15000/14</f>
        <v>1071.4285714285713</v>
      </c>
      <c r="J591" s="13">
        <f t="shared" si="115"/>
        <v>2571.4285714285711</v>
      </c>
      <c r="K591" s="13">
        <f t="shared" si="116"/>
        <v>876.17142857142881</v>
      </c>
      <c r="L591" s="14">
        <f t="shared" si="117"/>
        <v>0.2808241758241759</v>
      </c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2">
        <v>4</v>
      </c>
      <c r="B592" s="10" t="s">
        <v>17</v>
      </c>
      <c r="C592" s="11" t="s">
        <v>49</v>
      </c>
      <c r="D592" s="13">
        <v>2800</v>
      </c>
      <c r="E592" s="13">
        <f t="shared" si="113"/>
        <v>11200</v>
      </c>
      <c r="F592" s="13">
        <f t="shared" si="119"/>
        <v>12376</v>
      </c>
      <c r="G592" s="2"/>
      <c r="H592" s="13"/>
      <c r="I592" s="13">
        <f>35000/17</f>
        <v>2058.8235294117649</v>
      </c>
      <c r="J592" s="13">
        <f t="shared" si="115"/>
        <v>8235.2941176470595</v>
      </c>
      <c r="K592" s="13">
        <f t="shared" si="116"/>
        <v>4140.7058823529405</v>
      </c>
      <c r="L592" s="14">
        <f t="shared" si="117"/>
        <v>0.36970588235294111</v>
      </c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2">
        <v>1</v>
      </c>
      <c r="B593" s="10" t="s">
        <v>17</v>
      </c>
      <c r="C593" s="11" t="s">
        <v>88</v>
      </c>
      <c r="D593" s="13">
        <v>2400</v>
      </c>
      <c r="E593" s="13">
        <f t="shared" si="113"/>
        <v>2400</v>
      </c>
      <c r="F593" s="13">
        <f t="shared" si="119"/>
        <v>2652</v>
      </c>
      <c r="G593" s="2"/>
      <c r="H593" s="2"/>
      <c r="I593" s="13">
        <f>13000/15</f>
        <v>866.66666666666663</v>
      </c>
      <c r="J593" s="13">
        <f t="shared" si="115"/>
        <v>866.66666666666663</v>
      </c>
      <c r="K593" s="13">
        <f t="shared" si="116"/>
        <v>1785.3333333333335</v>
      </c>
      <c r="L593" s="14">
        <f t="shared" si="117"/>
        <v>0.74388888888888893</v>
      </c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5"/>
      <c r="B594" s="2"/>
      <c r="C594" s="4"/>
      <c r="D594" s="2"/>
      <c r="E594" s="2"/>
      <c r="F594" s="2"/>
      <c r="G594" s="2"/>
      <c r="H594" s="2"/>
      <c r="I594" s="2"/>
      <c r="J594" s="2"/>
      <c r="K594" s="2"/>
      <c r="L594" s="3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2"/>
      <c r="C595" s="4"/>
      <c r="D595" s="2"/>
      <c r="E595" s="13">
        <f t="shared" ref="E595:F595" si="120">SUM(E563:E593)</f>
        <v>407420</v>
      </c>
      <c r="F595" s="13">
        <f t="shared" si="120"/>
        <v>453034.1</v>
      </c>
      <c r="G595" s="2"/>
      <c r="H595" s="2"/>
      <c r="I595" s="2"/>
      <c r="J595" s="2"/>
      <c r="K595" s="13">
        <f>SUM(K563:K593)</f>
        <v>158868.72184873949</v>
      </c>
      <c r="L595" s="14">
        <f>K595/F595</f>
        <v>0.35067718268611459</v>
      </c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0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0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88" t="s">
        <v>128</v>
      </c>
      <c r="B598" s="89"/>
      <c r="C598" s="89"/>
      <c r="D598" s="2"/>
      <c r="E598" s="7" t="s">
        <v>194</v>
      </c>
      <c r="F598" s="8">
        <v>46136</v>
      </c>
      <c r="G598" s="7" t="s">
        <v>106</v>
      </c>
      <c r="H598" s="2"/>
      <c r="I598" s="9" t="s">
        <v>2</v>
      </c>
      <c r="J598" s="9"/>
      <c r="K598" s="9"/>
      <c r="L598" s="3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"/>
      <c r="B599" s="2"/>
      <c r="C599" s="5"/>
      <c r="D599" s="2"/>
      <c r="E599" s="2"/>
      <c r="F599" s="8"/>
      <c r="G599" s="2"/>
      <c r="H599" s="2"/>
      <c r="I599" s="2"/>
      <c r="J599" s="2"/>
      <c r="K599" s="2"/>
      <c r="L599" s="3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6" t="s">
        <v>3</v>
      </c>
      <c r="B600" s="10" t="s">
        <v>4</v>
      </c>
      <c r="C600" s="11" t="s">
        <v>5</v>
      </c>
      <c r="D600" s="10" t="s">
        <v>6</v>
      </c>
      <c r="E600" s="10" t="s">
        <v>7</v>
      </c>
      <c r="F600" s="10" t="s">
        <v>8</v>
      </c>
      <c r="G600" s="2"/>
      <c r="H600" s="2"/>
      <c r="I600" s="10" t="s">
        <v>9</v>
      </c>
      <c r="J600" s="10" t="s">
        <v>7</v>
      </c>
      <c r="K600" s="10" t="s">
        <v>10</v>
      </c>
      <c r="L600" s="3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2">
        <v>1</v>
      </c>
      <c r="B601" s="10" t="s">
        <v>23</v>
      </c>
      <c r="C601" s="11" t="s">
        <v>20</v>
      </c>
      <c r="D601" s="13">
        <v>32000</v>
      </c>
      <c r="E601" s="13">
        <f t="shared" ref="E601:E604" si="121">A601*D601</f>
        <v>32000</v>
      </c>
      <c r="F601" s="13">
        <f t="shared" ref="F601:F604" si="122">E601*1.105</f>
        <v>35360</v>
      </c>
      <c r="G601" s="7"/>
      <c r="H601" s="2"/>
      <c r="I601" s="13">
        <v>25000</v>
      </c>
      <c r="J601" s="13">
        <f t="shared" ref="J601:J604" si="123">I601*A601</f>
        <v>25000</v>
      </c>
      <c r="K601" s="13">
        <f t="shared" ref="K601:K604" si="124">F601-J601</f>
        <v>10360</v>
      </c>
      <c r="L601" s="14">
        <f t="shared" ref="L601:L604" si="125">IFERROR(K601/E601, 0)</f>
        <v>0.32374999999999998</v>
      </c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2">
        <v>8</v>
      </c>
      <c r="B602" s="10" t="s">
        <v>15</v>
      </c>
      <c r="C602" s="11" t="s">
        <v>135</v>
      </c>
      <c r="D602" s="13">
        <v>17000</v>
      </c>
      <c r="E602" s="13">
        <f t="shared" si="121"/>
        <v>136000</v>
      </c>
      <c r="F602" s="13">
        <f t="shared" si="122"/>
        <v>150280</v>
      </c>
      <c r="G602" s="7"/>
      <c r="H602" s="2"/>
      <c r="I602" s="13">
        <v>14000</v>
      </c>
      <c r="J602" s="13">
        <f t="shared" si="123"/>
        <v>112000</v>
      </c>
      <c r="K602" s="13">
        <f t="shared" si="124"/>
        <v>38280</v>
      </c>
      <c r="L602" s="14">
        <f t="shared" si="125"/>
        <v>0.28147058823529414</v>
      </c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2">
        <v>1</v>
      </c>
      <c r="B603" s="10" t="s">
        <v>15</v>
      </c>
      <c r="C603" s="34" t="s">
        <v>16</v>
      </c>
      <c r="D603" s="13">
        <v>13000</v>
      </c>
      <c r="E603" s="13">
        <f t="shared" si="121"/>
        <v>13000</v>
      </c>
      <c r="F603" s="13">
        <f t="shared" si="122"/>
        <v>14365</v>
      </c>
      <c r="G603" s="7"/>
      <c r="H603" s="2"/>
      <c r="I603" s="13">
        <v>8000</v>
      </c>
      <c r="J603" s="13">
        <f t="shared" si="123"/>
        <v>8000</v>
      </c>
      <c r="K603" s="13">
        <f t="shared" si="124"/>
        <v>6365</v>
      </c>
      <c r="L603" s="14">
        <f t="shared" si="125"/>
        <v>0.48961538461538462</v>
      </c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2">
        <v>2</v>
      </c>
      <c r="B604" s="10" t="s">
        <v>15</v>
      </c>
      <c r="C604" s="11" t="s">
        <v>129</v>
      </c>
      <c r="D604" s="13">
        <v>15000</v>
      </c>
      <c r="E604" s="13">
        <f t="shared" si="121"/>
        <v>30000</v>
      </c>
      <c r="F604" s="13">
        <f t="shared" si="122"/>
        <v>33150</v>
      </c>
      <c r="G604" s="7"/>
      <c r="H604" s="2"/>
      <c r="I604" s="13">
        <v>11000</v>
      </c>
      <c r="J604" s="13">
        <f t="shared" si="123"/>
        <v>22000</v>
      </c>
      <c r="K604" s="13">
        <f t="shared" si="124"/>
        <v>11150</v>
      </c>
      <c r="L604" s="14">
        <f t="shared" si="125"/>
        <v>0.37166666666666665</v>
      </c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"/>
      <c r="B605" s="2"/>
      <c r="C605" s="4"/>
      <c r="D605" s="2"/>
      <c r="E605" s="2"/>
      <c r="F605" s="13"/>
      <c r="G605" s="2"/>
      <c r="H605" s="2"/>
      <c r="I605" s="7"/>
      <c r="J605" s="2"/>
      <c r="K605" s="2"/>
      <c r="L605" s="3"/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"/>
      <c r="B606" s="2"/>
      <c r="C606" s="4"/>
      <c r="D606" s="2"/>
      <c r="E606" s="13">
        <f t="shared" ref="E606:F606" si="126">SUM(E601:E604)</f>
        <v>211000</v>
      </c>
      <c r="F606" s="13">
        <f t="shared" si="126"/>
        <v>233155</v>
      </c>
      <c r="G606" s="2"/>
      <c r="H606" s="2"/>
      <c r="I606" s="2"/>
      <c r="J606" s="2"/>
      <c r="K606" s="13">
        <f>SUM(K601:K604)</f>
        <v>66155</v>
      </c>
      <c r="L606" s="14">
        <f>K606/F606</f>
        <v>0.28373828568977721</v>
      </c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0"/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0"/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0"/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88" t="s">
        <v>1141</v>
      </c>
      <c r="B610" s="89"/>
      <c r="C610" s="89"/>
      <c r="D610" s="2"/>
      <c r="E610" s="7" t="s">
        <v>194</v>
      </c>
      <c r="F610" s="8">
        <v>46136</v>
      </c>
      <c r="G610" s="2"/>
      <c r="H610" s="2"/>
      <c r="I610" s="9" t="s">
        <v>2</v>
      </c>
      <c r="J610" s="9"/>
      <c r="K610" s="9"/>
      <c r="L610" s="3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2"/>
      <c r="C611" s="5"/>
      <c r="D611" s="2"/>
      <c r="E611" s="2"/>
      <c r="F611" s="8"/>
      <c r="G611" s="2"/>
      <c r="H611" s="2"/>
      <c r="I611" s="2"/>
      <c r="J611" s="2"/>
      <c r="K611" s="2"/>
      <c r="L611" s="3"/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6" t="s">
        <v>3</v>
      </c>
      <c r="B612" s="10" t="s">
        <v>4</v>
      </c>
      <c r="C612" s="11" t="s">
        <v>5</v>
      </c>
      <c r="D612" s="10" t="s">
        <v>6</v>
      </c>
      <c r="E612" s="10" t="s">
        <v>7</v>
      </c>
      <c r="F612" s="10" t="s">
        <v>8</v>
      </c>
      <c r="G612" s="2"/>
      <c r="H612" s="2"/>
      <c r="I612" s="10" t="s">
        <v>9</v>
      </c>
      <c r="J612" s="10" t="s">
        <v>7</v>
      </c>
      <c r="K612" s="10" t="s">
        <v>10</v>
      </c>
      <c r="L612" s="3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2">
        <v>7</v>
      </c>
      <c r="B613" s="10" t="s">
        <v>21</v>
      </c>
      <c r="C613" s="11" t="s">
        <v>46</v>
      </c>
      <c r="D613" s="13">
        <v>500</v>
      </c>
      <c r="E613" s="13">
        <f t="shared" ref="E613:E619" si="127">A613*D613</f>
        <v>3500</v>
      </c>
      <c r="F613" s="13">
        <f t="shared" ref="F613:F619" si="128">E613*1.105</f>
        <v>3867.5</v>
      </c>
      <c r="G613" s="7"/>
      <c r="H613" s="2"/>
      <c r="I613" s="13">
        <f>7000/24</f>
        <v>291.66666666666669</v>
      </c>
      <c r="J613" s="13">
        <f t="shared" ref="J613:J619" si="129">I613*A613</f>
        <v>2041.6666666666667</v>
      </c>
      <c r="K613" s="13">
        <f t="shared" ref="K613:K619" si="130">F613-J613</f>
        <v>1825.8333333333333</v>
      </c>
      <c r="L613" s="14">
        <f t="shared" ref="L613:L619" si="131">IFERROR(K613/E613, 0)</f>
        <v>0.52166666666666661</v>
      </c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2">
        <v>1</v>
      </c>
      <c r="B614" s="10" t="s">
        <v>17</v>
      </c>
      <c r="C614" s="11" t="s">
        <v>79</v>
      </c>
      <c r="D614" s="13">
        <v>4500</v>
      </c>
      <c r="E614" s="13">
        <f t="shared" si="127"/>
        <v>4500</v>
      </c>
      <c r="F614" s="13">
        <f t="shared" si="128"/>
        <v>4972.5</v>
      </c>
      <c r="G614" s="7"/>
      <c r="H614" s="2"/>
      <c r="I614" s="13">
        <f>13000/4</f>
        <v>3250</v>
      </c>
      <c r="J614" s="13">
        <f t="shared" si="129"/>
        <v>3250</v>
      </c>
      <c r="K614" s="13">
        <f t="shared" si="130"/>
        <v>1722.5</v>
      </c>
      <c r="L614" s="14">
        <f t="shared" si="131"/>
        <v>0.38277777777777777</v>
      </c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2">
        <v>7</v>
      </c>
      <c r="B615" s="10" t="s">
        <v>4</v>
      </c>
      <c r="C615" s="11" t="s">
        <v>65</v>
      </c>
      <c r="D615" s="13">
        <v>1000</v>
      </c>
      <c r="E615" s="13">
        <f t="shared" si="127"/>
        <v>7000</v>
      </c>
      <c r="F615" s="13">
        <f t="shared" si="128"/>
        <v>7735</v>
      </c>
      <c r="G615" s="7"/>
      <c r="H615" s="2"/>
      <c r="I615" s="13">
        <f>12000/50</f>
        <v>240</v>
      </c>
      <c r="J615" s="13">
        <f t="shared" si="129"/>
        <v>1680</v>
      </c>
      <c r="K615" s="13">
        <f t="shared" si="130"/>
        <v>6055</v>
      </c>
      <c r="L615" s="14">
        <f t="shared" si="131"/>
        <v>0.86499999999999999</v>
      </c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2">
        <v>3</v>
      </c>
      <c r="B616" s="10" t="s">
        <v>23</v>
      </c>
      <c r="C616" s="11" t="s">
        <v>26</v>
      </c>
      <c r="D616" s="13">
        <v>19000</v>
      </c>
      <c r="E616" s="13">
        <f t="shared" si="127"/>
        <v>57000</v>
      </c>
      <c r="F616" s="13">
        <f t="shared" si="128"/>
        <v>62985</v>
      </c>
      <c r="G616" s="7"/>
      <c r="H616" s="2"/>
      <c r="I616" s="13">
        <v>12000</v>
      </c>
      <c r="J616" s="13">
        <f t="shared" si="129"/>
        <v>36000</v>
      </c>
      <c r="K616" s="13">
        <f t="shared" si="130"/>
        <v>26985</v>
      </c>
      <c r="L616" s="14">
        <f t="shared" si="131"/>
        <v>0.47342105263157896</v>
      </c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2">
        <v>1</v>
      </c>
      <c r="B617" s="10" t="s">
        <v>17</v>
      </c>
      <c r="C617" s="11" t="s">
        <v>90</v>
      </c>
      <c r="D617" s="13">
        <v>8000</v>
      </c>
      <c r="E617" s="13">
        <f t="shared" si="127"/>
        <v>8000</v>
      </c>
      <c r="F617" s="13">
        <f t="shared" si="128"/>
        <v>8840</v>
      </c>
      <c r="G617" s="7"/>
      <c r="H617" s="2"/>
      <c r="I617" s="13">
        <v>7000</v>
      </c>
      <c r="J617" s="13">
        <f t="shared" si="129"/>
        <v>7000</v>
      </c>
      <c r="K617" s="13">
        <f t="shared" si="130"/>
        <v>1840</v>
      </c>
      <c r="L617" s="14">
        <f t="shared" si="131"/>
        <v>0.23</v>
      </c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2">
        <v>3</v>
      </c>
      <c r="B618" s="10" t="s">
        <v>17</v>
      </c>
      <c r="C618" s="11" t="s">
        <v>88</v>
      </c>
      <c r="D618" s="13">
        <v>2000</v>
      </c>
      <c r="E618" s="13">
        <f t="shared" si="127"/>
        <v>6000</v>
      </c>
      <c r="F618" s="13">
        <f t="shared" si="128"/>
        <v>6630</v>
      </c>
      <c r="G618" s="7"/>
      <c r="H618" s="2"/>
      <c r="I618" s="13">
        <f>13000/15</f>
        <v>866.66666666666663</v>
      </c>
      <c r="J618" s="13">
        <f t="shared" si="129"/>
        <v>2600</v>
      </c>
      <c r="K618" s="13">
        <f t="shared" si="130"/>
        <v>4030</v>
      </c>
      <c r="L618" s="14">
        <f t="shared" si="131"/>
        <v>0.67166666666666663</v>
      </c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2">
        <v>2</v>
      </c>
      <c r="B619" s="10" t="s">
        <v>17</v>
      </c>
      <c r="C619" s="11" t="s">
        <v>93</v>
      </c>
      <c r="D619" s="13">
        <v>3000</v>
      </c>
      <c r="E619" s="13">
        <f t="shared" si="127"/>
        <v>6000</v>
      </c>
      <c r="F619" s="13">
        <f t="shared" si="128"/>
        <v>6630</v>
      </c>
      <c r="G619" s="7"/>
      <c r="H619" s="2"/>
      <c r="I619" s="13">
        <f>10000/7</f>
        <v>1428.5714285714287</v>
      </c>
      <c r="J619" s="13">
        <f t="shared" si="129"/>
        <v>2857.1428571428573</v>
      </c>
      <c r="K619" s="13">
        <f t="shared" si="130"/>
        <v>3772.8571428571427</v>
      </c>
      <c r="L619" s="14">
        <f t="shared" si="131"/>
        <v>0.62880952380952382</v>
      </c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"/>
      <c r="B620" s="2"/>
      <c r="C620" s="4"/>
      <c r="D620" s="2"/>
      <c r="E620" s="2"/>
      <c r="F620" s="13"/>
      <c r="G620" s="2"/>
      <c r="H620" s="2"/>
      <c r="I620" s="7"/>
      <c r="J620" s="2"/>
      <c r="K620" s="2"/>
      <c r="L620" s="3"/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"/>
      <c r="B621" s="2"/>
      <c r="C621" s="4"/>
      <c r="D621" s="2"/>
      <c r="E621" s="13">
        <f t="shared" ref="E621:F621" si="132">SUM(E613:E619)</f>
        <v>92000</v>
      </c>
      <c r="F621" s="13">
        <f t="shared" si="132"/>
        <v>101660</v>
      </c>
      <c r="G621" s="2"/>
      <c r="H621" s="2"/>
      <c r="I621" s="2"/>
      <c r="J621" s="2"/>
      <c r="K621" s="13">
        <f>SUM(K613:K619)</f>
        <v>46231.190476190473</v>
      </c>
      <c r="L621" s="14">
        <f>K621/F621</f>
        <v>0.45476284159148606</v>
      </c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0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0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6" t="s">
        <v>177</v>
      </c>
      <c r="B624" s="1"/>
      <c r="C624" s="1"/>
      <c r="D624" s="22" t="s">
        <v>1097</v>
      </c>
      <c r="E624" s="8">
        <v>46136</v>
      </c>
      <c r="F624" s="24" t="s">
        <v>37</v>
      </c>
      <c r="G624" s="2"/>
      <c r="H624" s="2"/>
      <c r="I624" s="2"/>
      <c r="J624" s="2"/>
      <c r="K624" s="2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2"/>
      <c r="C625" s="4"/>
      <c r="D625" s="2"/>
      <c r="E625" s="2"/>
      <c r="F625" s="2"/>
      <c r="G625" s="2"/>
      <c r="H625" s="2"/>
      <c r="I625" s="2"/>
      <c r="J625" s="2"/>
      <c r="K625" s="2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6" t="s">
        <v>3</v>
      </c>
      <c r="B626" s="10" t="s">
        <v>4</v>
      </c>
      <c r="C626" s="11" t="s">
        <v>5</v>
      </c>
      <c r="D626" s="10" t="s">
        <v>6</v>
      </c>
      <c r="E626" s="10" t="s">
        <v>7</v>
      </c>
      <c r="F626" s="2"/>
      <c r="G626" s="2"/>
      <c r="H626" s="2"/>
      <c r="I626" s="10" t="s">
        <v>6</v>
      </c>
      <c r="J626" s="10" t="s">
        <v>7</v>
      </c>
      <c r="K626" s="10" t="s">
        <v>10</v>
      </c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2">
        <v>4</v>
      </c>
      <c r="B627" s="10" t="s">
        <v>17</v>
      </c>
      <c r="C627" s="11" t="s">
        <v>82</v>
      </c>
      <c r="D627" s="13">
        <v>2200</v>
      </c>
      <c r="E627" s="13">
        <f t="shared" ref="E627:E631" si="133">A627*D627</f>
        <v>8800</v>
      </c>
      <c r="F627" s="2"/>
      <c r="G627" s="2"/>
      <c r="H627" s="2"/>
      <c r="I627" s="13">
        <f>25000/14</f>
        <v>1785.7142857142858</v>
      </c>
      <c r="J627" s="13">
        <f t="shared" ref="J627:J631" si="134">I627*A627</f>
        <v>7142.8571428571431</v>
      </c>
      <c r="K627" s="13">
        <f t="shared" ref="K627:K631" si="135">E627-J627</f>
        <v>1657.1428571428569</v>
      </c>
      <c r="L627" s="14">
        <f t="shared" ref="L627:L631" si="136">K627/E627</f>
        <v>0.18831168831168829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2">
        <v>4</v>
      </c>
      <c r="B628" s="10" t="s">
        <v>17</v>
      </c>
      <c r="C628" s="11" t="s">
        <v>99</v>
      </c>
      <c r="D628" s="13">
        <v>1500</v>
      </c>
      <c r="E628" s="13">
        <f t="shared" si="133"/>
        <v>6000</v>
      </c>
      <c r="F628" s="2"/>
      <c r="G628" s="2"/>
      <c r="H628" s="2"/>
      <c r="I628" s="13">
        <v>700</v>
      </c>
      <c r="J628" s="13">
        <f t="shared" si="134"/>
        <v>2800</v>
      </c>
      <c r="K628" s="13">
        <f t="shared" si="135"/>
        <v>3200</v>
      </c>
      <c r="L628" s="14">
        <f t="shared" si="136"/>
        <v>0.53333333333333333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2">
        <v>4</v>
      </c>
      <c r="B629" s="10" t="s">
        <v>17</v>
      </c>
      <c r="C629" s="11" t="s">
        <v>153</v>
      </c>
      <c r="D629" s="13">
        <v>3000</v>
      </c>
      <c r="E629" s="13">
        <f t="shared" si="133"/>
        <v>12000</v>
      </c>
      <c r="F629" s="2"/>
      <c r="G629" s="2"/>
      <c r="H629" s="2"/>
      <c r="I629" s="13">
        <f>11000/7</f>
        <v>1571.4285714285713</v>
      </c>
      <c r="J629" s="13">
        <f t="shared" si="134"/>
        <v>6285.7142857142853</v>
      </c>
      <c r="K629" s="13">
        <f t="shared" si="135"/>
        <v>5714.2857142857147</v>
      </c>
      <c r="L629" s="14">
        <f t="shared" si="136"/>
        <v>0.47619047619047622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2">
        <v>3</v>
      </c>
      <c r="B630" s="10" t="s">
        <v>17</v>
      </c>
      <c r="C630" s="11" t="s">
        <v>61</v>
      </c>
      <c r="D630" s="13">
        <v>2800</v>
      </c>
      <c r="E630" s="13">
        <f t="shared" si="133"/>
        <v>8400</v>
      </c>
      <c r="F630" s="2"/>
      <c r="G630" s="2"/>
      <c r="H630" s="2"/>
      <c r="I630" s="13">
        <f>30000/14</f>
        <v>2142.8571428571427</v>
      </c>
      <c r="J630" s="13">
        <f t="shared" si="134"/>
        <v>6428.5714285714275</v>
      </c>
      <c r="K630" s="13">
        <f t="shared" si="135"/>
        <v>1971.4285714285725</v>
      </c>
      <c r="L630" s="14">
        <f t="shared" si="136"/>
        <v>0.23469387755102053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2">
        <v>5.5</v>
      </c>
      <c r="B631" s="10" t="s">
        <v>17</v>
      </c>
      <c r="C631" s="11" t="s">
        <v>40</v>
      </c>
      <c r="D631" s="13">
        <v>1500</v>
      </c>
      <c r="E631" s="13">
        <f t="shared" si="133"/>
        <v>8250</v>
      </c>
      <c r="F631" s="2"/>
      <c r="G631" s="2"/>
      <c r="H631" s="2"/>
      <c r="I631" s="13">
        <v>1000</v>
      </c>
      <c r="J631" s="13">
        <f t="shared" si="134"/>
        <v>5500</v>
      </c>
      <c r="K631" s="13">
        <f t="shared" si="135"/>
        <v>2750</v>
      </c>
      <c r="L631" s="14">
        <f t="shared" si="136"/>
        <v>0.33333333333333331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"/>
      <c r="B632" s="2"/>
      <c r="C632" s="4"/>
      <c r="D632" s="2"/>
      <c r="E632" s="2"/>
      <c r="F632" s="2"/>
      <c r="G632" s="4"/>
      <c r="H632" s="2"/>
      <c r="I632" s="2"/>
      <c r="J632" s="2"/>
      <c r="K632" s="2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"/>
      <c r="B633" s="2"/>
      <c r="C633" s="4"/>
      <c r="D633" s="2"/>
      <c r="E633" s="13">
        <f>SUM(E627:E631)</f>
        <v>43450</v>
      </c>
      <c r="F633" s="2"/>
      <c r="G633" s="2"/>
      <c r="H633" s="2"/>
      <c r="I633" s="2"/>
      <c r="J633" s="2"/>
      <c r="K633" s="13">
        <f>SUM(K627:K631)</f>
        <v>15292.857142857145</v>
      </c>
      <c r="L633" s="14">
        <f>K633/E633</f>
        <v>0.35196449120499756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0"/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0"/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0"/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5.5" customHeight="1" x14ac:dyDescent="0.25">
      <c r="A637" s="26" t="s">
        <v>101</v>
      </c>
      <c r="B637" s="27">
        <f>E633+F621+F606+F595+E557+E536+E516+F504+E492+E479+F459+E433+E413+E391+E381+E361+E340+F314+F279+F242+F207+F173+F142+F98+F71+F36</f>
        <v>5798737.9749999996</v>
      </c>
      <c r="C637" s="4"/>
      <c r="D637" s="4"/>
      <c r="E637" s="4"/>
      <c r="F637" s="4"/>
      <c r="G637" s="4"/>
      <c r="H637" s="4"/>
      <c r="I637" s="4"/>
      <c r="J637" s="4"/>
      <c r="K637" s="4"/>
      <c r="L637" s="28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28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7" customHeight="1" x14ac:dyDescent="0.25">
      <c r="A639" s="26" t="s">
        <v>102</v>
      </c>
      <c r="B639" s="27">
        <f>K606+K595+K557+K536+K516+K504+K492+K479+K459+K433+K391+K381+K361+K340+K314+K279+K242+K207+K173+K142+K98+K71+K36+K413+K621+K633</f>
        <v>2206150.8787645358</v>
      </c>
      <c r="C639" s="4"/>
      <c r="D639" s="4"/>
      <c r="E639" s="4"/>
      <c r="F639" s="4"/>
      <c r="G639" s="4"/>
      <c r="H639" s="4"/>
      <c r="I639" s="4"/>
      <c r="J639" s="4"/>
      <c r="K639" s="4"/>
      <c r="L639" s="28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28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28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6.25" customHeight="1" x14ac:dyDescent="0.25">
      <c r="A642" s="26" t="s">
        <v>103</v>
      </c>
      <c r="B642" s="29">
        <f>B639/B637</f>
        <v>0.38045362426718993</v>
      </c>
      <c r="C642" s="4"/>
      <c r="D642" s="4"/>
      <c r="E642" s="4"/>
      <c r="F642" s="4"/>
      <c r="G642" s="4"/>
      <c r="H642" s="4"/>
      <c r="I642" s="4"/>
      <c r="J642" s="4"/>
      <c r="K642" s="4"/>
      <c r="L642" s="28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28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90" t="s">
        <v>104</v>
      </c>
      <c r="B644" s="89"/>
      <c r="C644" s="4"/>
      <c r="D644" s="4"/>
      <c r="E644" s="4"/>
      <c r="F644" s="4"/>
      <c r="G644" s="4"/>
      <c r="H644" s="4"/>
      <c r="I644" s="4"/>
      <c r="J644" s="4"/>
      <c r="K644" s="4"/>
      <c r="L644" s="28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0"/>
      <c r="M645" s="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0"/>
      <c r="M646" s="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0"/>
      <c r="M647" s="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0"/>
      <c r="M648" s="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0"/>
      <c r="M649" s="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0"/>
      <c r="M650" s="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0"/>
      <c r="M651" s="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0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0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0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0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0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0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0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0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0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0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0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0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0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0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0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0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0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0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0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0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0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0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0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0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0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0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0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0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0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0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0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0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0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0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0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0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0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0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0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0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0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0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0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0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0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0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0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0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0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0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0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0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0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0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0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0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0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0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0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0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0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0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0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0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0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0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0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0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0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0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0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0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0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0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0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0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0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0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0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0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0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0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0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0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0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0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0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0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0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0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0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0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0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0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0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0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0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0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0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0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0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0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0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0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0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0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0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0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0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0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0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0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0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0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0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0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0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0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0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0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0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0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0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0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0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0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0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0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0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0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0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0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0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0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0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0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0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0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0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0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0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0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0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0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0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0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0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0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0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0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0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0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0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0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0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0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0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0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0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0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0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0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0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0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0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0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0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0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0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0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0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0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0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0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0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0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0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0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0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0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0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0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0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0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0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0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0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0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0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0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0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0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0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0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0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0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0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0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0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0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0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0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0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0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0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0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0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0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0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0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0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0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0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0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0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0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0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0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0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0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0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0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0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0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0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0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0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0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0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0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0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0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0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0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0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0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0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0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0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0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0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0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0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0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0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0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0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0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0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0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0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0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0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0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0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0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0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0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0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0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0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0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0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0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0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0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0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0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0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0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0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0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0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0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0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0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0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0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0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0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0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0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0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0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0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0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0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0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0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0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0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0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0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0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0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0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0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0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0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0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0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0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0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0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0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0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0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0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0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0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0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0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0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0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0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0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0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0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0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0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0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0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0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0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0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0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0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0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0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0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0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0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0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0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0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0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0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0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0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0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0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0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0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0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0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0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0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0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0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0"/>
      <c r="M1001" s="1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0"/>
      <c r="M1002" s="1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0"/>
      <c r="M1003" s="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0"/>
      <c r="M1004" s="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0"/>
      <c r="M1005" s="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0"/>
      <c r="M1006" s="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0"/>
      <c r="M1007" s="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0"/>
      <c r="M1008" s="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0"/>
      <c r="M1009" s="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0"/>
      <c r="M1010" s="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0"/>
      <c r="M1011" s="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0"/>
      <c r="M1012" s="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0"/>
      <c r="M1013" s="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20"/>
      <c r="M1014" s="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20"/>
      <c r="M1015" s="1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20"/>
      <c r="M1016" s="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20"/>
      <c r="M1017" s="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20"/>
      <c r="M1018" s="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20"/>
      <c r="M1019" s="1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20"/>
      <c r="M1020" s="1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20"/>
      <c r="M1021" s="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20"/>
      <c r="M1022" s="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20"/>
      <c r="M1023" s="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20"/>
      <c r="M1024" s="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20"/>
      <c r="M1025" s="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20"/>
      <c r="M1026" s="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20"/>
      <c r="M1027" s="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20"/>
      <c r="M1028" s="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20"/>
      <c r="M1029" s="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20"/>
      <c r="M1030" s="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20"/>
      <c r="M1031" s="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20"/>
      <c r="M1032" s="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20"/>
      <c r="M1033" s="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20"/>
      <c r="M1034" s="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20"/>
      <c r="M1035" s="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20"/>
      <c r="M1036" s="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20"/>
      <c r="M1037" s="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20"/>
      <c r="M1038" s="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20"/>
      <c r="M1039" s="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20"/>
      <c r="M1040" s="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20"/>
      <c r="M1041" s="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20"/>
      <c r="M1042" s="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20"/>
      <c r="M1043" s="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20"/>
      <c r="M1044" s="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20"/>
      <c r="M1045" s="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20"/>
      <c r="M1046" s="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20"/>
      <c r="M1047" s="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20"/>
      <c r="M1048" s="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20"/>
      <c r="M1049" s="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20"/>
      <c r="M1050" s="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20"/>
      <c r="M1051" s="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20"/>
      <c r="M1052" s="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20"/>
      <c r="M1053" s="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20"/>
      <c r="M1054" s="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20"/>
      <c r="M1055" s="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20"/>
      <c r="M1056" s="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20"/>
      <c r="M1057" s="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20"/>
      <c r="M1058" s="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20"/>
      <c r="M1059" s="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20"/>
      <c r="M1060" s="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20"/>
      <c r="M1061" s="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20"/>
      <c r="M1062" s="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20"/>
      <c r="M1063" s="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20"/>
      <c r="M1064" s="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20"/>
      <c r="M1065" s="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20"/>
      <c r="M1066" s="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20"/>
      <c r="M1067" s="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20"/>
      <c r="M1068" s="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20"/>
      <c r="M1069" s="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20"/>
      <c r="M1070" s="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20"/>
      <c r="M1071" s="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20"/>
      <c r="M1072" s="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20"/>
      <c r="M1073" s="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20"/>
      <c r="M1074" s="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20"/>
      <c r="M1075" s="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20"/>
      <c r="M1076" s="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20"/>
      <c r="M1077" s="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20"/>
      <c r="M1078" s="1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20"/>
      <c r="M1079" s="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20"/>
      <c r="M1080" s="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20"/>
      <c r="M1081" s="1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20"/>
      <c r="M1082" s="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20"/>
      <c r="M1083" s="1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20"/>
      <c r="M1084" s="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20"/>
      <c r="M1085" s="1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20"/>
      <c r="M1086" s="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20"/>
      <c r="M1087" s="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20"/>
      <c r="M1088" s="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20"/>
      <c r="M1089" s="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20"/>
      <c r="M1090" s="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20"/>
      <c r="M1091" s="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20"/>
      <c r="M1092" s="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20"/>
      <c r="M1093" s="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20"/>
      <c r="M1094" s="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20"/>
      <c r="M1095" s="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20"/>
      <c r="M1096" s="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20"/>
      <c r="M1097" s="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20"/>
      <c r="M1098" s="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20"/>
      <c r="M1099" s="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20"/>
      <c r="M1100" s="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20"/>
      <c r="M1101" s="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20"/>
      <c r="M1102" s="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20"/>
      <c r="M1103" s="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20"/>
      <c r="M1104" s="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20"/>
      <c r="M1105" s="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20"/>
      <c r="M1106" s="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20"/>
      <c r="M1107" s="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20"/>
      <c r="M1108" s="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20"/>
      <c r="M1109" s="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20"/>
      <c r="M1110" s="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20"/>
      <c r="M1111" s="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20"/>
      <c r="M1112" s="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20"/>
      <c r="M1113" s="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20"/>
      <c r="M1114" s="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20"/>
      <c r="M1115" s="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20"/>
      <c r="M1116" s="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20"/>
      <c r="M1117" s="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20"/>
      <c r="M1118" s="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20"/>
      <c r="M1119" s="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20"/>
      <c r="M1120" s="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20"/>
      <c r="M1121" s="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20"/>
      <c r="M1122" s="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20"/>
      <c r="M1123" s="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20"/>
      <c r="M1124" s="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20"/>
      <c r="M1125" s="1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20"/>
      <c r="M1126" s="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20"/>
      <c r="M1127" s="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20"/>
      <c r="M1128" s="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20"/>
      <c r="M1129" s="1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20"/>
      <c r="M1130" s="1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20"/>
      <c r="M1131" s="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20"/>
      <c r="M1132" s="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20"/>
      <c r="M1133" s="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20"/>
      <c r="M1134" s="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20"/>
      <c r="M1135" s="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20"/>
      <c r="M1136" s="1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20"/>
      <c r="M1137" s="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20"/>
      <c r="M1138" s="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20"/>
      <c r="M1139" s="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20"/>
      <c r="M1140" s="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20"/>
      <c r="M1141" s="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20"/>
      <c r="M1142" s="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20"/>
      <c r="M1143" s="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20"/>
      <c r="M1144" s="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20"/>
      <c r="M1145" s="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20"/>
      <c r="M1146" s="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20"/>
      <c r="M1147" s="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20"/>
      <c r="M1148" s="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20"/>
      <c r="M1149" s="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20"/>
      <c r="M1150" s="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20"/>
      <c r="M1151" s="1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20"/>
      <c r="M1152" s="1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20"/>
      <c r="M1153" s="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20"/>
      <c r="M1154" s="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20"/>
      <c r="M1155" s="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20"/>
      <c r="M1156" s="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20"/>
      <c r="M1157" s="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20"/>
      <c r="M1158" s="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20"/>
      <c r="M1159" s="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20"/>
      <c r="M1160" s="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20"/>
      <c r="M1161" s="1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20"/>
      <c r="M1162" s="1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20"/>
      <c r="M1163" s="1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20"/>
      <c r="M1164" s="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20"/>
      <c r="M1165" s="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20"/>
      <c r="M1166" s="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20"/>
      <c r="M1167" s="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20"/>
      <c r="M1168" s="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20"/>
      <c r="M1169" s="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20"/>
      <c r="M1170" s="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20"/>
      <c r="M1171" s="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20"/>
      <c r="M1172" s="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20"/>
      <c r="M1173" s="1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20"/>
      <c r="M1174" s="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20"/>
      <c r="M1175" s="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20"/>
      <c r="M1176" s="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20"/>
      <c r="M1177" s="1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20"/>
      <c r="M1178" s="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20"/>
      <c r="M1179" s="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20"/>
      <c r="M1180" s="1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20"/>
      <c r="M1181" s="1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20"/>
      <c r="M1182" s="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20"/>
      <c r="M1183" s="1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20"/>
      <c r="M1184" s="1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20"/>
      <c r="M1185" s="1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20"/>
      <c r="M1186" s="1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20"/>
      <c r="M1187" s="1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20"/>
      <c r="M1188" s="1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20"/>
      <c r="M1189" s="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20"/>
      <c r="M1190" s="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20"/>
      <c r="M1191" s="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20"/>
      <c r="M1192" s="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20"/>
      <c r="M1193" s="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20"/>
      <c r="M1194" s="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20"/>
      <c r="M1195" s="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20"/>
      <c r="M1196" s="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20"/>
      <c r="M1197" s="1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20"/>
      <c r="M1198" s="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20"/>
      <c r="M1199" s="1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20"/>
      <c r="M1200" s="1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20"/>
      <c r="M1201" s="1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20"/>
      <c r="M1202" s="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20"/>
      <c r="M1203" s="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20"/>
      <c r="M1204" s="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20"/>
      <c r="M1205" s="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20"/>
      <c r="M1206" s="1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20"/>
      <c r="M1207" s="1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20"/>
      <c r="M1208" s="1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20"/>
      <c r="M1209" s="1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20"/>
      <c r="M1210" s="1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20"/>
      <c r="M1211" s="1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20"/>
      <c r="M1212" s="1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20"/>
      <c r="M1213" s="1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20"/>
      <c r="M1214" s="1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20"/>
      <c r="M1215" s="1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20"/>
      <c r="M1216" s="1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20"/>
      <c r="M1217" s="1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20"/>
      <c r="M1218" s="1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20"/>
      <c r="M1219" s="1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20"/>
      <c r="M1220" s="1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20"/>
      <c r="M1221" s="1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20"/>
      <c r="M1222" s="1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20"/>
      <c r="M1223" s="1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20"/>
      <c r="M1224" s="1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20"/>
      <c r="M1225" s="1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20"/>
      <c r="M1226" s="1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20"/>
      <c r="M1227" s="1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20"/>
      <c r="M1228" s="1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20"/>
      <c r="M1229" s="1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20"/>
      <c r="M1230" s="1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20"/>
      <c r="M1231" s="1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20"/>
      <c r="M1232" s="1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20"/>
      <c r="M1233" s="1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20"/>
      <c r="M1234" s="1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20"/>
      <c r="M1235" s="1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20"/>
      <c r="M1236" s="1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20"/>
      <c r="M1237" s="1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20"/>
      <c r="M1238" s="1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20"/>
      <c r="M1239" s="1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20"/>
      <c r="M1240" s="1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20"/>
      <c r="M1241" s="1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20"/>
      <c r="M1242" s="1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20"/>
      <c r="M1243" s="1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20"/>
      <c r="M1244" s="1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20"/>
      <c r="M1245" s="1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20"/>
      <c r="M1246" s="1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20"/>
      <c r="M1247" s="1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20"/>
      <c r="M1248" s="1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20"/>
      <c r="M1249" s="1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20"/>
      <c r="M1250" s="1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20"/>
      <c r="M1251" s="1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20"/>
      <c r="M1252" s="1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20"/>
      <c r="M1253" s="1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20"/>
      <c r="M1254" s="1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20"/>
      <c r="M1255" s="1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20"/>
      <c r="M1256" s="1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20"/>
      <c r="M1257" s="1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20"/>
      <c r="M1258" s="1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20"/>
      <c r="M1259" s="1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20"/>
      <c r="M1260" s="1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20"/>
      <c r="M1261" s="1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20"/>
      <c r="M1262" s="1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20"/>
      <c r="M1263" s="1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20"/>
      <c r="M1264" s="1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20"/>
      <c r="M1265" s="1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20"/>
      <c r="M1266" s="1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20"/>
      <c r="M1267" s="1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20"/>
      <c r="M1268" s="1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20"/>
      <c r="M1269" s="1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20"/>
      <c r="M1270" s="1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20"/>
      <c r="M1271" s="1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20"/>
      <c r="M1272" s="1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20"/>
      <c r="M1273" s="1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20"/>
      <c r="M1274" s="1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20"/>
      <c r="M1275" s="1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20"/>
      <c r="M1276" s="1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20"/>
      <c r="M1277" s="1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20"/>
      <c r="M1278" s="1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20"/>
      <c r="M1279" s="1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20"/>
      <c r="M1280" s="1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20"/>
      <c r="M1281" s="1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20"/>
      <c r="M1282" s="1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20"/>
      <c r="M1283" s="1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20"/>
      <c r="M1284" s="1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20"/>
      <c r="M1285" s="1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20"/>
      <c r="M1286" s="1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20"/>
      <c r="M1287" s="1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20"/>
      <c r="M1288" s="1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20"/>
      <c r="M1289" s="1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20"/>
      <c r="M1290" s="1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20"/>
      <c r="M1291" s="1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20"/>
      <c r="M1292" s="1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20"/>
      <c r="M1293" s="1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20"/>
      <c r="M1294" s="1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20"/>
      <c r="M1295" s="1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20"/>
      <c r="M1296" s="1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20"/>
      <c r="M1297" s="1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20"/>
      <c r="M1298" s="1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20"/>
      <c r="M1299" s="1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20"/>
      <c r="M1300" s="1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20"/>
      <c r="M1301" s="1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20"/>
      <c r="M1302" s="1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20"/>
      <c r="M1303" s="1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20"/>
      <c r="M1304" s="1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20"/>
      <c r="M1305" s="1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20"/>
      <c r="M1306" s="1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20"/>
      <c r="M1307" s="1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20"/>
      <c r="M1308" s="1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20"/>
      <c r="M1309" s="1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20"/>
      <c r="M1310" s="1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20"/>
      <c r="M1311" s="1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20"/>
      <c r="M1312" s="1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20"/>
      <c r="M1313" s="1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20"/>
      <c r="M1314" s="1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20"/>
      <c r="M1315" s="1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20"/>
      <c r="M1316" s="1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20"/>
      <c r="M1317" s="1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20"/>
      <c r="M1318" s="1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20"/>
      <c r="M1319" s="1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20"/>
      <c r="M1320" s="1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20"/>
      <c r="M1321" s="1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20"/>
      <c r="M1322" s="1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20"/>
      <c r="M1323" s="1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20"/>
      <c r="M1324" s="1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20"/>
      <c r="M1325" s="1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20"/>
      <c r="M1326" s="1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20"/>
      <c r="M1327" s="1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20"/>
      <c r="M1328" s="1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20"/>
      <c r="M1329" s="1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20"/>
      <c r="M1330" s="1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20"/>
      <c r="M1331" s="1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20"/>
      <c r="M1332" s="1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20"/>
      <c r="M1333" s="1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20"/>
      <c r="M1334" s="1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20"/>
      <c r="M1335" s="1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20"/>
      <c r="M1336" s="1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20"/>
      <c r="M1337" s="1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20"/>
      <c r="M1338" s="1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20"/>
      <c r="M1339" s="1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20"/>
      <c r="M1340" s="1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20"/>
      <c r="M1341" s="1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20"/>
      <c r="M1342" s="1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20"/>
      <c r="M1343" s="1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20"/>
      <c r="M1344" s="1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20"/>
      <c r="M1345" s="1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20"/>
      <c r="M1346" s="1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20"/>
      <c r="M1347" s="1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20"/>
      <c r="M1348" s="1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20"/>
      <c r="M1349" s="1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20"/>
      <c r="M1350" s="1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20"/>
      <c r="M1351" s="1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20"/>
      <c r="M1352" s="1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20"/>
      <c r="M1353" s="1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20"/>
      <c r="M1354" s="1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20"/>
      <c r="M1355" s="1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20"/>
      <c r="M1356" s="1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20"/>
      <c r="M1357" s="1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20"/>
      <c r="M1358" s="1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20"/>
      <c r="M1359" s="1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20"/>
      <c r="M1360" s="1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20"/>
      <c r="M1361" s="1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20"/>
      <c r="M1362" s="1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20"/>
      <c r="M1363" s="1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20"/>
      <c r="M1364" s="1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20"/>
      <c r="M1365" s="1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20"/>
      <c r="M1366" s="1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20"/>
      <c r="M1367" s="1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20"/>
      <c r="M1368" s="1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20"/>
      <c r="M1369" s="1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20"/>
      <c r="M1370" s="1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20"/>
      <c r="M1371" s="1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20"/>
      <c r="M1372" s="1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20"/>
      <c r="M1373" s="1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20"/>
      <c r="M1374" s="1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20"/>
      <c r="M1375" s="1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20"/>
      <c r="M1376" s="1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20"/>
      <c r="M1377" s="1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20"/>
      <c r="M1378" s="1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20"/>
      <c r="M1379" s="1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20"/>
      <c r="M1380" s="1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20"/>
      <c r="M1381" s="1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20"/>
      <c r="M1382" s="1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20"/>
      <c r="M1383" s="1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20"/>
      <c r="M1384" s="1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20"/>
      <c r="M1385" s="1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20"/>
      <c r="M1386" s="1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20"/>
      <c r="M1387" s="1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20"/>
      <c r="M1388" s="1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20"/>
      <c r="M1389" s="1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20"/>
      <c r="M1390" s="1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20"/>
      <c r="M1391" s="1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20"/>
      <c r="M1392" s="1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20"/>
      <c r="M1393" s="1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20"/>
      <c r="M1394" s="1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20"/>
      <c r="M1395" s="1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20"/>
      <c r="M1396" s="1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20"/>
      <c r="M1397" s="1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20"/>
      <c r="M1398" s="1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20"/>
      <c r="M1399" s="1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20"/>
      <c r="M1400" s="1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20"/>
      <c r="M1401" s="1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20"/>
      <c r="M1402" s="1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20"/>
      <c r="M1403" s="1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20"/>
      <c r="M1404" s="1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20"/>
      <c r="M1405" s="1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20"/>
      <c r="M1406" s="1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20"/>
      <c r="M1407" s="1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20"/>
      <c r="M1408" s="1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20"/>
      <c r="M1409" s="1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20"/>
      <c r="M1410" s="1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20"/>
      <c r="M1411" s="1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20"/>
      <c r="M1412" s="1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20"/>
      <c r="M1413" s="1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20"/>
      <c r="M1414" s="1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20"/>
      <c r="M1415" s="1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20"/>
      <c r="M1416" s="1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20"/>
      <c r="M1417" s="1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20"/>
      <c r="M1418" s="1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20"/>
      <c r="M1419" s="1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20"/>
      <c r="M1420" s="1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20"/>
      <c r="M1421" s="1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20"/>
      <c r="M1422" s="1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20"/>
      <c r="M1423" s="1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20"/>
      <c r="M1424" s="1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20"/>
      <c r="M1425" s="1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20"/>
      <c r="M1426" s="1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20"/>
      <c r="M1427" s="1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20"/>
      <c r="M1428" s="1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20"/>
      <c r="M1429" s="1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20"/>
      <c r="M1430" s="1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20"/>
      <c r="M1431" s="1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20"/>
      <c r="M1432" s="1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20"/>
      <c r="M1433" s="1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20"/>
      <c r="M1434" s="1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20"/>
      <c r="M1435" s="1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20"/>
      <c r="M1436" s="1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20"/>
      <c r="M1437" s="1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20"/>
      <c r="M1438" s="1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20"/>
      <c r="M1439" s="1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20"/>
      <c r="M1440" s="1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20"/>
      <c r="M1441" s="1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20"/>
      <c r="M1442" s="1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20"/>
      <c r="M1443" s="1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20"/>
      <c r="M1444" s="1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20"/>
      <c r="M1445" s="1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20"/>
      <c r="M1446" s="1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20"/>
      <c r="M1447" s="1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20"/>
      <c r="M1448" s="1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20"/>
      <c r="M1449" s="1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20"/>
      <c r="M1450" s="1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20"/>
      <c r="M1451" s="1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20"/>
      <c r="M1452" s="1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20"/>
      <c r="M1453" s="1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20"/>
      <c r="M1454" s="1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20"/>
      <c r="M1455" s="1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20"/>
      <c r="M1456" s="1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20"/>
      <c r="M1457" s="1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20"/>
      <c r="M1458" s="1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20"/>
      <c r="M1459" s="1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20"/>
      <c r="M1460" s="1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20"/>
      <c r="M1461" s="1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20"/>
      <c r="M1462" s="1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20"/>
      <c r="M1463" s="1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20"/>
      <c r="M1464" s="1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20"/>
      <c r="M1465" s="1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20"/>
      <c r="M1466" s="1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20"/>
      <c r="M1467" s="1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20"/>
      <c r="M1468" s="1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20"/>
      <c r="M1469" s="1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20"/>
      <c r="M1470" s="1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20"/>
      <c r="M1471" s="1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20"/>
      <c r="M1472" s="1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20"/>
      <c r="M1473" s="1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20"/>
      <c r="M1474" s="1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20"/>
      <c r="M1475" s="1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20"/>
      <c r="M1476" s="1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20"/>
      <c r="M1477" s="1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20"/>
      <c r="M1478" s="1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20"/>
      <c r="M1479" s="1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20"/>
      <c r="M1480" s="1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20"/>
      <c r="M1481" s="1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20"/>
      <c r="M1482" s="1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20"/>
      <c r="M1483" s="1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20"/>
      <c r="M1484" s="1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20"/>
      <c r="M1485" s="1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20"/>
      <c r="M1486" s="1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20"/>
      <c r="M1487" s="1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20"/>
      <c r="M1488" s="1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20"/>
      <c r="M1489" s="1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20"/>
      <c r="M1490" s="1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20"/>
      <c r="M1491" s="1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20"/>
      <c r="M1492" s="1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20"/>
      <c r="M1493" s="1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20"/>
      <c r="M1494" s="1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20"/>
      <c r="M1495" s="1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20"/>
      <c r="M1496" s="1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20"/>
      <c r="M1497" s="1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20"/>
      <c r="M1498" s="1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20"/>
      <c r="M1499" s="1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20"/>
      <c r="M1500" s="1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20"/>
      <c r="M1501" s="1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20"/>
      <c r="M1502" s="1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20"/>
      <c r="M1503" s="1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20"/>
      <c r="M1504" s="1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20"/>
      <c r="M1505" s="1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20"/>
      <c r="M1506" s="1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20"/>
      <c r="M1507" s="1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20"/>
      <c r="M1508" s="1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20"/>
      <c r="M1509" s="1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20"/>
      <c r="M1510" s="1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20"/>
      <c r="M1511" s="1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20"/>
      <c r="M1512" s="1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20"/>
      <c r="M1513" s="1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20"/>
      <c r="M1514" s="1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20"/>
      <c r="M1515" s="1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20"/>
      <c r="M1516" s="1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20"/>
      <c r="M1517" s="1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20"/>
      <c r="M1518" s="1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20"/>
      <c r="M1519" s="1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20"/>
      <c r="M1520" s="1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20"/>
      <c r="M1521" s="1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20"/>
      <c r="M1522" s="1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20"/>
      <c r="M1523" s="1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20"/>
      <c r="M1524" s="1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20"/>
      <c r="M1525" s="1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20"/>
      <c r="M1526" s="1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20"/>
      <c r="M1527" s="1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20"/>
      <c r="M1528" s="1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20"/>
      <c r="M1529" s="1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</sheetData>
  <mergeCells count="18">
    <mergeCell ref="A176:C176"/>
    <mergeCell ref="A3:C3"/>
    <mergeCell ref="A41:C41"/>
    <mergeCell ref="A74:C74"/>
    <mergeCell ref="A101:C101"/>
    <mergeCell ref="A147:C147"/>
    <mergeCell ref="A644:B644"/>
    <mergeCell ref="A210:C210"/>
    <mergeCell ref="A245:C245"/>
    <mergeCell ref="A282:C282"/>
    <mergeCell ref="I282:K282"/>
    <mergeCell ref="A437:C437"/>
    <mergeCell ref="I437:K437"/>
    <mergeCell ref="A495:C495"/>
    <mergeCell ref="A560:C560"/>
    <mergeCell ref="I560:K560"/>
    <mergeCell ref="A598:C598"/>
    <mergeCell ref="A610:C610"/>
  </mergeCells>
  <conditionalFormatting sqref="L1:L1529">
    <cfRule type="cellIs" dxfId="28" priority="3" operator="greaterThanOrEqual">
      <formula>"30%"</formula>
    </cfRule>
    <cfRule type="cellIs" dxfId="27" priority="4" operator="between">
      <formula>"25%"</formula>
      <formula>"30%"</formula>
    </cfRule>
    <cfRule type="cellIs" dxfId="26" priority="5" operator="lessThan">
      <formula>"25%"</formula>
    </cfRule>
  </conditionalFormatting>
  <conditionalFormatting sqref="L437:L459">
    <cfRule type="cellIs" dxfId="25" priority="2" operator="greaterThanOrEqual">
      <formula>"30%"</formula>
    </cfRule>
  </conditionalFormatting>
  <conditionalFormatting sqref="L598:L606 L610:L621">
    <cfRule type="cellIs" dxfId="24" priority="1" operator="greaterThan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719C-50A1-E44C-8E96-18D3B870F7C6}">
  <sheetPr>
    <outlinePr summaryBelow="0" summaryRight="0"/>
  </sheetPr>
  <dimension ref="A1:Z374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8" max="8" width="14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6" t="s">
        <v>119</v>
      </c>
      <c r="B2" s="1"/>
      <c r="C2" s="1"/>
      <c r="D2" s="22" t="s">
        <v>1142</v>
      </c>
      <c r="E2" s="8">
        <v>46139</v>
      </c>
      <c r="F2" s="24" t="s">
        <v>37</v>
      </c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2"/>
      <c r="C3" s="4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6" t="s">
        <v>3</v>
      </c>
      <c r="B4" s="10" t="s">
        <v>4</v>
      </c>
      <c r="C4" s="11" t="s">
        <v>5</v>
      </c>
      <c r="D4" s="10" t="s">
        <v>6</v>
      </c>
      <c r="E4" s="10" t="s">
        <v>7</v>
      </c>
      <c r="F4" s="2"/>
      <c r="G4" s="2"/>
      <c r="H4" s="2"/>
      <c r="I4" s="10" t="s">
        <v>6</v>
      </c>
      <c r="J4" s="10" t="s">
        <v>7</v>
      </c>
      <c r="K4" s="10" t="s">
        <v>10</v>
      </c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12">
        <v>2</v>
      </c>
      <c r="B5" s="10" t="s">
        <v>17</v>
      </c>
      <c r="C5" s="11" t="s">
        <v>62</v>
      </c>
      <c r="D5" s="13">
        <v>2800</v>
      </c>
      <c r="E5" s="13">
        <f t="shared" ref="E5:E17" si="0">A5*D5</f>
        <v>5600</v>
      </c>
      <c r="F5" s="2"/>
      <c r="G5" s="2"/>
      <c r="H5" s="2"/>
      <c r="I5" s="13">
        <f>27000/17</f>
        <v>1588.2352941176471</v>
      </c>
      <c r="J5" s="13">
        <f t="shared" ref="J5:J17" si="1">I5*A5</f>
        <v>3176.4705882352941</v>
      </c>
      <c r="K5" s="13">
        <f t="shared" ref="K5:K17" si="2">E5-J5</f>
        <v>2423.5294117647059</v>
      </c>
      <c r="L5" s="14">
        <f t="shared" ref="L5:L17" si="3">K5/E5</f>
        <v>0.4327731092436975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1</v>
      </c>
      <c r="B6" s="10" t="s">
        <v>15</v>
      </c>
      <c r="C6" s="11" t="s">
        <v>56</v>
      </c>
      <c r="D6" s="13">
        <v>14000</v>
      </c>
      <c r="E6" s="13">
        <f t="shared" si="0"/>
        <v>14000</v>
      </c>
      <c r="F6" s="2"/>
      <c r="G6" s="7" t="s">
        <v>37</v>
      </c>
      <c r="H6" s="2"/>
      <c r="I6" s="13">
        <v>9200</v>
      </c>
      <c r="J6" s="13">
        <f t="shared" si="1"/>
        <v>9200</v>
      </c>
      <c r="K6" s="13">
        <f t="shared" si="2"/>
        <v>4800</v>
      </c>
      <c r="L6" s="14">
        <f t="shared" si="3"/>
        <v>0.34285714285714286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23</v>
      </c>
      <c r="C7" s="11" t="s">
        <v>22</v>
      </c>
      <c r="D7" s="13">
        <v>12000</v>
      </c>
      <c r="E7" s="13">
        <f t="shared" si="0"/>
        <v>12000</v>
      </c>
      <c r="F7" s="2"/>
      <c r="G7" s="2"/>
      <c r="H7" s="2"/>
      <c r="I7" s="13">
        <v>7000</v>
      </c>
      <c r="J7" s="13">
        <f t="shared" si="1"/>
        <v>7000</v>
      </c>
      <c r="K7" s="13">
        <f t="shared" si="2"/>
        <v>5000</v>
      </c>
      <c r="L7" s="36">
        <f t="shared" si="3"/>
        <v>0.41666666666666669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2</v>
      </c>
      <c r="B8" s="10" t="s">
        <v>17</v>
      </c>
      <c r="C8" s="11" t="s">
        <v>89</v>
      </c>
      <c r="D8" s="13">
        <v>16500</v>
      </c>
      <c r="E8" s="13">
        <f t="shared" si="0"/>
        <v>33000</v>
      </c>
      <c r="F8" s="2"/>
      <c r="G8" s="7" t="s">
        <v>37</v>
      </c>
      <c r="H8" s="2"/>
      <c r="I8" s="13">
        <f>58000/4</f>
        <v>14500</v>
      </c>
      <c r="J8" s="13">
        <f t="shared" si="1"/>
        <v>29000</v>
      </c>
      <c r="K8" s="13">
        <f t="shared" si="2"/>
        <v>4000</v>
      </c>
      <c r="L8" s="36">
        <f t="shared" si="3"/>
        <v>0.12121212121212122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2.5</v>
      </c>
      <c r="B9" s="10" t="s">
        <v>23</v>
      </c>
      <c r="C9" s="11" t="s">
        <v>85</v>
      </c>
      <c r="D9" s="13">
        <v>55000</v>
      </c>
      <c r="E9" s="13">
        <f t="shared" si="0"/>
        <v>137500</v>
      </c>
      <c r="F9" s="2"/>
      <c r="G9" s="2"/>
      <c r="H9" s="2"/>
      <c r="I9" s="13">
        <v>50000</v>
      </c>
      <c r="J9" s="13">
        <f t="shared" si="1"/>
        <v>125000</v>
      </c>
      <c r="K9" s="13">
        <f t="shared" si="2"/>
        <v>12500</v>
      </c>
      <c r="L9" s="36">
        <f t="shared" si="3"/>
        <v>9.0909090909090912E-2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1</v>
      </c>
      <c r="B10" s="10" t="s">
        <v>17</v>
      </c>
      <c r="C10" s="11" t="s">
        <v>90</v>
      </c>
      <c r="D10" s="13">
        <v>8000</v>
      </c>
      <c r="E10" s="13">
        <f t="shared" si="0"/>
        <v>8000</v>
      </c>
      <c r="F10" s="2"/>
      <c r="G10" s="2"/>
      <c r="H10" s="2"/>
      <c r="I10" s="13">
        <f>35000/7</f>
        <v>5000</v>
      </c>
      <c r="J10" s="13">
        <f t="shared" si="1"/>
        <v>5000</v>
      </c>
      <c r="K10" s="13">
        <f t="shared" si="2"/>
        <v>3000</v>
      </c>
      <c r="L10" s="18">
        <f t="shared" si="3"/>
        <v>0.375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2</v>
      </c>
      <c r="B11" s="10" t="s">
        <v>17</v>
      </c>
      <c r="C11" s="11" t="s">
        <v>113</v>
      </c>
      <c r="D11" s="13">
        <v>4000</v>
      </c>
      <c r="E11" s="13">
        <f t="shared" si="0"/>
        <v>8000</v>
      </c>
      <c r="F11" s="2"/>
      <c r="G11" s="2"/>
      <c r="H11" s="2"/>
      <c r="I11" s="13">
        <v>2000</v>
      </c>
      <c r="J11" s="13">
        <f t="shared" si="1"/>
        <v>4000</v>
      </c>
      <c r="K11" s="13">
        <f t="shared" si="2"/>
        <v>4000</v>
      </c>
      <c r="L11" s="36">
        <f t="shared" si="3"/>
        <v>0.5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1</v>
      </c>
      <c r="B12" s="10" t="s">
        <v>17</v>
      </c>
      <c r="C12" s="11" t="s">
        <v>190</v>
      </c>
      <c r="D12" s="13">
        <v>4000</v>
      </c>
      <c r="E12" s="13">
        <f t="shared" si="0"/>
        <v>4000</v>
      </c>
      <c r="F12" s="2"/>
      <c r="G12" s="2"/>
      <c r="H12" s="2"/>
      <c r="I12" s="13">
        <f>47000/17</f>
        <v>2764.705882352941</v>
      </c>
      <c r="J12" s="13">
        <f t="shared" si="1"/>
        <v>2764.705882352941</v>
      </c>
      <c r="K12" s="13">
        <f t="shared" si="2"/>
        <v>1235.294117647059</v>
      </c>
      <c r="L12" s="18">
        <f t="shared" si="3"/>
        <v>0.30882352941176477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</v>
      </c>
      <c r="B13" s="10" t="s">
        <v>23</v>
      </c>
      <c r="C13" s="11" t="s">
        <v>26</v>
      </c>
      <c r="D13" s="13">
        <v>18000</v>
      </c>
      <c r="E13" s="13">
        <f t="shared" si="0"/>
        <v>18000</v>
      </c>
      <c r="F13" s="2"/>
      <c r="G13" s="2"/>
      <c r="H13" s="2"/>
      <c r="I13" s="13">
        <v>13600</v>
      </c>
      <c r="J13" s="13">
        <f t="shared" si="1"/>
        <v>13600</v>
      </c>
      <c r="K13" s="13">
        <f t="shared" si="2"/>
        <v>4400</v>
      </c>
      <c r="L13" s="36">
        <f t="shared" si="3"/>
        <v>0.24444444444444444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15</v>
      </c>
      <c r="B14" s="10" t="s">
        <v>4</v>
      </c>
      <c r="C14" s="84" t="s">
        <v>1143</v>
      </c>
      <c r="D14" s="13">
        <v>0</v>
      </c>
      <c r="E14" s="13">
        <f t="shared" si="0"/>
        <v>0</v>
      </c>
      <c r="F14" s="7" t="s">
        <v>1144</v>
      </c>
      <c r="G14" s="2"/>
      <c r="H14" s="2"/>
      <c r="I14" s="13">
        <v>100</v>
      </c>
      <c r="J14" s="13">
        <f t="shared" si="1"/>
        <v>1500</v>
      </c>
      <c r="K14" s="13">
        <f t="shared" si="2"/>
        <v>-1500</v>
      </c>
      <c r="L14" s="36" t="e">
        <f t="shared" si="3"/>
        <v>#DIV/0!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5</v>
      </c>
      <c r="B15" s="10" t="s">
        <v>17</v>
      </c>
      <c r="C15" s="11" t="s">
        <v>154</v>
      </c>
      <c r="D15" s="13">
        <v>1800</v>
      </c>
      <c r="E15" s="13">
        <f t="shared" si="0"/>
        <v>9000</v>
      </c>
      <c r="F15" s="2"/>
      <c r="G15" s="2"/>
      <c r="H15" s="2"/>
      <c r="I15" s="13">
        <f>18000/17</f>
        <v>1058.8235294117646</v>
      </c>
      <c r="J15" s="13">
        <f t="shared" si="1"/>
        <v>5294.1176470588234</v>
      </c>
      <c r="K15" s="13">
        <f t="shared" si="2"/>
        <v>3705.8823529411766</v>
      </c>
      <c r="L15" s="36">
        <f t="shared" si="3"/>
        <v>0.41176470588235298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23</v>
      </c>
      <c r="C16" s="11" t="s">
        <v>81</v>
      </c>
      <c r="D16" s="13">
        <v>22000</v>
      </c>
      <c r="E16" s="13">
        <f t="shared" si="0"/>
        <v>22000</v>
      </c>
      <c r="F16" s="2"/>
      <c r="G16" s="7"/>
      <c r="H16" s="2"/>
      <c r="I16" s="13">
        <v>16000</v>
      </c>
      <c r="J16" s="13">
        <f t="shared" si="1"/>
        <v>16000</v>
      </c>
      <c r="K16" s="13">
        <f t="shared" si="2"/>
        <v>6000</v>
      </c>
      <c r="L16" s="18">
        <f t="shared" si="3"/>
        <v>0.27272727272727271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3</v>
      </c>
      <c r="B17" s="10" t="s">
        <v>17</v>
      </c>
      <c r="C17" s="11" t="s">
        <v>1145</v>
      </c>
      <c r="D17" s="13">
        <v>1000</v>
      </c>
      <c r="E17" s="13">
        <f t="shared" si="0"/>
        <v>3000</v>
      </c>
      <c r="F17" s="2"/>
      <c r="G17" s="2"/>
      <c r="H17" s="2"/>
      <c r="I17" s="13">
        <f>8000/15</f>
        <v>533.33333333333337</v>
      </c>
      <c r="J17" s="13">
        <f t="shared" si="1"/>
        <v>1600</v>
      </c>
      <c r="K17" s="13">
        <f t="shared" si="2"/>
        <v>1400</v>
      </c>
      <c r="L17" s="36">
        <f t="shared" si="3"/>
        <v>0.46666666666666667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5"/>
      <c r="B18" s="2"/>
      <c r="C18" s="4"/>
      <c r="D18" s="2"/>
      <c r="E18" s="2"/>
      <c r="F18" s="2"/>
      <c r="G18" s="4"/>
      <c r="H18" s="2"/>
      <c r="I18" s="2"/>
      <c r="J18" s="2"/>
      <c r="K18" s="2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"/>
      <c r="B19" s="2"/>
      <c r="C19" s="4"/>
      <c r="D19" s="2"/>
      <c r="E19" s="13">
        <f>SUM(E5:E17)</f>
        <v>274100</v>
      </c>
      <c r="F19" s="2"/>
      <c r="G19" s="2"/>
      <c r="H19" s="2"/>
      <c r="I19" s="2"/>
      <c r="J19" s="2"/>
      <c r="K19" s="13">
        <f>SUM(K5:K17)</f>
        <v>50964.705882352937</v>
      </c>
      <c r="L19" s="14">
        <f>K19/E19</f>
        <v>0.18593471682726354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6" t="s">
        <v>121</v>
      </c>
      <c r="B22" s="1"/>
      <c r="C22" s="1"/>
      <c r="D22" s="22" t="s">
        <v>1146</v>
      </c>
      <c r="E22" s="8">
        <v>46139</v>
      </c>
      <c r="F22" s="24" t="s">
        <v>37</v>
      </c>
      <c r="G22" s="2"/>
      <c r="H22" s="2"/>
      <c r="I22" s="2"/>
      <c r="J22" s="2"/>
      <c r="K22" s="2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2"/>
      <c r="C23" s="4"/>
      <c r="D23" s="2"/>
      <c r="E23" s="2"/>
      <c r="F23" s="2"/>
      <c r="G23" s="2"/>
      <c r="H23" s="2"/>
      <c r="I23" s="2"/>
      <c r="J23" s="2"/>
      <c r="K23" s="2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6" t="s">
        <v>3</v>
      </c>
      <c r="B24" s="10" t="s">
        <v>4</v>
      </c>
      <c r="C24" s="11" t="s">
        <v>5</v>
      </c>
      <c r="D24" s="10" t="s">
        <v>6</v>
      </c>
      <c r="E24" s="10" t="s">
        <v>7</v>
      </c>
      <c r="F24" s="2"/>
      <c r="G24" s="2"/>
      <c r="H24" s="2"/>
      <c r="I24" s="10" t="s">
        <v>6</v>
      </c>
      <c r="J24" s="10" t="s">
        <v>7</v>
      </c>
      <c r="K24" s="10" t="s">
        <v>10</v>
      </c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1</v>
      </c>
      <c r="B25" s="10" t="s">
        <v>21</v>
      </c>
      <c r="C25" s="11" t="s">
        <v>51</v>
      </c>
      <c r="D25" s="13">
        <v>1500</v>
      </c>
      <c r="E25" s="13">
        <f t="shared" ref="E25:E47" si="4">A25*D25</f>
        <v>1500</v>
      </c>
      <c r="F25" s="7"/>
      <c r="G25" s="2"/>
      <c r="H25" s="2"/>
      <c r="I25" s="7">
        <f>20000/30</f>
        <v>666.66666666666663</v>
      </c>
      <c r="J25" s="13">
        <f t="shared" ref="J25:J47" si="5">I25*A25</f>
        <v>666.66666666666663</v>
      </c>
      <c r="K25" s="13">
        <f t="shared" ref="K25:K47" si="6">E25-J25</f>
        <v>833.33333333333337</v>
      </c>
      <c r="L25" s="14">
        <f t="shared" ref="L25:L47" si="7">K25/E25</f>
        <v>0.55555555555555558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1</v>
      </c>
      <c r="B26" s="10" t="s">
        <v>17</v>
      </c>
      <c r="C26" s="11" t="s">
        <v>62</v>
      </c>
      <c r="D26" s="13">
        <v>2800</v>
      </c>
      <c r="E26" s="13">
        <f t="shared" si="4"/>
        <v>2800</v>
      </c>
      <c r="F26" s="2"/>
      <c r="G26" s="2"/>
      <c r="H26" s="2"/>
      <c r="I26" s="13">
        <f>27000/17</f>
        <v>1588.2352941176471</v>
      </c>
      <c r="J26" s="13">
        <f t="shared" si="5"/>
        <v>1588.2352941176471</v>
      </c>
      <c r="K26" s="13">
        <f t="shared" si="6"/>
        <v>1211.7647058823529</v>
      </c>
      <c r="L26" s="14">
        <f t="shared" si="7"/>
        <v>0.4327731092436975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0.5</v>
      </c>
      <c r="B27" s="10" t="s">
        <v>17</v>
      </c>
      <c r="C27" s="11" t="s">
        <v>99</v>
      </c>
      <c r="D27" s="13">
        <v>1200</v>
      </c>
      <c r="E27" s="13">
        <f t="shared" si="4"/>
        <v>600</v>
      </c>
      <c r="F27" s="2"/>
      <c r="G27" s="2"/>
      <c r="H27" s="2"/>
      <c r="I27" s="13">
        <f>5000/8</f>
        <v>625</v>
      </c>
      <c r="J27" s="13">
        <f t="shared" si="5"/>
        <v>312.5</v>
      </c>
      <c r="K27" s="13">
        <f t="shared" si="6"/>
        <v>287.5</v>
      </c>
      <c r="L27" s="14">
        <f t="shared" si="7"/>
        <v>0.47916666666666669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1</v>
      </c>
      <c r="B28" s="10" t="s">
        <v>17</v>
      </c>
      <c r="C28" s="11" t="s">
        <v>77</v>
      </c>
      <c r="D28" s="13">
        <v>2800</v>
      </c>
      <c r="E28" s="13">
        <f t="shared" si="4"/>
        <v>2800</v>
      </c>
      <c r="F28" s="2"/>
      <c r="G28" s="2"/>
      <c r="H28" s="2"/>
      <c r="I28" s="13">
        <f>20000/11</f>
        <v>1818.1818181818182</v>
      </c>
      <c r="J28" s="13">
        <f t="shared" si="5"/>
        <v>1818.1818181818182</v>
      </c>
      <c r="K28" s="13">
        <f t="shared" si="6"/>
        <v>981.81818181818176</v>
      </c>
      <c r="L28" s="14">
        <f t="shared" si="7"/>
        <v>0.3506493506493506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0.5</v>
      </c>
      <c r="B29" s="10" t="s">
        <v>17</v>
      </c>
      <c r="C29" s="11" t="s">
        <v>1147</v>
      </c>
      <c r="D29" s="13">
        <v>21000</v>
      </c>
      <c r="E29" s="13">
        <f t="shared" si="4"/>
        <v>10500</v>
      </c>
      <c r="F29" s="2"/>
      <c r="G29" s="2"/>
      <c r="H29" s="2"/>
      <c r="I29" s="13">
        <f>27000/1.5</f>
        <v>18000</v>
      </c>
      <c r="J29" s="13">
        <f t="shared" si="5"/>
        <v>9000</v>
      </c>
      <c r="K29" s="13">
        <f t="shared" si="6"/>
        <v>1500</v>
      </c>
      <c r="L29" s="14">
        <f t="shared" si="7"/>
        <v>0.14285714285714285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2</v>
      </c>
      <c r="B30" s="10" t="s">
        <v>17</v>
      </c>
      <c r="C30" s="11" t="s">
        <v>56</v>
      </c>
      <c r="D30" s="13">
        <v>1200</v>
      </c>
      <c r="E30" s="13">
        <f t="shared" si="4"/>
        <v>2400</v>
      </c>
      <c r="F30" s="2"/>
      <c r="G30" s="2"/>
      <c r="H30" s="2"/>
      <c r="I30" s="13">
        <f>9200/15</f>
        <v>613.33333333333337</v>
      </c>
      <c r="J30" s="13">
        <f t="shared" si="5"/>
        <v>1226.6666666666667</v>
      </c>
      <c r="K30" s="13">
        <f t="shared" si="6"/>
        <v>1173.3333333333333</v>
      </c>
      <c r="L30" s="14">
        <f t="shared" si="7"/>
        <v>0.48888888888888887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0.5</v>
      </c>
      <c r="B31" s="10" t="s">
        <v>17</v>
      </c>
      <c r="C31" s="11" t="s">
        <v>89</v>
      </c>
      <c r="D31" s="13">
        <v>16500</v>
      </c>
      <c r="E31" s="13">
        <f t="shared" si="4"/>
        <v>8250</v>
      </c>
      <c r="F31" s="2"/>
      <c r="G31" s="2"/>
      <c r="H31" s="7" t="s">
        <v>1148</v>
      </c>
      <c r="I31" s="13">
        <v>16000</v>
      </c>
      <c r="J31" s="13">
        <f t="shared" si="5"/>
        <v>8000</v>
      </c>
      <c r="K31" s="13">
        <f t="shared" si="6"/>
        <v>250</v>
      </c>
      <c r="L31" s="14">
        <f t="shared" si="7"/>
        <v>3.0303030303030304E-2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0.5</v>
      </c>
      <c r="B32" s="10" t="s">
        <v>17</v>
      </c>
      <c r="C32" s="11" t="s">
        <v>90</v>
      </c>
      <c r="D32" s="13">
        <v>8000</v>
      </c>
      <c r="E32" s="13">
        <f t="shared" si="4"/>
        <v>4000</v>
      </c>
      <c r="F32" s="2"/>
      <c r="G32" s="2"/>
      <c r="H32" s="2"/>
      <c r="I32" s="13">
        <f>35000/7</f>
        <v>5000</v>
      </c>
      <c r="J32" s="13">
        <f t="shared" si="5"/>
        <v>2500</v>
      </c>
      <c r="K32" s="13">
        <f t="shared" si="6"/>
        <v>1500</v>
      </c>
      <c r="L32" s="14">
        <f t="shared" si="7"/>
        <v>0.375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1</v>
      </c>
      <c r="B33" s="10" t="s">
        <v>17</v>
      </c>
      <c r="C33" s="11" t="s">
        <v>31</v>
      </c>
      <c r="D33" s="13">
        <v>3000</v>
      </c>
      <c r="E33" s="13">
        <f t="shared" si="4"/>
        <v>3000</v>
      </c>
      <c r="F33" s="7"/>
      <c r="G33" s="2"/>
      <c r="H33" s="2"/>
      <c r="I33" s="13">
        <f>13500/7</f>
        <v>1928.5714285714287</v>
      </c>
      <c r="J33" s="13">
        <f t="shared" si="5"/>
        <v>1928.5714285714287</v>
      </c>
      <c r="K33" s="13">
        <f t="shared" si="6"/>
        <v>1071.4285714285713</v>
      </c>
      <c r="L33" s="14">
        <f t="shared" si="7"/>
        <v>0.3571428571428571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1</v>
      </c>
      <c r="B34" s="10" t="s">
        <v>17</v>
      </c>
      <c r="C34" s="11" t="s">
        <v>32</v>
      </c>
      <c r="D34" s="13">
        <v>2600</v>
      </c>
      <c r="E34" s="13">
        <f t="shared" si="4"/>
        <v>2600</v>
      </c>
      <c r="F34" s="7"/>
      <c r="G34" s="2"/>
      <c r="H34" s="2"/>
      <c r="I34" s="13">
        <f>12000/7</f>
        <v>1714.2857142857142</v>
      </c>
      <c r="J34" s="13">
        <f t="shared" si="5"/>
        <v>1714.2857142857142</v>
      </c>
      <c r="K34" s="13">
        <f t="shared" si="6"/>
        <v>885.71428571428578</v>
      </c>
      <c r="L34" s="14">
        <f t="shared" si="7"/>
        <v>0.34065934065934067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0.5</v>
      </c>
      <c r="B35" s="10" t="s">
        <v>17</v>
      </c>
      <c r="C35" s="11" t="s">
        <v>190</v>
      </c>
      <c r="D35" s="13">
        <v>4000</v>
      </c>
      <c r="E35" s="13">
        <f t="shared" si="4"/>
        <v>2000</v>
      </c>
      <c r="F35" s="2"/>
      <c r="G35" s="2"/>
      <c r="H35" s="2"/>
      <c r="I35" s="13">
        <f>47000/17</f>
        <v>2764.705882352941</v>
      </c>
      <c r="J35" s="13">
        <f t="shared" si="5"/>
        <v>1382.3529411764705</v>
      </c>
      <c r="K35" s="13">
        <f t="shared" si="6"/>
        <v>617.64705882352951</v>
      </c>
      <c r="L35" s="14">
        <f t="shared" si="7"/>
        <v>0.30882352941176477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</v>
      </c>
      <c r="B36" s="10" t="s">
        <v>23</v>
      </c>
      <c r="C36" s="11" t="s">
        <v>26</v>
      </c>
      <c r="D36" s="13">
        <v>18000</v>
      </c>
      <c r="E36" s="13">
        <f t="shared" si="4"/>
        <v>18000</v>
      </c>
      <c r="F36" s="2"/>
      <c r="G36" s="2"/>
      <c r="H36" s="2"/>
      <c r="I36" s="13">
        <v>13600</v>
      </c>
      <c r="J36" s="13">
        <f t="shared" si="5"/>
        <v>13600</v>
      </c>
      <c r="K36" s="13">
        <f t="shared" si="6"/>
        <v>4400</v>
      </c>
      <c r="L36" s="14">
        <f t="shared" si="7"/>
        <v>0.24444444444444444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1</v>
      </c>
      <c r="B37" s="10" t="s">
        <v>21</v>
      </c>
      <c r="C37" s="11" t="s">
        <v>112</v>
      </c>
      <c r="D37" s="13">
        <v>3000</v>
      </c>
      <c r="E37" s="13">
        <f t="shared" si="4"/>
        <v>3000</v>
      </c>
      <c r="F37" s="2"/>
      <c r="G37" s="2"/>
      <c r="H37" s="2"/>
      <c r="I37" s="13">
        <v>2000</v>
      </c>
      <c r="J37" s="13">
        <f t="shared" si="5"/>
        <v>2000</v>
      </c>
      <c r="K37" s="13">
        <f t="shared" si="6"/>
        <v>1000</v>
      </c>
      <c r="L37" s="14">
        <f t="shared" si="7"/>
        <v>0.33333333333333331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12</v>
      </c>
      <c r="B38" s="10" t="s">
        <v>4</v>
      </c>
      <c r="C38" s="84" t="s">
        <v>1143</v>
      </c>
      <c r="D38" s="13">
        <v>0</v>
      </c>
      <c r="E38" s="13">
        <f t="shared" si="4"/>
        <v>0</v>
      </c>
      <c r="F38" s="7" t="s">
        <v>1144</v>
      </c>
      <c r="G38" s="7" t="s">
        <v>37</v>
      </c>
      <c r="H38" s="2"/>
      <c r="I38" s="13">
        <v>100</v>
      </c>
      <c r="J38" s="13">
        <f t="shared" si="5"/>
        <v>1200</v>
      </c>
      <c r="K38" s="13">
        <f t="shared" si="6"/>
        <v>-1200</v>
      </c>
      <c r="L38" s="14" t="e">
        <f t="shared" si="7"/>
        <v>#DIV/0!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1</v>
      </c>
      <c r="B39" s="10" t="s">
        <v>17</v>
      </c>
      <c r="C39" s="11" t="s">
        <v>154</v>
      </c>
      <c r="D39" s="13">
        <v>1800</v>
      </c>
      <c r="E39" s="13">
        <f t="shared" si="4"/>
        <v>1800</v>
      </c>
      <c r="F39" s="2"/>
      <c r="G39" s="2"/>
      <c r="H39" s="2"/>
      <c r="I39" s="13">
        <f>18000/17</f>
        <v>1058.8235294117646</v>
      </c>
      <c r="J39" s="13">
        <f t="shared" si="5"/>
        <v>1058.8235294117646</v>
      </c>
      <c r="K39" s="13">
        <f t="shared" si="6"/>
        <v>741.17647058823536</v>
      </c>
      <c r="L39" s="14">
        <f t="shared" si="7"/>
        <v>0.41176470588235298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2">
        <v>1</v>
      </c>
      <c r="B40" s="10" t="s">
        <v>17</v>
      </c>
      <c r="C40" s="11" t="s">
        <v>123</v>
      </c>
      <c r="D40" s="13">
        <v>2800</v>
      </c>
      <c r="E40" s="13">
        <f t="shared" si="4"/>
        <v>2800</v>
      </c>
      <c r="F40" s="2"/>
      <c r="G40" s="2"/>
      <c r="H40" s="2"/>
      <c r="I40" s="13">
        <f>28000/15</f>
        <v>1866.6666666666667</v>
      </c>
      <c r="J40" s="13">
        <f t="shared" si="5"/>
        <v>1866.6666666666667</v>
      </c>
      <c r="K40" s="13">
        <f t="shared" si="6"/>
        <v>933.33333333333326</v>
      </c>
      <c r="L40" s="14">
        <f t="shared" si="7"/>
        <v>0.33333333333333331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2">
        <v>0.3</v>
      </c>
      <c r="B41" s="10" t="s">
        <v>17</v>
      </c>
      <c r="C41" s="11" t="s">
        <v>30</v>
      </c>
      <c r="D41" s="13">
        <v>2500</v>
      </c>
      <c r="E41" s="13">
        <f t="shared" si="4"/>
        <v>750</v>
      </c>
      <c r="F41" s="2"/>
      <c r="G41" s="2"/>
      <c r="H41" s="2"/>
      <c r="I41" s="13">
        <f>20000/14</f>
        <v>1428.5714285714287</v>
      </c>
      <c r="J41" s="13">
        <f t="shared" si="5"/>
        <v>428.57142857142861</v>
      </c>
      <c r="K41" s="13">
        <f t="shared" si="6"/>
        <v>321.42857142857139</v>
      </c>
      <c r="L41" s="14">
        <f t="shared" si="7"/>
        <v>0.42857142857142849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2">
        <v>3</v>
      </c>
      <c r="B42" s="10" t="s">
        <v>21</v>
      </c>
      <c r="C42" s="11" t="s">
        <v>1078</v>
      </c>
      <c r="D42" s="13">
        <v>1000</v>
      </c>
      <c r="E42" s="13">
        <f t="shared" si="4"/>
        <v>3000</v>
      </c>
      <c r="F42" s="2"/>
      <c r="G42" s="2"/>
      <c r="H42" s="2"/>
      <c r="I42" s="13">
        <v>500</v>
      </c>
      <c r="J42" s="13">
        <f t="shared" si="5"/>
        <v>1500</v>
      </c>
      <c r="K42" s="13">
        <f t="shared" si="6"/>
        <v>1500</v>
      </c>
      <c r="L42" s="14">
        <f t="shared" si="7"/>
        <v>0.5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1</v>
      </c>
      <c r="B43" s="10" t="s">
        <v>21</v>
      </c>
      <c r="C43" s="11" t="s">
        <v>1041</v>
      </c>
      <c r="D43" s="13">
        <v>3000</v>
      </c>
      <c r="E43" s="13">
        <f t="shared" si="4"/>
        <v>3000</v>
      </c>
      <c r="F43" s="2"/>
      <c r="G43" s="2"/>
      <c r="H43" s="2"/>
      <c r="I43" s="13">
        <v>2000</v>
      </c>
      <c r="J43" s="13">
        <f t="shared" si="5"/>
        <v>2000</v>
      </c>
      <c r="K43" s="13">
        <f t="shared" si="6"/>
        <v>1000</v>
      </c>
      <c r="L43" s="14">
        <f t="shared" si="7"/>
        <v>0.33333333333333331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2</v>
      </c>
      <c r="B44" s="10" t="s">
        <v>17</v>
      </c>
      <c r="C44" s="11" t="s">
        <v>81</v>
      </c>
      <c r="D44" s="13">
        <v>1800</v>
      </c>
      <c r="E44" s="13">
        <f t="shared" si="4"/>
        <v>3600</v>
      </c>
      <c r="F44" s="2"/>
      <c r="G44" s="2"/>
      <c r="H44" s="2"/>
      <c r="I44" s="13">
        <f>16000/15</f>
        <v>1066.6666666666667</v>
      </c>
      <c r="J44" s="13">
        <f t="shared" si="5"/>
        <v>2133.3333333333335</v>
      </c>
      <c r="K44" s="13">
        <f t="shared" si="6"/>
        <v>1466.6666666666665</v>
      </c>
      <c r="L44" s="14">
        <f t="shared" si="7"/>
        <v>0.40740740740740738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0.5</v>
      </c>
      <c r="B45" s="10" t="s">
        <v>17</v>
      </c>
      <c r="C45" s="11" t="s">
        <v>1085</v>
      </c>
      <c r="D45" s="13">
        <v>5000</v>
      </c>
      <c r="E45" s="13">
        <f t="shared" si="4"/>
        <v>2500</v>
      </c>
      <c r="F45" s="2"/>
      <c r="G45" s="2"/>
      <c r="H45" s="2"/>
      <c r="I45" s="13">
        <v>4000</v>
      </c>
      <c r="J45" s="13">
        <f t="shared" si="5"/>
        <v>2000</v>
      </c>
      <c r="K45" s="13">
        <f t="shared" si="6"/>
        <v>500</v>
      </c>
      <c r="L45" s="14">
        <f t="shared" si="7"/>
        <v>0.2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1</v>
      </c>
      <c r="B46" s="10" t="s">
        <v>15</v>
      </c>
      <c r="C46" s="11" t="s">
        <v>40</v>
      </c>
      <c r="D46" s="13">
        <v>12000</v>
      </c>
      <c r="E46" s="13">
        <f t="shared" si="4"/>
        <v>12000</v>
      </c>
      <c r="F46" s="2"/>
      <c r="G46" s="2"/>
      <c r="H46" s="2"/>
      <c r="I46" s="13">
        <v>8000</v>
      </c>
      <c r="J46" s="13">
        <f t="shared" si="5"/>
        <v>8000</v>
      </c>
      <c r="K46" s="13">
        <f t="shared" si="6"/>
        <v>4000</v>
      </c>
      <c r="L46" s="14">
        <f t="shared" si="7"/>
        <v>0.33333333333333331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1</v>
      </c>
      <c r="B47" s="10" t="s">
        <v>17</v>
      </c>
      <c r="C47" s="11" t="s">
        <v>61</v>
      </c>
      <c r="D47" s="13">
        <v>2800</v>
      </c>
      <c r="E47" s="13">
        <f t="shared" si="4"/>
        <v>2800</v>
      </c>
      <c r="F47" s="2"/>
      <c r="G47" s="2"/>
      <c r="H47" s="2"/>
      <c r="I47" s="13">
        <f>24000/14</f>
        <v>1714.2857142857142</v>
      </c>
      <c r="J47" s="13">
        <f t="shared" si="5"/>
        <v>1714.2857142857142</v>
      </c>
      <c r="K47" s="13">
        <f t="shared" si="6"/>
        <v>1085.7142857142858</v>
      </c>
      <c r="L47" s="14">
        <f t="shared" si="7"/>
        <v>0.38775510204081637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5"/>
      <c r="B48" s="2"/>
      <c r="C48" s="4"/>
      <c r="D48" s="2"/>
      <c r="E48" s="2"/>
      <c r="F48" s="2"/>
      <c r="G48" s="4"/>
      <c r="H48" s="2"/>
      <c r="I48" s="2"/>
      <c r="J48" s="2"/>
      <c r="K48" s="2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"/>
      <c r="B49" s="2"/>
      <c r="C49" s="4"/>
      <c r="D49" s="2"/>
      <c r="E49" s="13">
        <f>SUM(E25:E47)</f>
        <v>93700</v>
      </c>
      <c r="F49" s="2"/>
      <c r="G49" s="2"/>
      <c r="H49" s="2"/>
      <c r="I49" s="2"/>
      <c r="J49" s="2"/>
      <c r="K49" s="13">
        <f>SUM(K25:K47)</f>
        <v>26060.858798064684</v>
      </c>
      <c r="L49" s="14">
        <f>K49/E49</f>
        <v>0.278130830288844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0"/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0"/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0"/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6" t="s">
        <v>116</v>
      </c>
      <c r="B53" s="1"/>
      <c r="C53" s="1"/>
      <c r="D53" s="22" t="s">
        <v>1149</v>
      </c>
      <c r="E53" s="8">
        <v>46139</v>
      </c>
      <c r="F53" s="24" t="s">
        <v>37</v>
      </c>
      <c r="G53" s="2"/>
      <c r="H53" s="2"/>
      <c r="I53" s="2"/>
      <c r="J53" s="2"/>
      <c r="K53" s="2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2"/>
      <c r="C54" s="4"/>
      <c r="D54" s="2"/>
      <c r="E54" s="2"/>
      <c r="F54" s="2"/>
      <c r="G54" s="2"/>
      <c r="H54" s="2"/>
      <c r="I54" s="2"/>
      <c r="J54" s="2"/>
      <c r="K54" s="2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6" t="s">
        <v>3</v>
      </c>
      <c r="B55" s="10" t="s">
        <v>4</v>
      </c>
      <c r="C55" s="11" t="s">
        <v>5</v>
      </c>
      <c r="D55" s="10" t="s">
        <v>6</v>
      </c>
      <c r="E55" s="10" t="s">
        <v>7</v>
      </c>
      <c r="F55" s="2"/>
      <c r="G55" s="2"/>
      <c r="H55" s="2"/>
      <c r="I55" s="10" t="s">
        <v>6</v>
      </c>
      <c r="J55" s="10" t="s">
        <v>7</v>
      </c>
      <c r="K55" s="10" t="s">
        <v>10</v>
      </c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1</v>
      </c>
      <c r="B56" s="10" t="s">
        <v>23</v>
      </c>
      <c r="C56" s="11" t="s">
        <v>46</v>
      </c>
      <c r="D56" s="13">
        <v>18000</v>
      </c>
      <c r="E56" s="13">
        <f t="shared" ref="E56:E75" si="8">A56*D56</f>
        <v>18000</v>
      </c>
      <c r="F56" s="2"/>
      <c r="G56" s="2"/>
      <c r="H56" s="2"/>
      <c r="I56" s="13">
        <v>14000</v>
      </c>
      <c r="J56" s="13">
        <f t="shared" ref="J56:J75" si="9">I56*A56</f>
        <v>14000</v>
      </c>
      <c r="K56" s="13">
        <f t="shared" ref="K56:K75" si="10">E56-J56</f>
        <v>4000</v>
      </c>
      <c r="L56" s="14">
        <f t="shared" ref="L56:L75" si="11">K56/E56</f>
        <v>0.22222222222222221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0.5</v>
      </c>
      <c r="B57" s="10" t="s">
        <v>23</v>
      </c>
      <c r="C57" s="11" t="s">
        <v>110</v>
      </c>
      <c r="D57" s="13">
        <v>18000</v>
      </c>
      <c r="E57" s="13">
        <f t="shared" si="8"/>
        <v>9000</v>
      </c>
      <c r="F57" s="2"/>
      <c r="G57" s="2"/>
      <c r="H57" s="2"/>
      <c r="I57" s="13">
        <v>13000</v>
      </c>
      <c r="J57" s="13">
        <f t="shared" si="9"/>
        <v>6500</v>
      </c>
      <c r="K57" s="13">
        <f t="shared" si="10"/>
        <v>2500</v>
      </c>
      <c r="L57" s="14">
        <f t="shared" si="11"/>
        <v>0.27777777777777779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0.5</v>
      </c>
      <c r="B58" s="10" t="s">
        <v>23</v>
      </c>
      <c r="C58" s="11" t="s">
        <v>118</v>
      </c>
      <c r="D58" s="13">
        <v>14000</v>
      </c>
      <c r="E58" s="13">
        <f t="shared" si="8"/>
        <v>7000</v>
      </c>
      <c r="F58" s="2"/>
      <c r="G58" s="2"/>
      <c r="H58" s="2"/>
      <c r="I58" s="13">
        <v>9000</v>
      </c>
      <c r="J58" s="13">
        <f t="shared" si="9"/>
        <v>4500</v>
      </c>
      <c r="K58" s="13">
        <f t="shared" si="10"/>
        <v>2500</v>
      </c>
      <c r="L58" s="14">
        <f t="shared" si="11"/>
        <v>0.35714285714285715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0.5</v>
      </c>
      <c r="B59" s="10" t="s">
        <v>23</v>
      </c>
      <c r="C59" s="11" t="s">
        <v>85</v>
      </c>
      <c r="D59" s="13">
        <v>58000</v>
      </c>
      <c r="E59" s="13">
        <f t="shared" si="8"/>
        <v>29000</v>
      </c>
      <c r="F59" s="2"/>
      <c r="G59" s="2"/>
      <c r="H59" s="2"/>
      <c r="I59" s="13">
        <v>50000</v>
      </c>
      <c r="J59" s="13">
        <f t="shared" si="9"/>
        <v>25000</v>
      </c>
      <c r="K59" s="13">
        <f t="shared" si="10"/>
        <v>4000</v>
      </c>
      <c r="L59" s="14">
        <f t="shared" si="11"/>
        <v>0.13793103448275862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2</v>
      </c>
      <c r="B60" s="10" t="s">
        <v>15</v>
      </c>
      <c r="C60" s="11" t="s">
        <v>27</v>
      </c>
      <c r="D60" s="13">
        <v>24000</v>
      </c>
      <c r="E60" s="13">
        <f t="shared" si="8"/>
        <v>48000</v>
      </c>
      <c r="F60" s="2"/>
      <c r="G60" s="2"/>
      <c r="H60" s="2"/>
      <c r="I60" s="13">
        <v>18000</v>
      </c>
      <c r="J60" s="13">
        <f t="shared" si="9"/>
        <v>36000</v>
      </c>
      <c r="K60" s="13">
        <f t="shared" si="10"/>
        <v>12000</v>
      </c>
      <c r="L60" s="14">
        <f t="shared" si="11"/>
        <v>0.25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12</v>
      </c>
      <c r="B61" s="10" t="s">
        <v>4</v>
      </c>
      <c r="C61" s="11" t="s">
        <v>65</v>
      </c>
      <c r="D61" s="13">
        <v>1000</v>
      </c>
      <c r="E61" s="13">
        <f t="shared" si="8"/>
        <v>12000</v>
      </c>
      <c r="F61" s="2"/>
      <c r="G61" s="2"/>
      <c r="H61" s="2"/>
      <c r="I61" s="13">
        <v>100</v>
      </c>
      <c r="J61" s="13">
        <f t="shared" si="9"/>
        <v>1200</v>
      </c>
      <c r="K61" s="13">
        <f t="shared" si="10"/>
        <v>10800</v>
      </c>
      <c r="L61" s="14">
        <f t="shared" si="11"/>
        <v>0.9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1</v>
      </c>
      <c r="B62" s="10" t="s">
        <v>21</v>
      </c>
      <c r="C62" s="11" t="s">
        <v>151</v>
      </c>
      <c r="D62" s="13">
        <v>3500</v>
      </c>
      <c r="E62" s="13">
        <f t="shared" si="8"/>
        <v>3500</v>
      </c>
      <c r="F62" s="2"/>
      <c r="G62" s="2"/>
      <c r="H62" s="2"/>
      <c r="I62" s="13">
        <v>2500</v>
      </c>
      <c r="J62" s="13">
        <f t="shared" si="9"/>
        <v>2500</v>
      </c>
      <c r="K62" s="13">
        <f t="shared" si="10"/>
        <v>1000</v>
      </c>
      <c r="L62" s="14">
        <f t="shared" si="11"/>
        <v>0.2857142857142857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1</v>
      </c>
      <c r="B63" s="10" t="s">
        <v>21</v>
      </c>
      <c r="C63" s="11" t="s">
        <v>133</v>
      </c>
      <c r="D63" s="13">
        <v>3000</v>
      </c>
      <c r="E63" s="13">
        <f t="shared" si="8"/>
        <v>3000</v>
      </c>
      <c r="F63" s="2"/>
      <c r="G63" s="2"/>
      <c r="H63" s="2"/>
      <c r="I63" s="13">
        <f>3000/6</f>
        <v>500</v>
      </c>
      <c r="J63" s="13">
        <f t="shared" si="9"/>
        <v>500</v>
      </c>
      <c r="K63" s="13">
        <f t="shared" si="10"/>
        <v>2500</v>
      </c>
      <c r="L63" s="14">
        <f t="shared" si="11"/>
        <v>0.83333333333333337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3</v>
      </c>
      <c r="B64" s="10" t="s">
        <v>17</v>
      </c>
      <c r="C64" s="11" t="s">
        <v>31</v>
      </c>
      <c r="D64" s="13">
        <v>3000</v>
      </c>
      <c r="E64" s="13">
        <f t="shared" si="8"/>
        <v>9000</v>
      </c>
      <c r="F64" s="2"/>
      <c r="G64" s="2"/>
      <c r="H64" s="2"/>
      <c r="I64" s="13">
        <f>13500/7</f>
        <v>1928.5714285714287</v>
      </c>
      <c r="J64" s="13">
        <f t="shared" si="9"/>
        <v>5785.7142857142862</v>
      </c>
      <c r="K64" s="13">
        <f t="shared" si="10"/>
        <v>3214.2857142857138</v>
      </c>
      <c r="L64" s="14">
        <f t="shared" si="11"/>
        <v>0.3571428571428571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1</v>
      </c>
      <c r="B65" s="10" t="s">
        <v>21</v>
      </c>
      <c r="C65" s="11" t="s">
        <v>64</v>
      </c>
      <c r="D65" s="13">
        <v>2000</v>
      </c>
      <c r="E65" s="13">
        <f t="shared" si="8"/>
        <v>2000</v>
      </c>
      <c r="F65" s="2"/>
      <c r="G65" s="2"/>
      <c r="H65" s="2"/>
      <c r="I65" s="13">
        <v>1000</v>
      </c>
      <c r="J65" s="13">
        <f t="shared" si="9"/>
        <v>1000</v>
      </c>
      <c r="K65" s="13">
        <f t="shared" si="10"/>
        <v>1000</v>
      </c>
      <c r="L65" s="14">
        <f t="shared" si="11"/>
        <v>0.5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3</v>
      </c>
      <c r="B66" s="10" t="s">
        <v>17</v>
      </c>
      <c r="C66" s="11" t="s">
        <v>40</v>
      </c>
      <c r="D66" s="13">
        <v>1500</v>
      </c>
      <c r="E66" s="13">
        <f t="shared" si="8"/>
        <v>4500</v>
      </c>
      <c r="F66" s="2"/>
      <c r="G66" s="2"/>
      <c r="H66" s="2"/>
      <c r="I66" s="13">
        <v>1000</v>
      </c>
      <c r="J66" s="13">
        <f t="shared" si="9"/>
        <v>3000</v>
      </c>
      <c r="K66" s="13">
        <f t="shared" si="10"/>
        <v>1500</v>
      </c>
      <c r="L66" s="14">
        <f t="shared" si="11"/>
        <v>0.33333333333333331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6</v>
      </c>
      <c r="B67" s="10" t="s">
        <v>17</v>
      </c>
      <c r="C67" s="11" t="s">
        <v>39</v>
      </c>
      <c r="D67" s="13">
        <v>1800</v>
      </c>
      <c r="E67" s="13">
        <f t="shared" si="8"/>
        <v>10800</v>
      </c>
      <c r="F67" s="2"/>
      <c r="G67" s="2"/>
      <c r="H67" s="2"/>
      <c r="I67" s="13">
        <f>17600/15</f>
        <v>1173.3333333333333</v>
      </c>
      <c r="J67" s="13">
        <f t="shared" si="9"/>
        <v>7040</v>
      </c>
      <c r="K67" s="13">
        <f t="shared" si="10"/>
        <v>3760</v>
      </c>
      <c r="L67" s="14">
        <f t="shared" si="11"/>
        <v>0.34814814814814815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1</v>
      </c>
      <c r="B68" s="10" t="s">
        <v>15</v>
      </c>
      <c r="C68" s="11" t="s">
        <v>56</v>
      </c>
      <c r="D68" s="13">
        <v>14000</v>
      </c>
      <c r="E68" s="13">
        <f t="shared" si="8"/>
        <v>14000</v>
      </c>
      <c r="F68" s="2"/>
      <c r="G68" s="7"/>
      <c r="H68" s="2"/>
      <c r="I68" s="13">
        <v>9200</v>
      </c>
      <c r="J68" s="13">
        <f t="shared" si="9"/>
        <v>9200</v>
      </c>
      <c r="K68" s="13">
        <f t="shared" si="10"/>
        <v>4800</v>
      </c>
      <c r="L68" s="14">
        <f t="shared" si="11"/>
        <v>0.34285714285714286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3</v>
      </c>
      <c r="B69" s="10" t="s">
        <v>4</v>
      </c>
      <c r="C69" s="11" t="s">
        <v>13</v>
      </c>
      <c r="D69" s="13">
        <v>900</v>
      </c>
      <c r="E69" s="13">
        <f t="shared" si="8"/>
        <v>2700</v>
      </c>
      <c r="F69" s="2"/>
      <c r="G69" s="7"/>
      <c r="H69" s="2"/>
      <c r="I69" s="13">
        <v>460</v>
      </c>
      <c r="J69" s="13">
        <f t="shared" si="9"/>
        <v>1380</v>
      </c>
      <c r="K69" s="13">
        <f t="shared" si="10"/>
        <v>1320</v>
      </c>
      <c r="L69" s="14">
        <f t="shared" si="11"/>
        <v>0.48888888888888887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1</v>
      </c>
      <c r="B70" s="10" t="s">
        <v>17</v>
      </c>
      <c r="C70" s="11" t="s">
        <v>113</v>
      </c>
      <c r="D70" s="13">
        <v>4000</v>
      </c>
      <c r="E70" s="13">
        <f t="shared" si="8"/>
        <v>4000</v>
      </c>
      <c r="F70" s="2"/>
      <c r="G70" s="2"/>
      <c r="H70" s="2"/>
      <c r="I70" s="13">
        <v>2000</v>
      </c>
      <c r="J70" s="13">
        <f t="shared" si="9"/>
        <v>2000</v>
      </c>
      <c r="K70" s="13">
        <f t="shared" si="10"/>
        <v>2000</v>
      </c>
      <c r="L70" s="14">
        <f t="shared" si="11"/>
        <v>0.5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1</v>
      </c>
      <c r="B71" s="10" t="s">
        <v>4</v>
      </c>
      <c r="C71" s="11" t="s">
        <v>183</v>
      </c>
      <c r="D71" s="13">
        <v>6000</v>
      </c>
      <c r="E71" s="13">
        <f t="shared" si="8"/>
        <v>6000</v>
      </c>
      <c r="F71" s="2"/>
      <c r="G71" s="7"/>
      <c r="H71" s="2"/>
      <c r="I71" s="13">
        <v>4000</v>
      </c>
      <c r="J71" s="13">
        <f t="shared" si="9"/>
        <v>4000</v>
      </c>
      <c r="K71" s="13">
        <f t="shared" si="10"/>
        <v>2000</v>
      </c>
      <c r="L71" s="14">
        <f t="shared" si="11"/>
        <v>0.33333333333333331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1</v>
      </c>
      <c r="B72" s="10" t="s">
        <v>17</v>
      </c>
      <c r="C72" s="11" t="s">
        <v>55</v>
      </c>
      <c r="D72" s="13">
        <v>22000</v>
      </c>
      <c r="E72" s="13">
        <f t="shared" si="8"/>
        <v>22000</v>
      </c>
      <c r="F72" s="2"/>
      <c r="G72" s="2"/>
      <c r="H72" s="2"/>
      <c r="I72" s="13">
        <f>27000/1.5</f>
        <v>18000</v>
      </c>
      <c r="J72" s="13">
        <f t="shared" si="9"/>
        <v>18000</v>
      </c>
      <c r="K72" s="13">
        <f t="shared" si="10"/>
        <v>4000</v>
      </c>
      <c r="L72" s="14">
        <f t="shared" si="11"/>
        <v>0.18181818181818182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1</v>
      </c>
      <c r="B73" s="10" t="s">
        <v>17</v>
      </c>
      <c r="C73" s="11" t="s">
        <v>134</v>
      </c>
      <c r="D73" s="13">
        <v>24000</v>
      </c>
      <c r="E73" s="13">
        <f t="shared" si="8"/>
        <v>24000</v>
      </c>
      <c r="F73" s="2"/>
      <c r="G73" s="2"/>
      <c r="H73" s="2"/>
      <c r="I73" s="13">
        <v>20000</v>
      </c>
      <c r="J73" s="13">
        <f t="shared" si="9"/>
        <v>20000</v>
      </c>
      <c r="K73" s="13">
        <f t="shared" si="10"/>
        <v>4000</v>
      </c>
      <c r="L73" s="14">
        <f t="shared" si="11"/>
        <v>0.16666666666666666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4</v>
      </c>
      <c r="B74" s="10" t="s">
        <v>17</v>
      </c>
      <c r="C74" s="11" t="s">
        <v>88</v>
      </c>
      <c r="D74" s="13">
        <v>1800</v>
      </c>
      <c r="E74" s="13">
        <f t="shared" si="8"/>
        <v>7200</v>
      </c>
      <c r="F74" s="2"/>
      <c r="G74" s="2"/>
      <c r="H74" s="2"/>
      <c r="I74" s="13">
        <f>1000</f>
        <v>1000</v>
      </c>
      <c r="J74" s="13">
        <f t="shared" si="9"/>
        <v>4000</v>
      </c>
      <c r="K74" s="13">
        <f t="shared" si="10"/>
        <v>3200</v>
      </c>
      <c r="L74" s="14">
        <f t="shared" si="11"/>
        <v>0.44444444444444442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1</v>
      </c>
      <c r="B75" s="10" t="s">
        <v>21</v>
      </c>
      <c r="C75" s="11" t="s">
        <v>112</v>
      </c>
      <c r="D75" s="13">
        <v>3000</v>
      </c>
      <c r="E75" s="13">
        <f t="shared" si="8"/>
        <v>3000</v>
      </c>
      <c r="F75" s="2"/>
      <c r="G75" s="2"/>
      <c r="H75" s="2"/>
      <c r="I75" s="13">
        <v>2000</v>
      </c>
      <c r="J75" s="13">
        <f t="shared" si="9"/>
        <v>2000</v>
      </c>
      <c r="K75" s="13">
        <f t="shared" si="10"/>
        <v>1000</v>
      </c>
      <c r="L75" s="14">
        <f t="shared" si="11"/>
        <v>0.33333333333333331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"/>
      <c r="B76" s="2"/>
      <c r="C76" s="4"/>
      <c r="D76" s="2"/>
      <c r="E76" s="2"/>
      <c r="F76" s="2"/>
      <c r="G76" s="4"/>
      <c r="H76" s="2"/>
      <c r="I76" s="2"/>
      <c r="J76" s="2"/>
      <c r="K76" s="2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"/>
      <c r="B77" s="2"/>
      <c r="C77" s="4"/>
      <c r="D77" s="2"/>
      <c r="E77" s="13">
        <f>SUM(E56:E75)</f>
        <v>238700</v>
      </c>
      <c r="F77" s="2"/>
      <c r="G77" s="2"/>
      <c r="H77" s="2"/>
      <c r="I77" s="2"/>
      <c r="J77" s="2"/>
      <c r="K77" s="13">
        <f>SUM(K56:K75)</f>
        <v>71094.28571428571</v>
      </c>
      <c r="L77" s="14">
        <f>K77/E77</f>
        <v>0.29783948770123886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0"/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0"/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6" t="s">
        <v>149</v>
      </c>
      <c r="B80" s="1"/>
      <c r="C80" s="1"/>
      <c r="D80" s="22" t="s">
        <v>105</v>
      </c>
      <c r="E80" s="8">
        <v>46139</v>
      </c>
      <c r="F80" s="24" t="s">
        <v>37</v>
      </c>
      <c r="G80" s="2"/>
      <c r="H80" s="2"/>
      <c r="I80" s="2"/>
      <c r="J80" s="2"/>
      <c r="K80" s="2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2"/>
      <c r="C81" s="4"/>
      <c r="D81" s="2"/>
      <c r="E81" s="2"/>
      <c r="F81" s="2"/>
      <c r="G81" s="2"/>
      <c r="H81" s="2"/>
      <c r="I81" s="2"/>
      <c r="J81" s="2"/>
      <c r="K81" s="2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6" t="s">
        <v>3</v>
      </c>
      <c r="B82" s="10" t="s">
        <v>4</v>
      </c>
      <c r="C82" s="11" t="s">
        <v>5</v>
      </c>
      <c r="D82" s="10" t="s">
        <v>6</v>
      </c>
      <c r="E82" s="10" t="s">
        <v>7</v>
      </c>
      <c r="F82" s="2"/>
      <c r="G82" s="2"/>
      <c r="H82" s="2"/>
      <c r="I82" s="10" t="s">
        <v>6</v>
      </c>
      <c r="J82" s="10" t="s">
        <v>7</v>
      </c>
      <c r="K82" s="10" t="s">
        <v>10</v>
      </c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1</v>
      </c>
      <c r="B83" s="10" t="s">
        <v>23</v>
      </c>
      <c r="C83" s="11" t="s">
        <v>46</v>
      </c>
      <c r="D83" s="13">
        <v>18000</v>
      </c>
      <c r="E83" s="13">
        <f t="shared" ref="E83:E94" si="12">A83*D83</f>
        <v>18000</v>
      </c>
      <c r="F83" s="2"/>
      <c r="G83" s="2"/>
      <c r="H83" s="2"/>
      <c r="I83" s="13">
        <v>14000</v>
      </c>
      <c r="J83" s="13">
        <f t="shared" ref="J83:J94" si="13">I83*A83</f>
        <v>14000</v>
      </c>
      <c r="K83" s="13">
        <f t="shared" ref="K83:K94" si="14">E83-J83</f>
        <v>4000</v>
      </c>
      <c r="L83" s="14">
        <f t="shared" ref="L83:L94" si="15">K83/E83</f>
        <v>0.22222222222222221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1</v>
      </c>
      <c r="B84" s="10" t="s">
        <v>23</v>
      </c>
      <c r="C84" s="11" t="s">
        <v>110</v>
      </c>
      <c r="D84" s="13">
        <v>18000</v>
      </c>
      <c r="E84" s="13">
        <f t="shared" si="12"/>
        <v>18000</v>
      </c>
      <c r="F84" s="2"/>
      <c r="G84" s="2"/>
      <c r="H84" s="2"/>
      <c r="I84" s="13">
        <v>13000</v>
      </c>
      <c r="J84" s="13">
        <f t="shared" si="13"/>
        <v>13000</v>
      </c>
      <c r="K84" s="13">
        <f t="shared" si="14"/>
        <v>5000</v>
      </c>
      <c r="L84" s="14">
        <f t="shared" si="15"/>
        <v>0.27777777777777779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</v>
      </c>
      <c r="B85" s="10" t="s">
        <v>23</v>
      </c>
      <c r="C85" s="11" t="s">
        <v>118</v>
      </c>
      <c r="D85" s="13">
        <v>14000</v>
      </c>
      <c r="E85" s="13">
        <f t="shared" si="12"/>
        <v>14000</v>
      </c>
      <c r="F85" s="2"/>
      <c r="G85" s="2"/>
      <c r="H85" s="2"/>
      <c r="I85" s="13">
        <v>9000</v>
      </c>
      <c r="J85" s="13">
        <f t="shared" si="13"/>
        <v>9000</v>
      </c>
      <c r="K85" s="13">
        <f t="shared" si="14"/>
        <v>5000</v>
      </c>
      <c r="L85" s="14">
        <f t="shared" si="15"/>
        <v>0.35714285714285715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2</v>
      </c>
      <c r="B86" s="10" t="s">
        <v>21</v>
      </c>
      <c r="C86" s="11" t="s">
        <v>51</v>
      </c>
      <c r="D86" s="13">
        <v>1500</v>
      </c>
      <c r="E86" s="13">
        <f t="shared" si="12"/>
        <v>3000</v>
      </c>
      <c r="F86" s="2"/>
      <c r="G86" s="2"/>
      <c r="H86" s="2"/>
      <c r="I86" s="7">
        <f>20000/30</f>
        <v>666.66666666666663</v>
      </c>
      <c r="J86" s="13">
        <f t="shared" si="13"/>
        <v>1333.3333333333333</v>
      </c>
      <c r="K86" s="13">
        <f t="shared" si="14"/>
        <v>1666.6666666666667</v>
      </c>
      <c r="L86" s="14">
        <f t="shared" si="15"/>
        <v>0.55555555555555558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2">
        <v>4</v>
      </c>
      <c r="B87" s="10" t="s">
        <v>15</v>
      </c>
      <c r="C87" s="11" t="s">
        <v>27</v>
      </c>
      <c r="D87" s="13">
        <v>24000</v>
      </c>
      <c r="E87" s="13">
        <f t="shared" si="12"/>
        <v>96000</v>
      </c>
      <c r="F87" s="2"/>
      <c r="G87" s="2"/>
      <c r="H87" s="2"/>
      <c r="I87" s="13">
        <v>18000</v>
      </c>
      <c r="J87" s="13">
        <f t="shared" si="13"/>
        <v>72000</v>
      </c>
      <c r="K87" s="13">
        <f t="shared" si="14"/>
        <v>24000</v>
      </c>
      <c r="L87" s="14">
        <f t="shared" si="15"/>
        <v>0.25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1</v>
      </c>
      <c r="B88" s="10" t="s">
        <v>15</v>
      </c>
      <c r="C88" s="11" t="s">
        <v>56</v>
      </c>
      <c r="D88" s="13">
        <v>14000</v>
      </c>
      <c r="E88" s="13">
        <f t="shared" si="12"/>
        <v>14000</v>
      </c>
      <c r="F88" s="2"/>
      <c r="G88" s="2"/>
      <c r="H88" s="2"/>
      <c r="I88" s="13">
        <v>9200</v>
      </c>
      <c r="J88" s="13">
        <f t="shared" si="13"/>
        <v>9200</v>
      </c>
      <c r="K88" s="13">
        <f t="shared" si="14"/>
        <v>4800</v>
      </c>
      <c r="L88" s="14">
        <f t="shared" si="15"/>
        <v>0.34285714285714286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2</v>
      </c>
      <c r="B89" s="10" t="s">
        <v>17</v>
      </c>
      <c r="C89" s="11" t="s">
        <v>40</v>
      </c>
      <c r="D89" s="13">
        <v>1500</v>
      </c>
      <c r="E89" s="13">
        <f t="shared" si="12"/>
        <v>3000</v>
      </c>
      <c r="F89" s="2"/>
      <c r="G89" s="2"/>
      <c r="H89" s="2"/>
      <c r="I89" s="13">
        <v>1000</v>
      </c>
      <c r="J89" s="13">
        <f t="shared" si="13"/>
        <v>2000</v>
      </c>
      <c r="K89" s="13">
        <f t="shared" si="14"/>
        <v>1000</v>
      </c>
      <c r="L89" s="14">
        <f t="shared" si="15"/>
        <v>0.33333333333333331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21</v>
      </c>
      <c r="C90" s="11" t="s">
        <v>34</v>
      </c>
      <c r="D90" s="13">
        <v>5000</v>
      </c>
      <c r="E90" s="13">
        <f t="shared" si="12"/>
        <v>5000</v>
      </c>
      <c r="F90" s="2"/>
      <c r="G90" s="2"/>
      <c r="H90" s="2"/>
      <c r="I90" s="13">
        <v>2000</v>
      </c>
      <c r="J90" s="13">
        <f t="shared" si="13"/>
        <v>2000</v>
      </c>
      <c r="K90" s="13">
        <f t="shared" si="14"/>
        <v>3000</v>
      </c>
      <c r="L90" s="14">
        <f t="shared" si="15"/>
        <v>0.6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1</v>
      </c>
      <c r="B91" s="10" t="s">
        <v>21</v>
      </c>
      <c r="C91" s="11" t="s">
        <v>42</v>
      </c>
      <c r="D91" s="13">
        <v>4000</v>
      </c>
      <c r="E91" s="13">
        <f t="shared" si="12"/>
        <v>4000</v>
      </c>
      <c r="F91" s="2"/>
      <c r="G91" s="2"/>
      <c r="H91" s="2"/>
      <c r="I91" s="13">
        <v>2000</v>
      </c>
      <c r="J91" s="13">
        <f t="shared" si="13"/>
        <v>2000</v>
      </c>
      <c r="K91" s="13">
        <f t="shared" si="14"/>
        <v>2000</v>
      </c>
      <c r="L91" s="14">
        <f t="shared" si="15"/>
        <v>0.5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3</v>
      </c>
      <c r="B92" s="10" t="s">
        <v>17</v>
      </c>
      <c r="C92" s="11" t="s">
        <v>39</v>
      </c>
      <c r="D92" s="13">
        <v>1800</v>
      </c>
      <c r="E92" s="13">
        <f t="shared" si="12"/>
        <v>5400</v>
      </c>
      <c r="F92" s="2"/>
      <c r="G92" s="2"/>
      <c r="H92" s="2"/>
      <c r="I92" s="13">
        <f>17600/15</f>
        <v>1173.3333333333333</v>
      </c>
      <c r="J92" s="13">
        <f t="shared" si="13"/>
        <v>3520</v>
      </c>
      <c r="K92" s="13">
        <f t="shared" si="14"/>
        <v>1880</v>
      </c>
      <c r="L92" s="14">
        <f t="shared" si="15"/>
        <v>0.34814814814814815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1</v>
      </c>
      <c r="B93" s="10" t="s">
        <v>4</v>
      </c>
      <c r="C93" s="11" t="s">
        <v>183</v>
      </c>
      <c r="D93" s="13">
        <v>6000</v>
      </c>
      <c r="E93" s="13">
        <f t="shared" si="12"/>
        <v>6000</v>
      </c>
      <c r="F93" s="2"/>
      <c r="G93" s="2"/>
      <c r="H93" s="2"/>
      <c r="I93" s="13">
        <v>4000</v>
      </c>
      <c r="J93" s="13">
        <f t="shared" si="13"/>
        <v>4000</v>
      </c>
      <c r="K93" s="13">
        <f t="shared" si="14"/>
        <v>2000</v>
      </c>
      <c r="L93" s="14">
        <f t="shared" si="15"/>
        <v>0.33333333333333331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5</v>
      </c>
      <c r="B94" s="10" t="s">
        <v>4</v>
      </c>
      <c r="C94" s="11" t="s">
        <v>13</v>
      </c>
      <c r="D94" s="13">
        <v>900</v>
      </c>
      <c r="E94" s="13">
        <f t="shared" si="12"/>
        <v>4500</v>
      </c>
      <c r="F94" s="2"/>
      <c r="G94" s="2"/>
      <c r="H94" s="2"/>
      <c r="I94" s="13">
        <v>460</v>
      </c>
      <c r="J94" s="13">
        <f t="shared" si="13"/>
        <v>2300</v>
      </c>
      <c r="K94" s="13">
        <f t="shared" si="14"/>
        <v>2200</v>
      </c>
      <c r="L94" s="14">
        <f t="shared" si="15"/>
        <v>0.48888888888888887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"/>
      <c r="B95" s="2"/>
      <c r="C95" s="4"/>
      <c r="D95" s="2"/>
      <c r="E95" s="2"/>
      <c r="F95" s="2"/>
      <c r="G95" s="4"/>
      <c r="H95" s="2"/>
      <c r="I95" s="2"/>
      <c r="J95" s="2"/>
      <c r="K95" s="2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"/>
      <c r="B96" s="2"/>
      <c r="C96" s="4"/>
      <c r="D96" s="2"/>
      <c r="E96" s="13">
        <f>SUM(E83:E94)</f>
        <v>190900</v>
      </c>
      <c r="F96" s="2"/>
      <c r="G96" s="2"/>
      <c r="H96" s="2"/>
      <c r="I96" s="2"/>
      <c r="J96" s="2"/>
      <c r="K96" s="13">
        <f>SUM(K83:K94)</f>
        <v>56546.666666666664</v>
      </c>
      <c r="L96" s="14">
        <f>K96/E96</f>
        <v>0.2962109306792387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0"/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0"/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6" t="s">
        <v>131</v>
      </c>
      <c r="B99" s="1"/>
      <c r="C99" s="1"/>
      <c r="D99" s="12" t="s">
        <v>120</v>
      </c>
      <c r="E99" s="8">
        <v>46139</v>
      </c>
      <c r="F99" s="15" t="s">
        <v>37</v>
      </c>
      <c r="G99" s="2"/>
      <c r="H99" s="2"/>
      <c r="I99" s="2"/>
      <c r="J99" s="2"/>
      <c r="K99" s="2"/>
      <c r="L99" s="3"/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3"/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6" t="s">
        <v>3</v>
      </c>
      <c r="B101" s="10" t="s">
        <v>4</v>
      </c>
      <c r="C101" s="6" t="s">
        <v>5</v>
      </c>
      <c r="D101" s="10" t="s">
        <v>6</v>
      </c>
      <c r="E101" s="10" t="s">
        <v>7</v>
      </c>
      <c r="F101" s="2"/>
      <c r="G101" s="2"/>
      <c r="H101" s="2"/>
      <c r="I101" s="10" t="s">
        <v>6</v>
      </c>
      <c r="J101" s="10" t="s">
        <v>7</v>
      </c>
      <c r="K101" s="10" t="s">
        <v>10</v>
      </c>
      <c r="L101" s="3"/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0.25</v>
      </c>
      <c r="B102" s="10" t="s">
        <v>17</v>
      </c>
      <c r="C102" s="6" t="s">
        <v>56</v>
      </c>
      <c r="D102" s="13">
        <v>1200</v>
      </c>
      <c r="E102" s="13">
        <f t="shared" ref="E102:E114" si="16">A102*D102</f>
        <v>300</v>
      </c>
      <c r="F102" s="2"/>
      <c r="G102" s="2"/>
      <c r="H102" s="7"/>
      <c r="I102" s="13">
        <f>9200/15</f>
        <v>613.33333333333337</v>
      </c>
      <c r="J102" s="13">
        <f t="shared" ref="J102:J114" si="17">I102*A102</f>
        <v>153.33333333333334</v>
      </c>
      <c r="K102" s="13">
        <f t="shared" ref="K102:K114" si="18">E102-J102</f>
        <v>146.66666666666666</v>
      </c>
      <c r="L102" s="14">
        <f t="shared" ref="L102:L114" si="19">K102/E102</f>
        <v>0.48888888888888887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4.75</v>
      </c>
      <c r="B103" s="10" t="s">
        <v>17</v>
      </c>
      <c r="C103" s="6" t="s">
        <v>34</v>
      </c>
      <c r="D103" s="13">
        <v>4000</v>
      </c>
      <c r="E103" s="13">
        <f t="shared" si="16"/>
        <v>19000</v>
      </c>
      <c r="F103" s="2"/>
      <c r="G103" s="2"/>
      <c r="H103" s="7"/>
      <c r="I103" s="13">
        <v>1500</v>
      </c>
      <c r="J103" s="13">
        <f t="shared" si="17"/>
        <v>7125</v>
      </c>
      <c r="K103" s="13">
        <f t="shared" si="18"/>
        <v>11875</v>
      </c>
      <c r="L103" s="14">
        <f t="shared" si="19"/>
        <v>0.625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2</v>
      </c>
      <c r="B104" s="10" t="s">
        <v>21</v>
      </c>
      <c r="C104" s="6" t="s">
        <v>1116</v>
      </c>
      <c r="D104" s="13">
        <v>3500</v>
      </c>
      <c r="E104" s="13">
        <f t="shared" si="16"/>
        <v>7000</v>
      </c>
      <c r="F104" s="2"/>
      <c r="G104" s="2"/>
      <c r="H104" s="2"/>
      <c r="I104" s="13">
        <v>2500</v>
      </c>
      <c r="J104" s="13">
        <f t="shared" si="17"/>
        <v>5000</v>
      </c>
      <c r="K104" s="13">
        <f t="shared" si="18"/>
        <v>2000</v>
      </c>
      <c r="L104" s="14">
        <f t="shared" si="19"/>
        <v>0.2857142857142857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1</v>
      </c>
      <c r="B105" s="10" t="s">
        <v>21</v>
      </c>
      <c r="C105" s="6" t="s">
        <v>1114</v>
      </c>
      <c r="D105" s="13">
        <v>3000</v>
      </c>
      <c r="E105" s="13">
        <f t="shared" si="16"/>
        <v>3000</v>
      </c>
      <c r="F105" s="2"/>
      <c r="G105" s="2"/>
      <c r="H105" s="7"/>
      <c r="I105" s="13">
        <v>2000</v>
      </c>
      <c r="J105" s="13">
        <f t="shared" si="17"/>
        <v>2000</v>
      </c>
      <c r="K105" s="13">
        <f t="shared" si="18"/>
        <v>1000</v>
      </c>
      <c r="L105" s="14">
        <f t="shared" si="19"/>
        <v>0.33333333333333331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2</v>
      </c>
      <c r="B106" s="10" t="s">
        <v>21</v>
      </c>
      <c r="C106" s="6" t="s">
        <v>133</v>
      </c>
      <c r="D106" s="13">
        <v>2000</v>
      </c>
      <c r="E106" s="13">
        <f t="shared" si="16"/>
        <v>4000</v>
      </c>
      <c r="F106" s="2"/>
      <c r="G106" s="2"/>
      <c r="H106" s="7"/>
      <c r="I106" s="13">
        <v>500</v>
      </c>
      <c r="J106" s="13">
        <f t="shared" si="17"/>
        <v>1000</v>
      </c>
      <c r="K106" s="13">
        <f t="shared" si="18"/>
        <v>3000</v>
      </c>
      <c r="L106" s="14">
        <f t="shared" si="19"/>
        <v>0.75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0.5</v>
      </c>
      <c r="B107" s="10" t="s">
        <v>17</v>
      </c>
      <c r="C107" s="6" t="s">
        <v>73</v>
      </c>
      <c r="D107" s="13">
        <v>1600</v>
      </c>
      <c r="E107" s="13">
        <f t="shared" si="16"/>
        <v>800</v>
      </c>
      <c r="F107" s="2"/>
      <c r="G107" s="2"/>
      <c r="H107" s="2"/>
      <c r="I107" s="13">
        <f>16000/15</f>
        <v>1066.6666666666667</v>
      </c>
      <c r="J107" s="13">
        <f t="shared" si="17"/>
        <v>533.33333333333337</v>
      </c>
      <c r="K107" s="13">
        <f t="shared" si="18"/>
        <v>266.66666666666663</v>
      </c>
      <c r="L107" s="14">
        <f t="shared" si="19"/>
        <v>0.33333333333333326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</v>
      </c>
      <c r="B108" s="10" t="s">
        <v>17</v>
      </c>
      <c r="C108" s="6" t="s">
        <v>154</v>
      </c>
      <c r="D108" s="13">
        <v>1800</v>
      </c>
      <c r="E108" s="13">
        <f t="shared" si="16"/>
        <v>3600</v>
      </c>
      <c r="F108" s="2"/>
      <c r="G108" s="2"/>
      <c r="H108" s="7"/>
      <c r="I108" s="13">
        <f>18000/17</f>
        <v>1058.8235294117646</v>
      </c>
      <c r="J108" s="13">
        <f t="shared" si="17"/>
        <v>2117.6470588235293</v>
      </c>
      <c r="K108" s="13">
        <f t="shared" si="18"/>
        <v>1482.3529411764707</v>
      </c>
      <c r="L108" s="14">
        <f t="shared" si="19"/>
        <v>0.41176470588235298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</v>
      </c>
      <c r="B109" s="10" t="s">
        <v>4</v>
      </c>
      <c r="C109" s="6" t="s">
        <v>72</v>
      </c>
      <c r="D109" s="13">
        <v>3500</v>
      </c>
      <c r="E109" s="13">
        <f t="shared" si="16"/>
        <v>3500</v>
      </c>
      <c r="F109" s="2"/>
      <c r="G109" s="2"/>
      <c r="H109" s="7"/>
      <c r="I109" s="13">
        <f>12500/5</f>
        <v>2500</v>
      </c>
      <c r="J109" s="13">
        <f t="shared" si="17"/>
        <v>2500</v>
      </c>
      <c r="K109" s="13">
        <f t="shared" si="18"/>
        <v>1000</v>
      </c>
      <c r="L109" s="14">
        <f t="shared" si="19"/>
        <v>0.2857142857142857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0.75</v>
      </c>
      <c r="B110" s="10" t="s">
        <v>17</v>
      </c>
      <c r="C110" s="6" t="s">
        <v>139</v>
      </c>
      <c r="D110" s="13">
        <v>22000</v>
      </c>
      <c r="E110" s="13">
        <f t="shared" si="16"/>
        <v>16500</v>
      </c>
      <c r="F110" s="2"/>
      <c r="G110" s="2"/>
      <c r="H110" s="7"/>
      <c r="I110" s="13">
        <v>15000</v>
      </c>
      <c r="J110" s="13">
        <f t="shared" si="17"/>
        <v>11250</v>
      </c>
      <c r="K110" s="13">
        <f t="shared" si="18"/>
        <v>5250</v>
      </c>
      <c r="L110" s="14">
        <f t="shared" si="19"/>
        <v>0.31818181818181818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0.5</v>
      </c>
      <c r="B111" s="10" t="s">
        <v>15</v>
      </c>
      <c r="C111" s="6" t="s">
        <v>129</v>
      </c>
      <c r="D111" s="13">
        <v>16000</v>
      </c>
      <c r="E111" s="13">
        <f t="shared" si="16"/>
        <v>8000</v>
      </c>
      <c r="F111" s="2"/>
      <c r="G111" s="2"/>
      <c r="H111" s="7"/>
      <c r="I111" s="13">
        <v>11000</v>
      </c>
      <c r="J111" s="13">
        <f t="shared" si="17"/>
        <v>5500</v>
      </c>
      <c r="K111" s="13">
        <f t="shared" si="18"/>
        <v>2500</v>
      </c>
      <c r="L111" s="14">
        <f t="shared" si="19"/>
        <v>0.3125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2</v>
      </c>
      <c r="B112" s="10" t="s">
        <v>17</v>
      </c>
      <c r="C112" s="6" t="s">
        <v>31</v>
      </c>
      <c r="D112" s="13">
        <v>3000</v>
      </c>
      <c r="E112" s="13">
        <f t="shared" si="16"/>
        <v>6000</v>
      </c>
      <c r="F112" s="2"/>
      <c r="G112" s="2"/>
      <c r="H112" s="7"/>
      <c r="I112" s="13">
        <f>13500/7</f>
        <v>1928.5714285714287</v>
      </c>
      <c r="J112" s="13">
        <f t="shared" si="17"/>
        <v>3857.1428571428573</v>
      </c>
      <c r="K112" s="13">
        <f t="shared" si="18"/>
        <v>2142.8571428571427</v>
      </c>
      <c r="L112" s="14">
        <f t="shared" si="19"/>
        <v>0.3571428571428571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1</v>
      </c>
      <c r="B113" s="10" t="s">
        <v>17</v>
      </c>
      <c r="C113" s="6" t="s">
        <v>33</v>
      </c>
      <c r="D113" s="13">
        <v>3400</v>
      </c>
      <c r="E113" s="13">
        <f t="shared" si="16"/>
        <v>3400</v>
      </c>
      <c r="F113" s="2"/>
      <c r="G113" s="2"/>
      <c r="H113" s="7"/>
      <c r="I113" s="13">
        <f>15000/7</f>
        <v>2142.8571428571427</v>
      </c>
      <c r="J113" s="13">
        <f t="shared" si="17"/>
        <v>2142.8571428571427</v>
      </c>
      <c r="K113" s="13">
        <f t="shared" si="18"/>
        <v>1257.1428571428573</v>
      </c>
      <c r="L113" s="14">
        <f t="shared" si="19"/>
        <v>0.36974789915966394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2</v>
      </c>
      <c r="B114" s="10" t="s">
        <v>17</v>
      </c>
      <c r="C114" s="6" t="s">
        <v>32</v>
      </c>
      <c r="D114" s="13">
        <v>2600</v>
      </c>
      <c r="E114" s="13">
        <f t="shared" si="16"/>
        <v>5200</v>
      </c>
      <c r="F114" s="2"/>
      <c r="G114" s="2"/>
      <c r="H114" s="7"/>
      <c r="I114" s="13">
        <f>12000/7</f>
        <v>1714.2857142857142</v>
      </c>
      <c r="J114" s="13">
        <f t="shared" si="17"/>
        <v>3428.5714285714284</v>
      </c>
      <c r="K114" s="13">
        <f t="shared" si="18"/>
        <v>1771.4285714285716</v>
      </c>
      <c r="L114" s="14">
        <f t="shared" si="19"/>
        <v>0.34065934065934067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"/>
      <c r="B115" s="2"/>
      <c r="C115" s="1"/>
      <c r="D115" s="2"/>
      <c r="E115" s="2"/>
      <c r="F115" s="2"/>
      <c r="G115" s="1"/>
      <c r="H115" s="2"/>
      <c r="I115" s="2"/>
      <c r="J115" s="2"/>
      <c r="K115" s="2"/>
      <c r="L115" s="3"/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"/>
      <c r="B116" s="2"/>
      <c r="C116" s="1"/>
      <c r="D116" s="2"/>
      <c r="E116" s="13">
        <f>SUM(E102:E115)</f>
        <v>80300</v>
      </c>
      <c r="F116" s="2"/>
      <c r="G116" s="2"/>
      <c r="H116" s="2"/>
      <c r="I116" s="2"/>
      <c r="J116" s="2"/>
      <c r="K116" s="13">
        <f>SUM(K102:K114)</f>
        <v>33692.114845938377</v>
      </c>
      <c r="L116" s="14">
        <f>K116/E116</f>
        <v>0.41957801800670458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0"/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6" t="s">
        <v>1150</v>
      </c>
      <c r="B118" s="1"/>
      <c r="C118" s="1"/>
      <c r="D118" s="1"/>
      <c r="E118" s="13">
        <f>E116*0.05</f>
        <v>4015</v>
      </c>
      <c r="F118" s="1"/>
      <c r="G118" s="1"/>
      <c r="H118" s="1"/>
      <c r="I118" s="1"/>
      <c r="J118" s="1"/>
      <c r="K118" s="1"/>
      <c r="L118" s="20"/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0"/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0"/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6" t="s">
        <v>157</v>
      </c>
      <c r="B121" s="6"/>
      <c r="C121" s="6"/>
      <c r="D121" s="22" t="s">
        <v>71</v>
      </c>
      <c r="E121" s="8">
        <v>46139</v>
      </c>
      <c r="F121" s="24"/>
      <c r="G121" s="2"/>
      <c r="H121" s="2"/>
      <c r="I121" s="2"/>
      <c r="J121" s="13"/>
      <c r="K121" s="13"/>
      <c r="L121" s="14"/>
      <c r="M121" s="4"/>
      <c r="N121" s="2"/>
      <c r="O121" s="4"/>
      <c r="P121" s="2"/>
      <c r="Q121" s="2"/>
      <c r="R121" s="4"/>
      <c r="S121" s="2"/>
      <c r="T121" s="2"/>
      <c r="U121" s="1"/>
      <c r="V121" s="2"/>
      <c r="W121" s="2"/>
      <c r="X121" s="2"/>
      <c r="Y121" s="2"/>
      <c r="Z121" s="2"/>
    </row>
    <row r="122" spans="1:26" ht="15.75" customHeight="1" x14ac:dyDescent="0.2">
      <c r="B122" s="2"/>
      <c r="C122" s="4"/>
      <c r="D122" s="2"/>
      <c r="E122" s="2"/>
      <c r="F122" s="2"/>
      <c r="G122" s="2"/>
      <c r="H122" s="2"/>
      <c r="I122" s="2"/>
      <c r="J122" s="13"/>
      <c r="K122" s="13"/>
      <c r="L122" s="14"/>
      <c r="M122" s="4"/>
      <c r="N122" s="2"/>
      <c r="O122" s="4"/>
      <c r="P122" s="2"/>
      <c r="Q122" s="2"/>
      <c r="R122" s="4"/>
      <c r="S122" s="2"/>
      <c r="T122" s="2"/>
      <c r="U122" s="1"/>
      <c r="V122" s="2"/>
      <c r="W122" s="2"/>
      <c r="X122" s="2"/>
      <c r="Y122" s="2"/>
      <c r="Z122" s="2"/>
    </row>
    <row r="123" spans="1:26" ht="15.75" customHeight="1" x14ac:dyDescent="0.2">
      <c r="A123" s="6" t="s">
        <v>3</v>
      </c>
      <c r="B123" s="10" t="s">
        <v>4</v>
      </c>
      <c r="C123" s="11" t="s">
        <v>5</v>
      </c>
      <c r="D123" s="10" t="s">
        <v>6</v>
      </c>
      <c r="E123" s="10" t="s">
        <v>7</v>
      </c>
      <c r="F123" s="10"/>
      <c r="G123" s="2"/>
      <c r="H123" s="2"/>
      <c r="I123" s="10" t="s">
        <v>6</v>
      </c>
      <c r="J123" s="10" t="s">
        <v>7</v>
      </c>
      <c r="K123" s="10" t="s">
        <v>10</v>
      </c>
      <c r="L123" s="14"/>
      <c r="M123" s="4"/>
      <c r="N123" s="2"/>
      <c r="O123" s="4"/>
      <c r="P123" s="2"/>
      <c r="Q123" s="2"/>
      <c r="R123" s="4"/>
      <c r="S123" s="2"/>
      <c r="T123" s="2"/>
      <c r="U123" s="1"/>
      <c r="V123" s="2"/>
      <c r="W123" s="2"/>
      <c r="X123" s="2"/>
      <c r="Y123" s="2"/>
      <c r="Z123" s="2"/>
    </row>
    <row r="124" spans="1:26" ht="15.75" customHeight="1" x14ac:dyDescent="0.2">
      <c r="A124" s="12">
        <v>1</v>
      </c>
      <c r="B124" s="10" t="s">
        <v>15</v>
      </c>
      <c r="C124" s="11" t="s">
        <v>135</v>
      </c>
      <c r="D124" s="13">
        <v>16000</v>
      </c>
      <c r="E124" s="13">
        <f t="shared" ref="E124:E136" si="20">A124*D124</f>
        <v>16000</v>
      </c>
      <c r="F124" s="13"/>
      <c r="G124" s="2"/>
      <c r="H124" s="7"/>
      <c r="I124" s="13">
        <v>13000</v>
      </c>
      <c r="J124" s="13">
        <f t="shared" ref="J124:J136" si="21">I124*A124</f>
        <v>13000</v>
      </c>
      <c r="K124" s="13">
        <f t="shared" ref="K124:K136" si="22">E124-J124</f>
        <v>3000</v>
      </c>
      <c r="L124" s="14">
        <f t="shared" ref="L124:L136" si="23">K124/E124</f>
        <v>0.1875</v>
      </c>
      <c r="M124" s="4"/>
      <c r="N124" s="2"/>
      <c r="O124" s="4"/>
      <c r="P124" s="2"/>
      <c r="Q124" s="2"/>
      <c r="R124" s="4"/>
      <c r="S124" s="2"/>
      <c r="T124" s="2"/>
      <c r="U124" s="1"/>
      <c r="V124" s="2"/>
      <c r="W124" s="2"/>
      <c r="X124" s="2"/>
      <c r="Y124" s="2"/>
      <c r="Z124" s="2"/>
    </row>
    <row r="125" spans="1:26" ht="15.75" customHeight="1" x14ac:dyDescent="0.2">
      <c r="A125" s="12">
        <v>1</v>
      </c>
      <c r="B125" s="10" t="s">
        <v>15</v>
      </c>
      <c r="C125" s="11" t="s">
        <v>56</v>
      </c>
      <c r="D125" s="13">
        <v>13000</v>
      </c>
      <c r="E125" s="13">
        <f t="shared" si="20"/>
        <v>13000</v>
      </c>
      <c r="F125" s="13"/>
      <c r="G125" s="2"/>
      <c r="H125" s="7"/>
      <c r="I125" s="13">
        <v>9200</v>
      </c>
      <c r="J125" s="13">
        <f t="shared" si="21"/>
        <v>9200</v>
      </c>
      <c r="K125" s="13">
        <f t="shared" si="22"/>
        <v>3800</v>
      </c>
      <c r="L125" s="14">
        <f t="shared" si="23"/>
        <v>0.29230769230769232</v>
      </c>
      <c r="M125" s="4"/>
      <c r="N125" s="2"/>
      <c r="O125" s="4"/>
      <c r="P125" s="2"/>
      <c r="Q125" s="2"/>
      <c r="R125" s="4"/>
      <c r="S125" s="2"/>
      <c r="T125" s="2"/>
      <c r="U125" s="1"/>
      <c r="V125" s="2"/>
      <c r="W125" s="2"/>
      <c r="X125" s="2"/>
      <c r="Y125" s="2"/>
      <c r="Z125" s="2"/>
    </row>
    <row r="126" spans="1:26" ht="15.75" customHeight="1" x14ac:dyDescent="0.2">
      <c r="A126" s="12">
        <v>1</v>
      </c>
      <c r="B126" s="10" t="s">
        <v>15</v>
      </c>
      <c r="C126" s="11" t="s">
        <v>40</v>
      </c>
      <c r="D126" s="13">
        <v>12000</v>
      </c>
      <c r="E126" s="13">
        <f t="shared" si="20"/>
        <v>12000</v>
      </c>
      <c r="F126" s="13"/>
      <c r="G126" s="2"/>
      <c r="H126" s="7"/>
      <c r="I126" s="13">
        <v>8000</v>
      </c>
      <c r="J126" s="13">
        <f t="shared" si="21"/>
        <v>8000</v>
      </c>
      <c r="K126" s="13">
        <f t="shared" si="22"/>
        <v>4000</v>
      </c>
      <c r="L126" s="14">
        <f t="shared" si="23"/>
        <v>0.33333333333333331</v>
      </c>
      <c r="M126" s="4"/>
      <c r="N126" s="2"/>
      <c r="O126" s="4"/>
      <c r="P126" s="2"/>
      <c r="Q126" s="2"/>
      <c r="R126" s="4"/>
      <c r="S126" s="2"/>
      <c r="T126" s="2"/>
      <c r="U126" s="1"/>
      <c r="V126" s="2"/>
      <c r="W126" s="2"/>
      <c r="X126" s="2"/>
      <c r="Y126" s="2"/>
      <c r="Z126" s="2"/>
    </row>
    <row r="127" spans="1:26" ht="15.75" customHeight="1" x14ac:dyDescent="0.2">
      <c r="A127" s="12">
        <v>1</v>
      </c>
      <c r="B127" s="10" t="s">
        <v>15</v>
      </c>
      <c r="C127" s="11" t="s">
        <v>16</v>
      </c>
      <c r="D127" s="13">
        <v>13000</v>
      </c>
      <c r="E127" s="13">
        <f t="shared" si="20"/>
        <v>13000</v>
      </c>
      <c r="F127" s="13"/>
      <c r="G127" s="2"/>
      <c r="H127" s="7"/>
      <c r="I127" s="13">
        <v>8000</v>
      </c>
      <c r="J127" s="13">
        <f t="shared" si="21"/>
        <v>8000</v>
      </c>
      <c r="K127" s="13">
        <f t="shared" si="22"/>
        <v>5000</v>
      </c>
      <c r="L127" s="14">
        <f t="shared" si="23"/>
        <v>0.38461538461538464</v>
      </c>
      <c r="M127" s="4"/>
      <c r="N127" s="2"/>
      <c r="O127" s="4"/>
      <c r="P127" s="2"/>
      <c r="Q127" s="2"/>
      <c r="R127" s="4"/>
      <c r="S127" s="2"/>
      <c r="T127" s="2"/>
      <c r="U127" s="1"/>
      <c r="V127" s="2"/>
      <c r="W127" s="2"/>
      <c r="X127" s="2"/>
      <c r="Y127" s="2"/>
      <c r="Z127" s="2"/>
    </row>
    <row r="128" spans="1:26" ht="15.75" customHeight="1" x14ac:dyDescent="0.2">
      <c r="A128" s="12">
        <v>1</v>
      </c>
      <c r="B128" s="10" t="s">
        <v>23</v>
      </c>
      <c r="C128" s="11" t="s">
        <v>39</v>
      </c>
      <c r="D128" s="13">
        <v>24000</v>
      </c>
      <c r="E128" s="13">
        <f t="shared" si="20"/>
        <v>24000</v>
      </c>
      <c r="F128" s="13"/>
      <c r="G128" s="2"/>
      <c r="H128" s="7"/>
      <c r="I128" s="13">
        <v>17600</v>
      </c>
      <c r="J128" s="13">
        <f t="shared" si="21"/>
        <v>17600</v>
      </c>
      <c r="K128" s="13">
        <f t="shared" si="22"/>
        <v>6400</v>
      </c>
      <c r="L128" s="14">
        <f t="shared" si="23"/>
        <v>0.26666666666666666</v>
      </c>
      <c r="M128" s="4"/>
      <c r="N128" s="2"/>
      <c r="O128" s="4"/>
      <c r="P128" s="2"/>
      <c r="Q128" s="2"/>
      <c r="R128" s="4"/>
      <c r="S128" s="2"/>
      <c r="T128" s="2"/>
      <c r="U128" s="1"/>
      <c r="V128" s="2"/>
      <c r="W128" s="2"/>
      <c r="X128" s="2"/>
      <c r="Y128" s="2"/>
      <c r="Z128" s="2"/>
    </row>
    <row r="129" spans="1:26" ht="15.75" customHeight="1" x14ac:dyDescent="0.2">
      <c r="A129" s="12">
        <v>1</v>
      </c>
      <c r="B129" s="10" t="s">
        <v>23</v>
      </c>
      <c r="C129" s="11" t="s">
        <v>14</v>
      </c>
      <c r="D129" s="13">
        <v>26000</v>
      </c>
      <c r="E129" s="13">
        <f t="shared" si="20"/>
        <v>26000</v>
      </c>
      <c r="F129" s="13"/>
      <c r="G129" s="2"/>
      <c r="H129" s="7"/>
      <c r="I129" s="13">
        <v>22000</v>
      </c>
      <c r="J129" s="13">
        <f t="shared" si="21"/>
        <v>22000</v>
      </c>
      <c r="K129" s="13">
        <f t="shared" si="22"/>
        <v>4000</v>
      </c>
      <c r="L129" s="14">
        <f t="shared" si="23"/>
        <v>0.15384615384615385</v>
      </c>
      <c r="M129" s="4"/>
      <c r="N129" s="2"/>
      <c r="O129" s="4"/>
      <c r="P129" s="2"/>
      <c r="Q129" s="2"/>
      <c r="R129" s="4"/>
      <c r="S129" s="2"/>
      <c r="T129" s="2"/>
      <c r="U129" s="1"/>
      <c r="V129" s="2"/>
      <c r="W129" s="2"/>
      <c r="X129" s="2"/>
      <c r="Y129" s="2"/>
      <c r="Z129" s="2"/>
    </row>
    <row r="130" spans="1:26" ht="15.75" customHeight="1" x14ac:dyDescent="0.2">
      <c r="A130" s="12">
        <v>4</v>
      </c>
      <c r="B130" s="10" t="s">
        <v>21</v>
      </c>
      <c r="C130" s="11" t="s">
        <v>46</v>
      </c>
      <c r="D130" s="13">
        <v>850</v>
      </c>
      <c r="E130" s="13">
        <f t="shared" si="20"/>
        <v>3400</v>
      </c>
      <c r="F130" s="13"/>
      <c r="G130" s="2"/>
      <c r="H130" s="7"/>
      <c r="I130" s="13">
        <f>14000/24</f>
        <v>583.33333333333337</v>
      </c>
      <c r="J130" s="13">
        <f t="shared" si="21"/>
        <v>2333.3333333333335</v>
      </c>
      <c r="K130" s="13">
        <f t="shared" si="22"/>
        <v>1066.6666666666665</v>
      </c>
      <c r="L130" s="14">
        <f t="shared" si="23"/>
        <v>0.31372549019607837</v>
      </c>
      <c r="M130" s="4"/>
      <c r="N130" s="2"/>
      <c r="O130" s="4"/>
      <c r="P130" s="2"/>
      <c r="Q130" s="2"/>
      <c r="R130" s="4"/>
      <c r="S130" s="2"/>
      <c r="T130" s="2"/>
      <c r="U130" s="1"/>
      <c r="V130" s="2"/>
      <c r="W130" s="2"/>
      <c r="X130" s="2"/>
      <c r="Y130" s="2"/>
      <c r="Z130" s="2"/>
    </row>
    <row r="131" spans="1:26" ht="15.75" customHeight="1" x14ac:dyDescent="0.2">
      <c r="A131" s="12">
        <v>2</v>
      </c>
      <c r="B131" s="10" t="s">
        <v>17</v>
      </c>
      <c r="C131" s="11" t="s">
        <v>110</v>
      </c>
      <c r="D131" s="13">
        <v>4000</v>
      </c>
      <c r="E131" s="13">
        <f t="shared" si="20"/>
        <v>8000</v>
      </c>
      <c r="F131" s="13"/>
      <c r="G131" s="2"/>
      <c r="H131" s="7" t="s">
        <v>107</v>
      </c>
      <c r="I131" s="13"/>
      <c r="J131" s="13">
        <f t="shared" si="21"/>
        <v>0</v>
      </c>
      <c r="K131" s="13">
        <f t="shared" si="22"/>
        <v>8000</v>
      </c>
      <c r="L131" s="14">
        <f t="shared" si="23"/>
        <v>1</v>
      </c>
      <c r="M131" s="4"/>
      <c r="N131" s="2"/>
      <c r="O131" s="4"/>
      <c r="P131" s="2"/>
      <c r="Q131" s="2"/>
      <c r="R131" s="4"/>
      <c r="S131" s="2"/>
      <c r="T131" s="2"/>
      <c r="U131" s="1"/>
      <c r="V131" s="2"/>
      <c r="W131" s="2"/>
      <c r="X131" s="2"/>
      <c r="Y131" s="2"/>
      <c r="Z131" s="2"/>
    </row>
    <row r="132" spans="1:26" ht="15.75" customHeight="1" x14ac:dyDescent="0.2">
      <c r="A132" s="12">
        <v>1</v>
      </c>
      <c r="B132" s="10" t="s">
        <v>23</v>
      </c>
      <c r="C132" s="11" t="s">
        <v>31</v>
      </c>
      <c r="D132" s="13">
        <v>18000</v>
      </c>
      <c r="E132" s="13">
        <f t="shared" si="20"/>
        <v>18000</v>
      </c>
      <c r="F132" s="13"/>
      <c r="G132" s="2"/>
      <c r="H132" s="7"/>
      <c r="I132" s="13">
        <v>13500</v>
      </c>
      <c r="J132" s="13">
        <f t="shared" si="21"/>
        <v>13500</v>
      </c>
      <c r="K132" s="13">
        <f t="shared" si="22"/>
        <v>4500</v>
      </c>
      <c r="L132" s="14">
        <f t="shared" si="23"/>
        <v>0.25</v>
      </c>
      <c r="M132" s="4"/>
      <c r="N132" s="2"/>
      <c r="O132" s="4"/>
      <c r="P132" s="2"/>
      <c r="Q132" s="2"/>
      <c r="R132" s="4"/>
      <c r="S132" s="2"/>
      <c r="T132" s="2"/>
      <c r="U132" s="1"/>
      <c r="V132" s="2"/>
      <c r="W132" s="2"/>
      <c r="X132" s="2"/>
      <c r="Y132" s="2"/>
      <c r="Z132" s="2"/>
    </row>
    <row r="133" spans="1:26" ht="15.75" customHeight="1" x14ac:dyDescent="0.2">
      <c r="A133" s="12">
        <v>2</v>
      </c>
      <c r="B133" s="10" t="s">
        <v>17</v>
      </c>
      <c r="C133" s="11" t="s">
        <v>88</v>
      </c>
      <c r="D133" s="13">
        <v>1800</v>
      </c>
      <c r="E133" s="13">
        <f t="shared" si="20"/>
        <v>3600</v>
      </c>
      <c r="F133" s="13"/>
      <c r="G133" s="2"/>
      <c r="H133" s="7"/>
      <c r="I133" s="13">
        <v>1000</v>
      </c>
      <c r="J133" s="13">
        <f t="shared" si="21"/>
        <v>2000</v>
      </c>
      <c r="K133" s="13">
        <f t="shared" si="22"/>
        <v>1600</v>
      </c>
      <c r="L133" s="14">
        <f t="shared" si="23"/>
        <v>0.44444444444444442</v>
      </c>
      <c r="M133" s="4"/>
      <c r="N133" s="2"/>
      <c r="O133" s="4"/>
      <c r="P133" s="2"/>
      <c r="Q133" s="2"/>
      <c r="R133" s="4"/>
      <c r="S133" s="2"/>
      <c r="T133" s="2"/>
      <c r="U133" s="1"/>
      <c r="V133" s="2"/>
      <c r="W133" s="2"/>
      <c r="X133" s="2"/>
      <c r="Y133" s="2"/>
      <c r="Z133" s="2"/>
    </row>
    <row r="134" spans="1:26" ht="15.75" customHeight="1" x14ac:dyDescent="0.2">
      <c r="A134" s="12">
        <v>1</v>
      </c>
      <c r="B134" s="10" t="s">
        <v>21</v>
      </c>
      <c r="C134" s="11" t="s">
        <v>42</v>
      </c>
      <c r="D134" s="13">
        <v>4000</v>
      </c>
      <c r="E134" s="13">
        <f t="shared" si="20"/>
        <v>4000</v>
      </c>
      <c r="F134" s="13"/>
      <c r="G134" s="2"/>
      <c r="H134" s="7"/>
      <c r="I134" s="13">
        <v>2000</v>
      </c>
      <c r="J134" s="13">
        <f t="shared" si="21"/>
        <v>2000</v>
      </c>
      <c r="K134" s="13">
        <f t="shared" si="22"/>
        <v>2000</v>
      </c>
      <c r="L134" s="14">
        <f t="shared" si="23"/>
        <v>0.5</v>
      </c>
      <c r="M134" s="4"/>
      <c r="N134" s="2"/>
      <c r="O134" s="4"/>
      <c r="P134" s="2"/>
      <c r="Q134" s="2"/>
      <c r="R134" s="4"/>
      <c r="S134" s="2"/>
      <c r="T134" s="2"/>
      <c r="U134" s="1"/>
      <c r="V134" s="2"/>
      <c r="W134" s="2"/>
      <c r="X134" s="2"/>
      <c r="Y134" s="2"/>
      <c r="Z134" s="2"/>
    </row>
    <row r="135" spans="1:26" ht="15.75" customHeight="1" x14ac:dyDescent="0.2">
      <c r="A135" s="12">
        <v>1</v>
      </c>
      <c r="B135" s="10" t="s">
        <v>21</v>
      </c>
      <c r="C135" s="11" t="s">
        <v>29</v>
      </c>
      <c r="D135" s="13">
        <v>3000</v>
      </c>
      <c r="E135" s="13">
        <f t="shared" si="20"/>
        <v>3000</v>
      </c>
      <c r="F135" s="2"/>
      <c r="G135" s="2"/>
      <c r="H135" s="2"/>
      <c r="I135" s="2">
        <f>8000/6</f>
        <v>1333.3333333333333</v>
      </c>
      <c r="J135" s="13">
        <f t="shared" si="21"/>
        <v>1333.3333333333333</v>
      </c>
      <c r="K135" s="13">
        <f t="shared" si="22"/>
        <v>1666.6666666666667</v>
      </c>
      <c r="L135" s="18">
        <f t="shared" si="23"/>
        <v>0.55555555555555558</v>
      </c>
      <c r="M135" s="4"/>
      <c r="N135" s="2"/>
      <c r="O135" s="4"/>
      <c r="P135" s="2"/>
      <c r="Q135" s="2"/>
      <c r="R135" s="4"/>
      <c r="S135" s="2"/>
      <c r="T135" s="2"/>
      <c r="U135" s="1"/>
      <c r="V135" s="2"/>
      <c r="W135" s="2"/>
      <c r="X135" s="2"/>
      <c r="Y135" s="2"/>
      <c r="Z135" s="2"/>
    </row>
    <row r="136" spans="1:26" ht="15.75" customHeight="1" x14ac:dyDescent="0.2">
      <c r="A136" s="12">
        <v>1</v>
      </c>
      <c r="B136" s="10" t="s">
        <v>23</v>
      </c>
      <c r="C136" s="11" t="s">
        <v>130</v>
      </c>
      <c r="D136" s="13">
        <v>12000</v>
      </c>
      <c r="E136" s="13">
        <f t="shared" si="20"/>
        <v>12000</v>
      </c>
      <c r="F136" s="13"/>
      <c r="G136" s="2"/>
      <c r="H136" s="7"/>
      <c r="I136" s="13">
        <f>9000</f>
        <v>9000</v>
      </c>
      <c r="J136" s="13">
        <f t="shared" si="21"/>
        <v>9000</v>
      </c>
      <c r="K136" s="13">
        <f t="shared" si="22"/>
        <v>3000</v>
      </c>
      <c r="L136" s="14">
        <f t="shared" si="23"/>
        <v>0.25</v>
      </c>
      <c r="M136" s="4"/>
      <c r="N136" s="2"/>
      <c r="O136" s="4"/>
      <c r="P136" s="2"/>
      <c r="Q136" s="2"/>
      <c r="R136" s="4"/>
      <c r="S136" s="2"/>
      <c r="T136" s="2"/>
      <c r="U136" s="1"/>
      <c r="V136" s="2"/>
      <c r="W136" s="2"/>
      <c r="X136" s="2"/>
      <c r="Y136" s="2"/>
      <c r="Z136" s="2"/>
    </row>
    <row r="137" spans="1:26" ht="15.75" customHeight="1" x14ac:dyDescent="0.2">
      <c r="A137" s="12"/>
      <c r="B137" s="10"/>
      <c r="C137" s="11"/>
      <c r="D137" s="13"/>
      <c r="E137" s="13"/>
      <c r="F137" s="13"/>
      <c r="H137" s="2"/>
      <c r="I137" s="2"/>
      <c r="J137" s="13"/>
      <c r="K137" s="13"/>
      <c r="L137" s="14"/>
      <c r="N137" s="2"/>
      <c r="O137" s="4"/>
      <c r="P137" s="2"/>
      <c r="Q137" s="2"/>
      <c r="R137" s="4"/>
      <c r="S137" s="2"/>
      <c r="T137" s="2"/>
      <c r="U137" s="1"/>
      <c r="V137" s="2"/>
      <c r="W137" s="2"/>
      <c r="X137" s="2"/>
      <c r="Y137" s="2"/>
      <c r="Z137" s="2"/>
    </row>
    <row r="138" spans="1:26" ht="15.75" customHeight="1" x14ac:dyDescent="0.2">
      <c r="A138" s="12"/>
      <c r="B138" s="10"/>
      <c r="C138" s="11"/>
      <c r="D138" s="13"/>
      <c r="E138" s="13">
        <f>SUM(E124:E137)</f>
        <v>156000</v>
      </c>
      <c r="F138" s="13"/>
      <c r="G138" s="2"/>
      <c r="H138" s="2"/>
      <c r="I138" s="2"/>
      <c r="J138" s="13"/>
      <c r="K138" s="13">
        <f>SUM(K124:K136)</f>
        <v>48033.333333333336</v>
      </c>
      <c r="L138" s="14">
        <f>K138/E138</f>
        <v>0.30790598290598292</v>
      </c>
      <c r="M138" s="4"/>
      <c r="N138" s="2"/>
      <c r="O138" s="4"/>
      <c r="P138" s="2"/>
      <c r="Q138" s="2"/>
      <c r="R138" s="4"/>
      <c r="S138" s="2"/>
      <c r="T138" s="2"/>
      <c r="U138" s="1"/>
      <c r="V138" s="2"/>
      <c r="W138" s="2"/>
      <c r="X138" s="2"/>
      <c r="Y138" s="2"/>
      <c r="Z138" s="2"/>
    </row>
    <row r="139" spans="1:26" ht="15.75" customHeight="1" x14ac:dyDescent="0.2">
      <c r="A139" s="12"/>
      <c r="B139" s="10"/>
      <c r="C139" s="11"/>
      <c r="D139" s="13"/>
      <c r="E139" s="13"/>
      <c r="F139" s="13"/>
      <c r="G139" s="2"/>
      <c r="H139" s="2"/>
      <c r="I139" s="2"/>
      <c r="J139" s="13"/>
      <c r="K139" s="13"/>
      <c r="L139" s="14"/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6" t="s">
        <v>1150</v>
      </c>
      <c r="B140" s="1"/>
      <c r="C140" s="1"/>
      <c r="D140" s="1"/>
      <c r="E140" s="13">
        <f>E138*0.05</f>
        <v>7800</v>
      </c>
      <c r="F140" s="1"/>
      <c r="G140" s="1"/>
      <c r="H140" s="1"/>
      <c r="I140" s="1"/>
      <c r="J140" s="1"/>
      <c r="K140" s="1"/>
      <c r="L140" s="20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0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6"/>
      <c r="B142" s="6"/>
      <c r="C142" s="6"/>
      <c r="D142" s="2"/>
      <c r="E142" s="7"/>
      <c r="F142" s="8"/>
      <c r="G142" s="2"/>
      <c r="H142" s="2"/>
      <c r="I142" s="9"/>
      <c r="J142" s="9"/>
      <c r="K142" s="9"/>
      <c r="L142" s="3"/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6"/>
      <c r="B143" s="6"/>
      <c r="C143" s="6"/>
      <c r="D143" s="2"/>
      <c r="E143" s="7"/>
      <c r="F143" s="8"/>
      <c r="G143" s="2"/>
      <c r="H143" s="2"/>
      <c r="I143" s="9"/>
      <c r="J143" s="9"/>
      <c r="K143" s="9"/>
      <c r="L143" s="3"/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88" t="s">
        <v>160</v>
      </c>
      <c r="B144" s="89"/>
      <c r="C144" s="89"/>
      <c r="D144" s="2"/>
      <c r="E144" s="7" t="s">
        <v>1151</v>
      </c>
      <c r="F144" s="8">
        <v>46139</v>
      </c>
      <c r="G144" s="2"/>
      <c r="H144" s="2"/>
      <c r="I144" s="9" t="s">
        <v>2</v>
      </c>
      <c r="J144" s="9"/>
      <c r="K144" s="9"/>
      <c r="L144" s="3"/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"/>
      <c r="B145" s="2"/>
      <c r="C145" s="5"/>
      <c r="D145" s="2"/>
      <c r="E145" s="2"/>
      <c r="F145" s="8"/>
      <c r="G145" s="2"/>
      <c r="H145" s="2"/>
      <c r="I145" s="2"/>
      <c r="J145" s="2"/>
      <c r="K145" s="2"/>
      <c r="L145" s="3"/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6" t="s">
        <v>3</v>
      </c>
      <c r="B146" s="10" t="s">
        <v>4</v>
      </c>
      <c r="C146" s="11" t="s">
        <v>5</v>
      </c>
      <c r="D146" s="10" t="s">
        <v>6</v>
      </c>
      <c r="E146" s="10" t="s">
        <v>7</v>
      </c>
      <c r="F146" s="10" t="s">
        <v>8</v>
      </c>
      <c r="G146" s="2"/>
      <c r="H146" s="2"/>
      <c r="I146" s="10" t="s">
        <v>9</v>
      </c>
      <c r="J146" s="10" t="s">
        <v>7</v>
      </c>
      <c r="K146" s="10" t="s">
        <v>10</v>
      </c>
      <c r="L146" s="3"/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5</v>
      </c>
      <c r="B147" s="10" t="s">
        <v>23</v>
      </c>
      <c r="C147" s="11" t="s">
        <v>87</v>
      </c>
      <c r="D147" s="13">
        <v>38000</v>
      </c>
      <c r="E147" s="13">
        <f t="shared" ref="E147:E164" si="24">A147*D147</f>
        <v>190000</v>
      </c>
      <c r="F147" s="13">
        <f t="shared" ref="F147:F153" si="25">E147*1.105</f>
        <v>209950</v>
      </c>
      <c r="G147" s="7" t="s">
        <v>1152</v>
      </c>
      <c r="H147" s="2"/>
      <c r="I147" s="13">
        <v>27000</v>
      </c>
      <c r="J147" s="13">
        <f t="shared" ref="J147:J164" si="26">I147*A147</f>
        <v>135000</v>
      </c>
      <c r="K147" s="13">
        <f t="shared" ref="K147:K164" si="27">F147-J147</f>
        <v>74950</v>
      </c>
      <c r="L147" s="14">
        <f t="shared" ref="L147:L164" si="28">IFERROR(K147/E147, 0)</f>
        <v>0.39447368421052631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4</v>
      </c>
      <c r="B148" s="10" t="s">
        <v>23</v>
      </c>
      <c r="C148" s="11" t="s">
        <v>24</v>
      </c>
      <c r="D148" s="13">
        <v>37000</v>
      </c>
      <c r="E148" s="13">
        <f t="shared" si="24"/>
        <v>148000</v>
      </c>
      <c r="F148" s="13">
        <f t="shared" si="25"/>
        <v>163540</v>
      </c>
      <c r="G148" s="7" t="s">
        <v>1152</v>
      </c>
      <c r="H148" s="2"/>
      <c r="I148" s="13">
        <f>30000</f>
        <v>30000</v>
      </c>
      <c r="J148" s="13">
        <f t="shared" si="26"/>
        <v>120000</v>
      </c>
      <c r="K148" s="13">
        <f t="shared" si="27"/>
        <v>43540</v>
      </c>
      <c r="L148" s="14">
        <f t="shared" si="28"/>
        <v>0.29418918918918918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4</v>
      </c>
      <c r="B149" s="10" t="s">
        <v>23</v>
      </c>
      <c r="C149" s="11" t="s">
        <v>190</v>
      </c>
      <c r="D149" s="13">
        <v>45000</v>
      </c>
      <c r="E149" s="13">
        <f t="shared" si="24"/>
        <v>180000</v>
      </c>
      <c r="F149" s="13">
        <f t="shared" si="25"/>
        <v>198900</v>
      </c>
      <c r="G149" s="7"/>
      <c r="H149" s="7"/>
      <c r="I149" s="13">
        <f>(47000*2.5)/4</f>
        <v>29375</v>
      </c>
      <c r="J149" s="13">
        <f t="shared" si="26"/>
        <v>117500</v>
      </c>
      <c r="K149" s="13">
        <f t="shared" si="27"/>
        <v>81400</v>
      </c>
      <c r="L149" s="14">
        <f t="shared" si="28"/>
        <v>0.45222222222222225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4</v>
      </c>
      <c r="B150" s="10" t="s">
        <v>23</v>
      </c>
      <c r="C150" s="11" t="s">
        <v>127</v>
      </c>
      <c r="D150" s="13">
        <v>20000</v>
      </c>
      <c r="E150" s="13">
        <f t="shared" si="24"/>
        <v>80000</v>
      </c>
      <c r="F150" s="13">
        <f t="shared" si="25"/>
        <v>88400</v>
      </c>
      <c r="G150" s="7" t="s">
        <v>1152</v>
      </c>
      <c r="H150" s="2"/>
      <c r="I150" s="13">
        <v>13600</v>
      </c>
      <c r="J150" s="13">
        <f t="shared" si="26"/>
        <v>54400</v>
      </c>
      <c r="K150" s="13">
        <f t="shared" si="27"/>
        <v>34000</v>
      </c>
      <c r="L150" s="14">
        <f t="shared" si="28"/>
        <v>0.42499999999999999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5</v>
      </c>
      <c r="B151" s="10" t="s">
        <v>23</v>
      </c>
      <c r="C151" s="11" t="s">
        <v>49</v>
      </c>
      <c r="D151" s="13">
        <v>36000</v>
      </c>
      <c r="E151" s="13">
        <f t="shared" si="24"/>
        <v>180000</v>
      </c>
      <c r="F151" s="13">
        <f t="shared" si="25"/>
        <v>198900</v>
      </c>
      <c r="G151" s="7"/>
      <c r="H151" s="7"/>
      <c r="I151" s="13">
        <f>(30000*4)/5</f>
        <v>24000</v>
      </c>
      <c r="J151" s="13">
        <f t="shared" si="26"/>
        <v>120000</v>
      </c>
      <c r="K151" s="13">
        <f t="shared" si="27"/>
        <v>78900</v>
      </c>
      <c r="L151" s="14">
        <f t="shared" si="28"/>
        <v>0.43833333333333335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2</v>
      </c>
      <c r="B152" s="10" t="s">
        <v>23</v>
      </c>
      <c r="C152" s="11" t="s">
        <v>81</v>
      </c>
      <c r="D152" s="13">
        <v>22000</v>
      </c>
      <c r="E152" s="13">
        <f t="shared" si="24"/>
        <v>44000</v>
      </c>
      <c r="F152" s="13">
        <f t="shared" si="25"/>
        <v>48620</v>
      </c>
      <c r="G152" s="2"/>
      <c r="H152" s="2"/>
      <c r="I152" s="13">
        <v>16000</v>
      </c>
      <c r="J152" s="13">
        <f t="shared" si="26"/>
        <v>32000</v>
      </c>
      <c r="K152" s="13">
        <f t="shared" si="27"/>
        <v>16620</v>
      </c>
      <c r="L152" s="18">
        <f t="shared" si="28"/>
        <v>0.37772727272727274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2</v>
      </c>
      <c r="B153" s="10" t="s">
        <v>23</v>
      </c>
      <c r="C153" s="11" t="s">
        <v>93</v>
      </c>
      <c r="D153" s="13">
        <v>25000</v>
      </c>
      <c r="E153" s="13">
        <f t="shared" si="24"/>
        <v>50000</v>
      </c>
      <c r="F153" s="13">
        <f t="shared" si="25"/>
        <v>55250</v>
      </c>
      <c r="G153" s="2"/>
      <c r="H153" s="2"/>
      <c r="I153" s="13">
        <v>10000</v>
      </c>
      <c r="J153" s="13">
        <f t="shared" si="26"/>
        <v>20000</v>
      </c>
      <c r="K153" s="13">
        <f t="shared" si="27"/>
        <v>35250</v>
      </c>
      <c r="L153" s="18">
        <f t="shared" si="28"/>
        <v>0.70499999999999996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1</v>
      </c>
      <c r="B154" s="10" t="s">
        <v>23</v>
      </c>
      <c r="C154" s="11" t="s">
        <v>12</v>
      </c>
      <c r="D154" s="13">
        <v>54000</v>
      </c>
      <c r="E154" s="13">
        <f t="shared" si="24"/>
        <v>54000</v>
      </c>
      <c r="F154" s="13">
        <f>E154*1.21</f>
        <v>65340</v>
      </c>
      <c r="G154" s="7"/>
      <c r="H154" s="2"/>
      <c r="I154" s="13">
        <v>50000</v>
      </c>
      <c r="J154" s="13">
        <f t="shared" si="26"/>
        <v>50000</v>
      </c>
      <c r="K154" s="13">
        <f t="shared" si="27"/>
        <v>15340</v>
      </c>
      <c r="L154" s="14">
        <f t="shared" si="28"/>
        <v>0.28407407407407409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1</v>
      </c>
      <c r="B155" s="10" t="s">
        <v>23</v>
      </c>
      <c r="C155" s="11" t="s">
        <v>32</v>
      </c>
      <c r="D155" s="13">
        <v>20000</v>
      </c>
      <c r="E155" s="13">
        <f t="shared" si="24"/>
        <v>20000</v>
      </c>
      <c r="F155" s="13">
        <f t="shared" ref="F155:F157" si="29">E155*1.105</f>
        <v>22100</v>
      </c>
      <c r="G155" s="7"/>
      <c r="H155" s="7"/>
      <c r="I155" s="13">
        <v>12000</v>
      </c>
      <c r="J155" s="13">
        <f t="shared" si="26"/>
        <v>12000</v>
      </c>
      <c r="K155" s="13">
        <f t="shared" si="27"/>
        <v>10100</v>
      </c>
      <c r="L155" s="14">
        <f t="shared" si="28"/>
        <v>0.505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</v>
      </c>
      <c r="B156" s="10" t="s">
        <v>23</v>
      </c>
      <c r="C156" s="11" t="s">
        <v>31</v>
      </c>
      <c r="D156" s="13">
        <v>22000</v>
      </c>
      <c r="E156" s="13">
        <f t="shared" si="24"/>
        <v>22000</v>
      </c>
      <c r="F156" s="13">
        <f t="shared" si="29"/>
        <v>24310</v>
      </c>
      <c r="G156" s="7"/>
      <c r="H156" s="2"/>
      <c r="I156" s="13">
        <v>13500</v>
      </c>
      <c r="J156" s="13">
        <f t="shared" si="26"/>
        <v>13500</v>
      </c>
      <c r="K156" s="13">
        <f t="shared" si="27"/>
        <v>10810</v>
      </c>
      <c r="L156" s="14">
        <f t="shared" si="28"/>
        <v>0.49136363636363639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1</v>
      </c>
      <c r="B157" s="10" t="s">
        <v>23</v>
      </c>
      <c r="C157" s="11" t="s">
        <v>31</v>
      </c>
      <c r="D157" s="13">
        <v>22000</v>
      </c>
      <c r="E157" s="13">
        <f t="shared" si="24"/>
        <v>22000</v>
      </c>
      <c r="F157" s="13">
        <f t="shared" si="29"/>
        <v>24310</v>
      </c>
      <c r="G157" s="7" t="s">
        <v>15</v>
      </c>
      <c r="H157" s="2"/>
      <c r="I157" s="2"/>
      <c r="J157" s="13">
        <f t="shared" si="26"/>
        <v>0</v>
      </c>
      <c r="K157" s="13">
        <f t="shared" si="27"/>
        <v>24310</v>
      </c>
      <c r="L157" s="14">
        <f t="shared" si="28"/>
        <v>1.105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0.5</v>
      </c>
      <c r="B158" s="10" t="s">
        <v>23</v>
      </c>
      <c r="C158" s="11" t="s">
        <v>12</v>
      </c>
      <c r="D158" s="13">
        <v>54000</v>
      </c>
      <c r="E158" s="13">
        <f t="shared" si="24"/>
        <v>27000</v>
      </c>
      <c r="F158" s="13">
        <f>E158*1.21</f>
        <v>32670</v>
      </c>
      <c r="G158" s="7" t="s">
        <v>15</v>
      </c>
      <c r="H158" s="2"/>
      <c r="I158" s="2"/>
      <c r="J158" s="13">
        <f t="shared" si="26"/>
        <v>0</v>
      </c>
      <c r="K158" s="13">
        <f t="shared" si="27"/>
        <v>32670</v>
      </c>
      <c r="L158" s="14">
        <f t="shared" si="28"/>
        <v>1.21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1</v>
      </c>
      <c r="B159" s="10" t="s">
        <v>23</v>
      </c>
      <c r="C159" s="11" t="s">
        <v>87</v>
      </c>
      <c r="D159" s="13">
        <v>38000</v>
      </c>
      <c r="E159" s="13">
        <f t="shared" si="24"/>
        <v>38000</v>
      </c>
      <c r="F159" s="13">
        <f t="shared" ref="F159:F164" si="30">E159*1.105</f>
        <v>41990</v>
      </c>
      <c r="G159" s="7" t="s">
        <v>15</v>
      </c>
      <c r="H159" s="2"/>
      <c r="I159" s="2"/>
      <c r="J159" s="13">
        <f t="shared" si="26"/>
        <v>0</v>
      </c>
      <c r="K159" s="13">
        <f t="shared" si="27"/>
        <v>41990</v>
      </c>
      <c r="L159" s="14">
        <f t="shared" si="28"/>
        <v>1.105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1</v>
      </c>
      <c r="B160" s="10" t="s">
        <v>23</v>
      </c>
      <c r="C160" s="11" t="s">
        <v>24</v>
      </c>
      <c r="D160" s="13">
        <v>37000</v>
      </c>
      <c r="E160" s="13">
        <f t="shared" si="24"/>
        <v>37000</v>
      </c>
      <c r="F160" s="13">
        <f t="shared" si="30"/>
        <v>40885</v>
      </c>
      <c r="G160" s="7" t="s">
        <v>15</v>
      </c>
      <c r="H160" s="2"/>
      <c r="I160" s="2"/>
      <c r="J160" s="13">
        <f t="shared" si="26"/>
        <v>0</v>
      </c>
      <c r="K160" s="13">
        <f t="shared" si="27"/>
        <v>40885</v>
      </c>
      <c r="L160" s="14">
        <f t="shared" si="28"/>
        <v>1.105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2">
        <v>1</v>
      </c>
      <c r="B161" s="10" t="s">
        <v>23</v>
      </c>
      <c r="C161" s="11" t="s">
        <v>190</v>
      </c>
      <c r="D161" s="13">
        <v>45000</v>
      </c>
      <c r="E161" s="13">
        <f t="shared" si="24"/>
        <v>45000</v>
      </c>
      <c r="F161" s="13">
        <f t="shared" si="30"/>
        <v>49725</v>
      </c>
      <c r="G161" s="7" t="s">
        <v>15</v>
      </c>
      <c r="H161" s="2"/>
      <c r="I161" s="2"/>
      <c r="J161" s="13">
        <f t="shared" si="26"/>
        <v>0</v>
      </c>
      <c r="K161" s="13">
        <f t="shared" si="27"/>
        <v>49725</v>
      </c>
      <c r="L161" s="14">
        <f t="shared" si="28"/>
        <v>1.105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2">
        <v>1</v>
      </c>
      <c r="B162" s="10" t="s">
        <v>23</v>
      </c>
      <c r="C162" s="11" t="s">
        <v>127</v>
      </c>
      <c r="D162" s="13">
        <v>20000</v>
      </c>
      <c r="E162" s="13">
        <f t="shared" si="24"/>
        <v>20000</v>
      </c>
      <c r="F162" s="13">
        <f t="shared" si="30"/>
        <v>22100</v>
      </c>
      <c r="G162" s="7" t="s">
        <v>164</v>
      </c>
      <c r="H162" s="2"/>
      <c r="I162" s="2"/>
      <c r="J162" s="13">
        <f t="shared" si="26"/>
        <v>0</v>
      </c>
      <c r="K162" s="13">
        <f t="shared" si="27"/>
        <v>22100</v>
      </c>
      <c r="L162" s="14">
        <f t="shared" si="28"/>
        <v>1.105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2">
        <v>1</v>
      </c>
      <c r="B163" s="10" t="s">
        <v>23</v>
      </c>
      <c r="C163" s="11" t="s">
        <v>49</v>
      </c>
      <c r="D163" s="13">
        <v>36000</v>
      </c>
      <c r="E163" s="13">
        <f t="shared" si="24"/>
        <v>36000</v>
      </c>
      <c r="F163" s="13">
        <f t="shared" si="30"/>
        <v>39780</v>
      </c>
      <c r="G163" s="7" t="s">
        <v>164</v>
      </c>
      <c r="H163" s="2"/>
      <c r="I163" s="2"/>
      <c r="J163" s="13">
        <f t="shared" si="26"/>
        <v>0</v>
      </c>
      <c r="K163" s="13">
        <f t="shared" si="27"/>
        <v>39780</v>
      </c>
      <c r="L163" s="14">
        <f t="shared" si="28"/>
        <v>1.105</v>
      </c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2">
        <v>1</v>
      </c>
      <c r="B164" s="10" t="s">
        <v>23</v>
      </c>
      <c r="C164" s="11" t="s">
        <v>81</v>
      </c>
      <c r="D164" s="13">
        <v>22000</v>
      </c>
      <c r="E164" s="13">
        <f t="shared" si="24"/>
        <v>22000</v>
      </c>
      <c r="F164" s="13">
        <f t="shared" si="30"/>
        <v>24310</v>
      </c>
      <c r="G164" s="7" t="s">
        <v>164</v>
      </c>
      <c r="H164" s="2"/>
      <c r="I164" s="2"/>
      <c r="J164" s="13">
        <f t="shared" si="26"/>
        <v>0</v>
      </c>
      <c r="K164" s="13">
        <f t="shared" si="27"/>
        <v>24310</v>
      </c>
      <c r="L164" s="14">
        <f t="shared" si="28"/>
        <v>1.105</v>
      </c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"/>
      <c r="B165" s="2"/>
      <c r="C165" s="4"/>
      <c r="D165" s="2"/>
      <c r="E165" s="2"/>
      <c r="F165" s="13"/>
      <c r="G165" s="2"/>
      <c r="H165" s="2"/>
      <c r="I165" s="2"/>
      <c r="J165" s="2"/>
      <c r="K165" s="2"/>
      <c r="L165" s="3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"/>
      <c r="B166" s="2"/>
      <c r="C166" s="4"/>
      <c r="D166" s="2"/>
      <c r="E166" s="13">
        <f t="shared" ref="E166:F166" si="31">SUM(E147:E164)</f>
        <v>1215000</v>
      </c>
      <c r="F166" s="13">
        <f t="shared" si="31"/>
        <v>1351080</v>
      </c>
      <c r="G166" s="2"/>
      <c r="H166" s="2"/>
      <c r="I166" s="2"/>
      <c r="J166" s="2"/>
      <c r="K166" s="13">
        <f>SUM(K147:K164)</f>
        <v>676680</v>
      </c>
      <c r="L166" s="14">
        <f>K166/F166</f>
        <v>0.5008437694289013</v>
      </c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0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0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0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6" t="s">
        <v>165</v>
      </c>
      <c r="B170" s="25" t="s">
        <v>166</v>
      </c>
      <c r="C170" s="6"/>
      <c r="D170" s="7"/>
      <c r="E170" s="7" t="s">
        <v>58</v>
      </c>
      <c r="F170" s="8">
        <v>46139</v>
      </c>
      <c r="G170" s="7" t="s">
        <v>106</v>
      </c>
      <c r="H170" s="2"/>
      <c r="I170" s="9" t="s">
        <v>2</v>
      </c>
      <c r="J170" s="9"/>
      <c r="K170" s="9"/>
      <c r="L170" s="31"/>
      <c r="M170" s="4"/>
      <c r="N170" s="2"/>
      <c r="O170" s="4"/>
      <c r="P170" s="2"/>
      <c r="Q170" s="2"/>
      <c r="R170" s="4"/>
      <c r="S170" s="2"/>
      <c r="T170" s="2"/>
      <c r="U170" s="1"/>
      <c r="V170" s="2"/>
      <c r="W170" s="2"/>
      <c r="X170" s="2"/>
      <c r="Y170" s="2"/>
      <c r="Z170" s="2"/>
    </row>
    <row r="171" spans="1:26" x14ac:dyDescent="0.2">
      <c r="A171" s="1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31"/>
      <c r="M171" s="1"/>
      <c r="N171" s="2"/>
      <c r="O171" s="4"/>
      <c r="P171" s="2"/>
      <c r="Q171" s="2"/>
      <c r="R171" s="4"/>
      <c r="S171" s="2"/>
      <c r="T171" s="2"/>
      <c r="U171" s="1"/>
      <c r="V171" s="2"/>
      <c r="W171" s="2"/>
      <c r="X171" s="2"/>
      <c r="Y171" s="2"/>
      <c r="Z171" s="2"/>
    </row>
    <row r="172" spans="1:26" x14ac:dyDescent="0.2">
      <c r="A172" s="6" t="s">
        <v>3</v>
      </c>
      <c r="B172" s="10" t="s">
        <v>4</v>
      </c>
      <c r="C172" s="11" t="s">
        <v>5</v>
      </c>
      <c r="D172" s="10" t="s">
        <v>6</v>
      </c>
      <c r="E172" s="10" t="s">
        <v>7</v>
      </c>
      <c r="F172" s="10" t="s">
        <v>8</v>
      </c>
      <c r="G172" s="7"/>
      <c r="H172" s="7"/>
      <c r="I172" s="10" t="s">
        <v>9</v>
      </c>
      <c r="J172" s="10" t="s">
        <v>7</v>
      </c>
      <c r="K172" s="10" t="s">
        <v>10</v>
      </c>
      <c r="L172" s="38"/>
      <c r="M172" s="1"/>
      <c r="N172" s="2"/>
      <c r="O172" s="4"/>
      <c r="P172" s="2"/>
      <c r="Q172" s="2"/>
      <c r="R172" s="4"/>
      <c r="S172" s="2"/>
      <c r="T172" s="2"/>
      <c r="U172" s="1"/>
      <c r="V172" s="2"/>
      <c r="W172" s="2"/>
      <c r="X172" s="2"/>
      <c r="Y172" s="2"/>
      <c r="Z172" s="2"/>
    </row>
    <row r="173" spans="1:26" x14ac:dyDescent="0.2">
      <c r="A173" s="12">
        <v>2</v>
      </c>
      <c r="B173" s="10" t="s">
        <v>4</v>
      </c>
      <c r="C173" s="11" t="s">
        <v>72</v>
      </c>
      <c r="D173" s="13">
        <v>3500</v>
      </c>
      <c r="E173" s="13">
        <f t="shared" ref="E173:E190" si="32">A173*D173</f>
        <v>7000</v>
      </c>
      <c r="F173" s="13">
        <f t="shared" ref="F173:F187" si="33">E173*1.105</f>
        <v>7735</v>
      </c>
      <c r="G173" s="2"/>
      <c r="H173" s="2"/>
      <c r="I173" s="13">
        <v>2500</v>
      </c>
      <c r="J173" s="13">
        <f t="shared" ref="J173:J190" si="34">I173*A173</f>
        <v>5000</v>
      </c>
      <c r="K173" s="13">
        <f t="shared" ref="K173:K190" si="35">F173-J173</f>
        <v>2735</v>
      </c>
      <c r="L173" s="14">
        <f t="shared" ref="L173:L190" si="36">IFERROR(K173/E173, 0)</f>
        <v>0.39071428571428574</v>
      </c>
      <c r="M173" s="1"/>
      <c r="N173" s="2"/>
      <c r="O173" s="4"/>
      <c r="P173" s="2"/>
      <c r="Q173" s="2"/>
      <c r="R173" s="4"/>
      <c r="S173" s="2"/>
      <c r="T173" s="2"/>
      <c r="U173" s="1"/>
      <c r="V173" s="2"/>
      <c r="W173" s="2"/>
      <c r="X173" s="2"/>
      <c r="Y173" s="2"/>
      <c r="Z173" s="2"/>
    </row>
    <row r="174" spans="1:26" x14ac:dyDescent="0.2">
      <c r="A174" s="12">
        <v>10</v>
      </c>
      <c r="B174" s="10" t="s">
        <v>17</v>
      </c>
      <c r="C174" s="11" t="s">
        <v>82</v>
      </c>
      <c r="D174" s="13">
        <v>2300</v>
      </c>
      <c r="E174" s="13">
        <f t="shared" si="32"/>
        <v>23000</v>
      </c>
      <c r="F174" s="13">
        <f t="shared" si="33"/>
        <v>25415</v>
      </c>
      <c r="G174" s="2"/>
      <c r="H174" s="2"/>
      <c r="I174" s="13">
        <f>25000/14</f>
        <v>1785.7142857142858</v>
      </c>
      <c r="J174" s="13">
        <f t="shared" si="34"/>
        <v>17857.142857142859</v>
      </c>
      <c r="K174" s="13">
        <f t="shared" si="35"/>
        <v>7557.8571428571413</v>
      </c>
      <c r="L174" s="14">
        <f t="shared" si="36"/>
        <v>0.32860248447204959</v>
      </c>
      <c r="M174" s="1"/>
      <c r="N174" s="2"/>
      <c r="O174" s="4"/>
      <c r="P174" s="2"/>
      <c r="Q174" s="2"/>
      <c r="R174" s="4"/>
      <c r="S174" s="2"/>
      <c r="T174" s="2"/>
      <c r="U174" s="1"/>
      <c r="V174" s="2"/>
      <c r="W174" s="2"/>
      <c r="X174" s="2"/>
      <c r="Y174" s="2"/>
      <c r="Z174" s="2"/>
    </row>
    <row r="175" spans="1:26" x14ac:dyDescent="0.2">
      <c r="A175" s="12">
        <v>2</v>
      </c>
      <c r="B175" s="10" t="s">
        <v>15</v>
      </c>
      <c r="C175" s="11" t="s">
        <v>135</v>
      </c>
      <c r="D175" s="13">
        <v>16000</v>
      </c>
      <c r="E175" s="13">
        <f t="shared" si="32"/>
        <v>32000</v>
      </c>
      <c r="F175" s="13">
        <f t="shared" si="33"/>
        <v>35360</v>
      </c>
      <c r="G175" s="2"/>
      <c r="H175" s="2"/>
      <c r="I175" s="13">
        <v>13000</v>
      </c>
      <c r="J175" s="13">
        <f t="shared" si="34"/>
        <v>26000</v>
      </c>
      <c r="K175" s="13">
        <f t="shared" si="35"/>
        <v>9360</v>
      </c>
      <c r="L175" s="14">
        <f t="shared" si="36"/>
        <v>0.29249999999999998</v>
      </c>
      <c r="M175" s="1"/>
      <c r="N175" s="2"/>
      <c r="O175" s="4"/>
      <c r="P175" s="2"/>
      <c r="Q175" s="2"/>
      <c r="R175" s="4"/>
      <c r="S175" s="2"/>
      <c r="T175" s="2"/>
      <c r="U175" s="1"/>
      <c r="V175" s="2"/>
      <c r="W175" s="2"/>
      <c r="X175" s="2"/>
      <c r="Y175" s="2"/>
      <c r="Z175" s="2"/>
    </row>
    <row r="176" spans="1:26" x14ac:dyDescent="0.2">
      <c r="A176" s="12">
        <v>1</v>
      </c>
      <c r="B176" s="10" t="s">
        <v>15</v>
      </c>
      <c r="C176" s="11" t="s">
        <v>129</v>
      </c>
      <c r="D176" s="13">
        <v>16000</v>
      </c>
      <c r="E176" s="13">
        <f t="shared" si="32"/>
        <v>16000</v>
      </c>
      <c r="F176" s="13">
        <f t="shared" si="33"/>
        <v>17680</v>
      </c>
      <c r="G176" s="2"/>
      <c r="H176" s="2"/>
      <c r="I176" s="7">
        <v>11000</v>
      </c>
      <c r="J176" s="13">
        <f t="shared" si="34"/>
        <v>11000</v>
      </c>
      <c r="K176" s="13">
        <f t="shared" si="35"/>
        <v>6680</v>
      </c>
      <c r="L176" s="14">
        <f t="shared" si="36"/>
        <v>0.41749999999999998</v>
      </c>
      <c r="M176" s="1"/>
      <c r="N176" s="2"/>
      <c r="O176" s="4"/>
      <c r="P176" s="2"/>
      <c r="Q176" s="2"/>
      <c r="R176" s="4"/>
      <c r="S176" s="2"/>
      <c r="T176" s="2"/>
      <c r="U176" s="1"/>
      <c r="V176" s="2"/>
      <c r="W176" s="2"/>
      <c r="X176" s="2"/>
      <c r="Y176" s="2"/>
      <c r="Z176" s="2"/>
    </row>
    <row r="177" spans="1:26" x14ac:dyDescent="0.2">
      <c r="A177" s="12">
        <v>4</v>
      </c>
      <c r="B177" s="10" t="s">
        <v>17</v>
      </c>
      <c r="C177" s="11" t="s">
        <v>110</v>
      </c>
      <c r="D177" s="13">
        <v>3000</v>
      </c>
      <c r="E177" s="13">
        <f t="shared" si="32"/>
        <v>12000</v>
      </c>
      <c r="F177" s="13">
        <f t="shared" si="33"/>
        <v>13260</v>
      </c>
      <c r="G177" s="2"/>
      <c r="H177" s="7" t="s">
        <v>107</v>
      </c>
      <c r="I177" s="13">
        <v>0</v>
      </c>
      <c r="J177" s="13">
        <f t="shared" si="34"/>
        <v>0</v>
      </c>
      <c r="K177" s="13">
        <f t="shared" si="35"/>
        <v>13260</v>
      </c>
      <c r="L177" s="14">
        <f t="shared" si="36"/>
        <v>1.105</v>
      </c>
      <c r="M177" s="1"/>
      <c r="N177" s="2"/>
      <c r="O177" s="4"/>
      <c r="P177" s="2"/>
      <c r="Q177" s="2"/>
      <c r="R177" s="4"/>
      <c r="S177" s="2"/>
      <c r="T177" s="2"/>
      <c r="U177" s="1"/>
      <c r="V177" s="2"/>
      <c r="W177" s="2"/>
      <c r="X177" s="2"/>
      <c r="Y177" s="2"/>
      <c r="Z177" s="2"/>
    </row>
    <row r="178" spans="1:26" x14ac:dyDescent="0.2">
      <c r="A178" s="12">
        <v>5</v>
      </c>
      <c r="B178" s="10" t="s">
        <v>17</v>
      </c>
      <c r="C178" s="11" t="s">
        <v>73</v>
      </c>
      <c r="D178" s="13">
        <v>1400</v>
      </c>
      <c r="E178" s="13">
        <f t="shared" si="32"/>
        <v>7000</v>
      </c>
      <c r="F178" s="13">
        <f t="shared" si="33"/>
        <v>7735</v>
      </c>
      <c r="G178" s="2"/>
      <c r="H178" s="7"/>
      <c r="I178" s="13">
        <f>16000/15</f>
        <v>1066.6666666666667</v>
      </c>
      <c r="J178" s="13">
        <f t="shared" si="34"/>
        <v>5333.3333333333339</v>
      </c>
      <c r="K178" s="13">
        <f t="shared" si="35"/>
        <v>2401.6666666666661</v>
      </c>
      <c r="L178" s="14">
        <f t="shared" si="36"/>
        <v>0.34309523809523801</v>
      </c>
      <c r="M178" s="1"/>
      <c r="N178" s="2"/>
      <c r="O178" s="4"/>
      <c r="P178" s="2"/>
      <c r="Q178" s="2"/>
      <c r="R178" s="4"/>
      <c r="S178" s="2"/>
      <c r="T178" s="2"/>
      <c r="U178" s="1"/>
      <c r="V178" s="2"/>
      <c r="W178" s="2"/>
      <c r="X178" s="2"/>
      <c r="Y178" s="2"/>
      <c r="Z178" s="2"/>
    </row>
    <row r="179" spans="1:26" x14ac:dyDescent="0.2">
      <c r="A179" s="12">
        <v>4</v>
      </c>
      <c r="B179" s="10" t="s">
        <v>21</v>
      </c>
      <c r="C179" s="11" t="s">
        <v>130</v>
      </c>
      <c r="D179" s="13">
        <v>1500</v>
      </c>
      <c r="E179" s="13">
        <f t="shared" si="32"/>
        <v>6000</v>
      </c>
      <c r="F179" s="13">
        <f t="shared" si="33"/>
        <v>6630</v>
      </c>
      <c r="G179" s="2"/>
      <c r="H179" s="7" t="s">
        <v>1153</v>
      </c>
      <c r="I179" s="13">
        <v>1200</v>
      </c>
      <c r="J179" s="13">
        <f t="shared" si="34"/>
        <v>4800</v>
      </c>
      <c r="K179" s="13">
        <f t="shared" si="35"/>
        <v>1830</v>
      </c>
      <c r="L179" s="14">
        <f t="shared" si="36"/>
        <v>0.30499999999999999</v>
      </c>
      <c r="M179" s="1"/>
      <c r="N179" s="2"/>
      <c r="O179" s="4"/>
      <c r="P179" s="2"/>
      <c r="Q179" s="2"/>
      <c r="R179" s="4"/>
      <c r="S179" s="2"/>
      <c r="T179" s="2"/>
      <c r="U179" s="1"/>
      <c r="V179" s="2"/>
      <c r="W179" s="2"/>
      <c r="X179" s="2"/>
      <c r="Y179" s="2"/>
      <c r="Z179" s="2"/>
    </row>
    <row r="180" spans="1:26" x14ac:dyDescent="0.2">
      <c r="A180" s="12">
        <v>2</v>
      </c>
      <c r="B180" s="10" t="s">
        <v>15</v>
      </c>
      <c r="C180" s="11" t="s">
        <v>56</v>
      </c>
      <c r="D180" s="13">
        <v>13000</v>
      </c>
      <c r="E180" s="13">
        <f t="shared" si="32"/>
        <v>26000</v>
      </c>
      <c r="F180" s="13">
        <f t="shared" si="33"/>
        <v>28730</v>
      </c>
      <c r="G180" s="2"/>
      <c r="H180" s="2"/>
      <c r="I180" s="13">
        <v>9200</v>
      </c>
      <c r="J180" s="13">
        <f t="shared" si="34"/>
        <v>18400</v>
      </c>
      <c r="K180" s="13">
        <f t="shared" si="35"/>
        <v>10330</v>
      </c>
      <c r="L180" s="14">
        <f t="shared" si="36"/>
        <v>0.39730769230769231</v>
      </c>
      <c r="M180" s="1"/>
      <c r="N180" s="2"/>
      <c r="O180" s="4"/>
      <c r="P180" s="2"/>
      <c r="Q180" s="2"/>
      <c r="R180" s="4"/>
      <c r="S180" s="2"/>
      <c r="T180" s="2"/>
      <c r="U180" s="1"/>
      <c r="V180" s="2"/>
      <c r="W180" s="2"/>
      <c r="X180" s="2"/>
      <c r="Y180" s="2"/>
      <c r="Z180" s="2"/>
    </row>
    <row r="181" spans="1:26" x14ac:dyDescent="0.2">
      <c r="A181" s="12">
        <v>4</v>
      </c>
      <c r="B181" s="10" t="s">
        <v>17</v>
      </c>
      <c r="C181" s="11" t="s">
        <v>31</v>
      </c>
      <c r="D181" s="13">
        <v>3000</v>
      </c>
      <c r="E181" s="13">
        <f t="shared" si="32"/>
        <v>12000</v>
      </c>
      <c r="F181" s="13">
        <f t="shared" si="33"/>
        <v>13260</v>
      </c>
      <c r="G181" s="2"/>
      <c r="H181" s="2"/>
      <c r="I181" s="13">
        <f>13500/7</f>
        <v>1928.5714285714287</v>
      </c>
      <c r="J181" s="13">
        <f t="shared" si="34"/>
        <v>7714.2857142857147</v>
      </c>
      <c r="K181" s="13">
        <f t="shared" si="35"/>
        <v>5545.7142857142853</v>
      </c>
      <c r="L181" s="14">
        <f t="shared" si="36"/>
        <v>0.46214285714285713</v>
      </c>
      <c r="M181" s="1"/>
      <c r="N181" s="2"/>
      <c r="O181" s="4"/>
      <c r="P181" s="2"/>
      <c r="Q181" s="2"/>
      <c r="R181" s="4"/>
      <c r="S181" s="2"/>
      <c r="T181" s="2"/>
      <c r="U181" s="1"/>
      <c r="V181" s="2"/>
      <c r="W181" s="2"/>
      <c r="X181" s="2"/>
      <c r="Y181" s="2"/>
      <c r="Z181" s="2"/>
    </row>
    <row r="182" spans="1:26" x14ac:dyDescent="0.2">
      <c r="A182" s="12">
        <v>4</v>
      </c>
      <c r="B182" s="10" t="s">
        <v>17</v>
      </c>
      <c r="C182" s="11" t="s">
        <v>32</v>
      </c>
      <c r="D182" s="13">
        <v>2500</v>
      </c>
      <c r="E182" s="13">
        <f t="shared" si="32"/>
        <v>10000</v>
      </c>
      <c r="F182" s="13">
        <f t="shared" si="33"/>
        <v>11050</v>
      </c>
      <c r="G182" s="2"/>
      <c r="H182" s="7"/>
      <c r="I182" s="13">
        <f>12000/7</f>
        <v>1714.2857142857142</v>
      </c>
      <c r="J182" s="13">
        <f t="shared" si="34"/>
        <v>6857.1428571428569</v>
      </c>
      <c r="K182" s="13">
        <f t="shared" si="35"/>
        <v>4192.8571428571431</v>
      </c>
      <c r="L182" s="14">
        <f t="shared" si="36"/>
        <v>0.41928571428571432</v>
      </c>
      <c r="M182" s="1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x14ac:dyDescent="0.2">
      <c r="A183" s="12">
        <v>0.5</v>
      </c>
      <c r="B183" s="10" t="s">
        <v>23</v>
      </c>
      <c r="C183" s="11" t="s">
        <v>87</v>
      </c>
      <c r="D183" s="13">
        <v>38000</v>
      </c>
      <c r="E183" s="13">
        <f t="shared" si="32"/>
        <v>19000</v>
      </c>
      <c r="F183" s="13">
        <f t="shared" si="33"/>
        <v>20995</v>
      </c>
      <c r="G183" s="2"/>
      <c r="H183" s="2"/>
      <c r="I183" s="13">
        <v>27000</v>
      </c>
      <c r="J183" s="13">
        <f t="shared" si="34"/>
        <v>13500</v>
      </c>
      <c r="K183" s="13">
        <f t="shared" si="35"/>
        <v>7495</v>
      </c>
      <c r="L183" s="14">
        <f t="shared" si="36"/>
        <v>0.39447368421052631</v>
      </c>
      <c r="M183" s="1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x14ac:dyDescent="0.2">
      <c r="A184" s="12">
        <v>3</v>
      </c>
      <c r="B184" s="10" t="s">
        <v>17</v>
      </c>
      <c r="C184" s="11" t="s">
        <v>162</v>
      </c>
      <c r="D184" s="13">
        <v>4000</v>
      </c>
      <c r="E184" s="13">
        <f t="shared" si="32"/>
        <v>12000</v>
      </c>
      <c r="F184" s="13">
        <f t="shared" si="33"/>
        <v>13260</v>
      </c>
      <c r="G184" s="2"/>
      <c r="H184" s="2"/>
      <c r="I184" s="13">
        <f>37000/14</f>
        <v>2642.8571428571427</v>
      </c>
      <c r="J184" s="13">
        <f t="shared" si="34"/>
        <v>7928.5714285714275</v>
      </c>
      <c r="K184" s="13">
        <f t="shared" si="35"/>
        <v>5331.4285714285725</v>
      </c>
      <c r="L184" s="14">
        <f t="shared" si="36"/>
        <v>0.44428571428571439</v>
      </c>
      <c r="M184" s="1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x14ac:dyDescent="0.2">
      <c r="A185" s="12">
        <v>2</v>
      </c>
      <c r="B185" s="10" t="s">
        <v>17</v>
      </c>
      <c r="C185" s="11" t="s">
        <v>89</v>
      </c>
      <c r="D185" s="13">
        <v>16500</v>
      </c>
      <c r="E185" s="13">
        <f t="shared" si="32"/>
        <v>33000</v>
      </c>
      <c r="F185" s="13">
        <f t="shared" si="33"/>
        <v>36465</v>
      </c>
      <c r="G185" s="2"/>
      <c r="H185" s="2"/>
      <c r="I185" s="13">
        <v>14500</v>
      </c>
      <c r="J185" s="13">
        <f t="shared" si="34"/>
        <v>29000</v>
      </c>
      <c r="K185" s="13">
        <f t="shared" si="35"/>
        <v>7465</v>
      </c>
      <c r="L185" s="14">
        <f t="shared" si="36"/>
        <v>0.22621212121212123</v>
      </c>
      <c r="M185" s="1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x14ac:dyDescent="0.2">
      <c r="A186" s="12">
        <v>2</v>
      </c>
      <c r="B186" s="10" t="s">
        <v>17</v>
      </c>
      <c r="C186" s="11" t="s">
        <v>90</v>
      </c>
      <c r="D186" s="13">
        <v>7500</v>
      </c>
      <c r="E186" s="13">
        <f t="shared" si="32"/>
        <v>15000</v>
      </c>
      <c r="F186" s="13">
        <f t="shared" si="33"/>
        <v>16575</v>
      </c>
      <c r="G186" s="2"/>
      <c r="H186" s="2"/>
      <c r="I186" s="13">
        <f>35000/7</f>
        <v>5000</v>
      </c>
      <c r="J186" s="13">
        <f t="shared" si="34"/>
        <v>10000</v>
      </c>
      <c r="K186" s="13">
        <f t="shared" si="35"/>
        <v>6575</v>
      </c>
      <c r="L186" s="14">
        <f t="shared" si="36"/>
        <v>0.43833333333333335</v>
      </c>
      <c r="M186" s="1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x14ac:dyDescent="0.2">
      <c r="A187" s="12">
        <v>0.5</v>
      </c>
      <c r="B187" s="10" t="s">
        <v>23</v>
      </c>
      <c r="C187" s="11" t="s">
        <v>24</v>
      </c>
      <c r="D187" s="13">
        <v>50000</v>
      </c>
      <c r="E187" s="13">
        <f t="shared" si="32"/>
        <v>25000</v>
      </c>
      <c r="F187" s="13">
        <f t="shared" si="33"/>
        <v>27625</v>
      </c>
      <c r="G187" s="2"/>
      <c r="H187" s="7"/>
      <c r="I187" s="13">
        <f>10600*4</f>
        <v>42400</v>
      </c>
      <c r="J187" s="13">
        <f t="shared" si="34"/>
        <v>21200</v>
      </c>
      <c r="K187" s="13">
        <f t="shared" si="35"/>
        <v>6425</v>
      </c>
      <c r="L187" s="14">
        <f t="shared" si="36"/>
        <v>0.25700000000000001</v>
      </c>
      <c r="M187" s="1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x14ac:dyDescent="0.2">
      <c r="A188" s="12">
        <v>1</v>
      </c>
      <c r="B188" s="10" t="s">
        <v>15</v>
      </c>
      <c r="C188" s="11" t="s">
        <v>167</v>
      </c>
      <c r="D188" s="13">
        <v>16000</v>
      </c>
      <c r="E188" s="13">
        <f t="shared" si="32"/>
        <v>16000</v>
      </c>
      <c r="F188" s="13">
        <f t="shared" ref="F188:F189" si="37">E188*1.21</f>
        <v>19360</v>
      </c>
      <c r="G188" s="2"/>
      <c r="H188" s="2"/>
      <c r="I188" s="13">
        <v>10000</v>
      </c>
      <c r="J188" s="13">
        <f t="shared" si="34"/>
        <v>10000</v>
      </c>
      <c r="K188" s="13">
        <f t="shared" si="35"/>
        <v>9360</v>
      </c>
      <c r="L188" s="14">
        <f t="shared" si="36"/>
        <v>0.58499999999999996</v>
      </c>
      <c r="M188" s="1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x14ac:dyDescent="0.2">
      <c r="A189" s="12">
        <v>0.5</v>
      </c>
      <c r="B189" s="10" t="s">
        <v>23</v>
      </c>
      <c r="C189" s="11" t="s">
        <v>85</v>
      </c>
      <c r="D189" s="13">
        <v>54000</v>
      </c>
      <c r="E189" s="13">
        <f t="shared" si="32"/>
        <v>27000</v>
      </c>
      <c r="F189" s="13">
        <f t="shared" si="37"/>
        <v>32670</v>
      </c>
      <c r="G189" s="2"/>
      <c r="H189" s="2"/>
      <c r="I189" s="13">
        <v>50000</v>
      </c>
      <c r="J189" s="13">
        <f t="shared" si="34"/>
        <v>25000</v>
      </c>
      <c r="K189" s="13">
        <f t="shared" si="35"/>
        <v>7670</v>
      </c>
      <c r="L189" s="14">
        <f t="shared" si="36"/>
        <v>0.28407407407407409</v>
      </c>
      <c r="M189" s="1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x14ac:dyDescent="0.2">
      <c r="A190" s="12">
        <v>8</v>
      </c>
      <c r="B190" s="10" t="s">
        <v>17</v>
      </c>
      <c r="C190" s="11" t="s">
        <v>26</v>
      </c>
      <c r="D190" s="13">
        <v>1400</v>
      </c>
      <c r="E190" s="13">
        <f t="shared" si="32"/>
        <v>11200</v>
      </c>
      <c r="F190" s="13">
        <f>E190*1.105</f>
        <v>12376</v>
      </c>
      <c r="G190" s="2"/>
      <c r="H190" s="2"/>
      <c r="I190" s="13">
        <f>13600/15</f>
        <v>906.66666666666663</v>
      </c>
      <c r="J190" s="13">
        <f t="shared" si="34"/>
        <v>7253.333333333333</v>
      </c>
      <c r="K190" s="13">
        <f t="shared" si="35"/>
        <v>5122.666666666667</v>
      </c>
      <c r="L190" s="14">
        <f t="shared" si="36"/>
        <v>0.45738095238095239</v>
      </c>
      <c r="M190" s="1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x14ac:dyDescent="0.2">
      <c r="A191" s="15"/>
      <c r="B191" s="7"/>
      <c r="C191" s="24"/>
      <c r="D191" s="7"/>
      <c r="E191" s="7"/>
      <c r="F191" s="7"/>
      <c r="G191" s="7"/>
      <c r="H191" s="7"/>
      <c r="I191" s="2"/>
      <c r="J191" s="7"/>
      <c r="K191" s="7"/>
      <c r="L191" s="14"/>
      <c r="M191" s="1"/>
      <c r="N191" s="2"/>
      <c r="O191" s="4"/>
      <c r="P191" s="2"/>
      <c r="Q191" s="2"/>
      <c r="R191" s="4"/>
      <c r="S191" s="2"/>
      <c r="T191" s="2"/>
      <c r="U191" s="1"/>
      <c r="V191" s="2"/>
      <c r="W191" s="2"/>
      <c r="X191" s="2"/>
      <c r="Y191" s="2"/>
      <c r="Z191" s="2"/>
    </row>
    <row r="192" spans="1:26" x14ac:dyDescent="0.2">
      <c r="A192" s="15"/>
      <c r="B192" s="7"/>
      <c r="C192" s="24"/>
      <c r="D192" s="7"/>
      <c r="E192" s="13">
        <f t="shared" ref="E192:F192" si="38">SUM(E173:E190)</f>
        <v>309200</v>
      </c>
      <c r="F192" s="13">
        <f t="shared" si="38"/>
        <v>346181</v>
      </c>
      <c r="G192" s="7"/>
      <c r="H192" s="7"/>
      <c r="I192" s="2"/>
      <c r="J192" s="7"/>
      <c r="K192" s="13">
        <f>SUM(K173:K190)</f>
        <v>119337.19047619049</v>
      </c>
      <c r="L192" s="14">
        <f>IFERROR(K192/E192, 0)</f>
        <v>0.38595469106141816</v>
      </c>
      <c r="M192" s="1"/>
      <c r="N192" s="2"/>
      <c r="O192" s="4"/>
      <c r="P192" s="2"/>
      <c r="Q192" s="2"/>
      <c r="R192" s="4"/>
      <c r="S192" s="2"/>
      <c r="T192" s="2"/>
      <c r="U192" s="1"/>
      <c r="V192" s="2"/>
      <c r="W192" s="2"/>
      <c r="X192" s="2"/>
      <c r="Y192" s="2"/>
      <c r="Z192" s="2"/>
    </row>
    <row r="193" spans="1:26" x14ac:dyDescent="0.2">
      <c r="A193" s="12"/>
      <c r="B193" s="10"/>
      <c r="C193" s="11"/>
      <c r="D193" s="13"/>
      <c r="E193" s="13"/>
      <c r="F193" s="13"/>
      <c r="G193" s="2"/>
      <c r="H193" s="2"/>
      <c r="I193" s="2"/>
      <c r="J193" s="13"/>
      <c r="K193" s="13"/>
      <c r="L193" s="14"/>
      <c r="M193" s="4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ht="15.75" customHeight="1" x14ac:dyDescent="0.2">
      <c r="A194" s="6" t="s">
        <v>1150</v>
      </c>
      <c r="B194" s="1"/>
      <c r="C194" s="1"/>
      <c r="D194" s="1"/>
      <c r="E194" s="13">
        <f>E192*0.05</f>
        <v>15460</v>
      </c>
      <c r="F194" s="1"/>
      <c r="G194" s="1"/>
      <c r="H194" s="1"/>
      <c r="I194" s="1"/>
      <c r="J194" s="1"/>
      <c r="K194" s="1"/>
      <c r="L194" s="20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8"/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A196" s="6"/>
      <c r="B196" s="25"/>
      <c r="C196" s="6"/>
      <c r="D196" s="7"/>
      <c r="E196" s="7"/>
      <c r="F196" s="8"/>
      <c r="G196" s="7"/>
      <c r="H196" s="2"/>
      <c r="I196" s="2"/>
      <c r="J196" s="9"/>
      <c r="K196" s="9"/>
      <c r="L196" s="3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6" t="s">
        <v>165</v>
      </c>
      <c r="B197" s="25" t="s">
        <v>168</v>
      </c>
      <c r="C197" s="6"/>
      <c r="D197" s="7"/>
      <c r="E197" s="7" t="s">
        <v>1</v>
      </c>
      <c r="F197" s="8">
        <v>46139</v>
      </c>
      <c r="G197" s="7"/>
      <c r="H197" s="2"/>
      <c r="I197" s="9" t="s">
        <v>2</v>
      </c>
      <c r="J197" s="9"/>
      <c r="K197" s="9"/>
      <c r="L197" s="3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31"/>
      <c r="M198" s="1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x14ac:dyDescent="0.2">
      <c r="A199" s="6" t="s">
        <v>3</v>
      </c>
      <c r="B199" s="10" t="s">
        <v>4</v>
      </c>
      <c r="C199" s="11" t="s">
        <v>5</v>
      </c>
      <c r="D199" s="10" t="s">
        <v>6</v>
      </c>
      <c r="E199" s="10" t="s">
        <v>7</v>
      </c>
      <c r="F199" s="10" t="s">
        <v>8</v>
      </c>
      <c r="G199" s="7"/>
      <c r="H199" s="7"/>
      <c r="I199" s="10" t="s">
        <v>9</v>
      </c>
      <c r="J199" s="10" t="s">
        <v>7</v>
      </c>
      <c r="K199" s="10" t="s">
        <v>10</v>
      </c>
      <c r="L199" s="38"/>
      <c r="M199" s="1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x14ac:dyDescent="0.2">
      <c r="A200" s="12">
        <v>1</v>
      </c>
      <c r="B200" s="10" t="s">
        <v>15</v>
      </c>
      <c r="C200" s="11" t="s">
        <v>56</v>
      </c>
      <c r="D200" s="13">
        <v>13000</v>
      </c>
      <c r="E200" s="13">
        <f t="shared" ref="E200:E223" si="39">A200*D200</f>
        <v>13000</v>
      </c>
      <c r="F200" s="13">
        <f t="shared" ref="F200:F222" si="40">E200*1.105</f>
        <v>14365</v>
      </c>
      <c r="G200" s="2"/>
      <c r="H200" s="2"/>
      <c r="I200" s="13">
        <v>9200</v>
      </c>
      <c r="J200" s="13">
        <f t="shared" ref="J200:J223" si="41">I200*A200</f>
        <v>9200</v>
      </c>
      <c r="K200" s="13">
        <f t="shared" ref="K200:K223" si="42">F200-J200</f>
        <v>5165</v>
      </c>
      <c r="L200" s="14">
        <f t="shared" ref="L200:L223" si="43">IFERROR(K200/E200, 0)</f>
        <v>0.39730769230769231</v>
      </c>
      <c r="M200" s="1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x14ac:dyDescent="0.2">
      <c r="A201" s="12">
        <v>4</v>
      </c>
      <c r="B201" s="10" t="s">
        <v>17</v>
      </c>
      <c r="C201" s="11" t="s">
        <v>31</v>
      </c>
      <c r="D201" s="13">
        <v>3000</v>
      </c>
      <c r="E201" s="13">
        <f t="shared" si="39"/>
        <v>12000</v>
      </c>
      <c r="F201" s="13">
        <f t="shared" si="40"/>
        <v>13260</v>
      </c>
      <c r="G201" s="2"/>
      <c r="H201" s="2"/>
      <c r="I201" s="13">
        <f>13500/7</f>
        <v>1928.5714285714287</v>
      </c>
      <c r="J201" s="13">
        <f t="shared" si="41"/>
        <v>7714.2857142857147</v>
      </c>
      <c r="K201" s="13">
        <f t="shared" si="42"/>
        <v>5545.7142857142853</v>
      </c>
      <c r="L201" s="14">
        <f t="shared" si="43"/>
        <v>0.46214285714285713</v>
      </c>
      <c r="M201" s="1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x14ac:dyDescent="0.2">
      <c r="A202" s="12">
        <v>4</v>
      </c>
      <c r="B202" s="10" t="s">
        <v>17</v>
      </c>
      <c r="C202" s="11" t="s">
        <v>32</v>
      </c>
      <c r="D202" s="13">
        <v>2500</v>
      </c>
      <c r="E202" s="13">
        <f t="shared" si="39"/>
        <v>10000</v>
      </c>
      <c r="F202" s="13">
        <f t="shared" si="40"/>
        <v>11050</v>
      </c>
      <c r="G202" s="2"/>
      <c r="H202" s="2"/>
      <c r="I202" s="13">
        <f>12000/7</f>
        <v>1714.2857142857142</v>
      </c>
      <c r="J202" s="13">
        <f t="shared" si="41"/>
        <v>6857.1428571428569</v>
      </c>
      <c r="K202" s="13">
        <f t="shared" si="42"/>
        <v>4192.8571428571431</v>
      </c>
      <c r="L202" s="14">
        <f t="shared" si="43"/>
        <v>0.41928571428571432</v>
      </c>
      <c r="M202" s="1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x14ac:dyDescent="0.2">
      <c r="A203" s="12">
        <v>1</v>
      </c>
      <c r="B203" s="10" t="s">
        <v>15</v>
      </c>
      <c r="C203" s="11" t="s">
        <v>48</v>
      </c>
      <c r="D203" s="13">
        <v>13000</v>
      </c>
      <c r="E203" s="13">
        <f t="shared" si="39"/>
        <v>13000</v>
      </c>
      <c r="F203" s="13">
        <f t="shared" si="40"/>
        <v>14365</v>
      </c>
      <c r="G203" s="2"/>
      <c r="H203" s="2"/>
      <c r="I203" s="13">
        <v>8000</v>
      </c>
      <c r="J203" s="13">
        <f t="shared" si="41"/>
        <v>8000</v>
      </c>
      <c r="K203" s="13">
        <f t="shared" si="42"/>
        <v>6365</v>
      </c>
      <c r="L203" s="14">
        <f t="shared" si="43"/>
        <v>0.48961538461538462</v>
      </c>
      <c r="M203" s="1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x14ac:dyDescent="0.2">
      <c r="A204" s="12">
        <v>2</v>
      </c>
      <c r="B204" s="10" t="s">
        <v>15</v>
      </c>
      <c r="C204" s="11" t="s">
        <v>135</v>
      </c>
      <c r="D204" s="13">
        <v>16000</v>
      </c>
      <c r="E204" s="13">
        <f t="shared" si="39"/>
        <v>32000</v>
      </c>
      <c r="F204" s="13">
        <f t="shared" si="40"/>
        <v>35360</v>
      </c>
      <c r="G204" s="2"/>
      <c r="H204" s="2"/>
      <c r="I204" s="13">
        <v>13000</v>
      </c>
      <c r="J204" s="13">
        <f t="shared" si="41"/>
        <v>26000</v>
      </c>
      <c r="K204" s="13">
        <f t="shared" si="42"/>
        <v>9360</v>
      </c>
      <c r="L204" s="14">
        <f t="shared" si="43"/>
        <v>0.29249999999999998</v>
      </c>
      <c r="M204" s="1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x14ac:dyDescent="0.2">
      <c r="A205" s="12">
        <v>2</v>
      </c>
      <c r="B205" s="10" t="s">
        <v>15</v>
      </c>
      <c r="C205" s="11" t="s">
        <v>167</v>
      </c>
      <c r="D205" s="13">
        <v>16000</v>
      </c>
      <c r="E205" s="13">
        <f t="shared" si="39"/>
        <v>32000</v>
      </c>
      <c r="F205" s="13">
        <f t="shared" si="40"/>
        <v>35360</v>
      </c>
      <c r="G205" s="2"/>
      <c r="H205" s="7"/>
      <c r="I205" s="13">
        <v>10000</v>
      </c>
      <c r="J205" s="13">
        <f t="shared" si="41"/>
        <v>20000</v>
      </c>
      <c r="K205" s="13">
        <f t="shared" si="42"/>
        <v>15360</v>
      </c>
      <c r="L205" s="14">
        <f t="shared" si="43"/>
        <v>0.48</v>
      </c>
      <c r="M205" s="1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x14ac:dyDescent="0.2">
      <c r="A206" s="12">
        <v>4</v>
      </c>
      <c r="B206" s="10" t="s">
        <v>17</v>
      </c>
      <c r="C206" s="11" t="s">
        <v>99</v>
      </c>
      <c r="D206" s="13">
        <v>1200</v>
      </c>
      <c r="E206" s="13">
        <f t="shared" si="39"/>
        <v>4800</v>
      </c>
      <c r="F206" s="13">
        <f t="shared" si="40"/>
        <v>5304</v>
      </c>
      <c r="G206" s="2"/>
      <c r="H206" s="2"/>
      <c r="I206" s="13">
        <f>5000/8</f>
        <v>625</v>
      </c>
      <c r="J206" s="13">
        <f t="shared" si="41"/>
        <v>2500</v>
      </c>
      <c r="K206" s="13">
        <f t="shared" si="42"/>
        <v>2804</v>
      </c>
      <c r="L206" s="14">
        <f t="shared" si="43"/>
        <v>0.58416666666666661</v>
      </c>
      <c r="M206" s="1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x14ac:dyDescent="0.2">
      <c r="A207" s="12">
        <v>5</v>
      </c>
      <c r="B207" s="10" t="s">
        <v>17</v>
      </c>
      <c r="C207" s="11" t="s">
        <v>82</v>
      </c>
      <c r="D207" s="13">
        <v>2300</v>
      </c>
      <c r="E207" s="13">
        <f t="shared" si="39"/>
        <v>11500</v>
      </c>
      <c r="F207" s="13">
        <f t="shared" si="40"/>
        <v>12707.5</v>
      </c>
      <c r="G207" s="2"/>
      <c r="H207" s="2"/>
      <c r="I207" s="13">
        <f>25000/14</f>
        <v>1785.7142857142858</v>
      </c>
      <c r="J207" s="13">
        <f t="shared" si="41"/>
        <v>8928.5714285714294</v>
      </c>
      <c r="K207" s="13">
        <f t="shared" si="42"/>
        <v>3778.9285714285706</v>
      </c>
      <c r="L207" s="14">
        <f t="shared" si="43"/>
        <v>0.32860248447204959</v>
      </c>
      <c r="M207" s="1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x14ac:dyDescent="0.2">
      <c r="A208" s="12">
        <v>1</v>
      </c>
      <c r="B208" s="10" t="s">
        <v>23</v>
      </c>
      <c r="C208" s="11" t="s">
        <v>110</v>
      </c>
      <c r="D208" s="13">
        <v>18000</v>
      </c>
      <c r="E208" s="13">
        <f t="shared" si="39"/>
        <v>18000</v>
      </c>
      <c r="F208" s="13">
        <f t="shared" si="40"/>
        <v>19890</v>
      </c>
      <c r="G208" s="2"/>
      <c r="H208" s="2"/>
      <c r="I208" s="13">
        <v>13000</v>
      </c>
      <c r="J208" s="13">
        <f t="shared" si="41"/>
        <v>13000</v>
      </c>
      <c r="K208" s="13">
        <f t="shared" si="42"/>
        <v>6890</v>
      </c>
      <c r="L208" s="14">
        <f t="shared" si="43"/>
        <v>0.38277777777777777</v>
      </c>
      <c r="M208" s="1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x14ac:dyDescent="0.2">
      <c r="A209" s="12">
        <v>1</v>
      </c>
      <c r="B209" s="10" t="s">
        <v>23</v>
      </c>
      <c r="C209" s="11" t="s">
        <v>73</v>
      </c>
      <c r="D209" s="13">
        <v>21000</v>
      </c>
      <c r="E209" s="13">
        <f t="shared" si="39"/>
        <v>21000</v>
      </c>
      <c r="F209" s="13">
        <f t="shared" si="40"/>
        <v>23205</v>
      </c>
      <c r="G209" s="2"/>
      <c r="H209" s="7"/>
      <c r="I209" s="13">
        <v>16000</v>
      </c>
      <c r="J209" s="13">
        <f t="shared" si="41"/>
        <v>16000</v>
      </c>
      <c r="K209" s="13">
        <f t="shared" si="42"/>
        <v>7205</v>
      </c>
      <c r="L209" s="14">
        <f t="shared" si="43"/>
        <v>0.34309523809523812</v>
      </c>
      <c r="M209" s="1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x14ac:dyDescent="0.2">
      <c r="A210" s="12">
        <v>3</v>
      </c>
      <c r="B210" s="10" t="s">
        <v>21</v>
      </c>
      <c r="C210" s="11" t="s">
        <v>35</v>
      </c>
      <c r="D210" s="13">
        <v>2200</v>
      </c>
      <c r="E210" s="13">
        <f t="shared" si="39"/>
        <v>6600</v>
      </c>
      <c r="F210" s="13">
        <f t="shared" si="40"/>
        <v>7293</v>
      </c>
      <c r="G210" s="2"/>
      <c r="H210" s="2"/>
      <c r="I210" s="13">
        <f>14000/9</f>
        <v>1555.5555555555557</v>
      </c>
      <c r="J210" s="13">
        <f t="shared" si="41"/>
        <v>4666.666666666667</v>
      </c>
      <c r="K210" s="13">
        <f t="shared" si="42"/>
        <v>2626.333333333333</v>
      </c>
      <c r="L210" s="14">
        <f t="shared" si="43"/>
        <v>0.39792929292929291</v>
      </c>
      <c r="M210" s="1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x14ac:dyDescent="0.2">
      <c r="A211" s="12">
        <v>2</v>
      </c>
      <c r="B211" s="10" t="s">
        <v>4</v>
      </c>
      <c r="C211" s="11" t="s">
        <v>72</v>
      </c>
      <c r="D211" s="13">
        <v>3500</v>
      </c>
      <c r="E211" s="13">
        <f t="shared" si="39"/>
        <v>7000</v>
      </c>
      <c r="F211" s="13">
        <f t="shared" si="40"/>
        <v>7735</v>
      </c>
      <c r="G211" s="2"/>
      <c r="H211" s="2"/>
      <c r="I211" s="13">
        <v>2500</v>
      </c>
      <c r="J211" s="13">
        <f t="shared" si="41"/>
        <v>5000</v>
      </c>
      <c r="K211" s="13">
        <f t="shared" si="42"/>
        <v>2735</v>
      </c>
      <c r="L211" s="14">
        <f t="shared" si="43"/>
        <v>0.39071428571428574</v>
      </c>
      <c r="M211" s="1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x14ac:dyDescent="0.2">
      <c r="A212" s="12">
        <v>3</v>
      </c>
      <c r="B212" s="10" t="s">
        <v>4</v>
      </c>
      <c r="C212" s="11" t="s">
        <v>14</v>
      </c>
      <c r="D212" s="13">
        <v>3500</v>
      </c>
      <c r="E212" s="13">
        <f t="shared" si="39"/>
        <v>10500</v>
      </c>
      <c r="F212" s="13">
        <f t="shared" si="40"/>
        <v>11602.5</v>
      </c>
      <c r="G212" s="2"/>
      <c r="H212" s="2"/>
      <c r="I212" s="13">
        <f>22000/8</f>
        <v>2750</v>
      </c>
      <c r="J212" s="13">
        <f t="shared" si="41"/>
        <v>8250</v>
      </c>
      <c r="K212" s="13">
        <f t="shared" si="42"/>
        <v>3352.5</v>
      </c>
      <c r="L212" s="18">
        <f t="shared" si="43"/>
        <v>0.31928571428571428</v>
      </c>
      <c r="M212" s="1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x14ac:dyDescent="0.2">
      <c r="A213" s="12">
        <v>4</v>
      </c>
      <c r="B213" s="10" t="s">
        <v>17</v>
      </c>
      <c r="C213" s="11" t="s">
        <v>61</v>
      </c>
      <c r="D213" s="13">
        <v>2600</v>
      </c>
      <c r="E213" s="13">
        <f t="shared" si="39"/>
        <v>10400</v>
      </c>
      <c r="F213" s="13">
        <f t="shared" si="40"/>
        <v>11492</v>
      </c>
      <c r="G213" s="2"/>
      <c r="H213" s="2"/>
      <c r="I213" s="13">
        <f>24000/14</f>
        <v>1714.2857142857142</v>
      </c>
      <c r="J213" s="13">
        <f t="shared" si="41"/>
        <v>6857.1428571428569</v>
      </c>
      <c r="K213" s="13">
        <f t="shared" si="42"/>
        <v>4634.8571428571431</v>
      </c>
      <c r="L213" s="18">
        <f t="shared" si="43"/>
        <v>0.44565934065934071</v>
      </c>
      <c r="M213" s="1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x14ac:dyDescent="0.2">
      <c r="A214" s="12">
        <v>2</v>
      </c>
      <c r="B214" s="10" t="s">
        <v>21</v>
      </c>
      <c r="C214" s="11" t="s">
        <v>51</v>
      </c>
      <c r="D214" s="13">
        <v>1500</v>
      </c>
      <c r="E214" s="13">
        <f t="shared" si="39"/>
        <v>3000</v>
      </c>
      <c r="F214" s="13">
        <f t="shared" si="40"/>
        <v>3315</v>
      </c>
      <c r="G214" s="2"/>
      <c r="H214" s="2"/>
      <c r="I214" s="7">
        <f>20000/30</f>
        <v>666.66666666666663</v>
      </c>
      <c r="J214" s="13">
        <f t="shared" si="41"/>
        <v>1333.3333333333333</v>
      </c>
      <c r="K214" s="13">
        <f t="shared" si="42"/>
        <v>1981.6666666666667</v>
      </c>
      <c r="L214" s="14">
        <f t="shared" si="43"/>
        <v>0.66055555555555556</v>
      </c>
      <c r="M214" s="1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x14ac:dyDescent="0.2">
      <c r="A215" s="12">
        <v>15</v>
      </c>
      <c r="B215" s="10" t="s">
        <v>4</v>
      </c>
      <c r="C215" s="11" t="s">
        <v>13</v>
      </c>
      <c r="D215" s="13">
        <v>900</v>
      </c>
      <c r="E215" s="13">
        <f t="shared" si="39"/>
        <v>13500</v>
      </c>
      <c r="F215" s="13">
        <f t="shared" si="40"/>
        <v>14917.5</v>
      </c>
      <c r="G215" s="2"/>
      <c r="H215" s="2"/>
      <c r="I215" s="13">
        <v>460</v>
      </c>
      <c r="J215" s="13">
        <f t="shared" si="41"/>
        <v>6900</v>
      </c>
      <c r="K215" s="13">
        <f t="shared" si="42"/>
        <v>8017.5</v>
      </c>
      <c r="L215" s="14">
        <f t="shared" si="43"/>
        <v>0.59388888888888891</v>
      </c>
      <c r="M215" s="1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x14ac:dyDescent="0.2">
      <c r="A216" s="12">
        <v>0.5</v>
      </c>
      <c r="B216" s="10" t="s">
        <v>23</v>
      </c>
      <c r="C216" s="11" t="s">
        <v>87</v>
      </c>
      <c r="D216" s="13">
        <v>38000</v>
      </c>
      <c r="E216" s="13">
        <f t="shared" si="39"/>
        <v>19000</v>
      </c>
      <c r="F216" s="13">
        <f t="shared" si="40"/>
        <v>20995</v>
      </c>
      <c r="G216" s="2"/>
      <c r="H216" s="7"/>
      <c r="I216" s="13">
        <v>27000</v>
      </c>
      <c r="J216" s="13">
        <f t="shared" si="41"/>
        <v>13500</v>
      </c>
      <c r="K216" s="13">
        <f t="shared" si="42"/>
        <v>7495</v>
      </c>
      <c r="L216" s="14">
        <f t="shared" si="43"/>
        <v>0.39447368421052631</v>
      </c>
      <c r="M216" s="1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x14ac:dyDescent="0.2">
      <c r="A217" s="12">
        <v>3</v>
      </c>
      <c r="B217" s="10" t="s">
        <v>17</v>
      </c>
      <c r="C217" s="11" t="s">
        <v>24</v>
      </c>
      <c r="D217" s="13">
        <v>3600</v>
      </c>
      <c r="E217" s="13">
        <f t="shared" si="39"/>
        <v>10800</v>
      </c>
      <c r="F217" s="13">
        <f t="shared" si="40"/>
        <v>11934</v>
      </c>
      <c r="G217" s="2"/>
      <c r="H217" s="2"/>
      <c r="I217" s="13">
        <f>50000/17</f>
        <v>2941.1764705882351</v>
      </c>
      <c r="J217" s="13">
        <f t="shared" si="41"/>
        <v>8823.5294117647063</v>
      </c>
      <c r="K217" s="13">
        <f t="shared" si="42"/>
        <v>3110.4705882352937</v>
      </c>
      <c r="L217" s="14">
        <f t="shared" si="43"/>
        <v>0.28800653594771236</v>
      </c>
      <c r="M217" s="1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x14ac:dyDescent="0.2">
      <c r="A218" s="12">
        <v>3</v>
      </c>
      <c r="B218" s="10" t="s">
        <v>17</v>
      </c>
      <c r="C218" s="11" t="s">
        <v>26</v>
      </c>
      <c r="D218" s="13">
        <v>1800</v>
      </c>
      <c r="E218" s="13">
        <f t="shared" si="39"/>
        <v>5400</v>
      </c>
      <c r="F218" s="13">
        <f t="shared" si="40"/>
        <v>5967</v>
      </c>
      <c r="G218" s="2"/>
      <c r="H218" s="2"/>
      <c r="I218" s="13">
        <f>13600/15</f>
        <v>906.66666666666663</v>
      </c>
      <c r="J218" s="13">
        <f t="shared" si="41"/>
        <v>2720</v>
      </c>
      <c r="K218" s="13">
        <f t="shared" si="42"/>
        <v>3247</v>
      </c>
      <c r="L218" s="14">
        <f t="shared" si="43"/>
        <v>0.60129629629629633</v>
      </c>
      <c r="M218" s="1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x14ac:dyDescent="0.2">
      <c r="A219" s="12">
        <v>1</v>
      </c>
      <c r="B219" s="10" t="s">
        <v>17</v>
      </c>
      <c r="C219" s="11" t="s">
        <v>89</v>
      </c>
      <c r="D219" s="13">
        <v>16500</v>
      </c>
      <c r="E219" s="13">
        <f t="shared" si="39"/>
        <v>16500</v>
      </c>
      <c r="F219" s="13">
        <f t="shared" si="40"/>
        <v>18232.5</v>
      </c>
      <c r="G219" s="2"/>
      <c r="H219" s="2"/>
      <c r="I219" s="13">
        <v>14500</v>
      </c>
      <c r="J219" s="13">
        <f t="shared" si="41"/>
        <v>14500</v>
      </c>
      <c r="K219" s="13">
        <f t="shared" si="42"/>
        <v>3732.5</v>
      </c>
      <c r="L219" s="18">
        <f t="shared" si="43"/>
        <v>0.22621212121212123</v>
      </c>
      <c r="M219" s="1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x14ac:dyDescent="0.2">
      <c r="A220" s="12">
        <v>1</v>
      </c>
      <c r="B220" s="10" t="s">
        <v>17</v>
      </c>
      <c r="C220" s="11" t="s">
        <v>90</v>
      </c>
      <c r="D220" s="13">
        <v>7500</v>
      </c>
      <c r="E220" s="13">
        <f t="shared" si="39"/>
        <v>7500</v>
      </c>
      <c r="F220" s="13">
        <f t="shared" si="40"/>
        <v>8287.5</v>
      </c>
      <c r="G220" s="2"/>
      <c r="H220" s="2"/>
      <c r="I220" s="13">
        <f>35000/7</f>
        <v>5000</v>
      </c>
      <c r="J220" s="13">
        <f t="shared" si="41"/>
        <v>5000</v>
      </c>
      <c r="K220" s="13">
        <f t="shared" si="42"/>
        <v>3287.5</v>
      </c>
      <c r="L220" s="18">
        <f t="shared" si="43"/>
        <v>0.43833333333333335</v>
      </c>
      <c r="M220" s="1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x14ac:dyDescent="0.2">
      <c r="A221" s="12">
        <v>2</v>
      </c>
      <c r="B221" s="10" t="s">
        <v>17</v>
      </c>
      <c r="C221" s="11" t="s">
        <v>162</v>
      </c>
      <c r="D221" s="13">
        <v>4000</v>
      </c>
      <c r="E221" s="13">
        <f t="shared" si="39"/>
        <v>8000</v>
      </c>
      <c r="F221" s="13">
        <f t="shared" si="40"/>
        <v>8840</v>
      </c>
      <c r="G221" s="2"/>
      <c r="H221" s="2"/>
      <c r="I221" s="13">
        <f>37000/14</f>
        <v>2642.8571428571427</v>
      </c>
      <c r="J221" s="13">
        <f t="shared" si="41"/>
        <v>5285.7142857142853</v>
      </c>
      <c r="K221" s="13">
        <f t="shared" si="42"/>
        <v>3554.2857142857147</v>
      </c>
      <c r="L221" s="18">
        <f t="shared" si="43"/>
        <v>0.44428571428571434</v>
      </c>
      <c r="M221" s="1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x14ac:dyDescent="0.2">
      <c r="A222" s="12">
        <v>1</v>
      </c>
      <c r="B222" s="10" t="s">
        <v>15</v>
      </c>
      <c r="C222" s="11" t="s">
        <v>129</v>
      </c>
      <c r="D222" s="13">
        <v>16000</v>
      </c>
      <c r="E222" s="13">
        <f t="shared" si="39"/>
        <v>16000</v>
      </c>
      <c r="F222" s="13">
        <f t="shared" si="40"/>
        <v>17680</v>
      </c>
      <c r="G222" s="2"/>
      <c r="H222" s="2"/>
      <c r="I222" s="13">
        <v>11000</v>
      </c>
      <c r="J222" s="13">
        <f t="shared" si="41"/>
        <v>11000</v>
      </c>
      <c r="K222" s="13">
        <f t="shared" si="42"/>
        <v>6680</v>
      </c>
      <c r="L222" s="18">
        <f t="shared" si="43"/>
        <v>0.41749999999999998</v>
      </c>
      <c r="M222" s="1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x14ac:dyDescent="0.2">
      <c r="A223" s="12">
        <v>1.5</v>
      </c>
      <c r="B223" s="10" t="s">
        <v>23</v>
      </c>
      <c r="C223" s="11" t="s">
        <v>85</v>
      </c>
      <c r="D223" s="13">
        <v>54000</v>
      </c>
      <c r="E223" s="13">
        <f t="shared" si="39"/>
        <v>81000</v>
      </c>
      <c r="F223" s="13">
        <f>E223*1.21</f>
        <v>98010</v>
      </c>
      <c r="G223" s="2"/>
      <c r="H223" s="2"/>
      <c r="I223" s="13">
        <v>50000</v>
      </c>
      <c r="J223" s="13">
        <f t="shared" si="41"/>
        <v>75000</v>
      </c>
      <c r="K223" s="13">
        <f t="shared" si="42"/>
        <v>23010</v>
      </c>
      <c r="L223" s="36">
        <f t="shared" si="43"/>
        <v>0.28407407407407409</v>
      </c>
      <c r="M223" s="1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x14ac:dyDescent="0.2">
      <c r="A224" s="15"/>
      <c r="B224" s="7"/>
      <c r="C224" s="24"/>
      <c r="D224" s="7"/>
      <c r="E224" s="7"/>
      <c r="F224" s="7"/>
      <c r="G224" s="7"/>
      <c r="H224" s="7"/>
      <c r="I224" s="2"/>
      <c r="J224" s="7"/>
      <c r="K224" s="7"/>
      <c r="L224" s="14"/>
      <c r="M224" s="1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x14ac:dyDescent="0.2">
      <c r="A225" s="15"/>
      <c r="B225" s="7"/>
      <c r="C225" s="24"/>
      <c r="D225" s="7"/>
      <c r="E225" s="13">
        <f t="shared" ref="E225:F225" si="44">SUM(E200:E223)</f>
        <v>382500</v>
      </c>
      <c r="F225" s="13">
        <f t="shared" si="44"/>
        <v>431167.5</v>
      </c>
      <c r="G225" s="7"/>
      <c r="H225" s="7"/>
      <c r="I225" s="2"/>
      <c r="J225" s="7"/>
      <c r="K225" s="13">
        <f>SUM(K200:K223)</f>
        <v>144131.11344537814</v>
      </c>
      <c r="L225" s="14">
        <f>IFERROR(K225/E225, 0)</f>
        <v>0.37681336848464875</v>
      </c>
      <c r="M225" s="1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2"/>
      <c r="J226" s="4"/>
      <c r="K226" s="4"/>
      <c r="L226" s="28"/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A227" s="6" t="s">
        <v>1150</v>
      </c>
      <c r="B227" s="1"/>
      <c r="C227" s="1"/>
      <c r="D227" s="1"/>
      <c r="E227" s="13">
        <f>E225*0.05</f>
        <v>19125</v>
      </c>
      <c r="F227" s="1"/>
      <c r="G227" s="1"/>
      <c r="H227" s="1"/>
      <c r="I227" s="1"/>
      <c r="J227" s="1"/>
      <c r="K227" s="1"/>
      <c r="L227" s="20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0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0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6" t="s">
        <v>1154</v>
      </c>
      <c r="B230" s="6"/>
      <c r="C230" s="6"/>
      <c r="D230" s="22" t="s">
        <v>1125</v>
      </c>
      <c r="E230" s="8">
        <v>46139</v>
      </c>
      <c r="F230" s="24"/>
      <c r="G230" s="2"/>
      <c r="H230" s="2"/>
      <c r="I230" s="2"/>
      <c r="J230" s="13"/>
      <c r="K230" s="13"/>
      <c r="L230" s="14"/>
      <c r="M230" s="4"/>
      <c r="N230" s="2"/>
      <c r="O230" s="4"/>
      <c r="P230" s="2"/>
      <c r="Q230" s="2"/>
      <c r="R230" s="4"/>
      <c r="S230" s="2"/>
      <c r="T230" s="2"/>
      <c r="U230" s="1"/>
      <c r="V230" s="2"/>
      <c r="W230" s="2"/>
      <c r="X230" s="2"/>
      <c r="Y230" s="2"/>
      <c r="Z230" s="2"/>
    </row>
    <row r="231" spans="1:26" ht="15.75" customHeight="1" x14ac:dyDescent="0.2">
      <c r="B231" s="2"/>
      <c r="C231" s="4"/>
      <c r="D231" s="2"/>
      <c r="E231" s="2"/>
      <c r="F231" s="2"/>
      <c r="G231" s="2"/>
      <c r="H231" s="2"/>
      <c r="I231" s="2"/>
      <c r="J231" s="13"/>
      <c r="K231" s="13"/>
      <c r="L231" s="14"/>
      <c r="M231" s="4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5.75" customHeight="1" x14ac:dyDescent="0.2">
      <c r="A232" s="6" t="s">
        <v>3</v>
      </c>
      <c r="B232" s="10" t="s">
        <v>4</v>
      </c>
      <c r="C232" s="11" t="s">
        <v>5</v>
      </c>
      <c r="D232" s="10" t="s">
        <v>6</v>
      </c>
      <c r="E232" s="10" t="s">
        <v>7</v>
      </c>
      <c r="F232" s="10"/>
      <c r="G232" s="2"/>
      <c r="H232" s="2"/>
      <c r="I232" s="10" t="s">
        <v>6</v>
      </c>
      <c r="J232" s="10" t="s">
        <v>7</v>
      </c>
      <c r="K232" s="10" t="s">
        <v>10</v>
      </c>
      <c r="L232" s="14"/>
      <c r="M232" s="4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2">
        <v>1</v>
      </c>
      <c r="B233" s="10" t="s">
        <v>23</v>
      </c>
      <c r="C233" s="11" t="s">
        <v>130</v>
      </c>
      <c r="D233" s="13">
        <v>11500</v>
      </c>
      <c r="E233" s="13">
        <f t="shared" ref="E233:E244" si="45">A233*D233</f>
        <v>11500</v>
      </c>
      <c r="F233" s="13"/>
      <c r="G233" s="2"/>
      <c r="H233" s="7"/>
      <c r="I233" s="13">
        <v>9000</v>
      </c>
      <c r="J233" s="13">
        <f t="shared" ref="J233:J244" si="46">I233*A233</f>
        <v>9000</v>
      </c>
      <c r="K233" s="13">
        <f t="shared" ref="K233:K244" si="47">E233-J233</f>
        <v>2500</v>
      </c>
      <c r="L233" s="14">
        <f t="shared" ref="L233:L244" si="48">K233/E233</f>
        <v>0.21739130434782608</v>
      </c>
      <c r="M233" s="4"/>
      <c r="N233" s="2"/>
      <c r="O233" s="4"/>
      <c r="P233" s="2"/>
      <c r="Q233" s="2"/>
      <c r="R233" s="4"/>
      <c r="S233" s="2"/>
      <c r="T233" s="2"/>
      <c r="U233" s="1"/>
      <c r="V233" s="2"/>
      <c r="W233" s="2"/>
      <c r="X233" s="2"/>
      <c r="Y233" s="2"/>
      <c r="Z233" s="2"/>
    </row>
    <row r="234" spans="1:26" ht="15.75" customHeight="1" x14ac:dyDescent="0.2">
      <c r="A234" s="12">
        <v>1</v>
      </c>
      <c r="B234" s="10" t="s">
        <v>15</v>
      </c>
      <c r="C234" s="11" t="s">
        <v>129</v>
      </c>
      <c r="D234" s="13">
        <v>15000</v>
      </c>
      <c r="E234" s="13">
        <f t="shared" si="45"/>
        <v>15000</v>
      </c>
      <c r="F234" s="13"/>
      <c r="G234" s="2"/>
      <c r="H234" s="7"/>
      <c r="I234" s="13">
        <v>11000</v>
      </c>
      <c r="J234" s="13">
        <f t="shared" si="46"/>
        <v>11000</v>
      </c>
      <c r="K234" s="13">
        <f t="shared" si="47"/>
        <v>4000</v>
      </c>
      <c r="L234" s="14">
        <f t="shared" si="48"/>
        <v>0.26666666666666666</v>
      </c>
      <c r="M234" s="4"/>
      <c r="N234" s="2"/>
      <c r="O234" s="4"/>
      <c r="P234" s="2"/>
      <c r="Q234" s="2"/>
      <c r="R234" s="4"/>
      <c r="S234" s="2"/>
      <c r="T234" s="2"/>
      <c r="U234" s="1"/>
      <c r="V234" s="2"/>
      <c r="W234" s="2"/>
      <c r="X234" s="2"/>
      <c r="Y234" s="2"/>
      <c r="Z234" s="2"/>
    </row>
    <row r="235" spans="1:26" ht="15.75" customHeight="1" x14ac:dyDescent="0.2">
      <c r="A235" s="12">
        <v>1</v>
      </c>
      <c r="B235" s="10" t="s">
        <v>15</v>
      </c>
      <c r="C235" s="11" t="s">
        <v>40</v>
      </c>
      <c r="D235" s="13">
        <v>12000</v>
      </c>
      <c r="E235" s="13">
        <f t="shared" si="45"/>
        <v>12000</v>
      </c>
      <c r="F235" s="13"/>
      <c r="G235" s="2"/>
      <c r="H235" s="7"/>
      <c r="I235" s="13">
        <v>8000</v>
      </c>
      <c r="J235" s="13">
        <f t="shared" si="46"/>
        <v>8000</v>
      </c>
      <c r="K235" s="13">
        <f t="shared" si="47"/>
        <v>4000</v>
      </c>
      <c r="L235" s="14">
        <f t="shared" si="48"/>
        <v>0.33333333333333331</v>
      </c>
      <c r="M235" s="4"/>
      <c r="N235" s="2"/>
      <c r="O235" s="4"/>
      <c r="P235" s="2"/>
      <c r="Q235" s="2"/>
      <c r="R235" s="4"/>
      <c r="S235" s="2"/>
      <c r="T235" s="2"/>
      <c r="U235" s="1"/>
      <c r="V235" s="2"/>
      <c r="W235" s="2"/>
      <c r="X235" s="2"/>
      <c r="Y235" s="2"/>
      <c r="Z235" s="2"/>
    </row>
    <row r="236" spans="1:26" ht="15.75" customHeight="1" x14ac:dyDescent="0.2">
      <c r="A236" s="12">
        <v>1</v>
      </c>
      <c r="B236" s="10" t="s">
        <v>15</v>
      </c>
      <c r="C236" s="11" t="s">
        <v>48</v>
      </c>
      <c r="D236" s="13">
        <v>12000</v>
      </c>
      <c r="E236" s="13">
        <f t="shared" si="45"/>
        <v>12000</v>
      </c>
      <c r="F236" s="13"/>
      <c r="G236" s="2"/>
      <c r="H236" s="7"/>
      <c r="I236" s="13">
        <v>8000</v>
      </c>
      <c r="J236" s="13">
        <f t="shared" si="46"/>
        <v>8000</v>
      </c>
      <c r="K236" s="13">
        <f t="shared" si="47"/>
        <v>4000</v>
      </c>
      <c r="L236" s="14">
        <f t="shared" si="48"/>
        <v>0.33333333333333331</v>
      </c>
      <c r="M236" s="4"/>
      <c r="N236" s="2"/>
      <c r="O236" s="4"/>
      <c r="P236" s="2"/>
      <c r="Q236" s="2"/>
      <c r="R236" s="4"/>
      <c r="S236" s="2"/>
      <c r="T236" s="2"/>
      <c r="U236" s="1"/>
      <c r="V236" s="2"/>
      <c r="W236" s="2"/>
      <c r="X236" s="2"/>
      <c r="Y236" s="2"/>
      <c r="Z236" s="2"/>
    </row>
    <row r="237" spans="1:26" ht="15.75" customHeight="1" x14ac:dyDescent="0.2">
      <c r="A237" s="12">
        <v>1</v>
      </c>
      <c r="B237" s="10" t="s">
        <v>15</v>
      </c>
      <c r="C237" s="11" t="s">
        <v>135</v>
      </c>
      <c r="D237" s="13">
        <v>17000</v>
      </c>
      <c r="E237" s="13">
        <f t="shared" si="45"/>
        <v>17000</v>
      </c>
      <c r="F237" s="13"/>
      <c r="G237" s="2"/>
      <c r="H237" s="7" t="s">
        <v>37</v>
      </c>
      <c r="I237" s="13">
        <v>13000</v>
      </c>
      <c r="J237" s="13">
        <f t="shared" si="46"/>
        <v>13000</v>
      </c>
      <c r="K237" s="13">
        <f t="shared" si="47"/>
        <v>4000</v>
      </c>
      <c r="L237" s="14">
        <f t="shared" si="48"/>
        <v>0.23529411764705882</v>
      </c>
      <c r="M237" s="4"/>
      <c r="N237" s="2"/>
      <c r="O237" s="4"/>
      <c r="P237" s="2"/>
      <c r="Q237" s="2"/>
      <c r="R237" s="4"/>
      <c r="S237" s="2"/>
      <c r="T237" s="2"/>
      <c r="U237" s="1"/>
      <c r="V237" s="2"/>
      <c r="W237" s="2"/>
      <c r="X237" s="2"/>
      <c r="Y237" s="2"/>
      <c r="Z237" s="2"/>
    </row>
    <row r="238" spans="1:26" ht="15.75" customHeight="1" x14ac:dyDescent="0.2">
      <c r="A238" s="12">
        <v>1</v>
      </c>
      <c r="B238" s="10" t="s">
        <v>23</v>
      </c>
      <c r="C238" s="11" t="s">
        <v>73</v>
      </c>
      <c r="D238" s="13">
        <v>21000</v>
      </c>
      <c r="E238" s="13">
        <f t="shared" si="45"/>
        <v>21000</v>
      </c>
      <c r="F238" s="13"/>
      <c r="G238" s="2"/>
      <c r="H238" s="7"/>
      <c r="I238" s="13">
        <v>16000</v>
      </c>
      <c r="J238" s="13">
        <f t="shared" si="46"/>
        <v>16000</v>
      </c>
      <c r="K238" s="13">
        <f t="shared" si="47"/>
        <v>5000</v>
      </c>
      <c r="L238" s="14">
        <f t="shared" si="48"/>
        <v>0.23809523809523808</v>
      </c>
      <c r="M238" s="4"/>
      <c r="N238" s="2"/>
      <c r="O238" s="4"/>
      <c r="P238" s="2"/>
      <c r="Q238" s="2"/>
      <c r="R238" s="4"/>
      <c r="S238" s="2"/>
      <c r="T238" s="2"/>
      <c r="U238" s="1"/>
      <c r="V238" s="2"/>
      <c r="W238" s="2"/>
      <c r="X238" s="2"/>
      <c r="Y238" s="2"/>
      <c r="Z238" s="2"/>
    </row>
    <row r="239" spans="1:26" ht="15.75" customHeight="1" x14ac:dyDescent="0.2">
      <c r="A239" s="12">
        <v>1</v>
      </c>
      <c r="B239" s="10" t="s">
        <v>23</v>
      </c>
      <c r="C239" s="11" t="s">
        <v>61</v>
      </c>
      <c r="D239" s="13">
        <v>32000</v>
      </c>
      <c r="E239" s="13">
        <f t="shared" si="45"/>
        <v>32000</v>
      </c>
      <c r="F239" s="13"/>
      <c r="G239" s="2"/>
      <c r="H239" s="7"/>
      <c r="I239" s="13">
        <v>24000</v>
      </c>
      <c r="J239" s="13">
        <f t="shared" si="46"/>
        <v>24000</v>
      </c>
      <c r="K239" s="13">
        <f t="shared" si="47"/>
        <v>8000</v>
      </c>
      <c r="L239" s="14">
        <f t="shared" si="48"/>
        <v>0.25</v>
      </c>
      <c r="M239" s="4"/>
      <c r="N239" s="2"/>
      <c r="O239" s="4"/>
      <c r="P239" s="2"/>
      <c r="Q239" s="2"/>
      <c r="R239" s="4"/>
      <c r="S239" s="2"/>
      <c r="T239" s="2"/>
      <c r="U239" s="1"/>
      <c r="V239" s="2"/>
      <c r="W239" s="2"/>
      <c r="X239" s="2"/>
      <c r="Y239" s="2"/>
      <c r="Z239" s="2"/>
    </row>
    <row r="240" spans="1:26" ht="15.75" customHeight="1" x14ac:dyDescent="0.2">
      <c r="A240" s="12">
        <v>3</v>
      </c>
      <c r="B240" s="10" t="s">
        <v>17</v>
      </c>
      <c r="C240" s="11" t="s">
        <v>18</v>
      </c>
      <c r="D240" s="13">
        <v>1600</v>
      </c>
      <c r="E240" s="13">
        <f t="shared" si="45"/>
        <v>4800</v>
      </c>
      <c r="F240" s="13"/>
      <c r="G240" s="2"/>
      <c r="H240" s="7"/>
      <c r="I240" s="13">
        <v>1000</v>
      </c>
      <c r="J240" s="13">
        <f t="shared" si="46"/>
        <v>3000</v>
      </c>
      <c r="K240" s="13">
        <f t="shared" si="47"/>
        <v>1800</v>
      </c>
      <c r="L240" s="14">
        <f t="shared" si="48"/>
        <v>0.375</v>
      </c>
      <c r="M240" s="4"/>
      <c r="N240" s="2"/>
      <c r="O240" s="4"/>
      <c r="P240" s="2"/>
      <c r="Q240" s="2"/>
      <c r="R240" s="4"/>
      <c r="S240" s="2"/>
      <c r="T240" s="2"/>
      <c r="U240" s="1"/>
      <c r="V240" s="2"/>
      <c r="W240" s="2"/>
      <c r="X240" s="2"/>
      <c r="Y240" s="2"/>
      <c r="Z240" s="2"/>
    </row>
    <row r="241" spans="1:26" ht="16.5" customHeight="1" x14ac:dyDescent="0.2">
      <c r="A241" s="12">
        <v>3</v>
      </c>
      <c r="B241" s="10" t="s">
        <v>4</v>
      </c>
      <c r="C241" s="11" t="s">
        <v>13</v>
      </c>
      <c r="D241" s="13">
        <v>900</v>
      </c>
      <c r="E241" s="13">
        <f t="shared" si="45"/>
        <v>2700</v>
      </c>
      <c r="F241" s="13"/>
      <c r="G241" s="2"/>
      <c r="H241" s="7"/>
      <c r="I241" s="13">
        <v>460</v>
      </c>
      <c r="J241" s="13">
        <f t="shared" si="46"/>
        <v>1380</v>
      </c>
      <c r="K241" s="13">
        <f t="shared" si="47"/>
        <v>1320</v>
      </c>
      <c r="L241" s="14">
        <f t="shared" si="48"/>
        <v>0.48888888888888887</v>
      </c>
      <c r="M241" s="4"/>
      <c r="N241" s="2"/>
      <c r="O241" s="4"/>
      <c r="P241" s="2"/>
      <c r="Q241" s="2"/>
      <c r="R241" s="4"/>
      <c r="S241" s="2"/>
      <c r="T241" s="2"/>
      <c r="U241" s="1"/>
      <c r="V241" s="2"/>
      <c r="W241" s="2"/>
      <c r="X241" s="2"/>
      <c r="Y241" s="2"/>
      <c r="Z241" s="2"/>
    </row>
    <row r="242" spans="1:26" ht="16.5" customHeight="1" x14ac:dyDescent="0.2">
      <c r="A242" s="12">
        <v>1</v>
      </c>
      <c r="B242" s="10" t="s">
        <v>21</v>
      </c>
      <c r="C242" s="11" t="s">
        <v>51</v>
      </c>
      <c r="D242" s="13">
        <v>1500</v>
      </c>
      <c r="E242" s="13">
        <f t="shared" si="45"/>
        <v>1500</v>
      </c>
      <c r="F242" s="13"/>
      <c r="G242" s="2"/>
      <c r="H242" s="7"/>
      <c r="I242" s="7">
        <f>20000/30</f>
        <v>666.66666666666663</v>
      </c>
      <c r="J242" s="13">
        <f t="shared" si="46"/>
        <v>666.66666666666663</v>
      </c>
      <c r="K242" s="13">
        <f t="shared" si="47"/>
        <v>833.33333333333337</v>
      </c>
      <c r="L242" s="14">
        <f t="shared" si="48"/>
        <v>0.55555555555555558</v>
      </c>
      <c r="M242" s="4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2">
        <v>2</v>
      </c>
      <c r="B243" s="10" t="s">
        <v>4</v>
      </c>
      <c r="C243" s="11" t="s">
        <v>14</v>
      </c>
      <c r="D243" s="13">
        <v>3500</v>
      </c>
      <c r="E243" s="13">
        <f t="shared" si="45"/>
        <v>7000</v>
      </c>
      <c r="F243" s="13"/>
      <c r="G243" s="2"/>
      <c r="H243" s="7"/>
      <c r="I243" s="13">
        <f>22000/8</f>
        <v>2750</v>
      </c>
      <c r="J243" s="13">
        <f t="shared" si="46"/>
        <v>5500</v>
      </c>
      <c r="K243" s="13">
        <f t="shared" si="47"/>
        <v>1500</v>
      </c>
      <c r="L243" s="14">
        <f t="shared" si="48"/>
        <v>0.21428571428571427</v>
      </c>
      <c r="M243" s="4"/>
      <c r="N243" s="2"/>
      <c r="O243" s="4"/>
      <c r="P243" s="2"/>
      <c r="Q243" s="2"/>
      <c r="R243" s="4"/>
      <c r="S243" s="2"/>
      <c r="T243" s="2"/>
      <c r="U243" s="1"/>
      <c r="V243" s="2"/>
      <c r="W243" s="2"/>
      <c r="X243" s="2"/>
      <c r="Y243" s="2"/>
      <c r="Z243" s="2"/>
    </row>
    <row r="244" spans="1:26" ht="15.75" customHeight="1" x14ac:dyDescent="0.2">
      <c r="A244" s="12">
        <v>0.5</v>
      </c>
      <c r="B244" s="10" t="s">
        <v>23</v>
      </c>
      <c r="C244" s="11" t="s">
        <v>85</v>
      </c>
      <c r="D244" s="13">
        <v>55000</v>
      </c>
      <c r="E244" s="13">
        <f t="shared" si="45"/>
        <v>27500</v>
      </c>
      <c r="F244" s="13"/>
      <c r="G244" s="2"/>
      <c r="H244" s="7"/>
      <c r="I244" s="13">
        <v>50000</v>
      </c>
      <c r="J244" s="13">
        <f t="shared" si="46"/>
        <v>25000</v>
      </c>
      <c r="K244" s="13">
        <f t="shared" si="47"/>
        <v>2500</v>
      </c>
      <c r="L244" s="14">
        <f t="shared" si="48"/>
        <v>9.0909090909090912E-2</v>
      </c>
      <c r="M244" s="4"/>
      <c r="N244" s="2"/>
      <c r="O244" s="4"/>
      <c r="P244" s="2"/>
      <c r="Q244" s="2"/>
      <c r="R244" s="4"/>
      <c r="S244" s="2"/>
      <c r="T244" s="2"/>
      <c r="U244" s="1"/>
      <c r="V244" s="2"/>
      <c r="W244" s="2"/>
      <c r="X244" s="2"/>
      <c r="Y244" s="2"/>
      <c r="Z244" s="2"/>
    </row>
    <row r="245" spans="1:26" ht="15.75" customHeight="1" x14ac:dyDescent="0.2">
      <c r="A245" s="12"/>
      <c r="B245" s="10"/>
      <c r="C245" s="11"/>
      <c r="D245" s="13"/>
      <c r="E245" s="13"/>
      <c r="F245" s="13"/>
      <c r="H245" s="2"/>
      <c r="I245" s="2"/>
      <c r="J245" s="13"/>
      <c r="K245" s="13"/>
      <c r="L245" s="14"/>
      <c r="N245" s="2"/>
      <c r="O245" s="4"/>
      <c r="P245" s="2"/>
      <c r="Q245" s="2"/>
      <c r="R245" s="4"/>
      <c r="S245" s="2"/>
      <c r="T245" s="2"/>
      <c r="U245" s="1"/>
      <c r="V245" s="2"/>
      <c r="W245" s="2"/>
      <c r="X245" s="2"/>
      <c r="Y245" s="2"/>
      <c r="Z245" s="2"/>
    </row>
    <row r="246" spans="1:26" ht="15.75" customHeight="1" x14ac:dyDescent="0.2">
      <c r="A246" s="12"/>
      <c r="B246" s="10"/>
      <c r="C246" s="11"/>
      <c r="D246" s="13"/>
      <c r="E246" s="13">
        <f>SUM(E233:E244)</f>
        <v>164000</v>
      </c>
      <c r="F246" s="13"/>
      <c r="G246" s="2"/>
      <c r="H246" s="2"/>
      <c r="I246" s="2"/>
      <c r="J246" s="13"/>
      <c r="K246" s="13">
        <f>SUM(K233:K244)</f>
        <v>39453.333333333336</v>
      </c>
      <c r="L246" s="14">
        <f>K246/E246</f>
        <v>0.24056910569105694</v>
      </c>
      <c r="M246" s="4"/>
      <c r="N246" s="2"/>
      <c r="O246" s="4"/>
      <c r="P246" s="2"/>
      <c r="Q246" s="2"/>
      <c r="R246" s="4"/>
      <c r="S246" s="2"/>
      <c r="T246" s="2"/>
      <c r="U246" s="1"/>
      <c r="V246" s="2"/>
      <c r="W246" s="2"/>
      <c r="X246" s="2"/>
      <c r="Y246" s="2"/>
      <c r="Z246" s="2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0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6" t="s">
        <v>1150</v>
      </c>
      <c r="B248" s="1"/>
      <c r="C248" s="1"/>
      <c r="D248" s="1"/>
      <c r="E248" s="13">
        <f>E246*0.05</f>
        <v>8200</v>
      </c>
      <c r="F248" s="1"/>
      <c r="G248" s="1"/>
      <c r="H248" s="1"/>
      <c r="I248" s="1"/>
      <c r="J248" s="1"/>
      <c r="K248" s="1"/>
      <c r="L248" s="20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0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6"/>
      <c r="B250" s="25"/>
      <c r="C250" s="1"/>
      <c r="D250" s="12"/>
      <c r="E250" s="8"/>
      <c r="F250" s="15"/>
      <c r="G250" s="2"/>
      <c r="H250" s="2"/>
      <c r="I250" s="2"/>
      <c r="J250" s="2"/>
      <c r="K250" s="2"/>
      <c r="L250" s="3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6"/>
      <c r="B251" s="25"/>
      <c r="C251" s="1"/>
      <c r="D251" s="12"/>
      <c r="E251" s="8"/>
      <c r="F251" s="15"/>
      <c r="G251" s="2"/>
      <c r="H251" s="2"/>
      <c r="I251" s="2"/>
      <c r="J251" s="2"/>
      <c r="K251" s="2"/>
      <c r="L251" s="3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6"/>
      <c r="B252" s="25"/>
      <c r="C252" s="1"/>
      <c r="D252" s="12"/>
      <c r="E252" s="8"/>
      <c r="F252" s="15"/>
      <c r="G252" s="2"/>
      <c r="H252" s="2"/>
      <c r="I252" s="2"/>
      <c r="J252" s="2"/>
      <c r="K252" s="2"/>
      <c r="L252" s="3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88" t="s">
        <v>128</v>
      </c>
      <c r="B253" s="89"/>
      <c r="C253" s="89"/>
      <c r="D253" s="2"/>
      <c r="E253" s="7" t="s">
        <v>953</v>
      </c>
      <c r="F253" s="8">
        <v>46139</v>
      </c>
      <c r="G253" s="2"/>
      <c r="H253" s="2"/>
      <c r="I253" s="91" t="s">
        <v>2</v>
      </c>
      <c r="J253" s="89"/>
      <c r="K253" s="89"/>
      <c r="L253" s="3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3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6" t="s">
        <v>3</v>
      </c>
      <c r="B255" s="10" t="s">
        <v>4</v>
      </c>
      <c r="C255" s="11" t="s">
        <v>5</v>
      </c>
      <c r="D255" s="10" t="s">
        <v>6</v>
      </c>
      <c r="E255" s="10" t="s">
        <v>7</v>
      </c>
      <c r="F255" s="10" t="s">
        <v>8</v>
      </c>
      <c r="G255" s="2"/>
      <c r="H255" s="2"/>
      <c r="I255" s="10" t="s">
        <v>9</v>
      </c>
      <c r="J255" s="10" t="s">
        <v>7</v>
      </c>
      <c r="K255" s="10" t="s">
        <v>10</v>
      </c>
      <c r="L255" s="3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4</v>
      </c>
      <c r="B256" s="10" t="s">
        <v>23</v>
      </c>
      <c r="C256" s="11" t="s">
        <v>26</v>
      </c>
      <c r="D256" s="13">
        <v>17000</v>
      </c>
      <c r="E256" s="13">
        <f t="shared" ref="E256:E259" si="49">A256*D256</f>
        <v>68000</v>
      </c>
      <c r="F256" s="13">
        <f t="shared" ref="F256:F259" si="50">E256*1.105</f>
        <v>75140</v>
      </c>
      <c r="G256" s="2"/>
      <c r="H256" s="2"/>
      <c r="I256" s="13">
        <v>13600</v>
      </c>
      <c r="J256" s="13">
        <f t="shared" ref="J256:J259" si="51">I256*A256</f>
        <v>54400</v>
      </c>
      <c r="K256" s="13">
        <f t="shared" ref="K256:K259" si="52">F256-J256</f>
        <v>20740</v>
      </c>
      <c r="L256" s="14">
        <f t="shared" ref="L256:L259" si="53">IFERROR(K256/E256, 0)</f>
        <v>0.30499999999999999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1</v>
      </c>
      <c r="B257" s="10" t="s">
        <v>23</v>
      </c>
      <c r="C257" s="11" t="s">
        <v>82</v>
      </c>
      <c r="D257" s="13">
        <v>32000</v>
      </c>
      <c r="E257" s="13">
        <f t="shared" si="49"/>
        <v>32000</v>
      </c>
      <c r="F257" s="13">
        <f t="shared" si="50"/>
        <v>35360</v>
      </c>
      <c r="G257" s="2"/>
      <c r="H257" s="2"/>
      <c r="I257" s="13">
        <v>25000</v>
      </c>
      <c r="J257" s="13">
        <f t="shared" si="51"/>
        <v>25000</v>
      </c>
      <c r="K257" s="13">
        <f t="shared" si="52"/>
        <v>10360</v>
      </c>
      <c r="L257" s="14">
        <f t="shared" si="53"/>
        <v>0.32374999999999998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1</v>
      </c>
      <c r="B258" s="10" t="s">
        <v>23</v>
      </c>
      <c r="C258" s="11" t="s">
        <v>73</v>
      </c>
      <c r="D258" s="13">
        <v>22000</v>
      </c>
      <c r="E258" s="13">
        <f t="shared" si="49"/>
        <v>22000</v>
      </c>
      <c r="F258" s="13">
        <f t="shared" si="50"/>
        <v>24310</v>
      </c>
      <c r="G258" s="2"/>
      <c r="H258" s="2"/>
      <c r="I258" s="13">
        <v>16000</v>
      </c>
      <c r="J258" s="13">
        <f t="shared" si="51"/>
        <v>16000</v>
      </c>
      <c r="K258" s="13">
        <f t="shared" si="52"/>
        <v>8310</v>
      </c>
      <c r="L258" s="14">
        <f t="shared" si="53"/>
        <v>0.37772727272727274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1</v>
      </c>
      <c r="B259" s="10" t="s">
        <v>23</v>
      </c>
      <c r="C259" s="11" t="s">
        <v>1155</v>
      </c>
      <c r="D259" s="13">
        <v>12000</v>
      </c>
      <c r="E259" s="13">
        <f t="shared" si="49"/>
        <v>12000</v>
      </c>
      <c r="F259" s="13">
        <f t="shared" si="50"/>
        <v>13260</v>
      </c>
      <c r="G259" s="7" t="s">
        <v>37</v>
      </c>
      <c r="H259" s="2"/>
      <c r="I259" s="13">
        <v>5000</v>
      </c>
      <c r="J259" s="13">
        <f t="shared" si="51"/>
        <v>5000</v>
      </c>
      <c r="K259" s="13">
        <f t="shared" si="52"/>
        <v>8260</v>
      </c>
      <c r="L259" s="14">
        <f t="shared" si="53"/>
        <v>0.68833333333333335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5"/>
      <c r="B260" s="2"/>
      <c r="C260" s="4"/>
      <c r="D260" s="2"/>
      <c r="E260" s="2"/>
      <c r="F260" s="2"/>
      <c r="G260" s="2"/>
      <c r="H260" s="2"/>
      <c r="I260" s="2"/>
      <c r="J260" s="2"/>
      <c r="K260" s="2"/>
      <c r="L260" s="3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"/>
      <c r="B261" s="2"/>
      <c r="C261" s="4"/>
      <c r="D261" s="2"/>
      <c r="E261" s="13">
        <f t="shared" ref="E261:F261" si="54">SUM(E256:E259)</f>
        <v>134000</v>
      </c>
      <c r="F261" s="13">
        <f t="shared" si="54"/>
        <v>148070</v>
      </c>
      <c r="G261" s="2"/>
      <c r="H261" s="2"/>
      <c r="I261" s="2"/>
      <c r="J261" s="2"/>
      <c r="K261" s="13">
        <f>SUM(K256:K259)</f>
        <v>47670</v>
      </c>
      <c r="L261" s="14">
        <f>K261/F261</f>
        <v>0.32194232457621397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0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6" t="s">
        <v>1150</v>
      </c>
      <c r="B263" s="1"/>
      <c r="C263" s="1"/>
      <c r="D263" s="1"/>
      <c r="E263" s="13">
        <f>E261*0.05</f>
        <v>6700</v>
      </c>
      <c r="F263" s="1"/>
      <c r="G263" s="1"/>
      <c r="H263" s="1"/>
      <c r="I263" s="1"/>
      <c r="J263" s="1"/>
      <c r="K263" s="1"/>
      <c r="L263" s="20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0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0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6" t="s">
        <v>177</v>
      </c>
      <c r="B266" s="1"/>
      <c r="C266" s="1"/>
      <c r="D266" s="22" t="s">
        <v>1134</v>
      </c>
      <c r="E266" s="8">
        <v>46139</v>
      </c>
      <c r="F266" s="24" t="s">
        <v>37</v>
      </c>
      <c r="G266" s="2"/>
      <c r="H266" s="2"/>
      <c r="I266" s="2"/>
      <c r="J266" s="2"/>
      <c r="K266" s="2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2"/>
      <c r="C267" s="4"/>
      <c r="D267" s="2"/>
      <c r="E267" s="2"/>
      <c r="F267" s="2"/>
      <c r="G267" s="2"/>
      <c r="H267" s="2"/>
      <c r="I267" s="2"/>
      <c r="J267" s="2"/>
      <c r="K267" s="2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6" t="s">
        <v>3</v>
      </c>
      <c r="B268" s="10" t="s">
        <v>4</v>
      </c>
      <c r="C268" s="11" t="s">
        <v>5</v>
      </c>
      <c r="D268" s="10" t="s">
        <v>6</v>
      </c>
      <c r="E268" s="10" t="s">
        <v>7</v>
      </c>
      <c r="F268" s="2"/>
      <c r="G268" s="2"/>
      <c r="H268" s="2"/>
      <c r="I268" s="10" t="s">
        <v>6</v>
      </c>
      <c r="J268" s="10" t="s">
        <v>7</v>
      </c>
      <c r="K268" s="10" t="s">
        <v>10</v>
      </c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2</v>
      </c>
      <c r="B269" s="10" t="s">
        <v>15</v>
      </c>
      <c r="C269" s="11" t="s">
        <v>135</v>
      </c>
      <c r="D269" s="13">
        <v>17000</v>
      </c>
      <c r="E269" s="13">
        <f t="shared" ref="E269:E284" si="55">A269*D269</f>
        <v>34000</v>
      </c>
      <c r="F269" s="2"/>
      <c r="G269" s="2"/>
      <c r="H269" s="2"/>
      <c r="I269" s="13">
        <v>13000</v>
      </c>
      <c r="J269" s="13">
        <f t="shared" ref="J269:J284" si="56">I269*A269</f>
        <v>26000</v>
      </c>
      <c r="K269" s="13">
        <f t="shared" ref="K269:K284" si="57">E269-J269</f>
        <v>8000</v>
      </c>
      <c r="L269" s="14">
        <f t="shared" ref="L269:L284" si="58">K269/E269</f>
        <v>0.23529411764705882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2</v>
      </c>
      <c r="B270" s="10" t="s">
        <v>15</v>
      </c>
      <c r="C270" s="11" t="s">
        <v>56</v>
      </c>
      <c r="D270" s="13">
        <v>14000</v>
      </c>
      <c r="E270" s="13">
        <f t="shared" si="55"/>
        <v>28000</v>
      </c>
      <c r="F270" s="2"/>
      <c r="G270" s="2"/>
      <c r="H270" s="2"/>
      <c r="I270" s="13">
        <v>9200</v>
      </c>
      <c r="J270" s="13">
        <f t="shared" si="56"/>
        <v>18400</v>
      </c>
      <c r="K270" s="13">
        <f t="shared" si="57"/>
        <v>9600</v>
      </c>
      <c r="L270" s="14">
        <f t="shared" si="58"/>
        <v>0.34285714285714286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1</v>
      </c>
      <c r="B271" s="10" t="s">
        <v>15</v>
      </c>
      <c r="C271" s="11" t="s">
        <v>16</v>
      </c>
      <c r="D271" s="13">
        <v>13000</v>
      </c>
      <c r="E271" s="13">
        <f t="shared" si="55"/>
        <v>13000</v>
      </c>
      <c r="F271" s="2"/>
      <c r="G271" s="2"/>
      <c r="H271" s="2"/>
      <c r="I271" s="13">
        <v>8000</v>
      </c>
      <c r="J271" s="13">
        <f t="shared" si="56"/>
        <v>8000</v>
      </c>
      <c r="K271" s="13">
        <f t="shared" si="57"/>
        <v>5000</v>
      </c>
      <c r="L271" s="14">
        <f t="shared" si="58"/>
        <v>0.38461538461538464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1</v>
      </c>
      <c r="B272" s="10" t="s">
        <v>15</v>
      </c>
      <c r="C272" s="11" t="s">
        <v>40</v>
      </c>
      <c r="D272" s="13">
        <v>12000</v>
      </c>
      <c r="E272" s="13">
        <f t="shared" si="55"/>
        <v>12000</v>
      </c>
      <c r="F272" s="2"/>
      <c r="G272" s="2"/>
      <c r="H272" s="2"/>
      <c r="I272" s="13">
        <v>8000</v>
      </c>
      <c r="J272" s="13">
        <f t="shared" si="56"/>
        <v>8000</v>
      </c>
      <c r="K272" s="13">
        <f t="shared" si="57"/>
        <v>4000</v>
      </c>
      <c r="L272" s="14">
        <f t="shared" si="58"/>
        <v>0.33333333333333331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1</v>
      </c>
      <c r="B273" s="10" t="s">
        <v>15</v>
      </c>
      <c r="C273" s="11" t="s">
        <v>129</v>
      </c>
      <c r="D273" s="13">
        <v>16000</v>
      </c>
      <c r="E273" s="13">
        <f t="shared" si="55"/>
        <v>16000</v>
      </c>
      <c r="F273" s="2"/>
      <c r="G273" s="2"/>
      <c r="H273" s="2"/>
      <c r="I273" s="13">
        <f t="shared" ref="I273:I274" si="59">5000/8</f>
        <v>625</v>
      </c>
      <c r="J273" s="13">
        <f t="shared" si="56"/>
        <v>625</v>
      </c>
      <c r="K273" s="13">
        <f t="shared" si="57"/>
        <v>15375</v>
      </c>
      <c r="L273" s="14">
        <f t="shared" si="58"/>
        <v>0.9609375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2">
        <v>4</v>
      </c>
      <c r="B274" s="10" t="s">
        <v>17</v>
      </c>
      <c r="C274" s="11" t="s">
        <v>99</v>
      </c>
      <c r="D274" s="13">
        <v>1200</v>
      </c>
      <c r="E274" s="13">
        <f t="shared" si="55"/>
        <v>4800</v>
      </c>
      <c r="F274" s="2"/>
      <c r="G274" s="2"/>
      <c r="H274" s="2"/>
      <c r="I274" s="13">
        <f t="shared" si="59"/>
        <v>625</v>
      </c>
      <c r="J274" s="13">
        <f t="shared" si="56"/>
        <v>2500</v>
      </c>
      <c r="K274" s="13">
        <f t="shared" si="57"/>
        <v>2300</v>
      </c>
      <c r="L274" s="14">
        <f t="shared" si="58"/>
        <v>0.47916666666666669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2">
        <v>2</v>
      </c>
      <c r="B275" s="10" t="s">
        <v>17</v>
      </c>
      <c r="C275" s="11" t="s">
        <v>88</v>
      </c>
      <c r="D275" s="13">
        <v>1800</v>
      </c>
      <c r="E275" s="13">
        <f t="shared" si="55"/>
        <v>3600</v>
      </c>
      <c r="F275" s="2"/>
      <c r="G275" s="2"/>
      <c r="H275" s="2"/>
      <c r="I275" s="13">
        <v>1000</v>
      </c>
      <c r="J275" s="13">
        <f t="shared" si="56"/>
        <v>2000</v>
      </c>
      <c r="K275" s="13">
        <f t="shared" si="57"/>
        <v>1600</v>
      </c>
      <c r="L275" s="14">
        <f t="shared" si="58"/>
        <v>0.44444444444444442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2">
        <v>4</v>
      </c>
      <c r="B276" s="10" t="s">
        <v>17</v>
      </c>
      <c r="C276" s="11" t="s">
        <v>31</v>
      </c>
      <c r="D276" s="13">
        <v>3000</v>
      </c>
      <c r="E276" s="13">
        <f t="shared" si="55"/>
        <v>12000</v>
      </c>
      <c r="F276" s="2"/>
      <c r="G276" s="2"/>
      <c r="H276" s="2"/>
      <c r="I276" s="13">
        <f>13500/7</f>
        <v>1928.5714285714287</v>
      </c>
      <c r="J276" s="13">
        <f t="shared" si="56"/>
        <v>7714.2857142857147</v>
      </c>
      <c r="K276" s="13">
        <f t="shared" si="57"/>
        <v>4285.7142857142853</v>
      </c>
      <c r="L276" s="14">
        <f t="shared" si="58"/>
        <v>0.3571428571428571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2">
        <v>1.5</v>
      </c>
      <c r="B277" s="10" t="s">
        <v>17</v>
      </c>
      <c r="C277" s="11" t="s">
        <v>36</v>
      </c>
      <c r="D277" s="13">
        <v>1800</v>
      </c>
      <c r="E277" s="13">
        <f t="shared" si="55"/>
        <v>2700</v>
      </c>
      <c r="F277" s="2"/>
      <c r="G277" s="2"/>
      <c r="H277" s="2"/>
      <c r="I277" s="13">
        <v>800</v>
      </c>
      <c r="J277" s="13">
        <f t="shared" si="56"/>
        <v>1200</v>
      </c>
      <c r="K277" s="13">
        <f t="shared" si="57"/>
        <v>1500</v>
      </c>
      <c r="L277" s="14">
        <f t="shared" si="58"/>
        <v>0.55555555555555558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2">
        <v>5</v>
      </c>
      <c r="B278" s="10" t="s">
        <v>17</v>
      </c>
      <c r="C278" s="11" t="s">
        <v>39</v>
      </c>
      <c r="D278" s="13">
        <v>1800</v>
      </c>
      <c r="E278" s="13">
        <f t="shared" si="55"/>
        <v>9000</v>
      </c>
      <c r="F278" s="2"/>
      <c r="G278" s="2"/>
      <c r="H278" s="2"/>
      <c r="I278" s="13">
        <f>16000/15</f>
        <v>1066.6666666666667</v>
      </c>
      <c r="J278" s="13">
        <f t="shared" si="56"/>
        <v>5333.3333333333339</v>
      </c>
      <c r="K278" s="13">
        <f t="shared" si="57"/>
        <v>3666.6666666666661</v>
      </c>
      <c r="L278" s="14">
        <f t="shared" si="58"/>
        <v>0.40740740740740733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2">
        <v>4</v>
      </c>
      <c r="B279" s="10" t="s">
        <v>17</v>
      </c>
      <c r="C279" s="11" t="s">
        <v>82</v>
      </c>
      <c r="D279" s="13">
        <v>2800</v>
      </c>
      <c r="E279" s="13">
        <f t="shared" si="55"/>
        <v>11200</v>
      </c>
      <c r="F279" s="2"/>
      <c r="G279" s="2"/>
      <c r="H279" s="2"/>
      <c r="I279" s="13">
        <f>25000/14</f>
        <v>1785.7142857142858</v>
      </c>
      <c r="J279" s="13">
        <f t="shared" si="56"/>
        <v>7142.8571428571431</v>
      </c>
      <c r="K279" s="13">
        <f t="shared" si="57"/>
        <v>4057.1428571428569</v>
      </c>
      <c r="L279" s="14">
        <f t="shared" si="58"/>
        <v>0.36224489795918363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2">
        <v>0.5</v>
      </c>
      <c r="B280" s="10" t="s">
        <v>17</v>
      </c>
      <c r="C280" s="11" t="s">
        <v>1092</v>
      </c>
      <c r="D280" s="13">
        <v>4000</v>
      </c>
      <c r="E280" s="13">
        <f t="shared" si="55"/>
        <v>2000</v>
      </c>
      <c r="F280" s="2"/>
      <c r="G280" s="2"/>
      <c r="H280" s="7" t="s">
        <v>107</v>
      </c>
      <c r="I280" s="13"/>
      <c r="J280" s="13">
        <f t="shared" si="56"/>
        <v>0</v>
      </c>
      <c r="K280" s="13">
        <f t="shared" si="57"/>
        <v>2000</v>
      </c>
      <c r="L280" s="14">
        <f t="shared" si="58"/>
        <v>1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2</v>
      </c>
      <c r="B281" s="10" t="s">
        <v>21</v>
      </c>
      <c r="C281" s="11" t="s">
        <v>46</v>
      </c>
      <c r="D281" s="13">
        <v>800</v>
      </c>
      <c r="E281" s="13">
        <f t="shared" si="55"/>
        <v>1600</v>
      </c>
      <c r="F281" s="2"/>
      <c r="G281" s="2"/>
      <c r="H281" s="2"/>
      <c r="I281" s="13">
        <f>14000/24</f>
        <v>583.33333333333337</v>
      </c>
      <c r="J281" s="13">
        <f t="shared" si="56"/>
        <v>1166.6666666666667</v>
      </c>
      <c r="K281" s="13">
        <f t="shared" si="57"/>
        <v>433.33333333333326</v>
      </c>
      <c r="L281" s="14">
        <f t="shared" si="58"/>
        <v>0.27083333333333326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2</v>
      </c>
      <c r="B282" s="10" t="s">
        <v>17</v>
      </c>
      <c r="C282" s="11" t="s">
        <v>62</v>
      </c>
      <c r="D282" s="13">
        <v>3000</v>
      </c>
      <c r="E282" s="13">
        <f t="shared" si="55"/>
        <v>6000</v>
      </c>
      <c r="F282" s="2"/>
      <c r="G282" s="2"/>
      <c r="H282" s="2"/>
      <c r="I282" s="13">
        <f>27000/17</f>
        <v>1588.2352941176471</v>
      </c>
      <c r="J282" s="13">
        <f t="shared" si="56"/>
        <v>3176.4705882352941</v>
      </c>
      <c r="K282" s="13">
        <f t="shared" si="57"/>
        <v>2823.5294117647059</v>
      </c>
      <c r="L282" s="14">
        <f t="shared" si="58"/>
        <v>0.47058823529411764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2</v>
      </c>
      <c r="B283" s="10" t="s">
        <v>17</v>
      </c>
      <c r="C283" s="11" t="s">
        <v>49</v>
      </c>
      <c r="D283" s="13">
        <v>3000</v>
      </c>
      <c r="E283" s="13">
        <f t="shared" si="55"/>
        <v>6000</v>
      </c>
      <c r="F283" s="2"/>
      <c r="G283" s="2"/>
      <c r="H283" s="2"/>
      <c r="I283" s="13">
        <f>35000/17</f>
        <v>2058.8235294117649</v>
      </c>
      <c r="J283" s="13">
        <f t="shared" si="56"/>
        <v>4117.6470588235297</v>
      </c>
      <c r="K283" s="13">
        <f t="shared" si="57"/>
        <v>1882.3529411764703</v>
      </c>
      <c r="L283" s="14">
        <f t="shared" si="58"/>
        <v>0.31372549019607837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2</v>
      </c>
      <c r="B284" s="10" t="s">
        <v>17</v>
      </c>
      <c r="C284" s="11" t="s">
        <v>24</v>
      </c>
      <c r="D284" s="13">
        <v>3800</v>
      </c>
      <c r="E284" s="13">
        <f t="shared" si="55"/>
        <v>7600</v>
      </c>
      <c r="F284" s="2"/>
      <c r="G284" s="2"/>
      <c r="H284" s="2"/>
      <c r="I284" s="13">
        <f>50000/17</f>
        <v>2941.1764705882351</v>
      </c>
      <c r="J284" s="13">
        <f t="shared" si="56"/>
        <v>5882.3529411764703</v>
      </c>
      <c r="K284" s="13">
        <f t="shared" si="57"/>
        <v>1717.6470588235297</v>
      </c>
      <c r="L284" s="14">
        <f t="shared" si="58"/>
        <v>0.22600619195046445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"/>
      <c r="B285" s="2"/>
      <c r="C285" s="4"/>
      <c r="D285" s="2"/>
      <c r="E285" s="2"/>
      <c r="F285" s="2"/>
      <c r="G285" s="4"/>
      <c r="H285" s="2"/>
      <c r="I285" s="2"/>
      <c r="J285" s="2"/>
      <c r="K285" s="2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"/>
      <c r="B286" s="2"/>
      <c r="C286" s="4"/>
      <c r="D286" s="2"/>
      <c r="E286" s="13">
        <f>SUM(E269:E284)</f>
        <v>169500</v>
      </c>
      <c r="F286" s="2"/>
      <c r="G286" s="2"/>
      <c r="H286" s="2"/>
      <c r="I286" s="2"/>
      <c r="J286" s="2"/>
      <c r="K286" s="13">
        <f>SUM(K269:K284)</f>
        <v>68241.386554621844</v>
      </c>
      <c r="L286" s="14">
        <f>K286/E286</f>
        <v>0.4026040504697454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0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0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88" t="s">
        <v>63</v>
      </c>
      <c r="B289" s="89"/>
      <c r="C289" s="89"/>
      <c r="D289" s="2"/>
      <c r="E289" s="7" t="s">
        <v>178</v>
      </c>
      <c r="F289" s="8">
        <v>46139</v>
      </c>
      <c r="G289" s="7"/>
      <c r="H289" s="2"/>
      <c r="I289" s="9" t="s">
        <v>2</v>
      </c>
      <c r="J289" s="9"/>
      <c r="K289" s="9"/>
      <c r="L289" s="3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3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6" t="s">
        <v>3</v>
      </c>
      <c r="B291" s="10" t="s">
        <v>4</v>
      </c>
      <c r="C291" s="11" t="s">
        <v>5</v>
      </c>
      <c r="D291" s="10" t="s">
        <v>6</v>
      </c>
      <c r="E291" s="10" t="s">
        <v>7</v>
      </c>
      <c r="F291" s="10" t="s">
        <v>8</v>
      </c>
      <c r="G291" s="2"/>
      <c r="H291" s="2"/>
      <c r="I291" s="10" t="s">
        <v>9</v>
      </c>
      <c r="J291" s="10" t="s">
        <v>7</v>
      </c>
      <c r="K291" s="10" t="s">
        <v>10</v>
      </c>
      <c r="L291" s="3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22</v>
      </c>
      <c r="B292" s="10" t="s">
        <v>21</v>
      </c>
      <c r="C292" s="11" t="s">
        <v>51</v>
      </c>
      <c r="D292" s="13">
        <v>1000</v>
      </c>
      <c r="E292" s="13">
        <f t="shared" ref="E292:E310" si="60">A292*D292</f>
        <v>22000</v>
      </c>
      <c r="F292" s="13">
        <f t="shared" ref="F292:F310" si="61">E292*1.105</f>
        <v>24310</v>
      </c>
      <c r="G292" s="2"/>
      <c r="H292" s="2"/>
      <c r="I292" s="7">
        <f>20000/30</f>
        <v>666.66666666666663</v>
      </c>
      <c r="J292" s="13">
        <f t="shared" ref="J292:J310" si="62">I292*A292</f>
        <v>14666.666666666666</v>
      </c>
      <c r="K292" s="13">
        <f t="shared" ref="K292:K310" si="63">F292-J292</f>
        <v>9643.3333333333339</v>
      </c>
      <c r="L292" s="14">
        <f t="shared" ref="L292:L310" si="64">IFERROR(K292/E292, 0)</f>
        <v>0.43833333333333335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2</v>
      </c>
      <c r="B293" s="10" t="s">
        <v>17</v>
      </c>
      <c r="C293" s="11" t="s">
        <v>62</v>
      </c>
      <c r="D293" s="13">
        <v>3000</v>
      </c>
      <c r="E293" s="13">
        <f t="shared" si="60"/>
        <v>6000</v>
      </c>
      <c r="F293" s="13">
        <f t="shared" si="61"/>
        <v>6630</v>
      </c>
      <c r="G293" s="2"/>
      <c r="H293" s="2"/>
      <c r="I293" s="13">
        <f>27000/17</f>
        <v>1588.2352941176471</v>
      </c>
      <c r="J293" s="13">
        <f t="shared" si="62"/>
        <v>3176.4705882352941</v>
      </c>
      <c r="K293" s="13">
        <f t="shared" si="63"/>
        <v>3453.5294117647059</v>
      </c>
      <c r="L293" s="14">
        <f t="shared" si="64"/>
        <v>0.57558823529411762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1</v>
      </c>
      <c r="B294" s="10" t="s">
        <v>21</v>
      </c>
      <c r="C294" s="11" t="s">
        <v>28</v>
      </c>
      <c r="D294" s="13">
        <v>3000</v>
      </c>
      <c r="E294" s="13">
        <f t="shared" si="60"/>
        <v>3000</v>
      </c>
      <c r="F294" s="13">
        <f t="shared" si="61"/>
        <v>3315</v>
      </c>
      <c r="G294" s="2"/>
      <c r="H294" s="2"/>
      <c r="I294" s="13">
        <v>2500</v>
      </c>
      <c r="J294" s="13">
        <f t="shared" si="62"/>
        <v>2500</v>
      </c>
      <c r="K294" s="13">
        <f t="shared" si="63"/>
        <v>815</v>
      </c>
      <c r="L294" s="14">
        <f t="shared" si="64"/>
        <v>0.27166666666666667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2</v>
      </c>
      <c r="B295" s="10" t="s">
        <v>21</v>
      </c>
      <c r="C295" s="11" t="s">
        <v>133</v>
      </c>
      <c r="D295" s="13">
        <v>3000</v>
      </c>
      <c r="E295" s="13">
        <f t="shared" si="60"/>
        <v>6000</v>
      </c>
      <c r="F295" s="13">
        <f t="shared" si="61"/>
        <v>6630</v>
      </c>
      <c r="G295" s="2"/>
      <c r="H295" s="2"/>
      <c r="I295" s="13">
        <v>500</v>
      </c>
      <c r="J295" s="13">
        <f t="shared" si="62"/>
        <v>1000</v>
      </c>
      <c r="K295" s="13">
        <f t="shared" si="63"/>
        <v>5630</v>
      </c>
      <c r="L295" s="14">
        <f t="shared" si="64"/>
        <v>0.93833333333333335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1</v>
      </c>
      <c r="B296" s="10" t="s">
        <v>17</v>
      </c>
      <c r="C296" s="11" t="s">
        <v>89</v>
      </c>
      <c r="D296" s="13">
        <v>16000</v>
      </c>
      <c r="E296" s="13">
        <f t="shared" si="60"/>
        <v>16000</v>
      </c>
      <c r="F296" s="13">
        <f t="shared" si="61"/>
        <v>17680</v>
      </c>
      <c r="G296" s="2"/>
      <c r="H296" s="2"/>
      <c r="I296" s="13">
        <v>14500</v>
      </c>
      <c r="J296" s="13">
        <f t="shared" si="62"/>
        <v>14500</v>
      </c>
      <c r="K296" s="13">
        <f t="shared" si="63"/>
        <v>3180</v>
      </c>
      <c r="L296" s="14">
        <f t="shared" si="64"/>
        <v>0.19875000000000001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0.9</v>
      </c>
      <c r="B297" s="10" t="s">
        <v>17</v>
      </c>
      <c r="C297" s="11" t="s">
        <v>90</v>
      </c>
      <c r="D297" s="13">
        <v>7500</v>
      </c>
      <c r="E297" s="13">
        <f t="shared" si="60"/>
        <v>6750</v>
      </c>
      <c r="F297" s="13">
        <f t="shared" si="61"/>
        <v>7458.75</v>
      </c>
      <c r="G297" s="2"/>
      <c r="H297" s="2"/>
      <c r="I297" s="13">
        <f>35000/7</f>
        <v>5000</v>
      </c>
      <c r="J297" s="13">
        <f t="shared" si="62"/>
        <v>4500</v>
      </c>
      <c r="K297" s="13">
        <f t="shared" si="63"/>
        <v>2958.75</v>
      </c>
      <c r="L297" s="14">
        <f t="shared" si="64"/>
        <v>0.43833333333333335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7.9</v>
      </c>
      <c r="B298" s="10" t="s">
        <v>17</v>
      </c>
      <c r="C298" s="11" t="s">
        <v>88</v>
      </c>
      <c r="D298" s="13">
        <v>1400</v>
      </c>
      <c r="E298" s="13">
        <f t="shared" si="60"/>
        <v>11060</v>
      </c>
      <c r="F298" s="13">
        <f t="shared" si="61"/>
        <v>12221.3</v>
      </c>
      <c r="G298" s="2"/>
      <c r="H298" s="2"/>
      <c r="I298" s="13">
        <v>1000</v>
      </c>
      <c r="J298" s="13">
        <f t="shared" si="62"/>
        <v>7900</v>
      </c>
      <c r="K298" s="13">
        <f t="shared" si="63"/>
        <v>4321.2999999999993</v>
      </c>
      <c r="L298" s="14">
        <f t="shared" si="64"/>
        <v>0.39071428571428563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6</v>
      </c>
      <c r="B299" s="10" t="s">
        <v>17</v>
      </c>
      <c r="C299" s="11" t="s">
        <v>24</v>
      </c>
      <c r="D299" s="13">
        <v>3600</v>
      </c>
      <c r="E299" s="13">
        <f t="shared" si="60"/>
        <v>21600</v>
      </c>
      <c r="F299" s="13">
        <f t="shared" si="61"/>
        <v>23868</v>
      </c>
      <c r="G299" s="2"/>
      <c r="H299" s="2"/>
      <c r="I299" s="13">
        <f>50000/17</f>
        <v>2941.1764705882351</v>
      </c>
      <c r="J299" s="13">
        <f t="shared" si="62"/>
        <v>17647.058823529413</v>
      </c>
      <c r="K299" s="13">
        <f t="shared" si="63"/>
        <v>6220.9411764705874</v>
      </c>
      <c r="L299" s="14">
        <f t="shared" si="64"/>
        <v>0.28800653594771236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2</v>
      </c>
      <c r="B300" s="10" t="s">
        <v>4</v>
      </c>
      <c r="C300" s="11" t="s">
        <v>1156</v>
      </c>
      <c r="D300" s="13">
        <v>8500</v>
      </c>
      <c r="E300" s="13">
        <f t="shared" si="60"/>
        <v>17000</v>
      </c>
      <c r="F300" s="13">
        <f t="shared" si="61"/>
        <v>18785</v>
      </c>
      <c r="G300" s="2"/>
      <c r="H300" s="2"/>
      <c r="I300" s="13">
        <v>7900</v>
      </c>
      <c r="J300" s="13">
        <f t="shared" si="62"/>
        <v>15800</v>
      </c>
      <c r="K300" s="13">
        <f t="shared" si="63"/>
        <v>2985</v>
      </c>
      <c r="L300" s="33">
        <f t="shared" si="64"/>
        <v>0.17558823529411766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12</v>
      </c>
      <c r="B301" s="10" t="s">
        <v>1157</v>
      </c>
      <c r="C301" s="11" t="s">
        <v>1158</v>
      </c>
      <c r="D301" s="13">
        <v>13000</v>
      </c>
      <c r="E301" s="13">
        <f t="shared" si="60"/>
        <v>156000</v>
      </c>
      <c r="F301" s="13">
        <f t="shared" si="61"/>
        <v>172380</v>
      </c>
      <c r="G301" s="2"/>
      <c r="H301" s="2"/>
      <c r="I301" s="13">
        <v>11900</v>
      </c>
      <c r="J301" s="13">
        <f t="shared" si="62"/>
        <v>142800</v>
      </c>
      <c r="K301" s="13">
        <f t="shared" si="63"/>
        <v>29580</v>
      </c>
      <c r="L301" s="18">
        <f t="shared" si="64"/>
        <v>0.1896153846153846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3</v>
      </c>
      <c r="B302" s="10" t="s">
        <v>17</v>
      </c>
      <c r="C302" s="11" t="s">
        <v>1159</v>
      </c>
      <c r="D302" s="13">
        <v>18000</v>
      </c>
      <c r="E302" s="13">
        <f t="shared" si="60"/>
        <v>54000</v>
      </c>
      <c r="F302" s="13">
        <f t="shared" si="61"/>
        <v>59670</v>
      </c>
      <c r="G302" s="7" t="s">
        <v>37</v>
      </c>
      <c r="H302" s="2"/>
      <c r="I302" s="13">
        <v>16800</v>
      </c>
      <c r="J302" s="13">
        <f t="shared" si="62"/>
        <v>50400</v>
      </c>
      <c r="K302" s="13">
        <f t="shared" si="63"/>
        <v>9270</v>
      </c>
      <c r="L302" s="36">
        <f t="shared" si="64"/>
        <v>0.17166666666666666</v>
      </c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2</v>
      </c>
      <c r="B303" s="10" t="s">
        <v>23</v>
      </c>
      <c r="C303" s="11" t="s">
        <v>26</v>
      </c>
      <c r="D303" s="13">
        <v>19000</v>
      </c>
      <c r="E303" s="13">
        <f t="shared" si="60"/>
        <v>38000</v>
      </c>
      <c r="F303" s="13">
        <f t="shared" si="61"/>
        <v>41990</v>
      </c>
      <c r="G303" s="2"/>
      <c r="H303" s="2"/>
      <c r="I303" s="13">
        <v>13600</v>
      </c>
      <c r="J303" s="13">
        <f t="shared" si="62"/>
        <v>27200</v>
      </c>
      <c r="K303" s="13">
        <f t="shared" si="63"/>
        <v>14790</v>
      </c>
      <c r="L303" s="33">
        <f t="shared" si="64"/>
        <v>0.38921052631578945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5</v>
      </c>
      <c r="B304" s="10" t="s">
        <v>21</v>
      </c>
      <c r="C304" s="11" t="s">
        <v>46</v>
      </c>
      <c r="D304" s="13">
        <v>750</v>
      </c>
      <c r="E304" s="13">
        <f t="shared" si="60"/>
        <v>3750</v>
      </c>
      <c r="F304" s="13">
        <f t="shared" si="61"/>
        <v>4143.75</v>
      </c>
      <c r="G304" s="2"/>
      <c r="H304" s="2"/>
      <c r="I304" s="13">
        <f>14000/24</f>
        <v>583.33333333333337</v>
      </c>
      <c r="J304" s="13">
        <f t="shared" si="62"/>
        <v>2916.666666666667</v>
      </c>
      <c r="K304" s="13">
        <f t="shared" si="63"/>
        <v>1227.083333333333</v>
      </c>
      <c r="L304" s="18">
        <f t="shared" si="64"/>
        <v>0.32722222222222214</v>
      </c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3</v>
      </c>
      <c r="B305" s="10" t="s">
        <v>17</v>
      </c>
      <c r="C305" s="11" t="s">
        <v>93</v>
      </c>
      <c r="D305" s="13">
        <v>3000</v>
      </c>
      <c r="E305" s="13">
        <f t="shared" si="60"/>
        <v>9000</v>
      </c>
      <c r="F305" s="13">
        <f t="shared" si="61"/>
        <v>9945</v>
      </c>
      <c r="G305" s="7" t="s">
        <v>37</v>
      </c>
      <c r="H305" s="2"/>
      <c r="I305" s="13">
        <f>10000/8</f>
        <v>1250</v>
      </c>
      <c r="J305" s="13">
        <f t="shared" si="62"/>
        <v>3750</v>
      </c>
      <c r="K305" s="13">
        <f t="shared" si="63"/>
        <v>6195</v>
      </c>
      <c r="L305" s="36">
        <f t="shared" si="64"/>
        <v>0.68833333333333335</v>
      </c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2">
        <v>16</v>
      </c>
      <c r="B306" s="10" t="s">
        <v>17</v>
      </c>
      <c r="C306" s="11" t="s">
        <v>39</v>
      </c>
      <c r="D306" s="13">
        <v>1700</v>
      </c>
      <c r="E306" s="13">
        <f t="shared" si="60"/>
        <v>27200</v>
      </c>
      <c r="F306" s="13">
        <f t="shared" si="61"/>
        <v>30056</v>
      </c>
      <c r="G306" s="2"/>
      <c r="H306" s="2"/>
      <c r="I306" s="13">
        <f>17600/15</f>
        <v>1173.3333333333333</v>
      </c>
      <c r="J306" s="13">
        <f t="shared" si="62"/>
        <v>18773.333333333332</v>
      </c>
      <c r="K306" s="13">
        <f t="shared" si="63"/>
        <v>11282.666666666668</v>
      </c>
      <c r="L306" s="14">
        <f t="shared" si="64"/>
        <v>0.4148039215686275</v>
      </c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2">
        <v>0.5</v>
      </c>
      <c r="B307" s="10" t="s">
        <v>17</v>
      </c>
      <c r="C307" s="11" t="s">
        <v>40</v>
      </c>
      <c r="D307" s="13">
        <v>1500</v>
      </c>
      <c r="E307" s="13">
        <f t="shared" si="60"/>
        <v>750</v>
      </c>
      <c r="F307" s="13">
        <f t="shared" si="61"/>
        <v>828.75</v>
      </c>
      <c r="G307" s="2"/>
      <c r="H307" s="2"/>
      <c r="I307" s="13">
        <v>1000</v>
      </c>
      <c r="J307" s="13">
        <f t="shared" si="62"/>
        <v>500</v>
      </c>
      <c r="K307" s="13">
        <f t="shared" si="63"/>
        <v>328.75</v>
      </c>
      <c r="L307" s="14">
        <f t="shared" si="64"/>
        <v>0.43833333333333335</v>
      </c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2">
        <v>1.8</v>
      </c>
      <c r="B308" s="10" t="s">
        <v>17</v>
      </c>
      <c r="C308" s="11" t="s">
        <v>113</v>
      </c>
      <c r="D308" s="13">
        <v>4000</v>
      </c>
      <c r="E308" s="13">
        <f t="shared" si="60"/>
        <v>7200</v>
      </c>
      <c r="F308" s="13">
        <f t="shared" si="61"/>
        <v>7956</v>
      </c>
      <c r="G308" s="7" t="s">
        <v>37</v>
      </c>
      <c r="H308" s="2"/>
      <c r="I308" s="13">
        <v>2000</v>
      </c>
      <c r="J308" s="13">
        <f t="shared" si="62"/>
        <v>3600</v>
      </c>
      <c r="K308" s="13">
        <f t="shared" si="63"/>
        <v>4356</v>
      </c>
      <c r="L308" s="14">
        <f t="shared" si="64"/>
        <v>0.60499999999999998</v>
      </c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2">
        <v>2</v>
      </c>
      <c r="B309" s="10" t="s">
        <v>1157</v>
      </c>
      <c r="C309" s="11" t="s">
        <v>1160</v>
      </c>
      <c r="D309" s="13">
        <v>11000</v>
      </c>
      <c r="E309" s="13">
        <f t="shared" si="60"/>
        <v>22000</v>
      </c>
      <c r="F309" s="13">
        <f t="shared" si="61"/>
        <v>24310</v>
      </c>
      <c r="G309" s="2"/>
      <c r="H309" s="2"/>
      <c r="I309" s="13">
        <v>9900</v>
      </c>
      <c r="J309" s="13">
        <f t="shared" si="62"/>
        <v>19800</v>
      </c>
      <c r="K309" s="13">
        <f t="shared" si="63"/>
        <v>4510</v>
      </c>
      <c r="L309" s="18">
        <f t="shared" si="64"/>
        <v>0.20499999999999999</v>
      </c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2">
        <v>10</v>
      </c>
      <c r="B310" s="10" t="s">
        <v>4</v>
      </c>
      <c r="C310" s="11" t="s">
        <v>65</v>
      </c>
      <c r="D310" s="13">
        <v>1800</v>
      </c>
      <c r="E310" s="13">
        <f t="shared" si="60"/>
        <v>18000</v>
      </c>
      <c r="F310" s="13">
        <f t="shared" si="61"/>
        <v>19890</v>
      </c>
      <c r="G310" s="2"/>
      <c r="H310" s="2"/>
      <c r="I310" s="13">
        <v>1700</v>
      </c>
      <c r="J310" s="13">
        <f t="shared" si="62"/>
        <v>17000</v>
      </c>
      <c r="K310" s="13">
        <f t="shared" si="63"/>
        <v>2890</v>
      </c>
      <c r="L310" s="18">
        <f t="shared" si="64"/>
        <v>0.16055555555555556</v>
      </c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"/>
      <c r="B311" s="2"/>
      <c r="C311" s="4"/>
      <c r="D311" s="2"/>
      <c r="E311" s="2"/>
      <c r="F311" s="2"/>
      <c r="G311" s="2"/>
      <c r="H311" s="2"/>
      <c r="I311" s="2"/>
      <c r="J311" s="2"/>
      <c r="K311" s="2"/>
      <c r="L311" s="3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"/>
      <c r="B312" s="2"/>
      <c r="C312" s="4"/>
      <c r="D312" s="2"/>
      <c r="E312" s="13">
        <f t="shared" ref="E312:F312" si="65">SUM(E292:E310)</f>
        <v>445310</v>
      </c>
      <c r="F312" s="13">
        <f t="shared" si="65"/>
        <v>492067.55</v>
      </c>
      <c r="G312" s="2"/>
      <c r="H312" s="2"/>
      <c r="I312" s="2"/>
      <c r="J312" s="2"/>
      <c r="K312" s="13">
        <f>SUM(K292:K310)</f>
        <v>123637.35392156863</v>
      </c>
      <c r="L312" s="14">
        <f>K312/F312</f>
        <v>0.25126093749032757</v>
      </c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0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0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0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0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6" t="s">
        <v>206</v>
      </c>
      <c r="B317" s="6"/>
      <c r="C317" s="6"/>
      <c r="D317" s="22" t="s">
        <v>97</v>
      </c>
      <c r="E317" s="8">
        <v>46139</v>
      </c>
      <c r="F317" s="24"/>
      <c r="G317" s="2"/>
      <c r="H317" s="2"/>
      <c r="I317" s="2"/>
      <c r="J317" s="13"/>
      <c r="K317" s="13"/>
      <c r="L317" s="14"/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B318" s="2"/>
      <c r="C318" s="4"/>
      <c r="D318" s="2"/>
      <c r="E318" s="2"/>
      <c r="F318" s="2"/>
      <c r="G318" s="2"/>
      <c r="H318" s="2"/>
      <c r="I318" s="2"/>
      <c r="J318" s="13"/>
      <c r="K318" s="13"/>
      <c r="L318" s="14"/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6" t="s">
        <v>3</v>
      </c>
      <c r="B319" s="10" t="s">
        <v>4</v>
      </c>
      <c r="C319" s="11" t="s">
        <v>5</v>
      </c>
      <c r="D319" s="10" t="s">
        <v>6</v>
      </c>
      <c r="E319" s="10" t="s">
        <v>7</v>
      </c>
      <c r="F319" s="10"/>
      <c r="G319" s="2"/>
      <c r="H319" s="2"/>
      <c r="I319" s="10" t="s">
        <v>6</v>
      </c>
      <c r="J319" s="10" t="s">
        <v>7</v>
      </c>
      <c r="K319" s="10" t="s">
        <v>10</v>
      </c>
      <c r="L319" s="14"/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2">
        <v>3</v>
      </c>
      <c r="B320" s="10" t="s">
        <v>15</v>
      </c>
      <c r="C320" s="11" t="s">
        <v>84</v>
      </c>
      <c r="D320" s="13">
        <v>13000</v>
      </c>
      <c r="E320" s="13">
        <f t="shared" ref="E320:E328" si="66">A320*D320</f>
        <v>39000</v>
      </c>
      <c r="F320" s="13"/>
      <c r="G320" s="2"/>
      <c r="H320" s="7"/>
      <c r="I320" s="13">
        <v>9500</v>
      </c>
      <c r="J320" s="13">
        <f t="shared" ref="J320:J328" si="67">I320*A320</f>
        <v>28500</v>
      </c>
      <c r="K320" s="13">
        <f t="shared" ref="K320:K328" si="68">E320-J320</f>
        <v>10500</v>
      </c>
      <c r="L320" s="14">
        <f t="shared" ref="L320:L328" si="69">K320/E320</f>
        <v>0.26923076923076922</v>
      </c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2">
        <v>1</v>
      </c>
      <c r="B321" s="10" t="s">
        <v>15</v>
      </c>
      <c r="C321" s="11" t="s">
        <v>1161</v>
      </c>
      <c r="D321" s="13">
        <v>12000</v>
      </c>
      <c r="E321" s="13">
        <f t="shared" si="66"/>
        <v>12000</v>
      </c>
      <c r="F321" s="13"/>
      <c r="G321" s="2"/>
      <c r="H321" s="7"/>
      <c r="I321" s="13">
        <v>8000</v>
      </c>
      <c r="J321" s="13">
        <f t="shared" si="67"/>
        <v>8000</v>
      </c>
      <c r="K321" s="13">
        <f t="shared" si="68"/>
        <v>4000</v>
      </c>
      <c r="L321" s="14">
        <f t="shared" si="69"/>
        <v>0.33333333333333331</v>
      </c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2">
        <v>1</v>
      </c>
      <c r="B322" s="10" t="s">
        <v>23</v>
      </c>
      <c r="C322" s="11" t="s">
        <v>130</v>
      </c>
      <c r="D322" s="13">
        <v>12000</v>
      </c>
      <c r="E322" s="13">
        <f t="shared" si="66"/>
        <v>12000</v>
      </c>
      <c r="F322" s="13"/>
      <c r="G322" s="2"/>
      <c r="H322" s="7"/>
      <c r="I322" s="13">
        <v>9000</v>
      </c>
      <c r="J322" s="13">
        <f t="shared" si="67"/>
        <v>9000</v>
      </c>
      <c r="K322" s="13">
        <f t="shared" si="68"/>
        <v>3000</v>
      </c>
      <c r="L322" s="14">
        <f t="shared" si="69"/>
        <v>0.25</v>
      </c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2">
        <v>1</v>
      </c>
      <c r="B323" s="10" t="s">
        <v>23</v>
      </c>
      <c r="C323" s="11" t="s">
        <v>22</v>
      </c>
      <c r="D323" s="13">
        <v>10000</v>
      </c>
      <c r="E323" s="13">
        <f t="shared" si="66"/>
        <v>10000</v>
      </c>
      <c r="F323" s="13"/>
      <c r="G323" s="2"/>
      <c r="H323" s="7"/>
      <c r="I323" s="13">
        <v>7000</v>
      </c>
      <c r="J323" s="13">
        <f t="shared" si="67"/>
        <v>7000</v>
      </c>
      <c r="K323" s="13">
        <f t="shared" si="68"/>
        <v>3000</v>
      </c>
      <c r="L323" s="14">
        <f t="shared" si="69"/>
        <v>0.3</v>
      </c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2">
        <v>0.5</v>
      </c>
      <c r="B324" s="10" t="s">
        <v>23</v>
      </c>
      <c r="C324" s="11" t="s">
        <v>81</v>
      </c>
      <c r="D324" s="13">
        <v>20000</v>
      </c>
      <c r="E324" s="13">
        <f t="shared" si="66"/>
        <v>10000</v>
      </c>
      <c r="F324" s="13"/>
      <c r="G324" s="2"/>
      <c r="H324" s="7"/>
      <c r="I324" s="13">
        <v>16000</v>
      </c>
      <c r="J324" s="13">
        <f t="shared" si="67"/>
        <v>8000</v>
      </c>
      <c r="K324" s="13">
        <f t="shared" si="68"/>
        <v>2000</v>
      </c>
      <c r="L324" s="14">
        <f t="shared" si="69"/>
        <v>0.2</v>
      </c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2">
        <v>12</v>
      </c>
      <c r="B325" s="10" t="s">
        <v>21</v>
      </c>
      <c r="C325" s="11" t="s">
        <v>46</v>
      </c>
      <c r="D325" s="13">
        <v>600</v>
      </c>
      <c r="E325" s="13">
        <f t="shared" si="66"/>
        <v>7200</v>
      </c>
      <c r="F325" s="13"/>
      <c r="G325" s="2"/>
      <c r="H325" s="7"/>
      <c r="I325" s="13">
        <f>14000/24</f>
        <v>583.33333333333337</v>
      </c>
      <c r="J325" s="13">
        <f t="shared" si="67"/>
        <v>7000</v>
      </c>
      <c r="K325" s="13">
        <f t="shared" si="68"/>
        <v>200</v>
      </c>
      <c r="L325" s="14">
        <f t="shared" si="69"/>
        <v>2.7777777777777776E-2</v>
      </c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2">
        <v>2</v>
      </c>
      <c r="B326" s="10" t="s">
        <v>17</v>
      </c>
      <c r="C326" s="11" t="s">
        <v>1092</v>
      </c>
      <c r="D326" s="13">
        <v>3500</v>
      </c>
      <c r="E326" s="13">
        <f t="shared" si="66"/>
        <v>7000</v>
      </c>
      <c r="F326" s="13"/>
      <c r="G326" s="2"/>
      <c r="H326" s="7"/>
      <c r="I326" s="13">
        <f>10000/5</f>
        <v>2000</v>
      </c>
      <c r="J326" s="13">
        <f t="shared" si="67"/>
        <v>4000</v>
      </c>
      <c r="K326" s="13">
        <f t="shared" si="68"/>
        <v>3000</v>
      </c>
      <c r="L326" s="14">
        <f t="shared" si="69"/>
        <v>0.42857142857142855</v>
      </c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2">
        <v>0.5</v>
      </c>
      <c r="B327" s="10" t="s">
        <v>23</v>
      </c>
      <c r="C327" s="11" t="s">
        <v>99</v>
      </c>
      <c r="D327" s="13">
        <v>9000</v>
      </c>
      <c r="E327" s="13">
        <f t="shared" si="66"/>
        <v>4500</v>
      </c>
      <c r="F327" s="13"/>
      <c r="G327" s="2"/>
      <c r="H327" s="7"/>
      <c r="I327" s="13">
        <v>5000</v>
      </c>
      <c r="J327" s="13">
        <f t="shared" si="67"/>
        <v>2500</v>
      </c>
      <c r="K327" s="13">
        <f t="shared" si="68"/>
        <v>2000</v>
      </c>
      <c r="L327" s="14">
        <f t="shared" si="69"/>
        <v>0.44444444444444442</v>
      </c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2">
        <v>2</v>
      </c>
      <c r="B328" s="10" t="s">
        <v>17</v>
      </c>
      <c r="C328" s="11" t="s">
        <v>93</v>
      </c>
      <c r="D328" s="13">
        <v>2500</v>
      </c>
      <c r="E328" s="13">
        <f t="shared" si="66"/>
        <v>5000</v>
      </c>
      <c r="F328" s="13"/>
      <c r="G328" s="2"/>
      <c r="H328" s="7"/>
      <c r="I328" s="13">
        <f>10000/8</f>
        <v>1250</v>
      </c>
      <c r="J328" s="13">
        <f t="shared" si="67"/>
        <v>2500</v>
      </c>
      <c r="K328" s="13">
        <f t="shared" si="68"/>
        <v>2500</v>
      </c>
      <c r="L328" s="14">
        <f t="shared" si="69"/>
        <v>0.5</v>
      </c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2"/>
      <c r="B329" s="10"/>
      <c r="C329" s="11"/>
      <c r="D329" s="13"/>
      <c r="E329" s="13"/>
      <c r="F329" s="13"/>
      <c r="H329" s="2"/>
      <c r="I329" s="2"/>
      <c r="J329" s="13"/>
      <c r="K329" s="13"/>
      <c r="L329" s="1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2"/>
      <c r="B330" s="10"/>
      <c r="C330" s="11"/>
      <c r="D330" s="13"/>
      <c r="E330" s="13">
        <f>SUM(E320:E328)</f>
        <v>106700</v>
      </c>
      <c r="F330" s="13"/>
      <c r="G330" s="2"/>
      <c r="H330" s="2"/>
      <c r="I330" s="2"/>
      <c r="J330" s="13"/>
      <c r="K330" s="13">
        <f>SUM(K320:K328)</f>
        <v>30200</v>
      </c>
      <c r="L330" s="14">
        <f>K330/E330</f>
        <v>0.28303655107778819</v>
      </c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0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6"/>
      <c r="B332" s="6"/>
      <c r="C332" s="6"/>
      <c r="D332" s="22"/>
      <c r="E332" s="8"/>
      <c r="F332" s="24"/>
      <c r="G332" s="2"/>
      <c r="H332" s="2"/>
      <c r="I332" s="2"/>
      <c r="J332" s="13"/>
      <c r="K332" s="13"/>
      <c r="L332" s="14"/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6" t="s">
        <v>91</v>
      </c>
      <c r="B333" s="6"/>
      <c r="C333" s="6"/>
      <c r="D333" s="22" t="s">
        <v>1162</v>
      </c>
      <c r="E333" s="8">
        <v>46139</v>
      </c>
      <c r="F333" s="8"/>
      <c r="G333" s="2"/>
      <c r="H333" s="2"/>
      <c r="I333" s="2"/>
      <c r="J333" s="13"/>
      <c r="K333" s="13"/>
      <c r="L333" s="14"/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B334" s="2"/>
      <c r="C334" s="4"/>
      <c r="D334" s="2"/>
      <c r="E334" s="2"/>
      <c r="F334" s="2"/>
      <c r="G334" s="2"/>
      <c r="H334" s="2"/>
      <c r="I334" s="2"/>
      <c r="J334" s="13"/>
      <c r="K334" s="13"/>
      <c r="L334" s="14"/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6" t="s">
        <v>3</v>
      </c>
      <c r="B335" s="10" t="s">
        <v>4</v>
      </c>
      <c r="C335" s="11" t="s">
        <v>5</v>
      </c>
      <c r="D335" s="10" t="s">
        <v>6</v>
      </c>
      <c r="E335" s="10" t="s">
        <v>7</v>
      </c>
      <c r="F335" s="10"/>
      <c r="G335" s="2"/>
      <c r="H335" s="2"/>
      <c r="I335" s="10" t="s">
        <v>6</v>
      </c>
      <c r="J335" s="10" t="s">
        <v>7</v>
      </c>
      <c r="K335" s="10" t="s">
        <v>10</v>
      </c>
      <c r="L335" s="14"/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2">
        <v>3</v>
      </c>
      <c r="B336" s="10" t="s">
        <v>17</v>
      </c>
      <c r="C336" s="11" t="s">
        <v>81</v>
      </c>
      <c r="D336" s="13">
        <v>1800</v>
      </c>
      <c r="E336" s="13">
        <f t="shared" ref="E336:E341" si="70">A336*D336</f>
        <v>5400</v>
      </c>
      <c r="F336" s="13"/>
      <c r="G336" s="2"/>
      <c r="H336" s="7"/>
      <c r="I336" s="13">
        <f>16000/15</f>
        <v>1066.6666666666667</v>
      </c>
      <c r="J336" s="13">
        <f t="shared" ref="J336:J341" si="71">I336*A336</f>
        <v>3200</v>
      </c>
      <c r="K336" s="13">
        <f t="shared" ref="K336:K341" si="72">E336-J336</f>
        <v>2200</v>
      </c>
      <c r="L336" s="14">
        <f t="shared" ref="L336:L341" si="73">K336/E336</f>
        <v>0.40740740740740738</v>
      </c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2">
        <v>1</v>
      </c>
      <c r="B337" s="10" t="s">
        <v>23</v>
      </c>
      <c r="C337" s="11" t="s">
        <v>46</v>
      </c>
      <c r="D337" s="13">
        <v>19000</v>
      </c>
      <c r="E337" s="13">
        <f t="shared" si="70"/>
        <v>19000</v>
      </c>
      <c r="F337" s="13"/>
      <c r="G337" s="2"/>
      <c r="H337" s="7"/>
      <c r="I337" s="13">
        <v>14000</v>
      </c>
      <c r="J337" s="13">
        <f t="shared" si="71"/>
        <v>14000</v>
      </c>
      <c r="K337" s="13">
        <f t="shared" si="72"/>
        <v>5000</v>
      </c>
      <c r="L337" s="14">
        <f t="shared" si="73"/>
        <v>0.26315789473684209</v>
      </c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2">
        <v>2</v>
      </c>
      <c r="B338" s="10" t="s">
        <v>21</v>
      </c>
      <c r="C338" s="11" t="s">
        <v>22</v>
      </c>
      <c r="D338" s="13">
        <v>1600</v>
      </c>
      <c r="E338" s="13">
        <f t="shared" si="70"/>
        <v>3200</v>
      </c>
      <c r="F338" s="13"/>
      <c r="G338" s="2"/>
      <c r="H338" s="7" t="s">
        <v>1148</v>
      </c>
      <c r="I338" s="13">
        <v>1500</v>
      </c>
      <c r="J338" s="13">
        <f t="shared" si="71"/>
        <v>3000</v>
      </c>
      <c r="K338" s="13">
        <f t="shared" si="72"/>
        <v>200</v>
      </c>
      <c r="L338" s="14">
        <f t="shared" si="73"/>
        <v>6.25E-2</v>
      </c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2">
        <v>3</v>
      </c>
      <c r="B339" s="10" t="s">
        <v>4</v>
      </c>
      <c r="C339" s="11" t="s">
        <v>65</v>
      </c>
      <c r="D339" s="13">
        <v>1000</v>
      </c>
      <c r="E339" s="13">
        <f t="shared" si="70"/>
        <v>3000</v>
      </c>
      <c r="F339" s="13"/>
      <c r="G339" s="2"/>
      <c r="H339" s="7"/>
      <c r="I339" s="13">
        <v>100</v>
      </c>
      <c r="J339" s="13">
        <f t="shared" si="71"/>
        <v>300</v>
      </c>
      <c r="K339" s="13">
        <f t="shared" si="72"/>
        <v>2700</v>
      </c>
      <c r="L339" s="14">
        <f t="shared" si="73"/>
        <v>0.9</v>
      </c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2">
        <v>1</v>
      </c>
      <c r="B340" s="10" t="s">
        <v>23</v>
      </c>
      <c r="C340" s="11" t="s">
        <v>99</v>
      </c>
      <c r="D340" s="13">
        <v>12000</v>
      </c>
      <c r="E340" s="13">
        <f t="shared" si="70"/>
        <v>12000</v>
      </c>
      <c r="F340" s="13"/>
      <c r="G340" s="2"/>
      <c r="H340" s="7"/>
      <c r="I340" s="13">
        <v>5000</v>
      </c>
      <c r="J340" s="13">
        <f t="shared" si="71"/>
        <v>5000</v>
      </c>
      <c r="K340" s="13">
        <f t="shared" si="72"/>
        <v>7000</v>
      </c>
      <c r="L340" s="14">
        <f t="shared" si="73"/>
        <v>0.58333333333333337</v>
      </c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2">
        <v>0.2</v>
      </c>
      <c r="B341" s="10" t="s">
        <v>17</v>
      </c>
      <c r="C341" s="11" t="s">
        <v>93</v>
      </c>
      <c r="D341" s="13">
        <v>3000</v>
      </c>
      <c r="E341" s="13">
        <f t="shared" si="70"/>
        <v>600</v>
      </c>
      <c r="F341" s="13"/>
      <c r="G341" s="2"/>
      <c r="H341" s="7"/>
      <c r="I341" s="13">
        <f>10000/8</f>
        <v>1250</v>
      </c>
      <c r="J341" s="13">
        <f t="shared" si="71"/>
        <v>250</v>
      </c>
      <c r="K341" s="13">
        <f t="shared" si="72"/>
        <v>350</v>
      </c>
      <c r="L341" s="14">
        <f t="shared" si="73"/>
        <v>0.58333333333333337</v>
      </c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2"/>
      <c r="B342" s="10"/>
      <c r="C342" s="11"/>
      <c r="D342" s="13"/>
      <c r="E342" s="13"/>
      <c r="F342" s="13"/>
      <c r="H342" s="2"/>
      <c r="I342" s="2"/>
      <c r="J342" s="13"/>
      <c r="K342" s="13"/>
      <c r="L342" s="1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2"/>
      <c r="B343" s="10"/>
      <c r="C343" s="11"/>
      <c r="D343" s="13"/>
      <c r="E343" s="13">
        <f>SUM(E336:E341)</f>
        <v>43200</v>
      </c>
      <c r="F343" s="13"/>
      <c r="G343" s="2"/>
      <c r="H343" s="2"/>
      <c r="I343" s="2"/>
      <c r="J343" s="13"/>
      <c r="K343" s="13">
        <f>SUM(K336:K341)</f>
        <v>17450</v>
      </c>
      <c r="L343" s="14">
        <f>K343/E343</f>
        <v>0.40393518518518517</v>
      </c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0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0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6" t="s">
        <v>140</v>
      </c>
      <c r="B346" s="6"/>
      <c r="C346" s="6"/>
      <c r="D346" s="22"/>
      <c r="E346" s="22" t="s">
        <v>1090</v>
      </c>
      <c r="F346" s="8">
        <v>46139</v>
      </c>
      <c r="G346" s="2"/>
      <c r="H346" s="2"/>
      <c r="I346" s="2"/>
      <c r="J346" s="13"/>
      <c r="K346" s="13"/>
      <c r="L346" s="14"/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B347" s="2"/>
      <c r="C347" s="4"/>
      <c r="D347" s="2"/>
      <c r="E347" s="2"/>
      <c r="F347" s="2"/>
      <c r="G347" s="2"/>
      <c r="H347" s="2"/>
      <c r="I347" s="2"/>
      <c r="J347" s="13"/>
      <c r="K347" s="13"/>
      <c r="L347" s="14"/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A348" s="6" t="s">
        <v>3</v>
      </c>
      <c r="B348" s="10" t="s">
        <v>4</v>
      </c>
      <c r="C348" s="11" t="s">
        <v>5</v>
      </c>
      <c r="D348" s="10" t="s">
        <v>6</v>
      </c>
      <c r="E348" s="10" t="s">
        <v>7</v>
      </c>
      <c r="F348" s="10" t="s">
        <v>8</v>
      </c>
      <c r="G348" s="2"/>
      <c r="H348" s="2"/>
      <c r="I348" s="10" t="s">
        <v>6</v>
      </c>
      <c r="J348" s="10" t="s">
        <v>7</v>
      </c>
      <c r="K348" s="10" t="s">
        <v>10</v>
      </c>
      <c r="L348" s="14"/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2">
        <v>1</v>
      </c>
      <c r="B349" s="10" t="s">
        <v>23</v>
      </c>
      <c r="C349" s="11" t="s">
        <v>81</v>
      </c>
      <c r="D349" s="13">
        <v>22000</v>
      </c>
      <c r="E349" s="13">
        <f t="shared" ref="E349:E354" si="74">A349*D349</f>
        <v>22000</v>
      </c>
      <c r="F349" s="13">
        <f t="shared" ref="F349:F354" si="75">E349*1.105</f>
        <v>24310</v>
      </c>
      <c r="G349" s="2"/>
      <c r="H349" s="7"/>
      <c r="I349" s="13">
        <v>16000</v>
      </c>
      <c r="J349" s="13">
        <f t="shared" ref="J349:J354" si="76">I349*A349</f>
        <v>16000</v>
      </c>
      <c r="K349" s="13">
        <f t="shared" ref="K349:K354" si="77">F349-J349</f>
        <v>8310</v>
      </c>
      <c r="L349" s="14">
        <f t="shared" ref="L349:L354" si="78">K349/E349</f>
        <v>0.37772727272727274</v>
      </c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A350" s="12">
        <v>1</v>
      </c>
      <c r="B350" s="10" t="s">
        <v>21</v>
      </c>
      <c r="C350" s="11" t="s">
        <v>42</v>
      </c>
      <c r="D350" s="13">
        <v>4500</v>
      </c>
      <c r="E350" s="13">
        <f t="shared" si="74"/>
        <v>4500</v>
      </c>
      <c r="F350" s="13">
        <f t="shared" si="75"/>
        <v>4972.5</v>
      </c>
      <c r="G350" s="2"/>
      <c r="H350" s="7"/>
      <c r="I350" s="13">
        <v>2000</v>
      </c>
      <c r="J350" s="13">
        <f t="shared" si="76"/>
        <v>2000</v>
      </c>
      <c r="K350" s="13">
        <f t="shared" si="77"/>
        <v>2972.5</v>
      </c>
      <c r="L350" s="14">
        <f t="shared" si="78"/>
        <v>0.66055555555555556</v>
      </c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2">
        <v>1</v>
      </c>
      <c r="B351" s="10" t="s">
        <v>21</v>
      </c>
      <c r="C351" s="11" t="s">
        <v>29</v>
      </c>
      <c r="D351" s="13">
        <v>3500</v>
      </c>
      <c r="E351" s="13">
        <f t="shared" si="74"/>
        <v>3500</v>
      </c>
      <c r="F351" s="13">
        <f t="shared" si="75"/>
        <v>3867.5</v>
      </c>
      <c r="G351" s="2"/>
      <c r="H351" s="7"/>
      <c r="I351" s="13">
        <v>1333.33</v>
      </c>
      <c r="J351" s="13">
        <f t="shared" si="76"/>
        <v>1333.33</v>
      </c>
      <c r="K351" s="13">
        <f t="shared" si="77"/>
        <v>2534.17</v>
      </c>
      <c r="L351" s="14">
        <f t="shared" si="78"/>
        <v>0.72404857142857149</v>
      </c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2">
        <v>15</v>
      </c>
      <c r="B352" s="10" t="s">
        <v>21</v>
      </c>
      <c r="C352" s="11" t="s">
        <v>46</v>
      </c>
      <c r="D352" s="13">
        <v>800</v>
      </c>
      <c r="E352" s="13">
        <f t="shared" si="74"/>
        <v>12000</v>
      </c>
      <c r="F352" s="13">
        <f t="shared" si="75"/>
        <v>13260</v>
      </c>
      <c r="G352" s="2"/>
      <c r="H352" s="7"/>
      <c r="I352" s="13">
        <f>14000/24</f>
        <v>583.33333333333337</v>
      </c>
      <c r="J352" s="13">
        <f t="shared" si="76"/>
        <v>8750</v>
      </c>
      <c r="K352" s="13">
        <f t="shared" si="77"/>
        <v>4510</v>
      </c>
      <c r="L352" s="14">
        <f t="shared" si="78"/>
        <v>0.37583333333333335</v>
      </c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2">
        <v>1</v>
      </c>
      <c r="B353" s="10" t="s">
        <v>15</v>
      </c>
      <c r="C353" s="11" t="s">
        <v>135</v>
      </c>
      <c r="D353" s="13">
        <v>17000</v>
      </c>
      <c r="E353" s="13">
        <f t="shared" si="74"/>
        <v>17000</v>
      </c>
      <c r="F353" s="13">
        <f t="shared" si="75"/>
        <v>18785</v>
      </c>
      <c r="G353" s="2"/>
      <c r="H353" s="7"/>
      <c r="I353" s="13">
        <v>13000</v>
      </c>
      <c r="J353" s="13">
        <f t="shared" si="76"/>
        <v>13000</v>
      </c>
      <c r="K353" s="13">
        <f t="shared" si="77"/>
        <v>5785</v>
      </c>
      <c r="L353" s="14">
        <f t="shared" si="78"/>
        <v>0.3402941176470588</v>
      </c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2">
        <v>2</v>
      </c>
      <c r="B354" s="10" t="s">
        <v>15</v>
      </c>
      <c r="C354" s="11" t="s">
        <v>141</v>
      </c>
      <c r="D354" s="13">
        <v>14000</v>
      </c>
      <c r="E354" s="13">
        <f t="shared" si="74"/>
        <v>28000</v>
      </c>
      <c r="F354" s="13">
        <f t="shared" si="75"/>
        <v>30940</v>
      </c>
      <c r="G354" s="2"/>
      <c r="H354" s="7"/>
      <c r="I354" s="13">
        <v>9200</v>
      </c>
      <c r="J354" s="13">
        <f t="shared" si="76"/>
        <v>18400</v>
      </c>
      <c r="K354" s="13">
        <f t="shared" si="77"/>
        <v>12540</v>
      </c>
      <c r="L354" s="14">
        <f t="shared" si="78"/>
        <v>0.44785714285714284</v>
      </c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2"/>
      <c r="B355" s="10"/>
      <c r="C355" s="11"/>
      <c r="D355" s="13"/>
      <c r="E355" s="13"/>
      <c r="F355" s="13"/>
      <c r="H355" s="2"/>
      <c r="I355" s="2"/>
      <c r="J355" s="13"/>
      <c r="K355" s="13"/>
      <c r="L355" s="1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2"/>
      <c r="B356" s="10"/>
      <c r="C356" s="11"/>
      <c r="D356" s="13"/>
      <c r="E356" s="13">
        <f t="shared" ref="E356:F356" si="79">SUM(E349:E354)</f>
        <v>87000</v>
      </c>
      <c r="F356" s="13">
        <f t="shared" si="79"/>
        <v>96135</v>
      </c>
      <c r="G356" s="13"/>
      <c r="H356" s="2"/>
      <c r="I356" s="2"/>
      <c r="J356" s="13"/>
      <c r="K356" s="13">
        <f>SUM(K349:K354)</f>
        <v>36651.67</v>
      </c>
      <c r="L356" s="14">
        <f>K356/E356</f>
        <v>0.42128356321839078</v>
      </c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0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6" t="s">
        <v>1150</v>
      </c>
      <c r="B358" s="1"/>
      <c r="C358" s="1"/>
      <c r="D358" s="1"/>
      <c r="E358" s="13">
        <f>E356*0.05</f>
        <v>4350</v>
      </c>
      <c r="F358" s="1"/>
      <c r="G358" s="1"/>
      <c r="H358" s="1"/>
      <c r="I358" s="1"/>
      <c r="J358" s="1"/>
      <c r="K358" s="1"/>
      <c r="L358" s="20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0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5.5" customHeight="1" x14ac:dyDescent="0.25">
      <c r="A360" s="26" t="s">
        <v>101</v>
      </c>
      <c r="B360" s="27">
        <f>F356+E343+E330+F312+E286+F261+E246+F225+F192+F166+E138+E116+E96+E77+E49+E19</f>
        <v>4381801.05</v>
      </c>
      <c r="C360" s="4"/>
      <c r="D360" s="4"/>
      <c r="E360" s="4"/>
      <c r="F360" s="4"/>
      <c r="G360" s="4"/>
      <c r="H360" s="4"/>
      <c r="I360" s="4"/>
      <c r="J360" s="4"/>
      <c r="K360" s="4"/>
      <c r="L360" s="28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7" customHeight="1" x14ac:dyDescent="0.25">
      <c r="A362" s="26" t="s">
        <v>102</v>
      </c>
      <c r="B362" s="27">
        <f>K356+K343+K330+K312+K286+K261+K246+K225+K192+K166+K138+K116+K96+K77+K49+K19</f>
        <v>1589844.0129717342</v>
      </c>
      <c r="C362" s="4"/>
      <c r="D362" s="4"/>
      <c r="E362" s="4"/>
      <c r="F362" s="4"/>
      <c r="G362" s="4"/>
      <c r="H362" s="4"/>
      <c r="I362" s="4"/>
      <c r="J362" s="4"/>
      <c r="K362" s="4"/>
      <c r="L362" s="2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6.25" customHeight="1" x14ac:dyDescent="0.25">
      <c r="A365" s="26" t="s">
        <v>103</v>
      </c>
      <c r="B365" s="29">
        <f>B362/B360</f>
        <v>0.36282889041065297</v>
      </c>
      <c r="C365" s="4"/>
      <c r="D365" s="4"/>
      <c r="E365" s="4"/>
      <c r="F365" s="4"/>
      <c r="G365" s="4"/>
      <c r="H365" s="4"/>
      <c r="I365" s="4"/>
      <c r="J365" s="4"/>
      <c r="K365" s="4"/>
      <c r="L365" s="2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90" t="s">
        <v>104</v>
      </c>
      <c r="B367" s="89"/>
      <c r="C367" s="4"/>
      <c r="D367" s="4"/>
      <c r="E367" s="4"/>
      <c r="F367" s="4"/>
      <c r="G367" s="4"/>
      <c r="H367" s="4"/>
      <c r="I367" s="4"/>
      <c r="J367" s="4"/>
      <c r="K367" s="4"/>
      <c r="L367" s="2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0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"/>
      <c r="B369" s="13"/>
      <c r="C369" s="1"/>
      <c r="D369" s="1"/>
      <c r="E369" s="1"/>
      <c r="F369" s="1"/>
      <c r="G369" s="1"/>
      <c r="H369" s="1"/>
      <c r="I369" s="1"/>
      <c r="J369" s="1"/>
      <c r="K369" s="1"/>
      <c r="L369" s="20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85" t="s">
        <v>265</v>
      </c>
      <c r="B370" s="86">
        <f>E358+E263+E248+E227+E194+E140+E118</f>
        <v>65650</v>
      </c>
      <c r="C370" s="1"/>
      <c r="D370" s="1"/>
      <c r="E370" s="1"/>
      <c r="F370" s="1"/>
      <c r="G370" s="1"/>
      <c r="H370" s="1"/>
      <c r="I370" s="1"/>
      <c r="J370" s="1"/>
      <c r="K370" s="1"/>
      <c r="L370" s="20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0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0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0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0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</sheetData>
  <mergeCells count="5">
    <mergeCell ref="A144:C144"/>
    <mergeCell ref="A253:C253"/>
    <mergeCell ref="I253:K253"/>
    <mergeCell ref="A289:C289"/>
    <mergeCell ref="A367:B367"/>
  </mergeCells>
  <conditionalFormatting sqref="L1:L374">
    <cfRule type="cellIs" dxfId="23" priority="2" operator="greaterThanOrEqual">
      <formula>"30%"</formula>
    </cfRule>
    <cfRule type="cellIs" dxfId="22" priority="3" operator="between">
      <formula>"25%"</formula>
      <formula>"30%"</formula>
    </cfRule>
    <cfRule type="cellIs" dxfId="21" priority="4" operator="lessThan">
      <formula>"25%"</formula>
    </cfRule>
  </conditionalFormatting>
  <conditionalFormatting sqref="L253:L261">
    <cfRule type="cellIs" dxfId="20" priority="1" operator="greaterThan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BAF3-DB66-974A-A38E-E71963D1DAA6}">
  <sheetPr>
    <outlinePr summaryBelow="0" summaryRight="0"/>
  </sheetPr>
  <dimension ref="A1:Z1358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8" max="8" width="15.832031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5" t="s">
        <v>37</v>
      </c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120</v>
      </c>
      <c r="F3" s="8">
        <v>46140</v>
      </c>
      <c r="G3" s="7" t="s">
        <v>106</v>
      </c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0.1</v>
      </c>
      <c r="B6" s="10" t="s">
        <v>17</v>
      </c>
      <c r="C6" s="11" t="s">
        <v>42</v>
      </c>
      <c r="D6" s="13">
        <v>4500</v>
      </c>
      <c r="E6" s="13">
        <f t="shared" ref="E6:E39" si="0">A6*D6</f>
        <v>450</v>
      </c>
      <c r="F6" s="13">
        <f t="shared" ref="F6:F38" si="1">E6*1.105</f>
        <v>497.25</v>
      </c>
      <c r="G6" s="2"/>
      <c r="H6" s="2"/>
      <c r="I6" s="13">
        <v>3000</v>
      </c>
      <c r="J6" s="13">
        <f t="shared" ref="J6:J39" si="2">I6*A6</f>
        <v>300</v>
      </c>
      <c r="K6" s="13">
        <f t="shared" ref="K6:K39" si="3">F6-J6</f>
        <v>197.25</v>
      </c>
      <c r="L6" s="14">
        <f t="shared" ref="L6:L39" si="4">IFERROR(K6/E6, 0)</f>
        <v>0.43833333333333335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1</v>
      </c>
      <c r="B7" s="10" t="s">
        <v>4</v>
      </c>
      <c r="C7" s="11" t="s">
        <v>13</v>
      </c>
      <c r="D7" s="13">
        <v>900</v>
      </c>
      <c r="E7" s="13">
        <f t="shared" si="0"/>
        <v>900</v>
      </c>
      <c r="F7" s="13">
        <f t="shared" si="1"/>
        <v>994.5</v>
      </c>
      <c r="G7" s="2"/>
      <c r="H7" s="2"/>
      <c r="I7" s="13">
        <v>540</v>
      </c>
      <c r="J7" s="13">
        <f t="shared" si="2"/>
        <v>540</v>
      </c>
      <c r="K7" s="13">
        <f t="shared" si="3"/>
        <v>454.5</v>
      </c>
      <c r="L7" s="14">
        <f t="shared" si="4"/>
        <v>0.505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1</v>
      </c>
      <c r="B8" s="10" t="s">
        <v>4</v>
      </c>
      <c r="C8" s="11" t="s">
        <v>64</v>
      </c>
      <c r="D8" s="13">
        <v>2500</v>
      </c>
      <c r="E8" s="13">
        <f t="shared" si="0"/>
        <v>2500</v>
      </c>
      <c r="F8" s="13">
        <f t="shared" si="1"/>
        <v>2762.5</v>
      </c>
      <c r="G8" s="2"/>
      <c r="H8" s="2"/>
      <c r="I8" s="13">
        <v>1000</v>
      </c>
      <c r="J8" s="13">
        <f t="shared" si="2"/>
        <v>1000</v>
      </c>
      <c r="K8" s="13">
        <f t="shared" si="3"/>
        <v>1762.5</v>
      </c>
      <c r="L8" s="14">
        <f t="shared" si="4"/>
        <v>0.70499999999999996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3</v>
      </c>
      <c r="B9" s="10" t="s">
        <v>17</v>
      </c>
      <c r="C9" s="11" t="s">
        <v>62</v>
      </c>
      <c r="D9" s="13">
        <v>2800</v>
      </c>
      <c r="E9" s="13">
        <f t="shared" si="0"/>
        <v>8400</v>
      </c>
      <c r="F9" s="13">
        <f t="shared" si="1"/>
        <v>9282</v>
      </c>
      <c r="G9" s="2"/>
      <c r="H9" s="2"/>
      <c r="I9" s="13">
        <f>27000/17</f>
        <v>1588.2352941176471</v>
      </c>
      <c r="J9" s="13">
        <f t="shared" si="2"/>
        <v>4764.7058823529414</v>
      </c>
      <c r="K9" s="13">
        <f t="shared" si="3"/>
        <v>4517.2941176470586</v>
      </c>
      <c r="L9" s="14">
        <f t="shared" si="4"/>
        <v>0.53777310924369748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10</v>
      </c>
      <c r="B10" s="10" t="s">
        <v>17</v>
      </c>
      <c r="C10" s="11" t="s">
        <v>129</v>
      </c>
      <c r="D10" s="13">
        <v>1600</v>
      </c>
      <c r="E10" s="13">
        <f t="shared" si="0"/>
        <v>16000</v>
      </c>
      <c r="F10" s="13">
        <f t="shared" si="1"/>
        <v>17680</v>
      </c>
      <c r="G10" s="2"/>
      <c r="H10" s="2"/>
      <c r="I10" s="13">
        <f>13000/11</f>
        <v>1181.8181818181818</v>
      </c>
      <c r="J10" s="13">
        <f t="shared" si="2"/>
        <v>11818.181818181818</v>
      </c>
      <c r="K10" s="13">
        <f t="shared" si="3"/>
        <v>5861.818181818182</v>
      </c>
      <c r="L10" s="14">
        <f t="shared" si="4"/>
        <v>0.36636363636363639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2</v>
      </c>
      <c r="B11" s="10" t="s">
        <v>4</v>
      </c>
      <c r="C11" s="11" t="s">
        <v>14</v>
      </c>
      <c r="D11" s="13">
        <v>3200</v>
      </c>
      <c r="E11" s="13">
        <f t="shared" si="0"/>
        <v>6400</v>
      </c>
      <c r="F11" s="13">
        <f t="shared" si="1"/>
        <v>7072</v>
      </c>
      <c r="G11" s="2"/>
      <c r="H11" s="2"/>
      <c r="I11" s="13">
        <f>20000/8</f>
        <v>2500</v>
      </c>
      <c r="J11" s="13">
        <f t="shared" si="2"/>
        <v>5000</v>
      </c>
      <c r="K11" s="13">
        <f t="shared" si="3"/>
        <v>2072</v>
      </c>
      <c r="L11" s="14">
        <f t="shared" si="4"/>
        <v>0.32374999999999998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12</v>
      </c>
      <c r="B12" s="10" t="s">
        <v>17</v>
      </c>
      <c r="C12" s="11" t="s">
        <v>48</v>
      </c>
      <c r="D12" s="13">
        <v>900</v>
      </c>
      <c r="E12" s="13">
        <f t="shared" si="0"/>
        <v>10800</v>
      </c>
      <c r="F12" s="13">
        <f t="shared" si="1"/>
        <v>11934</v>
      </c>
      <c r="G12" s="2"/>
      <c r="H12" s="2"/>
      <c r="I12" s="13">
        <f>8000/15</f>
        <v>533.33333333333337</v>
      </c>
      <c r="J12" s="13">
        <f t="shared" si="2"/>
        <v>6400</v>
      </c>
      <c r="K12" s="13">
        <f t="shared" si="3"/>
        <v>5534</v>
      </c>
      <c r="L12" s="14">
        <f t="shared" si="4"/>
        <v>0.51240740740740742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3</v>
      </c>
      <c r="B13" s="10" t="s">
        <v>17</v>
      </c>
      <c r="C13" s="11" t="s">
        <v>18</v>
      </c>
      <c r="D13" s="13">
        <v>1600</v>
      </c>
      <c r="E13" s="13">
        <f t="shared" si="0"/>
        <v>4800</v>
      </c>
      <c r="F13" s="13">
        <f t="shared" si="1"/>
        <v>5304</v>
      </c>
      <c r="G13" s="2"/>
      <c r="H13" s="2"/>
      <c r="I13" s="13">
        <f>15000/14</f>
        <v>1071.4285714285713</v>
      </c>
      <c r="J13" s="13">
        <f t="shared" si="2"/>
        <v>3214.2857142857138</v>
      </c>
      <c r="K13" s="13">
        <f t="shared" si="3"/>
        <v>2089.7142857142862</v>
      </c>
      <c r="L13" s="14">
        <f t="shared" si="4"/>
        <v>0.43535714285714294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1.5</v>
      </c>
      <c r="B14" s="10" t="s">
        <v>17</v>
      </c>
      <c r="C14" s="11" t="s">
        <v>56</v>
      </c>
      <c r="D14" s="13">
        <v>1200</v>
      </c>
      <c r="E14" s="13">
        <f t="shared" si="0"/>
        <v>1800</v>
      </c>
      <c r="F14" s="13">
        <f t="shared" si="1"/>
        <v>1989</v>
      </c>
      <c r="G14" s="2"/>
      <c r="H14" s="2"/>
      <c r="I14" s="13">
        <f>10000/15</f>
        <v>666.66666666666663</v>
      </c>
      <c r="J14" s="13">
        <f t="shared" si="2"/>
        <v>1000</v>
      </c>
      <c r="K14" s="13">
        <f t="shared" si="3"/>
        <v>989</v>
      </c>
      <c r="L14" s="14">
        <f t="shared" si="4"/>
        <v>0.5494444444444444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3</v>
      </c>
      <c r="B15" s="10" t="s">
        <v>17</v>
      </c>
      <c r="C15" s="11" t="s">
        <v>162</v>
      </c>
      <c r="D15" s="13">
        <v>4000</v>
      </c>
      <c r="E15" s="13">
        <f t="shared" si="0"/>
        <v>12000</v>
      </c>
      <c r="F15" s="13">
        <f t="shared" si="1"/>
        <v>13260</v>
      </c>
      <c r="G15" s="2"/>
      <c r="H15" s="2"/>
      <c r="I15" s="13">
        <f>35000/10</f>
        <v>3500</v>
      </c>
      <c r="J15" s="13">
        <f t="shared" si="2"/>
        <v>10500</v>
      </c>
      <c r="K15" s="13">
        <f t="shared" si="3"/>
        <v>2760</v>
      </c>
      <c r="L15" s="14">
        <f t="shared" si="4"/>
        <v>0.23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4</v>
      </c>
      <c r="B16" s="10" t="s">
        <v>17</v>
      </c>
      <c r="C16" s="11" t="s">
        <v>67</v>
      </c>
      <c r="D16" s="13">
        <v>1300</v>
      </c>
      <c r="E16" s="13">
        <f t="shared" si="0"/>
        <v>5200</v>
      </c>
      <c r="F16" s="13">
        <f t="shared" si="1"/>
        <v>5746</v>
      </c>
      <c r="G16" s="2"/>
      <c r="H16" s="2"/>
      <c r="I16" s="13">
        <f>12000/14</f>
        <v>857.14285714285711</v>
      </c>
      <c r="J16" s="13">
        <f t="shared" si="2"/>
        <v>3428.5714285714284</v>
      </c>
      <c r="K16" s="13">
        <f t="shared" si="3"/>
        <v>2317.4285714285716</v>
      </c>
      <c r="L16" s="14">
        <f t="shared" si="4"/>
        <v>0.44565934065934071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5</v>
      </c>
      <c r="B17" s="10" t="s">
        <v>17</v>
      </c>
      <c r="C17" s="11" t="s">
        <v>24</v>
      </c>
      <c r="D17" s="13">
        <v>3600</v>
      </c>
      <c r="E17" s="13">
        <f t="shared" si="0"/>
        <v>18000</v>
      </c>
      <c r="F17" s="13">
        <f t="shared" si="1"/>
        <v>19890</v>
      </c>
      <c r="G17" s="2"/>
      <c r="H17" s="2"/>
      <c r="I17" s="13">
        <f>50000/17</f>
        <v>2941.1764705882351</v>
      </c>
      <c r="J17" s="13">
        <f t="shared" si="2"/>
        <v>14705.882352941175</v>
      </c>
      <c r="K17" s="13">
        <f t="shared" si="3"/>
        <v>5184.1176470588252</v>
      </c>
      <c r="L17" s="14">
        <f t="shared" si="4"/>
        <v>0.28800653594771253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3</v>
      </c>
      <c r="B18" s="10" t="s">
        <v>17</v>
      </c>
      <c r="C18" s="11" t="s">
        <v>25</v>
      </c>
      <c r="D18" s="13">
        <v>4500</v>
      </c>
      <c r="E18" s="13">
        <f t="shared" si="0"/>
        <v>13500</v>
      </c>
      <c r="F18" s="13">
        <f t="shared" si="1"/>
        <v>14917.5</v>
      </c>
      <c r="G18" s="2"/>
      <c r="H18" s="2"/>
      <c r="I18" s="13">
        <f>47000/17</f>
        <v>2764.705882352941</v>
      </c>
      <c r="J18" s="13">
        <f t="shared" si="2"/>
        <v>8294.1176470588234</v>
      </c>
      <c r="K18" s="13">
        <f t="shared" si="3"/>
        <v>6623.3823529411766</v>
      </c>
      <c r="L18" s="18">
        <f t="shared" si="4"/>
        <v>0.49062091503267974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15</v>
      </c>
      <c r="B19" s="10" t="s">
        <v>17</v>
      </c>
      <c r="C19" s="11" t="s">
        <v>26</v>
      </c>
      <c r="D19" s="13">
        <v>1400</v>
      </c>
      <c r="E19" s="13">
        <f t="shared" si="0"/>
        <v>21000</v>
      </c>
      <c r="F19" s="13">
        <f t="shared" si="1"/>
        <v>23205</v>
      </c>
      <c r="G19" s="2"/>
      <c r="H19" s="2"/>
      <c r="I19" s="13">
        <f>14000/15</f>
        <v>933.33333333333337</v>
      </c>
      <c r="J19" s="13">
        <f t="shared" si="2"/>
        <v>14000</v>
      </c>
      <c r="K19" s="13">
        <f t="shared" si="3"/>
        <v>9205</v>
      </c>
      <c r="L19" s="18">
        <f t="shared" si="4"/>
        <v>0.43833333333333335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3</v>
      </c>
      <c r="B20" s="10" t="s">
        <v>15</v>
      </c>
      <c r="C20" s="11" t="s">
        <v>27</v>
      </c>
      <c r="D20" s="13">
        <v>25000</v>
      </c>
      <c r="E20" s="13">
        <f t="shared" si="0"/>
        <v>75000</v>
      </c>
      <c r="F20" s="13">
        <f t="shared" si="1"/>
        <v>82875</v>
      </c>
      <c r="G20" s="2"/>
      <c r="H20" s="2"/>
      <c r="I20" s="13">
        <f>18000</f>
        <v>18000</v>
      </c>
      <c r="J20" s="13">
        <f t="shared" si="2"/>
        <v>54000</v>
      </c>
      <c r="K20" s="13">
        <f t="shared" si="3"/>
        <v>28875</v>
      </c>
      <c r="L20" s="18">
        <f t="shared" si="4"/>
        <v>0.38500000000000001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2">
        <v>1</v>
      </c>
      <c r="B21" s="10" t="s">
        <v>21</v>
      </c>
      <c r="C21" s="11" t="s">
        <v>133</v>
      </c>
      <c r="D21" s="13">
        <v>3000</v>
      </c>
      <c r="E21" s="13">
        <f t="shared" si="0"/>
        <v>3000</v>
      </c>
      <c r="F21" s="13">
        <f t="shared" si="1"/>
        <v>3315</v>
      </c>
      <c r="G21" s="2"/>
      <c r="H21" s="2"/>
      <c r="I21" s="13">
        <v>2000</v>
      </c>
      <c r="J21" s="13">
        <f t="shared" si="2"/>
        <v>2000</v>
      </c>
      <c r="K21" s="13">
        <f t="shared" si="3"/>
        <v>1315</v>
      </c>
      <c r="L21" s="18">
        <f t="shared" si="4"/>
        <v>0.43833333333333335</v>
      </c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2">
        <v>0.5</v>
      </c>
      <c r="B22" s="10" t="s">
        <v>21</v>
      </c>
      <c r="C22" s="11" t="s">
        <v>29</v>
      </c>
      <c r="D22" s="13">
        <v>3000</v>
      </c>
      <c r="E22" s="13">
        <f t="shared" si="0"/>
        <v>1500</v>
      </c>
      <c r="F22" s="13">
        <f t="shared" si="1"/>
        <v>1657.5</v>
      </c>
      <c r="G22" s="2"/>
      <c r="H22" s="2"/>
      <c r="I22" s="13">
        <f>8000/6</f>
        <v>1333.3333333333333</v>
      </c>
      <c r="J22" s="13">
        <f t="shared" si="2"/>
        <v>666.66666666666663</v>
      </c>
      <c r="K22" s="13">
        <f t="shared" si="3"/>
        <v>990.83333333333337</v>
      </c>
      <c r="L22" s="33">
        <f t="shared" si="4"/>
        <v>0.66055555555555556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2">
        <v>0.7</v>
      </c>
      <c r="B23" s="10" t="s">
        <v>17</v>
      </c>
      <c r="C23" s="11" t="s">
        <v>30</v>
      </c>
      <c r="D23" s="13">
        <v>2600</v>
      </c>
      <c r="E23" s="13">
        <f t="shared" si="0"/>
        <v>1819.9999999999998</v>
      </c>
      <c r="F23" s="13">
        <f t="shared" si="1"/>
        <v>2011.0999999999997</v>
      </c>
      <c r="G23" s="2"/>
      <c r="H23" s="2"/>
      <c r="I23" s="13"/>
      <c r="J23" s="13">
        <f t="shared" si="2"/>
        <v>0</v>
      </c>
      <c r="K23" s="13">
        <f t="shared" si="3"/>
        <v>2011.0999999999997</v>
      </c>
      <c r="L23" s="33">
        <f t="shared" si="4"/>
        <v>1.105</v>
      </c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2">
        <v>1.5</v>
      </c>
      <c r="B24" s="10" t="s">
        <v>17</v>
      </c>
      <c r="C24" s="11" t="s">
        <v>31</v>
      </c>
      <c r="D24" s="13">
        <v>2800</v>
      </c>
      <c r="E24" s="13">
        <f t="shared" si="0"/>
        <v>4200</v>
      </c>
      <c r="F24" s="13">
        <f t="shared" si="1"/>
        <v>4641</v>
      </c>
      <c r="G24" s="2"/>
      <c r="H24" s="2"/>
      <c r="I24" s="13">
        <f>13500/7</f>
        <v>1928.5714285714287</v>
      </c>
      <c r="J24" s="13">
        <f t="shared" si="2"/>
        <v>2892.8571428571431</v>
      </c>
      <c r="K24" s="13">
        <f t="shared" si="3"/>
        <v>1748.1428571428569</v>
      </c>
      <c r="L24" s="18">
        <f t="shared" si="4"/>
        <v>0.41622448979591831</v>
      </c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2">
        <v>0.5</v>
      </c>
      <c r="B25" s="10" t="s">
        <v>17</v>
      </c>
      <c r="C25" s="11" t="s">
        <v>32</v>
      </c>
      <c r="D25" s="13">
        <v>2400</v>
      </c>
      <c r="E25" s="13">
        <f t="shared" si="0"/>
        <v>1200</v>
      </c>
      <c r="F25" s="13">
        <f t="shared" si="1"/>
        <v>1326</v>
      </c>
      <c r="G25" s="2"/>
      <c r="H25" s="2"/>
      <c r="I25" s="13">
        <f>12000/7</f>
        <v>1714.2857142857142</v>
      </c>
      <c r="J25" s="13">
        <f t="shared" si="2"/>
        <v>857.14285714285711</v>
      </c>
      <c r="K25" s="13">
        <f t="shared" si="3"/>
        <v>468.85714285714289</v>
      </c>
      <c r="L25" s="18">
        <f t="shared" si="4"/>
        <v>0.39071428571428574</v>
      </c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2">
        <v>0.5</v>
      </c>
      <c r="B26" s="10" t="s">
        <v>17</v>
      </c>
      <c r="C26" s="11" t="s">
        <v>33</v>
      </c>
      <c r="D26" s="13">
        <v>3000</v>
      </c>
      <c r="E26" s="13">
        <f t="shared" si="0"/>
        <v>1500</v>
      </c>
      <c r="F26" s="13">
        <f t="shared" si="1"/>
        <v>1657.5</v>
      </c>
      <c r="G26" s="2"/>
      <c r="H26" s="2"/>
      <c r="I26" s="13">
        <f>15000/7</f>
        <v>2142.8571428571427</v>
      </c>
      <c r="J26" s="13">
        <f t="shared" si="2"/>
        <v>1071.4285714285713</v>
      </c>
      <c r="K26" s="13">
        <f t="shared" si="3"/>
        <v>586.07142857142867</v>
      </c>
      <c r="L26" s="14">
        <f t="shared" si="4"/>
        <v>0.39071428571428579</v>
      </c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2">
        <v>1</v>
      </c>
      <c r="B27" s="10" t="s">
        <v>17</v>
      </c>
      <c r="C27" s="11" t="s">
        <v>35</v>
      </c>
      <c r="D27" s="13">
        <v>2500</v>
      </c>
      <c r="E27" s="13">
        <f t="shared" si="0"/>
        <v>2500</v>
      </c>
      <c r="F27" s="13">
        <f t="shared" si="1"/>
        <v>2762.5</v>
      </c>
      <c r="G27" s="2"/>
      <c r="H27" s="2"/>
      <c r="I27" s="13">
        <f>14000/9</f>
        <v>1555.5555555555557</v>
      </c>
      <c r="J27" s="13">
        <f t="shared" si="2"/>
        <v>1555.5555555555557</v>
      </c>
      <c r="K27" s="13">
        <f t="shared" si="3"/>
        <v>1206.9444444444443</v>
      </c>
      <c r="L27" s="14">
        <f t="shared" si="4"/>
        <v>0.48277777777777775</v>
      </c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2">
        <v>2</v>
      </c>
      <c r="B28" s="10" t="s">
        <v>17</v>
      </c>
      <c r="C28" s="11" t="s">
        <v>36</v>
      </c>
      <c r="D28" s="13">
        <v>1800</v>
      </c>
      <c r="E28" s="13">
        <f t="shared" si="0"/>
        <v>3600</v>
      </c>
      <c r="F28" s="13">
        <f t="shared" si="1"/>
        <v>3978</v>
      </c>
      <c r="G28" s="2"/>
      <c r="H28" s="2"/>
      <c r="I28" s="13">
        <v>800</v>
      </c>
      <c r="J28" s="13">
        <f t="shared" si="2"/>
        <v>1600</v>
      </c>
      <c r="K28" s="13">
        <f t="shared" si="3"/>
        <v>2378</v>
      </c>
      <c r="L28" s="14">
        <f t="shared" si="4"/>
        <v>0.66055555555555556</v>
      </c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2">
        <v>0.5</v>
      </c>
      <c r="B29" s="10" t="s">
        <v>17</v>
      </c>
      <c r="C29" s="11" t="s">
        <v>38</v>
      </c>
      <c r="D29" s="13">
        <v>1800</v>
      </c>
      <c r="E29" s="13">
        <f t="shared" si="0"/>
        <v>900</v>
      </c>
      <c r="F29" s="13">
        <f t="shared" si="1"/>
        <v>994.5</v>
      </c>
      <c r="G29" s="2"/>
      <c r="H29" s="2"/>
      <c r="I29" s="13">
        <f>15000/12</f>
        <v>1250</v>
      </c>
      <c r="J29" s="13">
        <f t="shared" si="2"/>
        <v>625</v>
      </c>
      <c r="K29" s="13">
        <f t="shared" si="3"/>
        <v>369.5</v>
      </c>
      <c r="L29" s="14">
        <f t="shared" si="4"/>
        <v>0.41055555555555556</v>
      </c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7</v>
      </c>
      <c r="B30" s="10" t="s">
        <v>17</v>
      </c>
      <c r="C30" s="11" t="s">
        <v>39</v>
      </c>
      <c r="D30" s="13">
        <v>1800</v>
      </c>
      <c r="E30" s="13">
        <f t="shared" si="0"/>
        <v>12600</v>
      </c>
      <c r="F30" s="13">
        <f t="shared" si="1"/>
        <v>13923</v>
      </c>
      <c r="G30" s="2"/>
      <c r="H30" s="2"/>
      <c r="I30" s="13">
        <f>17600/15</f>
        <v>1173.3333333333333</v>
      </c>
      <c r="J30" s="13">
        <f t="shared" si="2"/>
        <v>8213.3333333333321</v>
      </c>
      <c r="K30" s="13">
        <f t="shared" si="3"/>
        <v>5709.6666666666679</v>
      </c>
      <c r="L30" s="14">
        <f t="shared" si="4"/>
        <v>0.45314814814814824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0.8</v>
      </c>
      <c r="B31" s="10" t="s">
        <v>17</v>
      </c>
      <c r="C31" s="11" t="s">
        <v>93</v>
      </c>
      <c r="D31" s="13">
        <v>3000</v>
      </c>
      <c r="E31" s="13">
        <f t="shared" si="0"/>
        <v>2400</v>
      </c>
      <c r="F31" s="13">
        <f t="shared" si="1"/>
        <v>2652</v>
      </c>
      <c r="G31" s="2"/>
      <c r="H31" s="2"/>
      <c r="I31" s="13">
        <f>10000/7</f>
        <v>1428.5714285714287</v>
      </c>
      <c r="J31" s="13">
        <f t="shared" si="2"/>
        <v>1142.8571428571429</v>
      </c>
      <c r="K31" s="13">
        <f t="shared" si="3"/>
        <v>1509.1428571428571</v>
      </c>
      <c r="L31" s="14">
        <f t="shared" si="4"/>
        <v>0.62880952380952382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2</v>
      </c>
      <c r="B32" s="10" t="s">
        <v>17</v>
      </c>
      <c r="C32" s="11" t="s">
        <v>40</v>
      </c>
      <c r="D32" s="13">
        <v>1500</v>
      </c>
      <c r="E32" s="13">
        <f t="shared" si="0"/>
        <v>3000</v>
      </c>
      <c r="F32" s="13">
        <f t="shared" si="1"/>
        <v>3315</v>
      </c>
      <c r="G32" s="2"/>
      <c r="H32" s="2"/>
      <c r="I32" s="13">
        <f>8000/7</f>
        <v>1142.8571428571429</v>
      </c>
      <c r="J32" s="13">
        <f t="shared" si="2"/>
        <v>2285.7142857142858</v>
      </c>
      <c r="K32" s="13">
        <f t="shared" si="3"/>
        <v>1029.2857142857142</v>
      </c>
      <c r="L32" s="14">
        <f t="shared" si="4"/>
        <v>0.34309523809523806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3.5</v>
      </c>
      <c r="B33" s="10" t="s">
        <v>17</v>
      </c>
      <c r="C33" s="11" t="s">
        <v>82</v>
      </c>
      <c r="D33" s="13">
        <v>2200</v>
      </c>
      <c r="E33" s="13">
        <f t="shared" si="0"/>
        <v>7700</v>
      </c>
      <c r="F33" s="13">
        <f t="shared" si="1"/>
        <v>8508.5</v>
      </c>
      <c r="G33" s="2"/>
      <c r="H33" s="2"/>
      <c r="I33" s="13">
        <f>16000/14</f>
        <v>1142.8571428571429</v>
      </c>
      <c r="J33" s="13">
        <f t="shared" si="2"/>
        <v>4000</v>
      </c>
      <c r="K33" s="13">
        <f t="shared" si="3"/>
        <v>4508.5</v>
      </c>
      <c r="L33" s="18">
        <f t="shared" si="4"/>
        <v>0.58551948051948055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5</v>
      </c>
      <c r="B34" s="10" t="s">
        <v>4</v>
      </c>
      <c r="C34" s="11" t="s">
        <v>65</v>
      </c>
      <c r="D34" s="13">
        <v>1800</v>
      </c>
      <c r="E34" s="13">
        <f t="shared" si="0"/>
        <v>9000</v>
      </c>
      <c r="F34" s="13">
        <f t="shared" si="1"/>
        <v>9945</v>
      </c>
      <c r="G34" s="2"/>
      <c r="H34" s="2"/>
      <c r="I34" s="13">
        <f>75000/70</f>
        <v>1071.4285714285713</v>
      </c>
      <c r="J34" s="13">
        <f t="shared" si="2"/>
        <v>5357.1428571428569</v>
      </c>
      <c r="K34" s="13">
        <f t="shared" si="3"/>
        <v>4587.8571428571431</v>
      </c>
      <c r="L34" s="18">
        <f t="shared" si="4"/>
        <v>0.50976190476190475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0.6</v>
      </c>
      <c r="B35" s="10" t="s">
        <v>17</v>
      </c>
      <c r="C35" s="11" t="s">
        <v>61</v>
      </c>
      <c r="D35" s="13">
        <v>2800</v>
      </c>
      <c r="E35" s="13">
        <f t="shared" si="0"/>
        <v>1680</v>
      </c>
      <c r="F35" s="13">
        <f t="shared" si="1"/>
        <v>1856.3999999999999</v>
      </c>
      <c r="G35" s="2"/>
      <c r="H35" s="2"/>
      <c r="I35" s="13">
        <f>24000/14</f>
        <v>1714.2857142857142</v>
      </c>
      <c r="J35" s="13">
        <f t="shared" si="2"/>
        <v>1028.5714285714284</v>
      </c>
      <c r="K35" s="13">
        <f t="shared" si="3"/>
        <v>827.82857142857142</v>
      </c>
      <c r="L35" s="18">
        <f t="shared" si="4"/>
        <v>0.4927551020408163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1.5</v>
      </c>
      <c r="B36" s="10" t="s">
        <v>17</v>
      </c>
      <c r="C36" s="11" t="s">
        <v>99</v>
      </c>
      <c r="D36" s="13">
        <v>1500</v>
      </c>
      <c r="E36" s="13">
        <f t="shared" si="0"/>
        <v>2250</v>
      </c>
      <c r="F36" s="13">
        <f t="shared" si="1"/>
        <v>2486.25</v>
      </c>
      <c r="G36" s="2"/>
      <c r="H36" s="2"/>
      <c r="I36" s="13">
        <f>8000/7</f>
        <v>1142.8571428571429</v>
      </c>
      <c r="J36" s="13">
        <f t="shared" si="2"/>
        <v>1714.2857142857142</v>
      </c>
      <c r="K36" s="13">
        <f t="shared" si="3"/>
        <v>771.96428571428578</v>
      </c>
      <c r="L36" s="18">
        <f t="shared" si="4"/>
        <v>0.34309523809523812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2</v>
      </c>
      <c r="B37" s="10" t="s">
        <v>17</v>
      </c>
      <c r="C37" s="11" t="s">
        <v>43</v>
      </c>
      <c r="D37" s="13">
        <v>4500</v>
      </c>
      <c r="E37" s="13">
        <f t="shared" si="0"/>
        <v>9000</v>
      </c>
      <c r="F37" s="13">
        <f t="shared" si="1"/>
        <v>9945</v>
      </c>
      <c r="G37" s="2"/>
      <c r="H37" s="2"/>
      <c r="I37" s="13">
        <f>15000/4</f>
        <v>3750</v>
      </c>
      <c r="J37" s="13">
        <f t="shared" si="2"/>
        <v>7500</v>
      </c>
      <c r="K37" s="13">
        <f t="shared" si="3"/>
        <v>2445</v>
      </c>
      <c r="L37" s="33">
        <f t="shared" si="4"/>
        <v>0.27166666666666667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10</v>
      </c>
      <c r="B38" s="10" t="s">
        <v>21</v>
      </c>
      <c r="C38" s="11" t="s">
        <v>46</v>
      </c>
      <c r="D38" s="13">
        <v>800</v>
      </c>
      <c r="E38" s="13">
        <f t="shared" si="0"/>
        <v>8000</v>
      </c>
      <c r="F38" s="13">
        <f t="shared" si="1"/>
        <v>8840</v>
      </c>
      <c r="G38" s="2"/>
      <c r="H38" s="2"/>
      <c r="I38" s="13">
        <f>14000/24</f>
        <v>583.33333333333337</v>
      </c>
      <c r="J38" s="13">
        <f t="shared" si="2"/>
        <v>5833.3333333333339</v>
      </c>
      <c r="K38" s="13">
        <f t="shared" si="3"/>
        <v>3006.6666666666661</v>
      </c>
      <c r="L38" s="33">
        <f t="shared" si="4"/>
        <v>0.37583333333333324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1</v>
      </c>
      <c r="B39" s="10" t="s">
        <v>17</v>
      </c>
      <c r="C39" s="11" t="s">
        <v>89</v>
      </c>
      <c r="D39" s="13">
        <v>13500</v>
      </c>
      <c r="E39" s="13">
        <f t="shared" si="0"/>
        <v>13500</v>
      </c>
      <c r="F39" s="13">
        <f>E39*1.21</f>
        <v>16335</v>
      </c>
      <c r="G39" s="2"/>
      <c r="H39" s="2"/>
      <c r="I39" s="13">
        <f>58000/5</f>
        <v>11600</v>
      </c>
      <c r="J39" s="13">
        <f t="shared" si="2"/>
        <v>11600</v>
      </c>
      <c r="K39" s="13">
        <f t="shared" si="3"/>
        <v>4735</v>
      </c>
      <c r="L39" s="18">
        <f t="shared" si="4"/>
        <v>0.35074074074074074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5"/>
      <c r="B40" s="7"/>
      <c r="C40" s="4"/>
      <c r="D40" s="2"/>
      <c r="E40" s="2"/>
      <c r="F40" s="2"/>
      <c r="G40" s="2"/>
      <c r="H40" s="2"/>
      <c r="I40" s="2"/>
      <c r="J40" s="2"/>
      <c r="K40" s="2"/>
      <c r="L40" s="3"/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"/>
      <c r="B41" s="2"/>
      <c r="C41" s="4"/>
      <c r="D41" s="2"/>
      <c r="E41" s="13">
        <f t="shared" ref="E41:F41" si="5">SUM(E6:E39)</f>
        <v>286100</v>
      </c>
      <c r="F41" s="13">
        <f t="shared" si="5"/>
        <v>317558</v>
      </c>
      <c r="G41" s="2"/>
      <c r="H41" s="2"/>
      <c r="I41" s="2"/>
      <c r="J41" s="2"/>
      <c r="K41" s="13">
        <f>SUM(K6:K39)</f>
        <v>118648.36626771922</v>
      </c>
      <c r="L41" s="14">
        <f>K41/F41</f>
        <v>0.3736273885958446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88"/>
      <c r="B43" s="89"/>
      <c r="C43" s="89"/>
      <c r="D43" s="4"/>
      <c r="E43" s="4"/>
      <c r="F43" s="4"/>
      <c r="G43" s="4"/>
      <c r="H43" s="4"/>
      <c r="I43" s="4"/>
      <c r="J43" s="4"/>
      <c r="K43" s="4"/>
      <c r="L43" s="1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88" t="s">
        <v>44</v>
      </c>
      <c r="B44" s="89"/>
      <c r="C44" s="89"/>
      <c r="D44" s="2"/>
      <c r="E44" s="7" t="s">
        <v>1088</v>
      </c>
      <c r="F44" s="8">
        <v>46140</v>
      </c>
      <c r="G44" s="7" t="s">
        <v>106</v>
      </c>
      <c r="H44" s="2"/>
      <c r="I44" s="91" t="s">
        <v>2</v>
      </c>
      <c r="J44" s="89"/>
      <c r="K44" s="89"/>
      <c r="L44" s="3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"/>
      <c r="B45" s="2"/>
      <c r="C45" s="5"/>
      <c r="D45" s="2"/>
      <c r="E45" s="2"/>
      <c r="F45" s="2"/>
      <c r="G45" s="2"/>
      <c r="H45" s="2"/>
      <c r="I45" s="2"/>
      <c r="J45" s="2"/>
      <c r="K45" s="2"/>
      <c r="L45" s="3"/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6" t="s">
        <v>3</v>
      </c>
      <c r="B46" s="10" t="s">
        <v>4</v>
      </c>
      <c r="C46" s="11" t="s">
        <v>5</v>
      </c>
      <c r="D46" s="10" t="s">
        <v>6</v>
      </c>
      <c r="E46" s="10" t="s">
        <v>7</v>
      </c>
      <c r="F46" s="10" t="s">
        <v>8</v>
      </c>
      <c r="G46" s="2"/>
      <c r="H46" s="2"/>
      <c r="I46" s="10" t="s">
        <v>9</v>
      </c>
      <c r="J46" s="10" t="s">
        <v>7</v>
      </c>
      <c r="K46" s="10" t="s">
        <v>10</v>
      </c>
      <c r="L46" s="3"/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1</v>
      </c>
      <c r="B47" s="10" t="s">
        <v>15</v>
      </c>
      <c r="C47" s="11" t="s">
        <v>48</v>
      </c>
      <c r="D47" s="13">
        <v>13000</v>
      </c>
      <c r="E47" s="13">
        <f t="shared" ref="E47:E79" si="6">A47*D47</f>
        <v>13000</v>
      </c>
      <c r="F47" s="13">
        <f t="shared" ref="F47:F79" si="7">E47*1.105</f>
        <v>14365</v>
      </c>
      <c r="G47" s="2"/>
      <c r="H47" s="2"/>
      <c r="I47" s="13">
        <v>8000</v>
      </c>
      <c r="J47" s="13">
        <f t="shared" ref="J47:J79" si="8">I47*A47</f>
        <v>8000</v>
      </c>
      <c r="K47" s="13">
        <f t="shared" ref="K47:K79" si="9">F47-J47</f>
        <v>6365</v>
      </c>
      <c r="L47" s="14">
        <f t="shared" ref="L47:L79" si="10">IFERROR(K47/E47, 0)</f>
        <v>0.48961538461538462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3</v>
      </c>
      <c r="B48" s="10" t="s">
        <v>15</v>
      </c>
      <c r="C48" s="11" t="s">
        <v>27</v>
      </c>
      <c r="D48" s="13">
        <v>25000</v>
      </c>
      <c r="E48" s="13">
        <f t="shared" si="6"/>
        <v>75000</v>
      </c>
      <c r="F48" s="13">
        <f t="shared" si="7"/>
        <v>82875</v>
      </c>
      <c r="G48" s="2"/>
      <c r="H48" s="2"/>
      <c r="I48" s="13">
        <v>18000</v>
      </c>
      <c r="J48" s="13">
        <f t="shared" si="8"/>
        <v>54000</v>
      </c>
      <c r="K48" s="13">
        <f t="shared" si="9"/>
        <v>28875</v>
      </c>
      <c r="L48" s="14">
        <f t="shared" si="10"/>
        <v>0.38500000000000001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</v>
      </c>
      <c r="B49" s="10" t="s">
        <v>15</v>
      </c>
      <c r="C49" s="11" t="s">
        <v>40</v>
      </c>
      <c r="D49" s="13">
        <v>12000</v>
      </c>
      <c r="E49" s="13">
        <f t="shared" si="6"/>
        <v>12000</v>
      </c>
      <c r="F49" s="13">
        <f t="shared" si="7"/>
        <v>13260</v>
      </c>
      <c r="G49" s="2"/>
      <c r="H49" s="2"/>
      <c r="I49" s="13">
        <v>8000</v>
      </c>
      <c r="J49" s="13">
        <f t="shared" si="8"/>
        <v>8000</v>
      </c>
      <c r="K49" s="13">
        <f t="shared" si="9"/>
        <v>5260</v>
      </c>
      <c r="L49" s="14">
        <f t="shared" si="10"/>
        <v>0.43833333333333335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0.3</v>
      </c>
      <c r="B50" s="10" t="s">
        <v>17</v>
      </c>
      <c r="C50" s="11" t="s">
        <v>55</v>
      </c>
      <c r="D50" s="13">
        <v>20000</v>
      </c>
      <c r="E50" s="13">
        <f t="shared" si="6"/>
        <v>6000</v>
      </c>
      <c r="F50" s="13">
        <f t="shared" si="7"/>
        <v>6630</v>
      </c>
      <c r="G50" s="2"/>
      <c r="H50" s="2"/>
      <c r="I50" s="13">
        <v>18000</v>
      </c>
      <c r="J50" s="13">
        <f t="shared" si="8"/>
        <v>5400</v>
      </c>
      <c r="K50" s="13">
        <f t="shared" si="9"/>
        <v>1230</v>
      </c>
      <c r="L50" s="14">
        <f t="shared" si="10"/>
        <v>0.20499999999999999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2</v>
      </c>
      <c r="B51" s="10" t="s">
        <v>17</v>
      </c>
      <c r="C51" s="11" t="s">
        <v>18</v>
      </c>
      <c r="D51" s="13">
        <v>1600</v>
      </c>
      <c r="E51" s="13">
        <f t="shared" si="6"/>
        <v>3200</v>
      </c>
      <c r="F51" s="13">
        <f t="shared" si="7"/>
        <v>3536</v>
      </c>
      <c r="G51" s="2"/>
      <c r="H51" s="2"/>
      <c r="I51" s="13">
        <f>15000/14</f>
        <v>1071.4285714285713</v>
      </c>
      <c r="J51" s="13">
        <f t="shared" si="8"/>
        <v>2142.8571428571427</v>
      </c>
      <c r="K51" s="13">
        <f t="shared" si="9"/>
        <v>1393.1428571428573</v>
      </c>
      <c r="L51" s="14">
        <f t="shared" si="10"/>
        <v>0.43535714285714294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0.5</v>
      </c>
      <c r="B52" s="10" t="s">
        <v>17</v>
      </c>
      <c r="C52" s="11" t="s">
        <v>56</v>
      </c>
      <c r="D52" s="13">
        <v>1200</v>
      </c>
      <c r="E52" s="13">
        <f t="shared" si="6"/>
        <v>600</v>
      </c>
      <c r="F52" s="13">
        <f t="shared" si="7"/>
        <v>663</v>
      </c>
      <c r="G52" s="2"/>
      <c r="H52" s="2"/>
      <c r="I52" s="13">
        <f>10000/15</f>
        <v>666.66666666666663</v>
      </c>
      <c r="J52" s="13">
        <f t="shared" si="8"/>
        <v>333.33333333333331</v>
      </c>
      <c r="K52" s="13">
        <f t="shared" si="9"/>
        <v>329.66666666666669</v>
      </c>
      <c r="L52" s="14">
        <f t="shared" si="10"/>
        <v>0.54944444444444451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5</v>
      </c>
      <c r="B53" s="10" t="s">
        <v>17</v>
      </c>
      <c r="C53" s="11" t="s">
        <v>82</v>
      </c>
      <c r="D53" s="13">
        <v>2200</v>
      </c>
      <c r="E53" s="13">
        <f t="shared" si="6"/>
        <v>11000</v>
      </c>
      <c r="F53" s="13">
        <f t="shared" si="7"/>
        <v>12155</v>
      </c>
      <c r="G53" s="2"/>
      <c r="H53" s="2"/>
      <c r="I53" s="13">
        <f>16000/14</f>
        <v>1142.8571428571429</v>
      </c>
      <c r="J53" s="13">
        <f t="shared" si="8"/>
        <v>5714.2857142857147</v>
      </c>
      <c r="K53" s="13">
        <f t="shared" si="9"/>
        <v>6440.7142857142853</v>
      </c>
      <c r="L53" s="14">
        <f t="shared" si="10"/>
        <v>0.58551948051948044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3</v>
      </c>
      <c r="B54" s="10" t="s">
        <v>4</v>
      </c>
      <c r="C54" s="11" t="s">
        <v>14</v>
      </c>
      <c r="D54" s="13">
        <v>3200</v>
      </c>
      <c r="E54" s="13">
        <f t="shared" si="6"/>
        <v>9600</v>
      </c>
      <c r="F54" s="13">
        <f t="shared" si="7"/>
        <v>10608</v>
      </c>
      <c r="G54" s="2"/>
      <c r="H54" s="2"/>
      <c r="I54" s="13">
        <f>20000/8</f>
        <v>2500</v>
      </c>
      <c r="J54" s="13">
        <f t="shared" si="8"/>
        <v>7500</v>
      </c>
      <c r="K54" s="13">
        <f t="shared" si="9"/>
        <v>3108</v>
      </c>
      <c r="L54" s="14">
        <f t="shared" si="10"/>
        <v>0.32374999999999998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2.5</v>
      </c>
      <c r="B55" s="10" t="s">
        <v>17</v>
      </c>
      <c r="C55" s="11" t="s">
        <v>36</v>
      </c>
      <c r="D55" s="13">
        <v>1800</v>
      </c>
      <c r="E55" s="13">
        <f t="shared" si="6"/>
        <v>4500</v>
      </c>
      <c r="F55" s="13">
        <f t="shared" si="7"/>
        <v>4972.5</v>
      </c>
      <c r="G55" s="2"/>
      <c r="H55" s="2"/>
      <c r="I55" s="13">
        <v>800</v>
      </c>
      <c r="J55" s="13">
        <f t="shared" si="8"/>
        <v>2000</v>
      </c>
      <c r="K55" s="13">
        <f t="shared" si="9"/>
        <v>2972.5</v>
      </c>
      <c r="L55" s="14">
        <f t="shared" si="10"/>
        <v>0.66055555555555556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2.4</v>
      </c>
      <c r="B56" s="10" t="s">
        <v>17</v>
      </c>
      <c r="C56" s="11" t="s">
        <v>38</v>
      </c>
      <c r="D56" s="13">
        <v>1800</v>
      </c>
      <c r="E56" s="13">
        <f t="shared" si="6"/>
        <v>4320</v>
      </c>
      <c r="F56" s="13">
        <f t="shared" si="7"/>
        <v>4773.6000000000004</v>
      </c>
      <c r="G56" s="2"/>
      <c r="H56" s="2"/>
      <c r="I56" s="13">
        <v>1250</v>
      </c>
      <c r="J56" s="13">
        <f t="shared" si="8"/>
        <v>3000</v>
      </c>
      <c r="K56" s="13">
        <f t="shared" si="9"/>
        <v>1773.6000000000004</v>
      </c>
      <c r="L56" s="14">
        <f t="shared" si="10"/>
        <v>0.41055555555555562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2</v>
      </c>
      <c r="B57" s="10" t="s">
        <v>21</v>
      </c>
      <c r="C57" s="34" t="s">
        <v>52</v>
      </c>
      <c r="D57" s="13">
        <v>2000</v>
      </c>
      <c r="E57" s="13">
        <f t="shared" si="6"/>
        <v>4000</v>
      </c>
      <c r="F57" s="13">
        <f t="shared" si="7"/>
        <v>4420</v>
      </c>
      <c r="G57" s="2"/>
      <c r="H57" s="2"/>
      <c r="I57" s="13">
        <v>1000</v>
      </c>
      <c r="J57" s="13">
        <f t="shared" si="8"/>
        <v>2000</v>
      </c>
      <c r="K57" s="13">
        <f t="shared" si="9"/>
        <v>2420</v>
      </c>
      <c r="L57" s="14">
        <f t="shared" si="10"/>
        <v>0.60499999999999998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1</v>
      </c>
      <c r="B58" s="10" t="s">
        <v>17</v>
      </c>
      <c r="C58" s="11" t="s">
        <v>93</v>
      </c>
      <c r="D58" s="13">
        <v>3000</v>
      </c>
      <c r="E58" s="13">
        <f t="shared" si="6"/>
        <v>3000</v>
      </c>
      <c r="F58" s="13">
        <f t="shared" si="7"/>
        <v>3315</v>
      </c>
      <c r="G58" s="2"/>
      <c r="H58" s="2"/>
      <c r="I58" s="13">
        <f>10000/7</f>
        <v>1428.5714285714287</v>
      </c>
      <c r="J58" s="13">
        <f t="shared" si="8"/>
        <v>1428.5714285714287</v>
      </c>
      <c r="K58" s="13">
        <f t="shared" si="9"/>
        <v>1886.4285714285713</v>
      </c>
      <c r="L58" s="14">
        <f t="shared" si="10"/>
        <v>0.62880952380952382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3</v>
      </c>
      <c r="B59" s="10" t="s">
        <v>4</v>
      </c>
      <c r="C59" s="11" t="s">
        <v>65</v>
      </c>
      <c r="D59" s="13">
        <v>1800</v>
      </c>
      <c r="E59" s="13">
        <f t="shared" si="6"/>
        <v>5400</v>
      </c>
      <c r="F59" s="13">
        <f t="shared" si="7"/>
        <v>5967</v>
      </c>
      <c r="G59" s="2"/>
      <c r="H59" s="13"/>
      <c r="I59" s="13">
        <f>70000/60</f>
        <v>1166.6666666666667</v>
      </c>
      <c r="J59" s="13">
        <f t="shared" si="8"/>
        <v>3500</v>
      </c>
      <c r="K59" s="13">
        <f t="shared" si="9"/>
        <v>2467</v>
      </c>
      <c r="L59" s="14">
        <f t="shared" si="10"/>
        <v>0.45685185185185184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2</v>
      </c>
      <c r="B60" s="10" t="s">
        <v>17</v>
      </c>
      <c r="C60" s="11" t="s">
        <v>35</v>
      </c>
      <c r="D60" s="13">
        <v>2500</v>
      </c>
      <c r="E60" s="13">
        <f t="shared" si="6"/>
        <v>5000</v>
      </c>
      <c r="F60" s="13">
        <f t="shared" si="7"/>
        <v>5525</v>
      </c>
      <c r="G60" s="2"/>
      <c r="H60" s="13"/>
      <c r="I60" s="13">
        <f>14000/9</f>
        <v>1555.5555555555557</v>
      </c>
      <c r="J60" s="13">
        <f t="shared" si="8"/>
        <v>3111.1111111111113</v>
      </c>
      <c r="K60" s="13">
        <f t="shared" si="9"/>
        <v>2413.8888888888887</v>
      </c>
      <c r="L60" s="14">
        <f t="shared" si="10"/>
        <v>0.48277777777777775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1.5</v>
      </c>
      <c r="B61" s="10" t="s">
        <v>17</v>
      </c>
      <c r="C61" s="11" t="s">
        <v>99</v>
      </c>
      <c r="D61" s="13">
        <v>1500</v>
      </c>
      <c r="E61" s="13">
        <f t="shared" si="6"/>
        <v>2250</v>
      </c>
      <c r="F61" s="13">
        <f t="shared" si="7"/>
        <v>2486.25</v>
      </c>
      <c r="G61" s="2"/>
      <c r="H61" s="2"/>
      <c r="I61" s="13">
        <f>8000/7</f>
        <v>1142.8571428571429</v>
      </c>
      <c r="J61" s="13">
        <f t="shared" si="8"/>
        <v>1714.2857142857142</v>
      </c>
      <c r="K61" s="13">
        <f t="shared" si="9"/>
        <v>771.96428571428578</v>
      </c>
      <c r="L61" s="14">
        <f t="shared" si="10"/>
        <v>0.34309523809523812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0.5</v>
      </c>
      <c r="B62" s="10" t="s">
        <v>17</v>
      </c>
      <c r="C62" s="11" t="s">
        <v>61</v>
      </c>
      <c r="D62" s="13">
        <v>2800</v>
      </c>
      <c r="E62" s="13">
        <f t="shared" si="6"/>
        <v>1400</v>
      </c>
      <c r="F62" s="13">
        <f t="shared" si="7"/>
        <v>1547</v>
      </c>
      <c r="G62" s="2"/>
      <c r="H62" s="2"/>
      <c r="I62" s="13">
        <f>24000/14</f>
        <v>1714.2857142857142</v>
      </c>
      <c r="J62" s="13">
        <f t="shared" si="8"/>
        <v>857.14285714285711</v>
      </c>
      <c r="K62" s="13">
        <f t="shared" si="9"/>
        <v>689.85714285714289</v>
      </c>
      <c r="L62" s="14">
        <f t="shared" si="10"/>
        <v>0.49275510204081635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4</v>
      </c>
      <c r="B63" s="10" t="s">
        <v>17</v>
      </c>
      <c r="C63" s="34" t="s">
        <v>129</v>
      </c>
      <c r="D63" s="13">
        <v>1600</v>
      </c>
      <c r="E63" s="13">
        <f t="shared" si="6"/>
        <v>6400</v>
      </c>
      <c r="F63" s="13">
        <f t="shared" si="7"/>
        <v>7072</v>
      </c>
      <c r="G63" s="2"/>
      <c r="H63" s="2"/>
      <c r="I63" s="13">
        <f>13000/11</f>
        <v>1181.8181818181818</v>
      </c>
      <c r="J63" s="13">
        <f t="shared" si="8"/>
        <v>4727.272727272727</v>
      </c>
      <c r="K63" s="13">
        <f t="shared" si="9"/>
        <v>2344.727272727273</v>
      </c>
      <c r="L63" s="14">
        <f t="shared" si="10"/>
        <v>0.36636363636363639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0.3</v>
      </c>
      <c r="B64" s="10" t="s">
        <v>17</v>
      </c>
      <c r="C64" s="11" t="s">
        <v>34</v>
      </c>
      <c r="D64" s="13">
        <v>4000</v>
      </c>
      <c r="E64" s="13">
        <f t="shared" si="6"/>
        <v>1200</v>
      </c>
      <c r="F64" s="13">
        <f t="shared" si="7"/>
        <v>1326</v>
      </c>
      <c r="G64" s="2"/>
      <c r="H64" s="2"/>
      <c r="I64" s="13">
        <v>2000</v>
      </c>
      <c r="J64" s="13">
        <f t="shared" si="8"/>
        <v>600</v>
      </c>
      <c r="K64" s="13">
        <f t="shared" si="9"/>
        <v>726</v>
      </c>
      <c r="L64" s="14">
        <f t="shared" si="10"/>
        <v>0.60499999999999998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1</v>
      </c>
      <c r="B65" s="10" t="s">
        <v>4</v>
      </c>
      <c r="C65" s="11" t="s">
        <v>64</v>
      </c>
      <c r="D65" s="13">
        <v>2500</v>
      </c>
      <c r="E65" s="13">
        <f t="shared" si="6"/>
        <v>2500</v>
      </c>
      <c r="F65" s="13">
        <f t="shared" si="7"/>
        <v>2762.5</v>
      </c>
      <c r="G65" s="2"/>
      <c r="H65" s="13"/>
      <c r="I65" s="13">
        <v>1000</v>
      </c>
      <c r="J65" s="13">
        <f t="shared" si="8"/>
        <v>1000</v>
      </c>
      <c r="K65" s="13">
        <f t="shared" si="9"/>
        <v>1762.5</v>
      </c>
      <c r="L65" s="14">
        <f t="shared" si="10"/>
        <v>0.70499999999999996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0.5</v>
      </c>
      <c r="B66" s="10" t="s">
        <v>21</v>
      </c>
      <c r="C66" s="11" t="s">
        <v>29</v>
      </c>
      <c r="D66" s="13">
        <v>3000</v>
      </c>
      <c r="E66" s="13">
        <f t="shared" si="6"/>
        <v>1500</v>
      </c>
      <c r="F66" s="13">
        <f t="shared" si="7"/>
        <v>1657.5</v>
      </c>
      <c r="G66" s="2"/>
      <c r="H66" s="13"/>
      <c r="I66" s="13">
        <v>1333.33</v>
      </c>
      <c r="J66" s="13">
        <f t="shared" si="8"/>
        <v>666.66499999999996</v>
      </c>
      <c r="K66" s="13">
        <f t="shared" si="9"/>
        <v>990.83500000000004</v>
      </c>
      <c r="L66" s="14">
        <f t="shared" si="10"/>
        <v>0.66055666666666668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1</v>
      </c>
      <c r="B67" s="10" t="s">
        <v>21</v>
      </c>
      <c r="C67" s="11" t="s">
        <v>133</v>
      </c>
      <c r="D67" s="13">
        <v>3000</v>
      </c>
      <c r="E67" s="13">
        <f t="shared" si="6"/>
        <v>3000</v>
      </c>
      <c r="F67" s="13">
        <f t="shared" si="7"/>
        <v>3315</v>
      </c>
      <c r="G67" s="2"/>
      <c r="H67" s="2"/>
      <c r="I67" s="13">
        <v>2000</v>
      </c>
      <c r="J67" s="13">
        <f t="shared" si="8"/>
        <v>2000</v>
      </c>
      <c r="K67" s="13">
        <f t="shared" si="9"/>
        <v>1315</v>
      </c>
      <c r="L67" s="14">
        <f t="shared" si="10"/>
        <v>0.43833333333333335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1</v>
      </c>
      <c r="B68" s="10" t="s">
        <v>21</v>
      </c>
      <c r="C68" s="11" t="s">
        <v>28</v>
      </c>
      <c r="D68" s="13">
        <v>3500</v>
      </c>
      <c r="E68" s="13">
        <f t="shared" si="6"/>
        <v>3500</v>
      </c>
      <c r="F68" s="13">
        <f t="shared" si="7"/>
        <v>3867.5</v>
      </c>
      <c r="G68" s="2"/>
      <c r="H68" s="2"/>
      <c r="I68" s="13">
        <v>2500</v>
      </c>
      <c r="J68" s="13">
        <f t="shared" si="8"/>
        <v>2500</v>
      </c>
      <c r="K68" s="13">
        <f t="shared" si="9"/>
        <v>1367.5</v>
      </c>
      <c r="L68" s="14">
        <f t="shared" si="10"/>
        <v>0.39071428571428574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0.5</v>
      </c>
      <c r="B69" s="10" t="s">
        <v>21</v>
      </c>
      <c r="C69" s="11" t="s">
        <v>42</v>
      </c>
      <c r="D69" s="13">
        <v>4500</v>
      </c>
      <c r="E69" s="13">
        <f t="shared" si="6"/>
        <v>2250</v>
      </c>
      <c r="F69" s="13">
        <f t="shared" si="7"/>
        <v>2486.25</v>
      </c>
      <c r="G69" s="2"/>
      <c r="H69" s="2"/>
      <c r="I69" s="13">
        <v>3000</v>
      </c>
      <c r="J69" s="13">
        <f t="shared" si="8"/>
        <v>1500</v>
      </c>
      <c r="K69" s="13">
        <f t="shared" si="9"/>
        <v>986.25</v>
      </c>
      <c r="L69" s="14">
        <f t="shared" si="10"/>
        <v>0.43833333333333335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10</v>
      </c>
      <c r="B70" s="10" t="s">
        <v>17</v>
      </c>
      <c r="C70" s="11" t="s">
        <v>39</v>
      </c>
      <c r="D70" s="13">
        <v>1800</v>
      </c>
      <c r="E70" s="13">
        <f t="shared" si="6"/>
        <v>18000</v>
      </c>
      <c r="F70" s="13">
        <f t="shared" si="7"/>
        <v>19890</v>
      </c>
      <c r="G70" s="2"/>
      <c r="H70" s="2"/>
      <c r="I70" s="13">
        <f>17600/15</f>
        <v>1173.3333333333333</v>
      </c>
      <c r="J70" s="13">
        <f t="shared" si="8"/>
        <v>11733.333333333332</v>
      </c>
      <c r="K70" s="13">
        <f t="shared" si="9"/>
        <v>8156.6666666666679</v>
      </c>
      <c r="L70" s="14">
        <f t="shared" si="10"/>
        <v>0.45314814814814819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0.5</v>
      </c>
      <c r="B71" s="10" t="s">
        <v>17</v>
      </c>
      <c r="C71" s="11" t="s">
        <v>33</v>
      </c>
      <c r="D71" s="13">
        <v>3000</v>
      </c>
      <c r="E71" s="13">
        <f t="shared" si="6"/>
        <v>1500</v>
      </c>
      <c r="F71" s="13">
        <f t="shared" si="7"/>
        <v>1657.5</v>
      </c>
      <c r="G71" s="2"/>
      <c r="H71" s="2"/>
      <c r="I71" s="13">
        <f>15000/7</f>
        <v>2142.8571428571427</v>
      </c>
      <c r="J71" s="13">
        <f t="shared" si="8"/>
        <v>1071.4285714285713</v>
      </c>
      <c r="K71" s="13">
        <f t="shared" si="9"/>
        <v>586.07142857142867</v>
      </c>
      <c r="L71" s="14">
        <f t="shared" si="10"/>
        <v>0.39071428571428579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0.5</v>
      </c>
      <c r="B72" s="10" t="s">
        <v>17</v>
      </c>
      <c r="C72" s="11" t="s">
        <v>32</v>
      </c>
      <c r="D72" s="13">
        <v>2400</v>
      </c>
      <c r="E72" s="13">
        <f t="shared" si="6"/>
        <v>1200</v>
      </c>
      <c r="F72" s="13">
        <f t="shared" si="7"/>
        <v>1326</v>
      </c>
      <c r="G72" s="2"/>
      <c r="H72" s="2"/>
      <c r="I72" s="13">
        <f>12000/7</f>
        <v>1714.2857142857142</v>
      </c>
      <c r="J72" s="13">
        <f t="shared" si="8"/>
        <v>857.14285714285711</v>
      </c>
      <c r="K72" s="13">
        <f t="shared" si="9"/>
        <v>468.85714285714289</v>
      </c>
      <c r="L72" s="14">
        <f t="shared" si="10"/>
        <v>0.39071428571428574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3</v>
      </c>
      <c r="B73" s="10" t="s">
        <v>17</v>
      </c>
      <c r="C73" s="11" t="s">
        <v>31</v>
      </c>
      <c r="D73" s="13">
        <v>2800</v>
      </c>
      <c r="E73" s="13">
        <f t="shared" si="6"/>
        <v>8400</v>
      </c>
      <c r="F73" s="13">
        <f t="shared" si="7"/>
        <v>9282</v>
      </c>
      <c r="G73" s="2"/>
      <c r="H73" s="2"/>
      <c r="I73" s="13">
        <v>1928</v>
      </c>
      <c r="J73" s="13">
        <f t="shared" si="8"/>
        <v>5784</v>
      </c>
      <c r="K73" s="13">
        <f t="shared" si="9"/>
        <v>3498</v>
      </c>
      <c r="L73" s="14">
        <f t="shared" si="10"/>
        <v>0.41642857142857143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3</v>
      </c>
      <c r="B74" s="10" t="s">
        <v>17</v>
      </c>
      <c r="C74" s="11" t="s">
        <v>24</v>
      </c>
      <c r="D74" s="13">
        <v>3600</v>
      </c>
      <c r="E74" s="13">
        <f t="shared" si="6"/>
        <v>10800</v>
      </c>
      <c r="F74" s="13">
        <f t="shared" si="7"/>
        <v>11934</v>
      </c>
      <c r="G74" s="2"/>
      <c r="H74" s="2"/>
      <c r="I74" s="13">
        <f>50000/17</f>
        <v>2941.1764705882351</v>
      </c>
      <c r="J74" s="13">
        <f t="shared" si="8"/>
        <v>8823.5294117647063</v>
      </c>
      <c r="K74" s="13">
        <f t="shared" si="9"/>
        <v>3110.4705882352937</v>
      </c>
      <c r="L74" s="14">
        <f t="shared" si="10"/>
        <v>0.28800653594771236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3</v>
      </c>
      <c r="B75" s="10" t="s">
        <v>17</v>
      </c>
      <c r="C75" s="11" t="s">
        <v>25</v>
      </c>
      <c r="D75" s="13">
        <v>4500</v>
      </c>
      <c r="E75" s="13">
        <f t="shared" si="6"/>
        <v>13500</v>
      </c>
      <c r="F75" s="13">
        <f t="shared" si="7"/>
        <v>14917.5</v>
      </c>
      <c r="G75" s="2"/>
      <c r="H75" s="2"/>
      <c r="I75" s="13">
        <f>47000/17</f>
        <v>2764.705882352941</v>
      </c>
      <c r="J75" s="13">
        <f t="shared" si="8"/>
        <v>8294.1176470588234</v>
      </c>
      <c r="K75" s="13">
        <f t="shared" si="9"/>
        <v>6623.3823529411766</v>
      </c>
      <c r="L75" s="14">
        <f t="shared" si="10"/>
        <v>0.49062091503267974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1.5</v>
      </c>
      <c r="B76" s="10" t="s">
        <v>23</v>
      </c>
      <c r="C76" s="11" t="s">
        <v>26</v>
      </c>
      <c r="D76" s="13">
        <v>19000</v>
      </c>
      <c r="E76" s="13">
        <f t="shared" si="6"/>
        <v>28500</v>
      </c>
      <c r="F76" s="13">
        <f t="shared" si="7"/>
        <v>31492.5</v>
      </c>
      <c r="G76" s="2"/>
      <c r="H76" s="2"/>
      <c r="I76" s="13">
        <v>14000</v>
      </c>
      <c r="J76" s="13">
        <f t="shared" si="8"/>
        <v>21000</v>
      </c>
      <c r="K76" s="13">
        <f t="shared" si="9"/>
        <v>10492.5</v>
      </c>
      <c r="L76" s="14">
        <f t="shared" si="10"/>
        <v>0.36815789473684213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10</v>
      </c>
      <c r="B77" s="10" t="s">
        <v>21</v>
      </c>
      <c r="C77" s="11" t="s">
        <v>46</v>
      </c>
      <c r="D77" s="13">
        <v>800</v>
      </c>
      <c r="E77" s="13">
        <f t="shared" si="6"/>
        <v>8000</v>
      </c>
      <c r="F77" s="13">
        <f t="shared" si="7"/>
        <v>8840</v>
      </c>
      <c r="G77" s="2"/>
      <c r="H77" s="2"/>
      <c r="I77" s="13">
        <f>14000/24</f>
        <v>583.33333333333337</v>
      </c>
      <c r="J77" s="13">
        <f t="shared" si="8"/>
        <v>5833.3333333333339</v>
      </c>
      <c r="K77" s="13">
        <f t="shared" si="9"/>
        <v>3006.6666666666661</v>
      </c>
      <c r="L77" s="14">
        <f t="shared" si="10"/>
        <v>0.37583333333333324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2.5</v>
      </c>
      <c r="B78" s="10" t="s">
        <v>17</v>
      </c>
      <c r="C78" s="11" t="s">
        <v>43</v>
      </c>
      <c r="D78" s="13">
        <v>4500</v>
      </c>
      <c r="E78" s="13">
        <f t="shared" si="6"/>
        <v>11250</v>
      </c>
      <c r="F78" s="13">
        <f t="shared" si="7"/>
        <v>12431.25</v>
      </c>
      <c r="G78" s="2"/>
      <c r="H78" s="2"/>
      <c r="I78" s="13">
        <f>15000/4</f>
        <v>3750</v>
      </c>
      <c r="J78" s="13">
        <f t="shared" si="8"/>
        <v>9375</v>
      </c>
      <c r="K78" s="13">
        <f t="shared" si="9"/>
        <v>3056.25</v>
      </c>
      <c r="L78" s="14">
        <f t="shared" si="10"/>
        <v>0.27166666666666667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0.5</v>
      </c>
      <c r="B79" s="10" t="s">
        <v>17</v>
      </c>
      <c r="C79" s="11" t="s">
        <v>89</v>
      </c>
      <c r="D79" s="13">
        <v>13500</v>
      </c>
      <c r="E79" s="13">
        <f t="shared" si="6"/>
        <v>6750</v>
      </c>
      <c r="F79" s="13">
        <f t="shared" si="7"/>
        <v>7458.75</v>
      </c>
      <c r="G79" s="2"/>
      <c r="H79" s="2"/>
      <c r="I79" s="13">
        <f>58000/5</f>
        <v>11600</v>
      </c>
      <c r="J79" s="13">
        <f t="shared" si="8"/>
        <v>5800</v>
      </c>
      <c r="K79" s="13">
        <f t="shared" si="9"/>
        <v>1658.75</v>
      </c>
      <c r="L79" s="14">
        <f t="shared" si="10"/>
        <v>0.24574074074074073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5"/>
      <c r="B80" s="2"/>
      <c r="C80" s="4"/>
      <c r="D80" s="2"/>
      <c r="E80" s="2"/>
      <c r="F80" s="2"/>
      <c r="G80" s="2"/>
      <c r="H80" s="2"/>
      <c r="I80" s="2"/>
      <c r="J80" s="2"/>
      <c r="K80" s="2"/>
      <c r="L80" s="3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"/>
      <c r="B81" s="2"/>
      <c r="C81" s="4"/>
      <c r="D81" s="2"/>
      <c r="E81" s="13">
        <f t="shared" ref="E81:F81" si="11">SUM(E47:E79)</f>
        <v>288520</v>
      </c>
      <c r="F81" s="13">
        <f t="shared" si="11"/>
        <v>318814.59999999998</v>
      </c>
      <c r="G81" s="2"/>
      <c r="H81" s="2"/>
      <c r="I81" s="2"/>
      <c r="J81" s="2"/>
      <c r="K81" s="13">
        <f>SUM(K47:K79)</f>
        <v>118547.18981707837</v>
      </c>
      <c r="L81" s="14">
        <f>K81/F81</f>
        <v>0.37183739332225807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"/>
      <c r="B82" s="2"/>
      <c r="C82" s="4"/>
      <c r="D82" s="2"/>
      <c r="E82" s="2"/>
      <c r="F82" s="2"/>
      <c r="G82" s="2"/>
      <c r="H82" s="2"/>
      <c r="I82" s="2"/>
      <c r="J82" s="2"/>
      <c r="K82" s="2"/>
      <c r="L82" s="3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"/>
      <c r="B83" s="2"/>
      <c r="C83" s="4"/>
      <c r="D83" s="2"/>
      <c r="E83" s="2"/>
      <c r="F83" s="2"/>
      <c r="G83" s="2"/>
      <c r="H83" s="2"/>
      <c r="I83" s="2"/>
      <c r="J83" s="2"/>
      <c r="K83" s="2"/>
      <c r="L83" s="3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"/>
      <c r="B84" s="2"/>
      <c r="C84" s="4"/>
      <c r="D84" s="2"/>
      <c r="E84" s="2"/>
      <c r="F84" s="2"/>
      <c r="G84" s="2"/>
      <c r="H84" s="2"/>
      <c r="I84" s="2"/>
      <c r="J84" s="2"/>
      <c r="K84" s="2"/>
      <c r="L84" s="3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"/>
      <c r="B85" s="1"/>
      <c r="C85" s="1"/>
      <c r="D85" s="2"/>
      <c r="E85" s="2"/>
      <c r="F85" s="5"/>
      <c r="G85" s="2"/>
      <c r="H85" s="2"/>
      <c r="I85" s="2"/>
      <c r="J85" s="2"/>
      <c r="K85" s="2"/>
      <c r="L85" s="3"/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88" t="s">
        <v>57</v>
      </c>
      <c r="B86" s="89"/>
      <c r="C86" s="89"/>
      <c r="D86" s="2"/>
      <c r="E86" s="7" t="s">
        <v>120</v>
      </c>
      <c r="F86" s="8">
        <v>46140</v>
      </c>
      <c r="G86" s="7" t="s">
        <v>106</v>
      </c>
      <c r="H86" s="2"/>
      <c r="I86" s="91" t="s">
        <v>2</v>
      </c>
      <c r="J86" s="89"/>
      <c r="K86" s="89"/>
      <c r="L86" s="3"/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"/>
      <c r="B87" s="2"/>
      <c r="C87" s="5"/>
      <c r="D87" s="2"/>
      <c r="E87" s="2"/>
      <c r="F87" s="2"/>
      <c r="G87" s="2"/>
      <c r="H87" s="2"/>
      <c r="I87" s="2"/>
      <c r="J87" s="2"/>
      <c r="K87" s="2"/>
      <c r="L87" s="3"/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6" t="s">
        <v>3</v>
      </c>
      <c r="B88" s="10" t="s">
        <v>4</v>
      </c>
      <c r="C88" s="11" t="s">
        <v>5</v>
      </c>
      <c r="D88" s="10" t="s">
        <v>6</v>
      </c>
      <c r="E88" s="10" t="s">
        <v>7</v>
      </c>
      <c r="F88" s="10" t="s">
        <v>8</v>
      </c>
      <c r="G88" s="2"/>
      <c r="H88" s="2"/>
      <c r="I88" s="10" t="s">
        <v>9</v>
      </c>
      <c r="J88" s="10" t="s">
        <v>7</v>
      </c>
      <c r="K88" s="10" t="s">
        <v>10</v>
      </c>
      <c r="L88" s="3"/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3</v>
      </c>
      <c r="B89" s="10" t="s">
        <v>17</v>
      </c>
      <c r="C89" s="11" t="s">
        <v>36</v>
      </c>
      <c r="D89" s="13">
        <v>1800</v>
      </c>
      <c r="E89" s="13">
        <f t="shared" ref="E89:E119" si="12">A89*D89</f>
        <v>5400</v>
      </c>
      <c r="F89" s="13">
        <f t="shared" ref="F89:F118" si="13">E89*1.105</f>
        <v>5967</v>
      </c>
      <c r="G89" s="2"/>
      <c r="H89" s="2"/>
      <c r="I89" s="13">
        <v>800</v>
      </c>
      <c r="J89" s="13">
        <f t="shared" ref="J89:J119" si="14">I89*A89</f>
        <v>2400</v>
      </c>
      <c r="K89" s="13">
        <f t="shared" ref="K89:K119" si="15">F89-J89</f>
        <v>3567</v>
      </c>
      <c r="L89" s="14">
        <f t="shared" ref="L89:L119" si="16">IFERROR(K89/E89, 0)</f>
        <v>0.66055555555555556</v>
      </c>
      <c r="M89" s="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1</v>
      </c>
      <c r="B90" s="10" t="s">
        <v>17</v>
      </c>
      <c r="C90" s="11" t="s">
        <v>38</v>
      </c>
      <c r="D90" s="13">
        <v>1800</v>
      </c>
      <c r="E90" s="13">
        <f t="shared" si="12"/>
        <v>1800</v>
      </c>
      <c r="F90" s="13">
        <f t="shared" si="13"/>
        <v>1989</v>
      </c>
      <c r="G90" s="2"/>
      <c r="H90" s="2"/>
      <c r="I90" s="13">
        <v>1250</v>
      </c>
      <c r="J90" s="13">
        <f t="shared" si="14"/>
        <v>1250</v>
      </c>
      <c r="K90" s="13">
        <f t="shared" si="15"/>
        <v>739</v>
      </c>
      <c r="L90" s="14">
        <f t="shared" si="16"/>
        <v>0.41055555555555556</v>
      </c>
      <c r="M90" s="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1</v>
      </c>
      <c r="B91" s="10" t="s">
        <v>4</v>
      </c>
      <c r="C91" s="11" t="s">
        <v>64</v>
      </c>
      <c r="D91" s="13">
        <v>2500</v>
      </c>
      <c r="E91" s="13">
        <f t="shared" si="12"/>
        <v>2500</v>
      </c>
      <c r="F91" s="13">
        <f t="shared" si="13"/>
        <v>2762.5</v>
      </c>
      <c r="G91" s="2"/>
      <c r="H91" s="2"/>
      <c r="I91" s="13">
        <v>1000</v>
      </c>
      <c r="J91" s="13">
        <f t="shared" si="14"/>
        <v>1000</v>
      </c>
      <c r="K91" s="13">
        <f t="shared" si="15"/>
        <v>1762.5</v>
      </c>
      <c r="L91" s="14">
        <f t="shared" si="16"/>
        <v>0.70499999999999996</v>
      </c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4</v>
      </c>
      <c r="B92" s="10" t="s">
        <v>17</v>
      </c>
      <c r="C92" s="11" t="s">
        <v>82</v>
      </c>
      <c r="D92" s="13">
        <v>2200</v>
      </c>
      <c r="E92" s="13">
        <f t="shared" si="12"/>
        <v>8800</v>
      </c>
      <c r="F92" s="13">
        <f t="shared" si="13"/>
        <v>9724</v>
      </c>
      <c r="G92" s="2"/>
      <c r="H92" s="2"/>
      <c r="I92" s="13">
        <f>16000/14</f>
        <v>1142.8571428571429</v>
      </c>
      <c r="J92" s="13">
        <f t="shared" si="14"/>
        <v>4571.4285714285716</v>
      </c>
      <c r="K92" s="13">
        <f t="shared" si="15"/>
        <v>5152.5714285714284</v>
      </c>
      <c r="L92" s="14">
        <f t="shared" si="16"/>
        <v>0.58551948051948055</v>
      </c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3</v>
      </c>
      <c r="B93" s="10" t="s">
        <v>4</v>
      </c>
      <c r="C93" s="11" t="s">
        <v>14</v>
      </c>
      <c r="D93" s="13">
        <v>3200</v>
      </c>
      <c r="E93" s="13">
        <f t="shared" si="12"/>
        <v>9600</v>
      </c>
      <c r="F93" s="13">
        <f t="shared" si="13"/>
        <v>10608</v>
      </c>
      <c r="G93" s="2"/>
      <c r="H93" s="2"/>
      <c r="I93" s="13">
        <f>20000/8</f>
        <v>2500</v>
      </c>
      <c r="J93" s="13">
        <f t="shared" si="14"/>
        <v>7500</v>
      </c>
      <c r="K93" s="13">
        <f t="shared" si="15"/>
        <v>3108</v>
      </c>
      <c r="L93" s="14">
        <f t="shared" si="16"/>
        <v>0.32374999999999998</v>
      </c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1.5</v>
      </c>
      <c r="B94" s="10" t="s">
        <v>17</v>
      </c>
      <c r="C94" s="11" t="s">
        <v>35</v>
      </c>
      <c r="D94" s="13">
        <v>2500</v>
      </c>
      <c r="E94" s="13">
        <f t="shared" si="12"/>
        <v>3750</v>
      </c>
      <c r="F94" s="13">
        <f t="shared" si="13"/>
        <v>4143.75</v>
      </c>
      <c r="G94" s="2"/>
      <c r="H94" s="2"/>
      <c r="I94" s="13">
        <f>14000/9</f>
        <v>1555.5555555555557</v>
      </c>
      <c r="J94" s="13">
        <f t="shared" si="14"/>
        <v>2333.3333333333335</v>
      </c>
      <c r="K94" s="13">
        <f t="shared" si="15"/>
        <v>1810.4166666666665</v>
      </c>
      <c r="L94" s="14">
        <f t="shared" si="16"/>
        <v>0.48277777777777775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4</v>
      </c>
      <c r="B95" s="10" t="s">
        <v>4</v>
      </c>
      <c r="C95" s="11" t="s">
        <v>65</v>
      </c>
      <c r="D95" s="13">
        <v>1800</v>
      </c>
      <c r="E95" s="13">
        <f t="shared" si="12"/>
        <v>7200</v>
      </c>
      <c r="F95" s="13">
        <f t="shared" si="13"/>
        <v>7956</v>
      </c>
      <c r="G95" s="2"/>
      <c r="H95" s="2"/>
      <c r="I95" s="13">
        <f>70000/60</f>
        <v>1166.6666666666667</v>
      </c>
      <c r="J95" s="13">
        <f t="shared" si="14"/>
        <v>4666.666666666667</v>
      </c>
      <c r="K95" s="13">
        <f t="shared" si="15"/>
        <v>3289.333333333333</v>
      </c>
      <c r="L95" s="14">
        <f t="shared" si="16"/>
        <v>0.45685185185185179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0.5</v>
      </c>
      <c r="B96" s="10" t="s">
        <v>17</v>
      </c>
      <c r="C96" s="11" t="s">
        <v>93</v>
      </c>
      <c r="D96" s="13">
        <v>3000</v>
      </c>
      <c r="E96" s="13">
        <f t="shared" si="12"/>
        <v>1500</v>
      </c>
      <c r="F96" s="13">
        <f t="shared" si="13"/>
        <v>1657.5</v>
      </c>
      <c r="G96" s="2"/>
      <c r="H96" s="2"/>
      <c r="I96" s="13">
        <f>10000/7</f>
        <v>1428.5714285714287</v>
      </c>
      <c r="J96" s="13">
        <f t="shared" si="14"/>
        <v>714.28571428571433</v>
      </c>
      <c r="K96" s="13">
        <f t="shared" si="15"/>
        <v>943.21428571428567</v>
      </c>
      <c r="L96" s="14">
        <f t="shared" si="16"/>
        <v>0.62880952380952382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1</v>
      </c>
      <c r="B97" s="10" t="s">
        <v>15</v>
      </c>
      <c r="C97" s="11" t="s">
        <v>16</v>
      </c>
      <c r="D97" s="13">
        <v>13000</v>
      </c>
      <c r="E97" s="13">
        <f t="shared" si="12"/>
        <v>13000</v>
      </c>
      <c r="F97" s="13">
        <f t="shared" si="13"/>
        <v>14365</v>
      </c>
      <c r="G97" s="2"/>
      <c r="H97" s="2"/>
      <c r="I97" s="13">
        <v>8000</v>
      </c>
      <c r="J97" s="13">
        <f t="shared" si="14"/>
        <v>8000</v>
      </c>
      <c r="K97" s="13">
        <f t="shared" si="15"/>
        <v>6365</v>
      </c>
      <c r="L97" s="14">
        <f t="shared" si="16"/>
        <v>0.48961538461538462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17</v>
      </c>
      <c r="C98" s="11" t="s">
        <v>99</v>
      </c>
      <c r="D98" s="13">
        <v>1500</v>
      </c>
      <c r="E98" s="13">
        <f t="shared" si="12"/>
        <v>3000</v>
      </c>
      <c r="F98" s="13">
        <f t="shared" si="13"/>
        <v>3315</v>
      </c>
      <c r="G98" s="2"/>
      <c r="H98" s="2"/>
      <c r="I98" s="13">
        <f>8000/7</f>
        <v>1142.8571428571429</v>
      </c>
      <c r="J98" s="13">
        <f t="shared" si="14"/>
        <v>2285.7142857142858</v>
      </c>
      <c r="K98" s="13">
        <f t="shared" si="15"/>
        <v>1029.2857142857142</v>
      </c>
      <c r="L98" s="14">
        <f t="shared" si="16"/>
        <v>0.34309523809523806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0.4</v>
      </c>
      <c r="B99" s="10" t="s">
        <v>17</v>
      </c>
      <c r="C99" s="11" t="s">
        <v>88</v>
      </c>
      <c r="D99" s="13">
        <v>1400</v>
      </c>
      <c r="E99" s="13">
        <f t="shared" si="12"/>
        <v>560</v>
      </c>
      <c r="F99" s="13">
        <f t="shared" si="13"/>
        <v>618.79999999999995</v>
      </c>
      <c r="G99" s="2"/>
      <c r="H99" s="2"/>
      <c r="I99" s="13">
        <f>1000</f>
        <v>1000</v>
      </c>
      <c r="J99" s="13">
        <f t="shared" si="14"/>
        <v>400</v>
      </c>
      <c r="K99" s="13">
        <f t="shared" si="15"/>
        <v>218.79999999999995</v>
      </c>
      <c r="L99" s="14">
        <f t="shared" si="16"/>
        <v>0.39071428571428563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3</v>
      </c>
      <c r="B100" s="10" t="s">
        <v>17</v>
      </c>
      <c r="C100" s="11" t="s">
        <v>43</v>
      </c>
      <c r="D100" s="13">
        <v>4500</v>
      </c>
      <c r="E100" s="13">
        <f t="shared" si="12"/>
        <v>13500</v>
      </c>
      <c r="F100" s="13">
        <f t="shared" si="13"/>
        <v>14917.5</v>
      </c>
      <c r="G100" s="2"/>
      <c r="H100" s="2"/>
      <c r="I100" s="13">
        <f>15000/4</f>
        <v>3750</v>
      </c>
      <c r="J100" s="13">
        <f t="shared" si="14"/>
        <v>11250</v>
      </c>
      <c r="K100" s="13">
        <f t="shared" si="15"/>
        <v>3667.5</v>
      </c>
      <c r="L100" s="14">
        <f t="shared" si="16"/>
        <v>0.27166666666666667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15</v>
      </c>
      <c r="B101" s="10" t="s">
        <v>21</v>
      </c>
      <c r="C101" s="11" t="s">
        <v>46</v>
      </c>
      <c r="D101" s="13">
        <v>800</v>
      </c>
      <c r="E101" s="13">
        <f t="shared" si="12"/>
        <v>12000</v>
      </c>
      <c r="F101" s="13">
        <f t="shared" si="13"/>
        <v>13260</v>
      </c>
      <c r="G101" s="2"/>
      <c r="H101" s="2"/>
      <c r="I101" s="13">
        <f>14000/24</f>
        <v>583.33333333333337</v>
      </c>
      <c r="J101" s="13">
        <f t="shared" si="14"/>
        <v>8750</v>
      </c>
      <c r="K101" s="13">
        <f t="shared" si="15"/>
        <v>4510</v>
      </c>
      <c r="L101" s="14">
        <f t="shared" si="16"/>
        <v>0.37583333333333335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14</v>
      </c>
      <c r="B102" s="10" t="s">
        <v>17</v>
      </c>
      <c r="C102" s="11" t="s">
        <v>39</v>
      </c>
      <c r="D102" s="13">
        <v>1800</v>
      </c>
      <c r="E102" s="13">
        <f t="shared" si="12"/>
        <v>25200</v>
      </c>
      <c r="F102" s="13">
        <f t="shared" si="13"/>
        <v>27846</v>
      </c>
      <c r="G102" s="2"/>
      <c r="H102" s="2"/>
      <c r="I102" s="13">
        <f>17600/15</f>
        <v>1173.3333333333333</v>
      </c>
      <c r="J102" s="13">
        <f t="shared" si="14"/>
        <v>16426.666666666664</v>
      </c>
      <c r="K102" s="13">
        <f t="shared" si="15"/>
        <v>11419.333333333336</v>
      </c>
      <c r="L102" s="14">
        <f t="shared" si="16"/>
        <v>0.45314814814814824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1</v>
      </c>
      <c r="B103" s="10" t="s">
        <v>15</v>
      </c>
      <c r="C103" s="11" t="s">
        <v>40</v>
      </c>
      <c r="D103" s="13">
        <v>12000</v>
      </c>
      <c r="E103" s="13">
        <f t="shared" si="12"/>
        <v>12000</v>
      </c>
      <c r="F103" s="13">
        <f t="shared" si="13"/>
        <v>13260</v>
      </c>
      <c r="G103" s="2"/>
      <c r="H103" s="2"/>
      <c r="I103" s="13">
        <v>8000</v>
      </c>
      <c r="J103" s="13">
        <f t="shared" si="14"/>
        <v>8000</v>
      </c>
      <c r="K103" s="13">
        <f t="shared" si="15"/>
        <v>5260</v>
      </c>
      <c r="L103" s="14">
        <f t="shared" si="16"/>
        <v>0.43833333333333335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1</v>
      </c>
      <c r="B104" s="10" t="s">
        <v>17</v>
      </c>
      <c r="C104" s="11" t="s">
        <v>61</v>
      </c>
      <c r="D104" s="13">
        <v>2800</v>
      </c>
      <c r="E104" s="13">
        <f t="shared" si="12"/>
        <v>2800</v>
      </c>
      <c r="F104" s="13">
        <f t="shared" si="13"/>
        <v>3094</v>
      </c>
      <c r="G104" s="2"/>
      <c r="H104" s="2"/>
      <c r="I104" s="13">
        <f>24000/14</f>
        <v>1714.2857142857142</v>
      </c>
      <c r="J104" s="13">
        <f t="shared" si="14"/>
        <v>1714.2857142857142</v>
      </c>
      <c r="K104" s="13">
        <f t="shared" si="15"/>
        <v>1379.7142857142858</v>
      </c>
      <c r="L104" s="14">
        <f t="shared" si="16"/>
        <v>0.49275510204081635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7</v>
      </c>
      <c r="B105" s="10" t="s">
        <v>17</v>
      </c>
      <c r="C105" s="11" t="s">
        <v>129</v>
      </c>
      <c r="D105" s="13">
        <v>1600</v>
      </c>
      <c r="E105" s="13">
        <f t="shared" si="12"/>
        <v>11200</v>
      </c>
      <c r="F105" s="13">
        <f t="shared" si="13"/>
        <v>12376</v>
      </c>
      <c r="G105" s="2"/>
      <c r="H105" s="2"/>
      <c r="I105" s="13">
        <f>13000/11</f>
        <v>1181.8181818181818</v>
      </c>
      <c r="J105" s="13">
        <f t="shared" si="14"/>
        <v>8272.7272727272721</v>
      </c>
      <c r="K105" s="13">
        <f t="shared" si="15"/>
        <v>4103.2727272727279</v>
      </c>
      <c r="L105" s="14">
        <f t="shared" si="16"/>
        <v>0.36636363636363645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3</v>
      </c>
      <c r="B106" s="10" t="s">
        <v>15</v>
      </c>
      <c r="C106" s="11" t="s">
        <v>27</v>
      </c>
      <c r="D106" s="13">
        <v>25000</v>
      </c>
      <c r="E106" s="13">
        <f t="shared" si="12"/>
        <v>75000</v>
      </c>
      <c r="F106" s="13">
        <f t="shared" si="13"/>
        <v>82875</v>
      </c>
      <c r="G106" s="2"/>
      <c r="H106" s="2"/>
      <c r="I106" s="13">
        <v>18000</v>
      </c>
      <c r="J106" s="13">
        <f t="shared" si="14"/>
        <v>54000</v>
      </c>
      <c r="K106" s="13">
        <f t="shared" si="15"/>
        <v>28875</v>
      </c>
      <c r="L106" s="14">
        <f t="shared" si="16"/>
        <v>0.38500000000000001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1</v>
      </c>
      <c r="B107" s="10" t="s">
        <v>21</v>
      </c>
      <c r="C107" s="11" t="s">
        <v>29</v>
      </c>
      <c r="D107" s="13">
        <v>3000</v>
      </c>
      <c r="E107" s="13">
        <f t="shared" si="12"/>
        <v>3000</v>
      </c>
      <c r="F107" s="13">
        <f t="shared" si="13"/>
        <v>3315</v>
      </c>
      <c r="G107" s="2"/>
      <c r="H107" s="2"/>
      <c r="I107" s="13">
        <v>1333.33</v>
      </c>
      <c r="J107" s="13">
        <f t="shared" si="14"/>
        <v>1333.33</v>
      </c>
      <c r="K107" s="13">
        <f t="shared" si="15"/>
        <v>1981.67</v>
      </c>
      <c r="L107" s="14">
        <f t="shared" si="16"/>
        <v>0.66055666666666668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1</v>
      </c>
      <c r="B108" s="10" t="s">
        <v>21</v>
      </c>
      <c r="C108" s="11" t="s">
        <v>28</v>
      </c>
      <c r="D108" s="13">
        <v>3500</v>
      </c>
      <c r="E108" s="13">
        <f t="shared" si="12"/>
        <v>3500</v>
      </c>
      <c r="F108" s="13">
        <f t="shared" si="13"/>
        <v>3867.5</v>
      </c>
      <c r="G108" s="2"/>
      <c r="H108" s="2"/>
      <c r="I108" s="13">
        <v>2500</v>
      </c>
      <c r="J108" s="13">
        <f t="shared" si="14"/>
        <v>2500</v>
      </c>
      <c r="K108" s="13">
        <f t="shared" si="15"/>
        <v>1367.5</v>
      </c>
      <c r="L108" s="14">
        <f t="shared" si="16"/>
        <v>0.39071428571428574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1</v>
      </c>
      <c r="B109" s="10" t="s">
        <v>21</v>
      </c>
      <c r="C109" s="11" t="s">
        <v>133</v>
      </c>
      <c r="D109" s="13">
        <v>3000</v>
      </c>
      <c r="E109" s="13">
        <f t="shared" si="12"/>
        <v>3000</v>
      </c>
      <c r="F109" s="13">
        <f t="shared" si="13"/>
        <v>3315</v>
      </c>
      <c r="G109" s="2"/>
      <c r="H109" s="2"/>
      <c r="I109" s="13">
        <v>2000</v>
      </c>
      <c r="J109" s="13">
        <f t="shared" si="14"/>
        <v>2000</v>
      </c>
      <c r="K109" s="13">
        <f t="shared" si="15"/>
        <v>1315</v>
      </c>
      <c r="L109" s="14">
        <f t="shared" si="16"/>
        <v>0.43833333333333335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1</v>
      </c>
      <c r="B110" s="10" t="s">
        <v>17</v>
      </c>
      <c r="C110" s="11" t="s">
        <v>18</v>
      </c>
      <c r="D110" s="13">
        <v>1600</v>
      </c>
      <c r="E110" s="13">
        <f t="shared" si="12"/>
        <v>1600</v>
      </c>
      <c r="F110" s="13">
        <f t="shared" si="13"/>
        <v>1768</v>
      </c>
      <c r="G110" s="2"/>
      <c r="H110" s="2"/>
      <c r="I110" s="13">
        <f>15000/14</f>
        <v>1071.4285714285713</v>
      </c>
      <c r="J110" s="13">
        <f t="shared" si="14"/>
        <v>1071.4285714285713</v>
      </c>
      <c r="K110" s="13">
        <f t="shared" si="15"/>
        <v>696.57142857142867</v>
      </c>
      <c r="L110" s="14">
        <f t="shared" si="16"/>
        <v>0.43535714285714294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1</v>
      </c>
      <c r="B111" s="10" t="s">
        <v>17</v>
      </c>
      <c r="C111" s="11" t="s">
        <v>56</v>
      </c>
      <c r="D111" s="13">
        <v>1200</v>
      </c>
      <c r="E111" s="13">
        <f t="shared" si="12"/>
        <v>1200</v>
      </c>
      <c r="F111" s="13">
        <f t="shared" si="13"/>
        <v>1326</v>
      </c>
      <c r="G111" s="2"/>
      <c r="H111" s="2"/>
      <c r="I111" s="13">
        <f>10000/15</f>
        <v>666.66666666666663</v>
      </c>
      <c r="J111" s="13">
        <f t="shared" si="14"/>
        <v>666.66666666666663</v>
      </c>
      <c r="K111" s="13">
        <f t="shared" si="15"/>
        <v>659.33333333333337</v>
      </c>
      <c r="L111" s="14">
        <f t="shared" si="16"/>
        <v>0.54944444444444451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1</v>
      </c>
      <c r="B112" s="10" t="s">
        <v>21</v>
      </c>
      <c r="C112" s="11" t="s">
        <v>52</v>
      </c>
      <c r="D112" s="13">
        <v>2000</v>
      </c>
      <c r="E112" s="13">
        <f t="shared" si="12"/>
        <v>2000</v>
      </c>
      <c r="F112" s="13">
        <f t="shared" si="13"/>
        <v>2210</v>
      </c>
      <c r="G112" s="2"/>
      <c r="H112" s="2"/>
      <c r="I112" s="13">
        <v>1000</v>
      </c>
      <c r="J112" s="13">
        <f t="shared" si="14"/>
        <v>1000</v>
      </c>
      <c r="K112" s="13">
        <f t="shared" si="15"/>
        <v>1210</v>
      </c>
      <c r="L112" s="14">
        <f t="shared" si="16"/>
        <v>0.60499999999999998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0.2</v>
      </c>
      <c r="B113" s="10" t="s">
        <v>17</v>
      </c>
      <c r="C113" s="11" t="s">
        <v>34</v>
      </c>
      <c r="D113" s="13">
        <v>4000</v>
      </c>
      <c r="E113" s="13">
        <f t="shared" si="12"/>
        <v>800</v>
      </c>
      <c r="F113" s="13">
        <f t="shared" si="13"/>
        <v>884</v>
      </c>
      <c r="G113" s="2"/>
      <c r="H113" s="2"/>
      <c r="I113" s="13">
        <v>2000</v>
      </c>
      <c r="J113" s="13">
        <f t="shared" si="14"/>
        <v>400</v>
      </c>
      <c r="K113" s="13">
        <f t="shared" si="15"/>
        <v>484</v>
      </c>
      <c r="L113" s="14">
        <f t="shared" si="16"/>
        <v>0.60499999999999998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0.5</v>
      </c>
      <c r="B114" s="10" t="s">
        <v>17</v>
      </c>
      <c r="C114" s="11" t="s">
        <v>89</v>
      </c>
      <c r="D114" s="13">
        <v>13500</v>
      </c>
      <c r="E114" s="13">
        <f t="shared" si="12"/>
        <v>6750</v>
      </c>
      <c r="F114" s="13">
        <f t="shared" si="13"/>
        <v>7458.75</v>
      </c>
      <c r="G114" s="2"/>
      <c r="H114" s="2"/>
      <c r="I114" s="13">
        <f>58000/5</f>
        <v>11600</v>
      </c>
      <c r="J114" s="13">
        <f t="shared" si="14"/>
        <v>5800</v>
      </c>
      <c r="K114" s="13">
        <f t="shared" si="15"/>
        <v>1658.75</v>
      </c>
      <c r="L114" s="14">
        <f t="shared" si="16"/>
        <v>0.24574074074074073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1</v>
      </c>
      <c r="B115" s="10" t="s">
        <v>23</v>
      </c>
      <c r="C115" s="11" t="s">
        <v>25</v>
      </c>
      <c r="D115" s="13">
        <v>72000</v>
      </c>
      <c r="E115" s="13">
        <f t="shared" si="12"/>
        <v>72000</v>
      </c>
      <c r="F115" s="13">
        <f t="shared" si="13"/>
        <v>79560</v>
      </c>
      <c r="G115" s="2"/>
      <c r="H115" s="2"/>
      <c r="I115" s="13">
        <v>47000</v>
      </c>
      <c r="J115" s="13">
        <f t="shared" si="14"/>
        <v>47000</v>
      </c>
      <c r="K115" s="13">
        <f t="shared" si="15"/>
        <v>32560</v>
      </c>
      <c r="L115" s="14">
        <f t="shared" si="16"/>
        <v>0.45222222222222225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10</v>
      </c>
      <c r="B116" s="10" t="s">
        <v>17</v>
      </c>
      <c r="C116" s="11" t="s">
        <v>24</v>
      </c>
      <c r="D116" s="13">
        <v>3600</v>
      </c>
      <c r="E116" s="13">
        <f t="shared" si="12"/>
        <v>36000</v>
      </c>
      <c r="F116" s="13">
        <f t="shared" si="13"/>
        <v>39780</v>
      </c>
      <c r="G116" s="2"/>
      <c r="H116" s="2"/>
      <c r="I116" s="13">
        <f>50000/17</f>
        <v>2941.1764705882351</v>
      </c>
      <c r="J116" s="13">
        <f t="shared" si="14"/>
        <v>29411.76470588235</v>
      </c>
      <c r="K116" s="13">
        <f t="shared" si="15"/>
        <v>10368.23529411765</v>
      </c>
      <c r="L116" s="14">
        <f t="shared" si="16"/>
        <v>0.28800653594771253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2</v>
      </c>
      <c r="B117" s="10" t="s">
        <v>23</v>
      </c>
      <c r="C117" s="11" t="s">
        <v>26</v>
      </c>
      <c r="D117" s="13">
        <v>19000</v>
      </c>
      <c r="E117" s="13">
        <f t="shared" si="12"/>
        <v>38000</v>
      </c>
      <c r="F117" s="13">
        <f t="shared" si="13"/>
        <v>41990</v>
      </c>
      <c r="G117" s="2"/>
      <c r="H117" s="2"/>
      <c r="I117" s="13">
        <v>14000</v>
      </c>
      <c r="J117" s="13">
        <f t="shared" si="14"/>
        <v>28000</v>
      </c>
      <c r="K117" s="13">
        <f t="shared" si="15"/>
        <v>13990</v>
      </c>
      <c r="L117" s="14">
        <f t="shared" si="16"/>
        <v>0.36815789473684213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4</v>
      </c>
      <c r="B118" s="10" t="s">
        <v>17</v>
      </c>
      <c r="C118" s="11" t="s">
        <v>62</v>
      </c>
      <c r="D118" s="13">
        <v>2800</v>
      </c>
      <c r="E118" s="13">
        <f t="shared" si="12"/>
        <v>11200</v>
      </c>
      <c r="F118" s="13">
        <f t="shared" si="13"/>
        <v>12376</v>
      </c>
      <c r="G118" s="2"/>
      <c r="H118" s="2"/>
      <c r="I118" s="13">
        <f>27000/17</f>
        <v>1588.2352941176471</v>
      </c>
      <c r="J118" s="13">
        <f t="shared" si="14"/>
        <v>6352.9411764705883</v>
      </c>
      <c r="K118" s="13">
        <f t="shared" si="15"/>
        <v>6023.0588235294117</v>
      </c>
      <c r="L118" s="14">
        <f t="shared" si="16"/>
        <v>0.53777310924369748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0.5</v>
      </c>
      <c r="B119" s="10" t="s">
        <v>23</v>
      </c>
      <c r="C119" s="11" t="s">
        <v>85</v>
      </c>
      <c r="D119" s="13">
        <v>54000</v>
      </c>
      <c r="E119" s="13">
        <f t="shared" si="12"/>
        <v>27000</v>
      </c>
      <c r="F119" s="13">
        <f>E119*1.21</f>
        <v>32670</v>
      </c>
      <c r="G119" s="2"/>
      <c r="H119" s="2"/>
      <c r="I119" s="13">
        <v>54000</v>
      </c>
      <c r="J119" s="13">
        <f t="shared" si="14"/>
        <v>27000</v>
      </c>
      <c r="K119" s="13">
        <f t="shared" si="15"/>
        <v>5670</v>
      </c>
      <c r="L119" s="14">
        <f t="shared" si="16"/>
        <v>0.21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5"/>
      <c r="B120" s="2"/>
      <c r="C120" s="4"/>
      <c r="D120" s="2"/>
      <c r="E120" s="2"/>
      <c r="F120" s="2"/>
      <c r="G120" s="2"/>
      <c r="H120" s="2"/>
      <c r="I120" s="2"/>
      <c r="J120" s="2"/>
      <c r="K120" s="2"/>
      <c r="L120" s="3"/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"/>
      <c r="B121" s="2"/>
      <c r="C121" s="4"/>
      <c r="D121" s="2"/>
      <c r="E121" s="13">
        <f t="shared" ref="E121:F121" si="17">SUM(E89:E119)</f>
        <v>414860</v>
      </c>
      <c r="F121" s="13">
        <f t="shared" si="17"/>
        <v>461255.3</v>
      </c>
      <c r="G121" s="2"/>
      <c r="H121" s="2"/>
      <c r="I121" s="2"/>
      <c r="J121" s="2"/>
      <c r="K121" s="13">
        <f>SUM(K89:K119)</f>
        <v>165184.06065444357</v>
      </c>
      <c r="L121" s="14">
        <f>K121/F121</f>
        <v>0.35811850975900672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88" t="s">
        <v>63</v>
      </c>
      <c r="B126" s="89"/>
      <c r="C126" s="89"/>
      <c r="D126" s="2"/>
      <c r="E126" s="7" t="s">
        <v>150</v>
      </c>
      <c r="F126" s="8">
        <v>46140</v>
      </c>
      <c r="G126" s="7" t="s">
        <v>106</v>
      </c>
      <c r="H126" s="2"/>
      <c r="I126" s="91" t="s">
        <v>2</v>
      </c>
      <c r="J126" s="89"/>
      <c r="K126" s="89"/>
      <c r="L126" s="3"/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3"/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6" t="s">
        <v>3</v>
      </c>
      <c r="B128" s="10" t="s">
        <v>4</v>
      </c>
      <c r="C128" s="11" t="s">
        <v>5</v>
      </c>
      <c r="D128" s="10" t="s">
        <v>6</v>
      </c>
      <c r="E128" s="10" t="s">
        <v>7</v>
      </c>
      <c r="F128" s="10" t="s">
        <v>8</v>
      </c>
      <c r="G128" s="2"/>
      <c r="H128" s="2"/>
      <c r="I128" s="10" t="s">
        <v>9</v>
      </c>
      <c r="J128" s="10" t="s">
        <v>7</v>
      </c>
      <c r="K128" s="10" t="s">
        <v>10</v>
      </c>
      <c r="L128" s="3"/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3</v>
      </c>
      <c r="B129" s="10" t="s">
        <v>4</v>
      </c>
      <c r="C129" s="11" t="s">
        <v>13</v>
      </c>
      <c r="D129" s="13">
        <v>900</v>
      </c>
      <c r="E129" s="13">
        <f t="shared" ref="E129:E160" si="18">A129*D129</f>
        <v>2700</v>
      </c>
      <c r="F129" s="13">
        <f t="shared" ref="F129:F159" si="19">E129*1.105</f>
        <v>2983.5</v>
      </c>
      <c r="G129" s="2"/>
      <c r="H129" s="2"/>
      <c r="I129" s="13">
        <v>540</v>
      </c>
      <c r="J129" s="13">
        <f t="shared" ref="J129:J160" si="20">I129*A129</f>
        <v>1620</v>
      </c>
      <c r="K129" s="13">
        <f t="shared" ref="K129:K160" si="21">F129-J129</f>
        <v>1363.5</v>
      </c>
      <c r="L129" s="14">
        <f t="shared" ref="L129:L160" si="22">IFERROR(K129/E129, 0)</f>
        <v>0.505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1</v>
      </c>
      <c r="B130" s="10" t="s">
        <v>21</v>
      </c>
      <c r="C130" s="11" t="s">
        <v>51</v>
      </c>
      <c r="D130" s="13">
        <v>1000</v>
      </c>
      <c r="E130" s="13">
        <f t="shared" si="18"/>
        <v>1000</v>
      </c>
      <c r="F130" s="13">
        <f t="shared" si="19"/>
        <v>1105</v>
      </c>
      <c r="G130" s="2"/>
      <c r="H130" s="2"/>
      <c r="I130" s="13"/>
      <c r="J130" s="13">
        <f t="shared" si="20"/>
        <v>0</v>
      </c>
      <c r="K130" s="13">
        <f t="shared" si="21"/>
        <v>1105</v>
      </c>
      <c r="L130" s="14">
        <f t="shared" si="22"/>
        <v>1.105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1</v>
      </c>
      <c r="B131" s="10" t="s">
        <v>4</v>
      </c>
      <c r="C131" s="11" t="s">
        <v>64</v>
      </c>
      <c r="D131" s="13">
        <v>2500</v>
      </c>
      <c r="E131" s="13">
        <f t="shared" si="18"/>
        <v>2500</v>
      </c>
      <c r="F131" s="13">
        <f t="shared" si="19"/>
        <v>2762.5</v>
      </c>
      <c r="G131" s="2"/>
      <c r="H131" s="2"/>
      <c r="I131" s="13">
        <v>1000</v>
      </c>
      <c r="J131" s="13">
        <f t="shared" si="20"/>
        <v>1000</v>
      </c>
      <c r="K131" s="13">
        <f t="shared" si="21"/>
        <v>1762.5</v>
      </c>
      <c r="L131" s="14">
        <f t="shared" si="22"/>
        <v>0.70499999999999996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3.5</v>
      </c>
      <c r="B132" s="10" t="s">
        <v>17</v>
      </c>
      <c r="C132" s="11" t="s">
        <v>62</v>
      </c>
      <c r="D132" s="13">
        <v>2800</v>
      </c>
      <c r="E132" s="13">
        <f t="shared" si="18"/>
        <v>9800</v>
      </c>
      <c r="F132" s="13">
        <f t="shared" si="19"/>
        <v>10829</v>
      </c>
      <c r="G132" s="2"/>
      <c r="H132" s="2"/>
      <c r="I132" s="13">
        <f>27000/17</f>
        <v>1588.2352941176471</v>
      </c>
      <c r="J132" s="13">
        <f t="shared" si="20"/>
        <v>5558.8235294117649</v>
      </c>
      <c r="K132" s="13">
        <f t="shared" si="21"/>
        <v>5270.1764705882351</v>
      </c>
      <c r="L132" s="14">
        <f t="shared" si="22"/>
        <v>0.53777310924369748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2">
        <v>0.5</v>
      </c>
      <c r="B133" s="10" t="s">
        <v>15</v>
      </c>
      <c r="C133" s="11" t="s">
        <v>129</v>
      </c>
      <c r="D133" s="13">
        <v>1600</v>
      </c>
      <c r="E133" s="13">
        <f t="shared" si="18"/>
        <v>800</v>
      </c>
      <c r="F133" s="13">
        <f t="shared" si="19"/>
        <v>884</v>
      </c>
      <c r="G133" s="2"/>
      <c r="H133" s="2"/>
      <c r="I133" s="13">
        <f>13000/11</f>
        <v>1181.8181818181818</v>
      </c>
      <c r="J133" s="13">
        <f t="shared" si="20"/>
        <v>590.90909090909088</v>
      </c>
      <c r="K133" s="13">
        <f t="shared" si="21"/>
        <v>293.09090909090912</v>
      </c>
      <c r="L133" s="14">
        <f t="shared" si="22"/>
        <v>0.36636363636363639</v>
      </c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2">
        <v>1</v>
      </c>
      <c r="B134" s="10" t="s">
        <v>15</v>
      </c>
      <c r="C134" s="11" t="s">
        <v>16</v>
      </c>
      <c r="D134" s="13">
        <v>13000</v>
      </c>
      <c r="E134" s="13">
        <f t="shared" si="18"/>
        <v>13000</v>
      </c>
      <c r="F134" s="13">
        <f t="shared" si="19"/>
        <v>14365</v>
      </c>
      <c r="G134" s="2"/>
      <c r="H134" s="2"/>
      <c r="I134" s="13">
        <v>8000</v>
      </c>
      <c r="J134" s="13">
        <f t="shared" si="20"/>
        <v>8000</v>
      </c>
      <c r="K134" s="13">
        <f t="shared" si="21"/>
        <v>6365</v>
      </c>
      <c r="L134" s="14">
        <f t="shared" si="22"/>
        <v>0.48961538461538462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2">
        <v>1</v>
      </c>
      <c r="B135" s="10" t="s">
        <v>4</v>
      </c>
      <c r="C135" s="11" t="s">
        <v>14</v>
      </c>
      <c r="D135" s="13">
        <v>3200</v>
      </c>
      <c r="E135" s="13">
        <f t="shared" si="18"/>
        <v>3200</v>
      </c>
      <c r="F135" s="13">
        <f t="shared" si="19"/>
        <v>3536</v>
      </c>
      <c r="G135" s="2"/>
      <c r="H135" s="2"/>
      <c r="I135" s="13">
        <f>20000/8</f>
        <v>2500</v>
      </c>
      <c r="J135" s="13">
        <f t="shared" si="20"/>
        <v>2500</v>
      </c>
      <c r="K135" s="13">
        <f t="shared" si="21"/>
        <v>1036</v>
      </c>
      <c r="L135" s="14">
        <f t="shared" si="22"/>
        <v>0.32374999999999998</v>
      </c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2">
        <v>5</v>
      </c>
      <c r="B136" s="10" t="s">
        <v>17</v>
      </c>
      <c r="C136" s="11" t="s">
        <v>18</v>
      </c>
      <c r="D136" s="13">
        <v>1600</v>
      </c>
      <c r="E136" s="13">
        <f t="shared" si="18"/>
        <v>8000</v>
      </c>
      <c r="F136" s="13">
        <f t="shared" si="19"/>
        <v>8840</v>
      </c>
      <c r="G136" s="2"/>
      <c r="H136" s="2"/>
      <c r="I136" s="13">
        <f>15000/14</f>
        <v>1071.4285714285713</v>
      </c>
      <c r="J136" s="13">
        <f t="shared" si="20"/>
        <v>5357.1428571428569</v>
      </c>
      <c r="K136" s="13">
        <f t="shared" si="21"/>
        <v>3482.8571428571431</v>
      </c>
      <c r="L136" s="14">
        <f t="shared" si="22"/>
        <v>0.43535714285714289</v>
      </c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2">
        <v>4</v>
      </c>
      <c r="B137" s="10" t="s">
        <v>17</v>
      </c>
      <c r="C137" s="11" t="s">
        <v>56</v>
      </c>
      <c r="D137" s="13">
        <v>1200</v>
      </c>
      <c r="E137" s="13">
        <f t="shared" si="18"/>
        <v>4800</v>
      </c>
      <c r="F137" s="13">
        <f t="shared" si="19"/>
        <v>5304</v>
      </c>
      <c r="G137" s="2"/>
      <c r="H137" s="2"/>
      <c r="I137" s="13">
        <f>10000/15</f>
        <v>666.66666666666663</v>
      </c>
      <c r="J137" s="13">
        <f t="shared" si="20"/>
        <v>2666.6666666666665</v>
      </c>
      <c r="K137" s="13">
        <f t="shared" si="21"/>
        <v>2637.3333333333335</v>
      </c>
      <c r="L137" s="14">
        <f t="shared" si="22"/>
        <v>0.54944444444444451</v>
      </c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2">
        <v>0.5</v>
      </c>
      <c r="B138" s="10" t="s">
        <v>21</v>
      </c>
      <c r="C138" s="11" t="s">
        <v>42</v>
      </c>
      <c r="D138" s="13">
        <v>4500</v>
      </c>
      <c r="E138" s="13">
        <f t="shared" si="18"/>
        <v>2250</v>
      </c>
      <c r="F138" s="13">
        <f t="shared" si="19"/>
        <v>2486.25</v>
      </c>
      <c r="G138" s="2"/>
      <c r="H138" s="2"/>
      <c r="I138" s="13">
        <v>3000</v>
      </c>
      <c r="J138" s="13">
        <f t="shared" si="20"/>
        <v>1500</v>
      </c>
      <c r="K138" s="13">
        <f t="shared" si="21"/>
        <v>986.25</v>
      </c>
      <c r="L138" s="14">
        <f t="shared" si="22"/>
        <v>0.43833333333333335</v>
      </c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2">
        <v>1</v>
      </c>
      <c r="B139" s="10" t="s">
        <v>21</v>
      </c>
      <c r="C139" s="11" t="s">
        <v>133</v>
      </c>
      <c r="D139" s="13">
        <v>3000</v>
      </c>
      <c r="E139" s="13">
        <f t="shared" si="18"/>
        <v>3000</v>
      </c>
      <c r="F139" s="13">
        <f t="shared" si="19"/>
        <v>3315</v>
      </c>
      <c r="G139" s="2"/>
      <c r="H139" s="2"/>
      <c r="I139" s="13">
        <v>2000</v>
      </c>
      <c r="J139" s="13">
        <f t="shared" si="20"/>
        <v>2000</v>
      </c>
      <c r="K139" s="13">
        <f t="shared" si="21"/>
        <v>1315</v>
      </c>
      <c r="L139" s="14">
        <f t="shared" si="22"/>
        <v>0.43833333333333335</v>
      </c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2">
        <v>0.5</v>
      </c>
      <c r="B140" s="10" t="s">
        <v>21</v>
      </c>
      <c r="C140" s="11" t="s">
        <v>28</v>
      </c>
      <c r="D140" s="13">
        <v>3500</v>
      </c>
      <c r="E140" s="13">
        <f t="shared" si="18"/>
        <v>1750</v>
      </c>
      <c r="F140" s="13">
        <f t="shared" si="19"/>
        <v>1933.75</v>
      </c>
      <c r="G140" s="2"/>
      <c r="H140" s="2"/>
      <c r="I140" s="13">
        <v>2500</v>
      </c>
      <c r="J140" s="13">
        <f t="shared" si="20"/>
        <v>1250</v>
      </c>
      <c r="K140" s="13">
        <f t="shared" si="21"/>
        <v>683.75</v>
      </c>
      <c r="L140" s="14">
        <f t="shared" si="22"/>
        <v>0.39071428571428574</v>
      </c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2">
        <v>3</v>
      </c>
      <c r="B141" s="10" t="s">
        <v>17</v>
      </c>
      <c r="C141" s="11" t="s">
        <v>43</v>
      </c>
      <c r="D141" s="13">
        <v>4500</v>
      </c>
      <c r="E141" s="13">
        <f t="shared" si="18"/>
        <v>13500</v>
      </c>
      <c r="F141" s="13">
        <f t="shared" si="19"/>
        <v>14917.5</v>
      </c>
      <c r="G141" s="2"/>
      <c r="H141" s="2"/>
      <c r="I141" s="13">
        <f>15000/4</f>
        <v>3750</v>
      </c>
      <c r="J141" s="13">
        <f t="shared" si="20"/>
        <v>11250</v>
      </c>
      <c r="K141" s="13">
        <f t="shared" si="21"/>
        <v>3667.5</v>
      </c>
      <c r="L141" s="14">
        <f t="shared" si="22"/>
        <v>0.27166666666666667</v>
      </c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2</v>
      </c>
      <c r="B142" s="10" t="s">
        <v>21</v>
      </c>
      <c r="C142" s="11" t="s">
        <v>52</v>
      </c>
      <c r="D142" s="13">
        <v>2000</v>
      </c>
      <c r="E142" s="13">
        <f t="shared" si="18"/>
        <v>4000</v>
      </c>
      <c r="F142" s="13">
        <f t="shared" si="19"/>
        <v>4420</v>
      </c>
      <c r="G142" s="2"/>
      <c r="H142" s="2"/>
      <c r="I142" s="13">
        <v>1000</v>
      </c>
      <c r="J142" s="13">
        <f t="shared" si="20"/>
        <v>2000</v>
      </c>
      <c r="K142" s="13">
        <f t="shared" si="21"/>
        <v>2420</v>
      </c>
      <c r="L142" s="14">
        <f t="shared" si="22"/>
        <v>0.60499999999999998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0.5</v>
      </c>
      <c r="B143" s="10" t="s">
        <v>17</v>
      </c>
      <c r="C143" s="11" t="s">
        <v>88</v>
      </c>
      <c r="D143" s="13">
        <v>1400</v>
      </c>
      <c r="E143" s="13">
        <f t="shared" si="18"/>
        <v>700</v>
      </c>
      <c r="F143" s="13">
        <f t="shared" si="19"/>
        <v>773.5</v>
      </c>
      <c r="G143" s="2"/>
      <c r="H143" s="2"/>
      <c r="I143" s="13">
        <v>1000</v>
      </c>
      <c r="J143" s="13">
        <f t="shared" si="20"/>
        <v>500</v>
      </c>
      <c r="K143" s="13">
        <f t="shared" si="21"/>
        <v>273.5</v>
      </c>
      <c r="L143" s="14">
        <f t="shared" si="22"/>
        <v>0.39071428571428574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4</v>
      </c>
      <c r="B144" s="10" t="s">
        <v>17</v>
      </c>
      <c r="C144" s="11" t="s">
        <v>24</v>
      </c>
      <c r="D144" s="13">
        <v>3600</v>
      </c>
      <c r="E144" s="13">
        <f t="shared" si="18"/>
        <v>14400</v>
      </c>
      <c r="F144" s="13">
        <f t="shared" si="19"/>
        <v>15912</v>
      </c>
      <c r="G144" s="2"/>
      <c r="H144" s="2"/>
      <c r="I144" s="13">
        <f>50000/17</f>
        <v>2941.1764705882351</v>
      </c>
      <c r="J144" s="13">
        <f t="shared" si="20"/>
        <v>11764.705882352941</v>
      </c>
      <c r="K144" s="13">
        <f t="shared" si="21"/>
        <v>4147.2941176470595</v>
      </c>
      <c r="L144" s="14">
        <f t="shared" si="22"/>
        <v>0.28800653594771247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8</v>
      </c>
      <c r="B145" s="10" t="s">
        <v>17</v>
      </c>
      <c r="C145" s="11" t="s">
        <v>25</v>
      </c>
      <c r="D145" s="13">
        <v>4500</v>
      </c>
      <c r="E145" s="13">
        <f t="shared" si="18"/>
        <v>36000</v>
      </c>
      <c r="F145" s="13">
        <f t="shared" si="19"/>
        <v>39780</v>
      </c>
      <c r="G145" s="2"/>
      <c r="H145" s="2"/>
      <c r="I145" s="13">
        <f>47000/17</f>
        <v>2764.705882352941</v>
      </c>
      <c r="J145" s="13">
        <f t="shared" si="20"/>
        <v>22117.647058823528</v>
      </c>
      <c r="K145" s="13">
        <f t="shared" si="21"/>
        <v>17662.352941176472</v>
      </c>
      <c r="L145" s="14">
        <f t="shared" si="22"/>
        <v>0.49062091503267979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3</v>
      </c>
      <c r="B146" s="10" t="s">
        <v>4</v>
      </c>
      <c r="C146" s="11" t="s">
        <v>65</v>
      </c>
      <c r="D146" s="13">
        <v>1800</v>
      </c>
      <c r="E146" s="13">
        <f t="shared" si="18"/>
        <v>5400</v>
      </c>
      <c r="F146" s="13">
        <f t="shared" si="19"/>
        <v>5967</v>
      </c>
      <c r="G146" s="2"/>
      <c r="H146" s="2"/>
      <c r="I146" s="13">
        <f>70000/60</f>
        <v>1166.6666666666667</v>
      </c>
      <c r="J146" s="13">
        <f t="shared" si="20"/>
        <v>3500</v>
      </c>
      <c r="K146" s="13">
        <f t="shared" si="21"/>
        <v>2467</v>
      </c>
      <c r="L146" s="14">
        <f t="shared" si="22"/>
        <v>0.45685185185185184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0.5</v>
      </c>
      <c r="B147" s="10" t="s">
        <v>21</v>
      </c>
      <c r="C147" s="11" t="s">
        <v>29</v>
      </c>
      <c r="D147" s="13">
        <v>3000</v>
      </c>
      <c r="E147" s="13">
        <f t="shared" si="18"/>
        <v>1500</v>
      </c>
      <c r="F147" s="13">
        <f t="shared" si="19"/>
        <v>1657.5</v>
      </c>
      <c r="G147" s="2"/>
      <c r="H147" s="2"/>
      <c r="I147" s="13">
        <v>1333.33</v>
      </c>
      <c r="J147" s="13">
        <f t="shared" si="20"/>
        <v>666.66499999999996</v>
      </c>
      <c r="K147" s="13">
        <f t="shared" si="21"/>
        <v>990.83500000000004</v>
      </c>
      <c r="L147" s="14">
        <f t="shared" si="22"/>
        <v>0.66055666666666668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3.5</v>
      </c>
      <c r="B148" s="10" t="s">
        <v>17</v>
      </c>
      <c r="C148" s="11" t="s">
        <v>36</v>
      </c>
      <c r="D148" s="13">
        <v>1800</v>
      </c>
      <c r="E148" s="13">
        <f t="shared" si="18"/>
        <v>6300</v>
      </c>
      <c r="F148" s="13">
        <f t="shared" si="19"/>
        <v>6961.5</v>
      </c>
      <c r="G148" s="2"/>
      <c r="H148" s="2"/>
      <c r="I148" s="13">
        <v>800</v>
      </c>
      <c r="J148" s="13">
        <f t="shared" si="20"/>
        <v>2800</v>
      </c>
      <c r="K148" s="13">
        <f t="shared" si="21"/>
        <v>4161.5</v>
      </c>
      <c r="L148" s="14">
        <f t="shared" si="22"/>
        <v>0.66055555555555556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4</v>
      </c>
      <c r="B149" s="10" t="s">
        <v>17</v>
      </c>
      <c r="C149" s="11" t="s">
        <v>38</v>
      </c>
      <c r="D149" s="13">
        <v>1800</v>
      </c>
      <c r="E149" s="13">
        <f t="shared" si="18"/>
        <v>7200</v>
      </c>
      <c r="F149" s="13">
        <f t="shared" si="19"/>
        <v>7956</v>
      </c>
      <c r="G149" s="2"/>
      <c r="H149" s="2"/>
      <c r="I149" s="13">
        <v>1250</v>
      </c>
      <c r="J149" s="13">
        <f t="shared" si="20"/>
        <v>5000</v>
      </c>
      <c r="K149" s="13">
        <f t="shared" si="21"/>
        <v>2956</v>
      </c>
      <c r="L149" s="14">
        <f t="shared" si="22"/>
        <v>0.41055555555555556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18</v>
      </c>
      <c r="B150" s="10" t="s">
        <v>17</v>
      </c>
      <c r="C150" s="11" t="s">
        <v>39</v>
      </c>
      <c r="D150" s="13">
        <v>1800</v>
      </c>
      <c r="E150" s="13">
        <f t="shared" si="18"/>
        <v>32400</v>
      </c>
      <c r="F150" s="13">
        <f t="shared" si="19"/>
        <v>35802</v>
      </c>
      <c r="G150" s="2"/>
      <c r="H150" s="2"/>
      <c r="I150" s="13">
        <f>17600/15</f>
        <v>1173.3333333333333</v>
      </c>
      <c r="J150" s="13">
        <f t="shared" si="20"/>
        <v>21120</v>
      </c>
      <c r="K150" s="13">
        <f t="shared" si="21"/>
        <v>14682</v>
      </c>
      <c r="L150" s="14">
        <f t="shared" si="22"/>
        <v>0.45314814814814813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2</v>
      </c>
      <c r="B151" s="10" t="s">
        <v>15</v>
      </c>
      <c r="C151" s="11" t="s">
        <v>40</v>
      </c>
      <c r="D151" s="13">
        <v>12000</v>
      </c>
      <c r="E151" s="13">
        <f t="shared" si="18"/>
        <v>24000</v>
      </c>
      <c r="F151" s="13">
        <f t="shared" si="19"/>
        <v>26520</v>
      </c>
      <c r="G151" s="2"/>
      <c r="H151" s="2"/>
      <c r="I151" s="13">
        <v>8000</v>
      </c>
      <c r="J151" s="13">
        <f t="shared" si="20"/>
        <v>16000</v>
      </c>
      <c r="K151" s="13">
        <f t="shared" si="21"/>
        <v>10520</v>
      </c>
      <c r="L151" s="14">
        <f t="shared" si="22"/>
        <v>0.43833333333333335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3</v>
      </c>
      <c r="B152" s="10" t="s">
        <v>23</v>
      </c>
      <c r="C152" s="11" t="s">
        <v>26</v>
      </c>
      <c r="D152" s="13">
        <v>19000</v>
      </c>
      <c r="E152" s="13">
        <f t="shared" si="18"/>
        <v>57000</v>
      </c>
      <c r="F152" s="13">
        <f t="shared" si="19"/>
        <v>62985</v>
      </c>
      <c r="G152" s="2"/>
      <c r="H152" s="2"/>
      <c r="I152" s="13">
        <v>14000</v>
      </c>
      <c r="J152" s="13">
        <f t="shared" si="20"/>
        <v>42000</v>
      </c>
      <c r="K152" s="13">
        <f t="shared" si="21"/>
        <v>20985</v>
      </c>
      <c r="L152" s="14">
        <f t="shared" si="22"/>
        <v>0.36815789473684213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20</v>
      </c>
      <c r="B153" s="10" t="s">
        <v>21</v>
      </c>
      <c r="C153" s="11" t="s">
        <v>46</v>
      </c>
      <c r="D153" s="13">
        <v>800</v>
      </c>
      <c r="E153" s="13">
        <f t="shared" si="18"/>
        <v>16000</v>
      </c>
      <c r="F153" s="13">
        <f t="shared" si="19"/>
        <v>17680</v>
      </c>
      <c r="G153" s="2"/>
      <c r="H153" s="2"/>
      <c r="I153" s="13">
        <f>14000/24</f>
        <v>583.33333333333337</v>
      </c>
      <c r="J153" s="13">
        <f t="shared" si="20"/>
        <v>11666.666666666668</v>
      </c>
      <c r="K153" s="13">
        <f t="shared" si="21"/>
        <v>6013.3333333333321</v>
      </c>
      <c r="L153" s="14">
        <f t="shared" si="22"/>
        <v>0.37583333333333324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1.2</v>
      </c>
      <c r="B154" s="10" t="s">
        <v>17</v>
      </c>
      <c r="C154" s="11" t="s">
        <v>93</v>
      </c>
      <c r="D154" s="13">
        <v>3000</v>
      </c>
      <c r="E154" s="13">
        <f t="shared" si="18"/>
        <v>3600</v>
      </c>
      <c r="F154" s="13">
        <f t="shared" si="19"/>
        <v>3978</v>
      </c>
      <c r="G154" s="2"/>
      <c r="H154" s="2"/>
      <c r="I154" s="13">
        <f>10000/7</f>
        <v>1428.5714285714287</v>
      </c>
      <c r="J154" s="13">
        <f t="shared" si="20"/>
        <v>1714.2857142857144</v>
      </c>
      <c r="K154" s="13">
        <f t="shared" si="21"/>
        <v>2263.7142857142853</v>
      </c>
      <c r="L154" s="14">
        <f t="shared" si="22"/>
        <v>0.62880952380952371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0.6</v>
      </c>
      <c r="B155" s="10" t="s">
        <v>17</v>
      </c>
      <c r="C155" s="11" t="s">
        <v>61</v>
      </c>
      <c r="D155" s="13">
        <v>2800</v>
      </c>
      <c r="E155" s="13">
        <f t="shared" si="18"/>
        <v>1680</v>
      </c>
      <c r="F155" s="13">
        <f t="shared" si="19"/>
        <v>1856.3999999999999</v>
      </c>
      <c r="G155" s="2"/>
      <c r="H155" s="2"/>
      <c r="I155" s="13">
        <f>24000/14</f>
        <v>1714.2857142857142</v>
      </c>
      <c r="J155" s="13">
        <f t="shared" si="20"/>
        <v>1028.5714285714284</v>
      </c>
      <c r="K155" s="13">
        <f t="shared" si="21"/>
        <v>827.82857142857142</v>
      </c>
      <c r="L155" s="14">
        <f t="shared" si="22"/>
        <v>0.4927551020408163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7</v>
      </c>
      <c r="B156" s="10" t="s">
        <v>17</v>
      </c>
      <c r="C156" s="11" t="s">
        <v>82</v>
      </c>
      <c r="D156" s="13">
        <v>2200</v>
      </c>
      <c r="E156" s="13">
        <f t="shared" si="18"/>
        <v>15400</v>
      </c>
      <c r="F156" s="13">
        <f t="shared" si="19"/>
        <v>17017</v>
      </c>
      <c r="G156" s="2"/>
      <c r="H156" s="2"/>
      <c r="I156" s="13">
        <f>16000/14</f>
        <v>1142.8571428571429</v>
      </c>
      <c r="J156" s="13">
        <f t="shared" si="20"/>
        <v>8000</v>
      </c>
      <c r="K156" s="13">
        <f t="shared" si="21"/>
        <v>9017</v>
      </c>
      <c r="L156" s="14">
        <f t="shared" si="22"/>
        <v>0.58551948051948055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5</v>
      </c>
      <c r="B157" s="10" t="s">
        <v>15</v>
      </c>
      <c r="C157" s="11" t="s">
        <v>27</v>
      </c>
      <c r="D157" s="13">
        <v>25000</v>
      </c>
      <c r="E157" s="13">
        <f t="shared" si="18"/>
        <v>125000</v>
      </c>
      <c r="F157" s="13">
        <f t="shared" si="19"/>
        <v>138125</v>
      </c>
      <c r="G157" s="2"/>
      <c r="H157" s="2"/>
      <c r="I157" s="13">
        <v>18000</v>
      </c>
      <c r="J157" s="13">
        <f t="shared" si="20"/>
        <v>90000</v>
      </c>
      <c r="K157" s="13">
        <f t="shared" si="21"/>
        <v>48125</v>
      </c>
      <c r="L157" s="14">
        <f t="shared" si="22"/>
        <v>0.38500000000000001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2</v>
      </c>
      <c r="B158" s="10" t="s">
        <v>17</v>
      </c>
      <c r="C158" s="11" t="s">
        <v>31</v>
      </c>
      <c r="D158" s="13">
        <v>2800</v>
      </c>
      <c r="E158" s="13">
        <f t="shared" si="18"/>
        <v>5600</v>
      </c>
      <c r="F158" s="13">
        <f t="shared" si="19"/>
        <v>6188</v>
      </c>
      <c r="G158" s="2"/>
      <c r="H158" s="2"/>
      <c r="I158" s="13">
        <f>1928</f>
        <v>1928</v>
      </c>
      <c r="J158" s="13">
        <f t="shared" si="20"/>
        <v>3856</v>
      </c>
      <c r="K158" s="13">
        <f t="shared" si="21"/>
        <v>2332</v>
      </c>
      <c r="L158" s="14">
        <f t="shared" si="22"/>
        <v>0.41642857142857143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2</v>
      </c>
      <c r="B159" s="10" t="s">
        <v>17</v>
      </c>
      <c r="C159" s="11" t="s">
        <v>33</v>
      </c>
      <c r="D159" s="13">
        <v>3000</v>
      </c>
      <c r="E159" s="13">
        <f t="shared" si="18"/>
        <v>6000</v>
      </c>
      <c r="F159" s="13">
        <f t="shared" si="19"/>
        <v>6630</v>
      </c>
      <c r="G159" s="2"/>
      <c r="H159" s="2"/>
      <c r="I159" s="13">
        <f>15000/7</f>
        <v>2142.8571428571427</v>
      </c>
      <c r="J159" s="13">
        <f t="shared" si="20"/>
        <v>4285.7142857142853</v>
      </c>
      <c r="K159" s="13">
        <f t="shared" si="21"/>
        <v>2344.2857142857147</v>
      </c>
      <c r="L159" s="14">
        <f t="shared" si="22"/>
        <v>0.39071428571428579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2">
        <v>1</v>
      </c>
      <c r="B160" s="10" t="s">
        <v>23</v>
      </c>
      <c r="C160" s="11" t="s">
        <v>12</v>
      </c>
      <c r="D160" s="13">
        <v>54000</v>
      </c>
      <c r="E160" s="13">
        <f t="shared" si="18"/>
        <v>54000</v>
      </c>
      <c r="F160" s="13">
        <f>E160*1.21</f>
        <v>65340</v>
      </c>
      <c r="G160" s="2"/>
      <c r="H160" s="2"/>
      <c r="I160" s="13">
        <f>58000/5</f>
        <v>11600</v>
      </c>
      <c r="J160" s="13">
        <f t="shared" si="20"/>
        <v>11600</v>
      </c>
      <c r="K160" s="13">
        <f t="shared" si="21"/>
        <v>53740</v>
      </c>
      <c r="L160" s="14">
        <f t="shared" si="22"/>
        <v>0.99518518518518517</v>
      </c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"/>
      <c r="B161" s="2"/>
      <c r="C161" s="4"/>
      <c r="D161" s="2"/>
      <c r="E161" s="2"/>
      <c r="F161" s="2"/>
      <c r="G161" s="2"/>
      <c r="H161" s="2"/>
      <c r="I161" s="2"/>
      <c r="J161" s="2"/>
      <c r="K161" s="2"/>
      <c r="L161" s="3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"/>
      <c r="B162" s="2"/>
      <c r="C162" s="4"/>
      <c r="D162" s="2"/>
      <c r="E162" s="13">
        <f t="shared" ref="E162:F162" si="23">SUM(E129:E160)</f>
        <v>482480</v>
      </c>
      <c r="F162" s="13">
        <f t="shared" si="23"/>
        <v>538810.4</v>
      </c>
      <c r="G162" s="2"/>
      <c r="H162" s="2"/>
      <c r="I162" s="2"/>
      <c r="J162" s="2"/>
      <c r="K162" s="13">
        <f>SUM(K129:K160)</f>
        <v>235896.60181945507</v>
      </c>
      <c r="L162" s="14">
        <f>K162/F162</f>
        <v>0.43781003822393749</v>
      </c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0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0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6" t="s">
        <v>124</v>
      </c>
      <c r="B165" s="1"/>
      <c r="C165" s="1"/>
      <c r="D165" s="22" t="s">
        <v>1162</v>
      </c>
      <c r="E165" s="8">
        <v>46140</v>
      </c>
      <c r="F165" s="24" t="s">
        <v>106</v>
      </c>
      <c r="G165" s="2"/>
      <c r="H165" s="2"/>
      <c r="I165" s="2"/>
      <c r="J165" s="2"/>
      <c r="K165" s="2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2"/>
      <c r="C166" s="4"/>
      <c r="D166" s="2"/>
      <c r="E166" s="2"/>
      <c r="F166" s="2"/>
      <c r="G166" s="2"/>
      <c r="H166" s="2"/>
      <c r="I166" s="2"/>
      <c r="J166" s="2"/>
      <c r="K166" s="2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6" t="s">
        <v>3</v>
      </c>
      <c r="B167" s="10" t="s">
        <v>4</v>
      </c>
      <c r="C167" s="11" t="s">
        <v>5</v>
      </c>
      <c r="D167" s="10" t="s">
        <v>6</v>
      </c>
      <c r="E167" s="10" t="s">
        <v>7</v>
      </c>
      <c r="F167" s="2"/>
      <c r="G167" s="2"/>
      <c r="H167" s="2"/>
      <c r="I167" s="10" t="s">
        <v>6</v>
      </c>
      <c r="J167" s="10" t="s">
        <v>7</v>
      </c>
      <c r="K167" s="10" t="s">
        <v>10</v>
      </c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2">
        <v>1</v>
      </c>
      <c r="B168" s="10" t="s">
        <v>15</v>
      </c>
      <c r="C168" s="11" t="s">
        <v>141</v>
      </c>
      <c r="D168" s="13">
        <v>14000</v>
      </c>
      <c r="E168" s="13">
        <f t="shared" ref="E168:E173" si="24">A168*D168</f>
        <v>14000</v>
      </c>
      <c r="F168" s="2"/>
      <c r="G168" s="2"/>
      <c r="H168" s="2"/>
      <c r="I168" s="13">
        <v>10000</v>
      </c>
      <c r="J168" s="13">
        <f t="shared" ref="J168:J173" si="25">I168*A168</f>
        <v>10000</v>
      </c>
      <c r="K168" s="13">
        <f t="shared" ref="K168:K173" si="26">E168-J168</f>
        <v>4000</v>
      </c>
      <c r="L168" s="14">
        <f t="shared" ref="L168:L173" si="27">K168/E168</f>
        <v>0.2857142857142857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1</v>
      </c>
      <c r="B169" s="10" t="s">
        <v>17</v>
      </c>
      <c r="C169" s="11" t="s">
        <v>49</v>
      </c>
      <c r="D169" s="13">
        <v>3000</v>
      </c>
      <c r="E169" s="13">
        <f t="shared" si="24"/>
        <v>3000</v>
      </c>
      <c r="F169" s="2"/>
      <c r="G169" s="2"/>
      <c r="H169" s="2"/>
      <c r="I169" s="13">
        <f>35000/17</f>
        <v>2058.8235294117649</v>
      </c>
      <c r="J169" s="13">
        <f t="shared" si="25"/>
        <v>2058.8235294117649</v>
      </c>
      <c r="K169" s="13">
        <f t="shared" si="26"/>
        <v>941.17647058823513</v>
      </c>
      <c r="L169" s="14">
        <f t="shared" si="27"/>
        <v>0.31372549019607837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1</v>
      </c>
      <c r="B170" s="10" t="s">
        <v>17</v>
      </c>
      <c r="C170" s="11" t="s">
        <v>18</v>
      </c>
      <c r="D170" s="13">
        <v>1600</v>
      </c>
      <c r="E170" s="13">
        <f t="shared" si="24"/>
        <v>1600</v>
      </c>
      <c r="F170" s="2"/>
      <c r="G170" s="2"/>
      <c r="H170" s="7"/>
      <c r="I170" s="13">
        <v>1000</v>
      </c>
      <c r="J170" s="13">
        <f t="shared" si="25"/>
        <v>1000</v>
      </c>
      <c r="K170" s="13">
        <f t="shared" si="26"/>
        <v>600</v>
      </c>
      <c r="L170" s="14">
        <f t="shared" si="27"/>
        <v>0.375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1</v>
      </c>
      <c r="B171" s="10" t="s">
        <v>21</v>
      </c>
      <c r="C171" s="11" t="s">
        <v>112</v>
      </c>
      <c r="D171" s="13">
        <v>3000</v>
      </c>
      <c r="E171" s="13">
        <f t="shared" si="24"/>
        <v>3000</v>
      </c>
      <c r="F171" s="2"/>
      <c r="G171" s="2"/>
      <c r="H171" s="7"/>
      <c r="I171" s="13">
        <v>2000</v>
      </c>
      <c r="J171" s="13">
        <f t="shared" si="25"/>
        <v>2000</v>
      </c>
      <c r="K171" s="13">
        <f t="shared" si="26"/>
        <v>1000</v>
      </c>
      <c r="L171" s="14">
        <f t="shared" si="27"/>
        <v>0.33333333333333331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1</v>
      </c>
      <c r="B172" s="10" t="s">
        <v>23</v>
      </c>
      <c r="C172" s="11" t="s">
        <v>123</v>
      </c>
      <c r="D172" s="13">
        <v>36000</v>
      </c>
      <c r="E172" s="13">
        <f t="shared" si="24"/>
        <v>36000</v>
      </c>
      <c r="F172" s="2"/>
      <c r="G172" s="2"/>
      <c r="H172" s="7"/>
      <c r="I172" s="13">
        <v>28000</v>
      </c>
      <c r="J172" s="13">
        <f t="shared" si="25"/>
        <v>28000</v>
      </c>
      <c r="K172" s="13">
        <f t="shared" si="26"/>
        <v>8000</v>
      </c>
      <c r="L172" s="14">
        <f t="shared" si="27"/>
        <v>0.22222222222222221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2">
        <v>1</v>
      </c>
      <c r="B173" s="10" t="s">
        <v>23</v>
      </c>
      <c r="C173" s="11" t="s">
        <v>88</v>
      </c>
      <c r="D173" s="13">
        <v>16000</v>
      </c>
      <c r="E173" s="13">
        <f t="shared" si="24"/>
        <v>16000</v>
      </c>
      <c r="F173" s="2"/>
      <c r="G173" s="2"/>
      <c r="H173" s="2"/>
      <c r="I173" s="13">
        <v>10000</v>
      </c>
      <c r="J173" s="13">
        <f t="shared" si="25"/>
        <v>10000</v>
      </c>
      <c r="K173" s="13">
        <f t="shared" si="26"/>
        <v>6000</v>
      </c>
      <c r="L173" s="14">
        <f t="shared" si="27"/>
        <v>0.375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"/>
      <c r="B174" s="2"/>
      <c r="C174" s="4"/>
      <c r="D174" s="2"/>
      <c r="E174" s="2"/>
      <c r="F174" s="2"/>
      <c r="G174" s="4"/>
      <c r="H174" s="2"/>
      <c r="I174" s="2"/>
      <c r="J174" s="2"/>
      <c r="K174" s="2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"/>
      <c r="B175" s="2"/>
      <c r="C175" s="4"/>
      <c r="D175" s="2"/>
      <c r="E175" s="13">
        <f>SUM(E168:E173)</f>
        <v>73600</v>
      </c>
      <c r="F175" s="2"/>
      <c r="G175" s="2"/>
      <c r="H175" s="2"/>
      <c r="I175" s="2"/>
      <c r="J175" s="2"/>
      <c r="K175" s="13">
        <f>SUM(K168:K173)</f>
        <v>20541.176470588234</v>
      </c>
      <c r="L175" s="14">
        <f>K175/E175</f>
        <v>0.27909207161125316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0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0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0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0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6" t="s">
        <v>1163</v>
      </c>
      <c r="B180" s="1"/>
      <c r="C180" s="1"/>
      <c r="D180" s="22" t="s">
        <v>1125</v>
      </c>
      <c r="E180" s="8">
        <v>46140</v>
      </c>
      <c r="F180" s="24" t="s">
        <v>1164</v>
      </c>
      <c r="G180" s="2"/>
      <c r="H180" s="2"/>
      <c r="I180" s="2"/>
      <c r="J180" s="2"/>
      <c r="K180" s="2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2"/>
      <c r="C181" s="4"/>
      <c r="D181" s="2"/>
      <c r="E181" s="2"/>
      <c r="F181" s="2"/>
      <c r="G181" s="2"/>
      <c r="H181" s="2"/>
      <c r="I181" s="2"/>
      <c r="J181" s="2"/>
      <c r="K181" s="2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6" t="s">
        <v>3</v>
      </c>
      <c r="B182" s="10" t="s">
        <v>4</v>
      </c>
      <c r="C182" s="11" t="s">
        <v>5</v>
      </c>
      <c r="D182" s="10" t="s">
        <v>6</v>
      </c>
      <c r="E182" s="10" t="s">
        <v>7</v>
      </c>
      <c r="F182" s="2"/>
      <c r="G182" s="2"/>
      <c r="H182" s="2"/>
      <c r="I182" s="10" t="s">
        <v>6</v>
      </c>
      <c r="J182" s="10" t="s">
        <v>7</v>
      </c>
      <c r="K182" s="10" t="s">
        <v>10</v>
      </c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5</v>
      </c>
      <c r="B183" s="10" t="s">
        <v>17</v>
      </c>
      <c r="C183" s="11" t="s">
        <v>18</v>
      </c>
      <c r="D183" s="13">
        <v>1600</v>
      </c>
      <c r="E183" s="13">
        <f t="shared" ref="E183:E196" si="28">A183*D183</f>
        <v>8000</v>
      </c>
      <c r="F183" s="2"/>
      <c r="G183" s="2"/>
      <c r="H183" s="2"/>
      <c r="I183" s="13">
        <f>15000/14</f>
        <v>1071.4285714285713</v>
      </c>
      <c r="J183" s="13">
        <f t="shared" ref="J183:J196" si="29">I183*A183</f>
        <v>5357.1428571428569</v>
      </c>
      <c r="K183" s="13">
        <f t="shared" ref="K183:K196" si="30">E183-J183</f>
        <v>2642.8571428571431</v>
      </c>
      <c r="L183" s="14">
        <f t="shared" ref="L183:L196" si="31">K183/E183</f>
        <v>0.3303571428571429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5</v>
      </c>
      <c r="B184" s="10" t="s">
        <v>17</v>
      </c>
      <c r="C184" s="11" t="s">
        <v>88</v>
      </c>
      <c r="D184" s="13">
        <v>1400</v>
      </c>
      <c r="E184" s="13">
        <f t="shared" si="28"/>
        <v>7000</v>
      </c>
      <c r="F184" s="2"/>
      <c r="G184" s="2"/>
      <c r="H184" s="2"/>
      <c r="I184" s="13">
        <f>1000</f>
        <v>1000</v>
      </c>
      <c r="J184" s="13">
        <f t="shared" si="29"/>
        <v>5000</v>
      </c>
      <c r="K184" s="13">
        <f t="shared" si="30"/>
        <v>2000</v>
      </c>
      <c r="L184" s="14">
        <f t="shared" si="31"/>
        <v>0.2857142857142857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3.4</v>
      </c>
      <c r="B185" s="10" t="s">
        <v>17</v>
      </c>
      <c r="C185" s="11" t="s">
        <v>40</v>
      </c>
      <c r="D185" s="13">
        <v>1600</v>
      </c>
      <c r="E185" s="13">
        <f t="shared" si="28"/>
        <v>5440</v>
      </c>
      <c r="F185" s="2"/>
      <c r="G185" s="2"/>
      <c r="H185" s="7"/>
      <c r="I185" s="13">
        <f>8000/7</f>
        <v>1142.8571428571429</v>
      </c>
      <c r="J185" s="13">
        <f t="shared" si="29"/>
        <v>3885.7142857142858</v>
      </c>
      <c r="K185" s="13">
        <f t="shared" si="30"/>
        <v>1554.2857142857142</v>
      </c>
      <c r="L185" s="14">
        <f t="shared" si="31"/>
        <v>0.2857142857142857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0.35</v>
      </c>
      <c r="B186" s="10" t="s">
        <v>4</v>
      </c>
      <c r="C186" s="11" t="s">
        <v>111</v>
      </c>
      <c r="D186" s="13">
        <v>10000</v>
      </c>
      <c r="E186" s="13">
        <f t="shared" si="28"/>
        <v>3500</v>
      </c>
      <c r="F186" s="2"/>
      <c r="G186" s="2"/>
      <c r="H186" s="2"/>
      <c r="I186" s="13">
        <v>7000</v>
      </c>
      <c r="J186" s="13">
        <f t="shared" si="29"/>
        <v>2450</v>
      </c>
      <c r="K186" s="13">
        <f t="shared" si="30"/>
        <v>1050</v>
      </c>
      <c r="L186" s="14">
        <f t="shared" si="31"/>
        <v>0.3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3.1</v>
      </c>
      <c r="B187" s="10" t="s">
        <v>17</v>
      </c>
      <c r="C187" s="11" t="s">
        <v>62</v>
      </c>
      <c r="D187" s="13">
        <v>3000</v>
      </c>
      <c r="E187" s="13">
        <f t="shared" si="28"/>
        <v>9300</v>
      </c>
      <c r="F187" s="2"/>
      <c r="G187" s="2"/>
      <c r="H187" s="2"/>
      <c r="I187" s="13">
        <f>27000/17</f>
        <v>1588.2352941176471</v>
      </c>
      <c r="J187" s="13">
        <f t="shared" si="29"/>
        <v>4923.5294117647063</v>
      </c>
      <c r="K187" s="13">
        <f t="shared" si="30"/>
        <v>4376.4705882352937</v>
      </c>
      <c r="L187" s="14">
        <f t="shared" si="31"/>
        <v>0.47058823529411759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4.0999999999999996</v>
      </c>
      <c r="B188" s="10" t="s">
        <v>17</v>
      </c>
      <c r="C188" s="11" t="s">
        <v>93</v>
      </c>
      <c r="D188" s="13">
        <v>2800</v>
      </c>
      <c r="E188" s="13">
        <f t="shared" si="28"/>
        <v>11479.999999999998</v>
      </c>
      <c r="F188" s="2"/>
      <c r="G188" s="2"/>
      <c r="H188" s="2"/>
      <c r="I188" s="13">
        <f>10000/7</f>
        <v>1428.5714285714287</v>
      </c>
      <c r="J188" s="13">
        <f t="shared" si="29"/>
        <v>5857.1428571428569</v>
      </c>
      <c r="K188" s="13">
        <f t="shared" si="30"/>
        <v>5622.8571428571413</v>
      </c>
      <c r="L188" s="14">
        <f t="shared" si="31"/>
        <v>0.48979591836734687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5</v>
      </c>
      <c r="B189" s="10" t="s">
        <v>21</v>
      </c>
      <c r="C189" s="11" t="s">
        <v>51</v>
      </c>
      <c r="D189" s="13">
        <v>1000</v>
      </c>
      <c r="E189" s="13">
        <f t="shared" si="28"/>
        <v>5000</v>
      </c>
      <c r="F189" s="2"/>
      <c r="G189" s="2"/>
      <c r="H189" s="2"/>
      <c r="I189" s="13">
        <v>666</v>
      </c>
      <c r="J189" s="13">
        <f t="shared" si="29"/>
        <v>3330</v>
      </c>
      <c r="K189" s="13">
        <f t="shared" si="30"/>
        <v>1670</v>
      </c>
      <c r="L189" s="14">
        <f t="shared" si="31"/>
        <v>0.33400000000000002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3.1</v>
      </c>
      <c r="B190" s="10" t="s">
        <v>17</v>
      </c>
      <c r="C190" s="11" t="s">
        <v>123</v>
      </c>
      <c r="D190" s="13">
        <v>2600</v>
      </c>
      <c r="E190" s="13">
        <f t="shared" si="28"/>
        <v>8060</v>
      </c>
      <c r="F190" s="2"/>
      <c r="G190" s="2"/>
      <c r="H190" s="2"/>
      <c r="I190" s="13">
        <f>28000/15</f>
        <v>1866.6666666666667</v>
      </c>
      <c r="J190" s="13">
        <f t="shared" si="29"/>
        <v>5786.666666666667</v>
      </c>
      <c r="K190" s="13">
        <f t="shared" si="30"/>
        <v>2273.333333333333</v>
      </c>
      <c r="L190" s="14">
        <f t="shared" si="31"/>
        <v>0.28205128205128199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5.0999999999999996</v>
      </c>
      <c r="B191" s="10" t="s">
        <v>17</v>
      </c>
      <c r="C191" s="11" t="s">
        <v>26</v>
      </c>
      <c r="D191" s="13">
        <v>1400</v>
      </c>
      <c r="E191" s="13">
        <f t="shared" si="28"/>
        <v>7139.9999999999991</v>
      </c>
      <c r="F191" s="2"/>
      <c r="G191" s="2"/>
      <c r="H191" s="7"/>
      <c r="I191" s="13">
        <f>14000/15</f>
        <v>933.33333333333337</v>
      </c>
      <c r="J191" s="13">
        <f t="shared" si="29"/>
        <v>4760</v>
      </c>
      <c r="K191" s="13">
        <f t="shared" si="30"/>
        <v>2379.9999999999991</v>
      </c>
      <c r="L191" s="14">
        <f t="shared" si="31"/>
        <v>0.33333333333333326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1</v>
      </c>
      <c r="B192" s="10" t="s">
        <v>21</v>
      </c>
      <c r="C192" s="11" t="s">
        <v>112</v>
      </c>
      <c r="D192" s="13">
        <v>3000</v>
      </c>
      <c r="E192" s="13">
        <f t="shared" si="28"/>
        <v>3000</v>
      </c>
      <c r="F192" s="2"/>
      <c r="G192" s="2"/>
      <c r="H192" s="2"/>
      <c r="I192" s="13">
        <v>2000</v>
      </c>
      <c r="J192" s="13">
        <f t="shared" si="29"/>
        <v>2000</v>
      </c>
      <c r="K192" s="13">
        <f t="shared" si="30"/>
        <v>1000</v>
      </c>
      <c r="L192" s="14">
        <f t="shared" si="31"/>
        <v>0.33333333333333331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3</v>
      </c>
      <c r="B193" s="10" t="s">
        <v>4</v>
      </c>
      <c r="C193" s="11" t="s">
        <v>13</v>
      </c>
      <c r="D193" s="13">
        <v>900</v>
      </c>
      <c r="E193" s="13">
        <f t="shared" si="28"/>
        <v>2700</v>
      </c>
      <c r="F193" s="2"/>
      <c r="G193" s="2"/>
      <c r="H193" s="2"/>
      <c r="I193" s="13">
        <v>540</v>
      </c>
      <c r="J193" s="13">
        <f t="shared" si="29"/>
        <v>1620</v>
      </c>
      <c r="K193" s="13">
        <f t="shared" si="30"/>
        <v>1080</v>
      </c>
      <c r="L193" s="14">
        <f t="shared" si="31"/>
        <v>0.4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1</v>
      </c>
      <c r="B194" s="10" t="s">
        <v>17</v>
      </c>
      <c r="C194" s="11" t="s">
        <v>1165</v>
      </c>
      <c r="D194" s="13">
        <v>2500</v>
      </c>
      <c r="E194" s="13">
        <f t="shared" si="28"/>
        <v>2500</v>
      </c>
      <c r="F194" s="2"/>
      <c r="G194" s="2"/>
      <c r="H194" s="2"/>
      <c r="I194" s="13">
        <f>14000/9</f>
        <v>1555.5555555555557</v>
      </c>
      <c r="J194" s="13">
        <f t="shared" si="29"/>
        <v>1555.5555555555557</v>
      </c>
      <c r="K194" s="13">
        <f t="shared" si="30"/>
        <v>944.44444444444434</v>
      </c>
      <c r="L194" s="14">
        <f t="shared" si="31"/>
        <v>0.37777777777777771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0.8</v>
      </c>
      <c r="B195" s="10" t="s">
        <v>17</v>
      </c>
      <c r="C195" s="11" t="s">
        <v>79</v>
      </c>
      <c r="D195" s="13">
        <v>4000</v>
      </c>
      <c r="E195" s="13">
        <f t="shared" si="28"/>
        <v>3200</v>
      </c>
      <c r="F195" s="2"/>
      <c r="G195" s="2"/>
      <c r="H195" s="2"/>
      <c r="I195" s="13">
        <f>12000/5</f>
        <v>2400</v>
      </c>
      <c r="J195" s="13">
        <f t="shared" si="29"/>
        <v>1920</v>
      </c>
      <c r="K195" s="13">
        <f t="shared" si="30"/>
        <v>1280</v>
      </c>
      <c r="L195" s="14">
        <f t="shared" si="31"/>
        <v>0.4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2">
        <v>1</v>
      </c>
      <c r="B196" s="10" t="s">
        <v>1166</v>
      </c>
      <c r="C196" s="11" t="s">
        <v>1167</v>
      </c>
      <c r="D196" s="13">
        <v>9700</v>
      </c>
      <c r="E196" s="13">
        <f t="shared" si="28"/>
        <v>9700</v>
      </c>
      <c r="F196" s="2"/>
      <c r="G196" s="2"/>
      <c r="H196" s="2"/>
      <c r="I196" s="13">
        <f>39000/6</f>
        <v>6500</v>
      </c>
      <c r="J196" s="13">
        <f t="shared" si="29"/>
        <v>6500</v>
      </c>
      <c r="K196" s="13">
        <f t="shared" si="30"/>
        <v>3200</v>
      </c>
      <c r="L196" s="14">
        <f t="shared" si="31"/>
        <v>0.32989690721649484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"/>
      <c r="B197" s="2"/>
      <c r="C197" s="4"/>
      <c r="D197" s="2"/>
      <c r="E197" s="2"/>
      <c r="F197" s="2"/>
      <c r="G197" s="4"/>
      <c r="H197" s="2"/>
      <c r="I197" s="2"/>
      <c r="J197" s="2"/>
      <c r="K197" s="2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"/>
      <c r="B198" s="2"/>
      <c r="C198" s="4"/>
      <c r="D198" s="2"/>
      <c r="E198" s="13">
        <f>SUM(E183:E196)</f>
        <v>86020</v>
      </c>
      <c r="F198" s="2"/>
      <c r="G198" s="2"/>
      <c r="H198" s="2"/>
      <c r="I198" s="2"/>
      <c r="J198" s="2"/>
      <c r="K198" s="13">
        <f>SUM(K183:K196)</f>
        <v>31074.248366013071</v>
      </c>
      <c r="L198" s="14">
        <f>K198/E198</f>
        <v>0.36124445903293501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0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6" t="s">
        <v>1124</v>
      </c>
      <c r="B200" s="25"/>
      <c r="C200" s="1"/>
      <c r="D200" s="12" t="s">
        <v>97</v>
      </c>
      <c r="E200" s="8">
        <v>46140</v>
      </c>
      <c r="F200" s="15" t="s">
        <v>106</v>
      </c>
      <c r="G200" s="2"/>
      <c r="H200" s="2"/>
      <c r="I200" s="2"/>
      <c r="J200" s="2"/>
      <c r="K200" s="2"/>
      <c r="L200" s="3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"/>
      <c r="B201" s="2"/>
      <c r="C201" s="1"/>
      <c r="D201" s="2"/>
      <c r="E201" s="2"/>
      <c r="F201" s="2"/>
      <c r="G201" s="2"/>
      <c r="H201" s="2"/>
      <c r="I201" s="2"/>
      <c r="J201" s="2"/>
      <c r="K201" s="2"/>
      <c r="L201" s="3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6" t="s">
        <v>3</v>
      </c>
      <c r="B202" s="10" t="s">
        <v>4</v>
      </c>
      <c r="C202" s="6" t="s">
        <v>5</v>
      </c>
      <c r="D202" s="10" t="s">
        <v>6</v>
      </c>
      <c r="E202" s="10" t="s">
        <v>7</v>
      </c>
      <c r="F202" s="2"/>
      <c r="G202" s="2"/>
      <c r="H202" s="2"/>
      <c r="I202" s="10" t="s">
        <v>6</v>
      </c>
      <c r="J202" s="10" t="s">
        <v>7</v>
      </c>
      <c r="K202" s="10" t="s">
        <v>10</v>
      </c>
      <c r="L202" s="3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2">
        <v>2</v>
      </c>
      <c r="B203" s="10" t="s">
        <v>21</v>
      </c>
      <c r="C203" s="6" t="s">
        <v>34</v>
      </c>
      <c r="D203" s="13">
        <v>4000</v>
      </c>
      <c r="E203" s="13">
        <f t="shared" ref="E203:E216" si="32">A203*D203</f>
        <v>8000</v>
      </c>
      <c r="F203" s="2"/>
      <c r="G203" s="2"/>
      <c r="H203" s="2"/>
      <c r="I203" s="13">
        <v>2000</v>
      </c>
      <c r="J203" s="13">
        <f t="shared" ref="J203:J216" si="33">I203*A203</f>
        <v>4000</v>
      </c>
      <c r="K203" s="13">
        <f t="shared" ref="K203:K216" si="34">E203-J203</f>
        <v>4000</v>
      </c>
      <c r="L203" s="14">
        <f t="shared" ref="L203:L216" si="35">K203/E203</f>
        <v>0.5</v>
      </c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2">
        <v>1</v>
      </c>
      <c r="B204" s="10" t="s">
        <v>17</v>
      </c>
      <c r="C204" s="6" t="s">
        <v>31</v>
      </c>
      <c r="D204" s="13">
        <v>2800</v>
      </c>
      <c r="E204" s="13">
        <f t="shared" si="32"/>
        <v>2800</v>
      </c>
      <c r="F204" s="2"/>
      <c r="G204" s="2"/>
      <c r="H204" s="2"/>
      <c r="I204" s="13">
        <v>1928</v>
      </c>
      <c r="J204" s="13">
        <f t="shared" si="33"/>
        <v>1928</v>
      </c>
      <c r="K204" s="13">
        <f t="shared" si="34"/>
        <v>872</v>
      </c>
      <c r="L204" s="14">
        <f t="shared" si="35"/>
        <v>0.31142857142857144</v>
      </c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2">
        <v>1</v>
      </c>
      <c r="B205" s="10" t="s">
        <v>17</v>
      </c>
      <c r="C205" s="6" t="s">
        <v>32</v>
      </c>
      <c r="D205" s="13">
        <v>2300</v>
      </c>
      <c r="E205" s="13">
        <f t="shared" si="32"/>
        <v>2300</v>
      </c>
      <c r="F205" s="2"/>
      <c r="G205" s="2"/>
      <c r="H205" s="2"/>
      <c r="I205" s="13">
        <f>12000/7</f>
        <v>1714.2857142857142</v>
      </c>
      <c r="J205" s="13">
        <f t="shared" si="33"/>
        <v>1714.2857142857142</v>
      </c>
      <c r="K205" s="13">
        <f t="shared" si="34"/>
        <v>585.71428571428578</v>
      </c>
      <c r="L205" s="14">
        <f t="shared" si="35"/>
        <v>0.25465838509316774</v>
      </c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2">
        <v>1</v>
      </c>
      <c r="B206" s="10" t="s">
        <v>17</v>
      </c>
      <c r="C206" s="6" t="s">
        <v>73</v>
      </c>
      <c r="D206" s="13">
        <v>1300</v>
      </c>
      <c r="E206" s="13">
        <f t="shared" si="32"/>
        <v>1300</v>
      </c>
      <c r="F206" s="2"/>
      <c r="G206" s="2"/>
      <c r="H206" s="7" t="s">
        <v>1168</v>
      </c>
      <c r="I206" s="13">
        <v>1000</v>
      </c>
      <c r="J206" s="13">
        <f t="shared" si="33"/>
        <v>1000</v>
      </c>
      <c r="K206" s="13">
        <f t="shared" si="34"/>
        <v>300</v>
      </c>
      <c r="L206" s="14">
        <f t="shared" si="35"/>
        <v>0.23076923076923078</v>
      </c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2">
        <v>2</v>
      </c>
      <c r="B207" s="10" t="s">
        <v>17</v>
      </c>
      <c r="C207" s="6" t="s">
        <v>99</v>
      </c>
      <c r="D207" s="13">
        <v>1500</v>
      </c>
      <c r="E207" s="13">
        <f t="shared" si="32"/>
        <v>3000</v>
      </c>
      <c r="F207" s="2"/>
      <c r="G207" s="2"/>
      <c r="H207" s="2"/>
      <c r="I207" s="13">
        <f>8000/7</f>
        <v>1142.8571428571429</v>
      </c>
      <c r="J207" s="13">
        <f t="shared" si="33"/>
        <v>2285.7142857142858</v>
      </c>
      <c r="K207" s="13">
        <f t="shared" si="34"/>
        <v>714.28571428571422</v>
      </c>
      <c r="L207" s="14">
        <f t="shared" si="35"/>
        <v>0.23809523809523808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2">
        <v>2</v>
      </c>
      <c r="B208" s="10" t="s">
        <v>4</v>
      </c>
      <c r="C208" s="6" t="s">
        <v>41</v>
      </c>
      <c r="D208" s="13">
        <v>2500</v>
      </c>
      <c r="E208" s="13">
        <f t="shared" si="32"/>
        <v>5000</v>
      </c>
      <c r="F208" s="2"/>
      <c r="G208" s="2"/>
      <c r="H208" s="7" t="s">
        <v>1169</v>
      </c>
      <c r="I208" s="13"/>
      <c r="J208" s="13">
        <f t="shared" si="33"/>
        <v>0</v>
      </c>
      <c r="K208" s="13">
        <f t="shared" si="34"/>
        <v>5000</v>
      </c>
      <c r="L208" s="14">
        <f t="shared" si="35"/>
        <v>1</v>
      </c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2">
        <v>2</v>
      </c>
      <c r="B209" s="10" t="s">
        <v>17</v>
      </c>
      <c r="C209" s="6" t="s">
        <v>25</v>
      </c>
      <c r="D209" s="13">
        <v>4200</v>
      </c>
      <c r="E209" s="13">
        <f t="shared" si="32"/>
        <v>8400</v>
      </c>
      <c r="F209" s="2"/>
      <c r="G209" s="2"/>
      <c r="H209" s="2"/>
      <c r="I209" s="13">
        <f>47000/17</f>
        <v>2764.705882352941</v>
      </c>
      <c r="J209" s="13">
        <f t="shared" si="33"/>
        <v>5529.411764705882</v>
      </c>
      <c r="K209" s="13">
        <f t="shared" si="34"/>
        <v>2870.588235294118</v>
      </c>
      <c r="L209" s="14">
        <f t="shared" si="35"/>
        <v>0.34173669467787121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2">
        <v>2</v>
      </c>
      <c r="B210" s="10" t="s">
        <v>17</v>
      </c>
      <c r="C210" s="6" t="s">
        <v>67</v>
      </c>
      <c r="D210" s="13">
        <v>1400</v>
      </c>
      <c r="E210" s="13">
        <f t="shared" si="32"/>
        <v>2800</v>
      </c>
      <c r="F210" s="2"/>
      <c r="G210" s="2"/>
      <c r="H210" s="2"/>
      <c r="I210" s="13">
        <f>12000/14</f>
        <v>857.14285714285711</v>
      </c>
      <c r="J210" s="13">
        <f t="shared" si="33"/>
        <v>1714.2857142857142</v>
      </c>
      <c r="K210" s="13">
        <f t="shared" si="34"/>
        <v>1085.7142857142858</v>
      </c>
      <c r="L210" s="14">
        <f t="shared" si="35"/>
        <v>0.38775510204081637</v>
      </c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2">
        <v>2</v>
      </c>
      <c r="B211" s="10" t="s">
        <v>17</v>
      </c>
      <c r="C211" s="6" t="s">
        <v>65</v>
      </c>
      <c r="D211" s="13">
        <v>1600</v>
      </c>
      <c r="E211" s="13">
        <f t="shared" si="32"/>
        <v>3200</v>
      </c>
      <c r="F211" s="2"/>
      <c r="G211" s="2"/>
      <c r="H211" s="2"/>
      <c r="I211" s="13">
        <f>70000/60</f>
        <v>1166.6666666666667</v>
      </c>
      <c r="J211" s="13">
        <f t="shared" si="33"/>
        <v>2333.3333333333335</v>
      </c>
      <c r="K211" s="13">
        <f t="shared" si="34"/>
        <v>866.66666666666652</v>
      </c>
      <c r="L211" s="14">
        <f t="shared" si="35"/>
        <v>0.27083333333333326</v>
      </c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2">
        <v>1</v>
      </c>
      <c r="B212" s="10" t="s">
        <v>17</v>
      </c>
      <c r="C212" s="6" t="s">
        <v>62</v>
      </c>
      <c r="D212" s="13">
        <v>2800</v>
      </c>
      <c r="E212" s="13">
        <f t="shared" si="32"/>
        <v>2800</v>
      </c>
      <c r="F212" s="2"/>
      <c r="G212" s="2"/>
      <c r="H212" s="2"/>
      <c r="I212" s="13">
        <f>27000/17</f>
        <v>1588.2352941176471</v>
      </c>
      <c r="J212" s="13">
        <f t="shared" si="33"/>
        <v>1588.2352941176471</v>
      </c>
      <c r="K212" s="13">
        <f t="shared" si="34"/>
        <v>1211.7647058823529</v>
      </c>
      <c r="L212" s="14">
        <f t="shared" si="35"/>
        <v>0.4327731092436975</v>
      </c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2">
        <v>1</v>
      </c>
      <c r="B213" s="10" t="s">
        <v>21</v>
      </c>
      <c r="C213" s="6" t="s">
        <v>42</v>
      </c>
      <c r="D213" s="13">
        <v>4000</v>
      </c>
      <c r="E213" s="13">
        <f t="shared" si="32"/>
        <v>4000</v>
      </c>
      <c r="F213" s="2"/>
      <c r="G213" s="2"/>
      <c r="H213" s="2"/>
      <c r="I213" s="13">
        <v>3000</v>
      </c>
      <c r="J213" s="13">
        <f t="shared" si="33"/>
        <v>3000</v>
      </c>
      <c r="K213" s="13">
        <f t="shared" si="34"/>
        <v>1000</v>
      </c>
      <c r="L213" s="14">
        <f t="shared" si="35"/>
        <v>0.25</v>
      </c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2">
        <v>1</v>
      </c>
      <c r="B214" s="10" t="s">
        <v>15</v>
      </c>
      <c r="C214" s="6" t="s">
        <v>129</v>
      </c>
      <c r="D214" s="13">
        <v>16000</v>
      </c>
      <c r="E214" s="13">
        <f t="shared" si="32"/>
        <v>16000</v>
      </c>
      <c r="F214" s="2"/>
      <c r="G214" s="2"/>
      <c r="H214" s="2"/>
      <c r="I214" s="13">
        <v>13000</v>
      </c>
      <c r="J214" s="13">
        <f t="shared" si="33"/>
        <v>13000</v>
      </c>
      <c r="K214" s="13">
        <f t="shared" si="34"/>
        <v>3000</v>
      </c>
      <c r="L214" s="14">
        <f t="shared" si="35"/>
        <v>0.1875</v>
      </c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1</v>
      </c>
      <c r="B215" s="10" t="s">
        <v>15</v>
      </c>
      <c r="C215" s="6" t="s">
        <v>16</v>
      </c>
      <c r="D215" s="13">
        <v>12000</v>
      </c>
      <c r="E215" s="13">
        <f t="shared" si="32"/>
        <v>12000</v>
      </c>
      <c r="F215" s="2"/>
      <c r="G215" s="2"/>
      <c r="H215" s="2"/>
      <c r="I215" s="13">
        <v>8000</v>
      </c>
      <c r="J215" s="13">
        <f t="shared" si="33"/>
        <v>8000</v>
      </c>
      <c r="K215" s="13">
        <f t="shared" si="34"/>
        <v>4000</v>
      </c>
      <c r="L215" s="14">
        <f t="shared" si="35"/>
        <v>0.33333333333333331</v>
      </c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1</v>
      </c>
      <c r="B216" s="10" t="s">
        <v>23</v>
      </c>
      <c r="C216" s="6" t="s">
        <v>82</v>
      </c>
      <c r="D216" s="13">
        <v>23000</v>
      </c>
      <c r="E216" s="13">
        <f t="shared" si="32"/>
        <v>23000</v>
      </c>
      <c r="F216" s="2"/>
      <c r="G216" s="2"/>
      <c r="H216" s="2"/>
      <c r="I216" s="13">
        <v>17000</v>
      </c>
      <c r="J216" s="13">
        <f t="shared" si="33"/>
        <v>17000</v>
      </c>
      <c r="K216" s="13">
        <f t="shared" si="34"/>
        <v>6000</v>
      </c>
      <c r="L216" s="14">
        <f t="shared" si="35"/>
        <v>0.2608695652173913</v>
      </c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"/>
      <c r="B217" s="2"/>
      <c r="C217" s="1"/>
      <c r="D217" s="2"/>
      <c r="E217" s="2"/>
      <c r="F217" s="2"/>
      <c r="G217" s="1"/>
      <c r="H217" s="2"/>
      <c r="I217" s="2"/>
      <c r="J217" s="2"/>
      <c r="K217" s="2"/>
      <c r="L217" s="3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"/>
      <c r="B218" s="2"/>
      <c r="C218" s="1"/>
      <c r="D218" s="2"/>
      <c r="E218" s="13">
        <f>SUM(E203:E216)</f>
        <v>94600</v>
      </c>
      <c r="F218" s="2"/>
      <c r="G218" s="2"/>
      <c r="H218" s="2"/>
      <c r="I218" s="2"/>
      <c r="J218" s="2"/>
      <c r="K218" s="13">
        <f>SUM(K203:K216)</f>
        <v>31506.733893557423</v>
      </c>
      <c r="L218" s="14">
        <f>K218/E218</f>
        <v>0.33305215532301713</v>
      </c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0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0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88" t="s">
        <v>1170</v>
      </c>
      <c r="B221" s="89"/>
      <c r="C221" s="89"/>
      <c r="D221" s="2"/>
      <c r="E221" s="7" t="s">
        <v>1125</v>
      </c>
      <c r="F221" s="8">
        <v>46140</v>
      </c>
      <c r="G221" s="7" t="s">
        <v>106</v>
      </c>
      <c r="H221" s="2"/>
      <c r="I221" s="9" t="s">
        <v>2</v>
      </c>
      <c r="J221" s="9"/>
      <c r="K221" s="9"/>
      <c r="L221" s="3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3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6" t="s">
        <v>3</v>
      </c>
      <c r="B223" s="10" t="s">
        <v>4</v>
      </c>
      <c r="C223" s="11" t="s">
        <v>5</v>
      </c>
      <c r="D223" s="10" t="s">
        <v>6</v>
      </c>
      <c r="E223" s="10" t="s">
        <v>7</v>
      </c>
      <c r="F223" s="10" t="s">
        <v>8</v>
      </c>
      <c r="G223" s="2"/>
      <c r="H223" s="2"/>
      <c r="I223" s="10" t="s">
        <v>9</v>
      </c>
      <c r="J223" s="10" t="s">
        <v>7</v>
      </c>
      <c r="K223" s="10" t="s">
        <v>10</v>
      </c>
      <c r="L223" s="3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2">
        <v>5</v>
      </c>
      <c r="B224" s="10" t="s">
        <v>17</v>
      </c>
      <c r="C224" s="11" t="s">
        <v>129</v>
      </c>
      <c r="D224" s="13">
        <v>1500</v>
      </c>
      <c r="E224" s="13">
        <f t="shared" ref="E224:E235" si="36">A224*D224</f>
        <v>7500</v>
      </c>
      <c r="F224" s="13">
        <f t="shared" ref="F224:F235" si="37">E224*1.105</f>
        <v>8287.5</v>
      </c>
      <c r="G224" s="2"/>
      <c r="H224" s="2"/>
      <c r="I224" s="13">
        <f>13000/11</f>
        <v>1181.8181818181818</v>
      </c>
      <c r="J224" s="13">
        <f t="shared" ref="J224:J235" si="38">I224*A224</f>
        <v>5909.090909090909</v>
      </c>
      <c r="K224" s="13">
        <f t="shared" ref="K224:K235" si="39">F224-J224</f>
        <v>2378.409090909091</v>
      </c>
      <c r="L224" s="14">
        <f t="shared" ref="L224:L225" si="40">IFERROR(K224/E224, 0)</f>
        <v>0.31712121212121214</v>
      </c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2">
        <v>3.4</v>
      </c>
      <c r="B225" s="10" t="s">
        <v>17</v>
      </c>
      <c r="C225" s="11" t="s">
        <v>39</v>
      </c>
      <c r="D225" s="13">
        <v>1500</v>
      </c>
      <c r="E225" s="13">
        <f t="shared" si="36"/>
        <v>5100</v>
      </c>
      <c r="F225" s="13">
        <f t="shared" si="37"/>
        <v>5635.5</v>
      </c>
      <c r="G225" s="2"/>
      <c r="H225" s="2"/>
      <c r="I225" s="13">
        <f>17600/15</f>
        <v>1173.3333333333333</v>
      </c>
      <c r="J225" s="13">
        <f t="shared" si="38"/>
        <v>3989.333333333333</v>
      </c>
      <c r="K225" s="13">
        <f t="shared" si="39"/>
        <v>1646.166666666667</v>
      </c>
      <c r="L225" s="14">
        <f t="shared" si="40"/>
        <v>0.32277777777777783</v>
      </c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2">
        <v>1</v>
      </c>
      <c r="B226" s="10" t="s">
        <v>17</v>
      </c>
      <c r="C226" s="11" t="s">
        <v>93</v>
      </c>
      <c r="D226" s="13">
        <v>2600</v>
      </c>
      <c r="E226" s="13">
        <f t="shared" si="36"/>
        <v>2600</v>
      </c>
      <c r="F226" s="13">
        <f t="shared" si="37"/>
        <v>2873</v>
      </c>
      <c r="G226" s="2"/>
      <c r="H226" s="2"/>
      <c r="I226" s="13">
        <f>10000/7</f>
        <v>1428.5714285714287</v>
      </c>
      <c r="J226" s="13">
        <f t="shared" si="38"/>
        <v>1428.5714285714287</v>
      </c>
      <c r="K226" s="13">
        <f t="shared" si="39"/>
        <v>1444.4285714285713</v>
      </c>
      <c r="L226" s="18">
        <f>IFERROR(K226/E226, 0)</f>
        <v>0.55554945054945049</v>
      </c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2">
        <v>2</v>
      </c>
      <c r="B227" s="10" t="s">
        <v>17</v>
      </c>
      <c r="C227" s="11" t="s">
        <v>55</v>
      </c>
      <c r="D227" s="13">
        <v>20000</v>
      </c>
      <c r="E227" s="13">
        <f t="shared" si="36"/>
        <v>40000</v>
      </c>
      <c r="F227" s="13">
        <f t="shared" si="37"/>
        <v>44200</v>
      </c>
      <c r="G227" s="2"/>
      <c r="H227" s="2"/>
      <c r="I227" s="13">
        <v>18000</v>
      </c>
      <c r="J227" s="13">
        <f t="shared" si="38"/>
        <v>36000</v>
      </c>
      <c r="K227" s="13">
        <f t="shared" si="39"/>
        <v>8200</v>
      </c>
      <c r="L227" s="14">
        <f t="shared" ref="L227:L230" si="41">IFERROR(K227/E227, 0)</f>
        <v>0.20499999999999999</v>
      </c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2</v>
      </c>
      <c r="B228" s="10" t="s">
        <v>17</v>
      </c>
      <c r="C228" s="11" t="s">
        <v>30</v>
      </c>
      <c r="D228" s="13">
        <v>2500</v>
      </c>
      <c r="E228" s="13">
        <f t="shared" si="36"/>
        <v>5000</v>
      </c>
      <c r="F228" s="13">
        <f t="shared" si="37"/>
        <v>5525</v>
      </c>
      <c r="G228" s="2"/>
      <c r="H228" s="2"/>
      <c r="I228" s="13"/>
      <c r="J228" s="13">
        <f t="shared" si="38"/>
        <v>0</v>
      </c>
      <c r="K228" s="13">
        <f t="shared" si="39"/>
        <v>5525</v>
      </c>
      <c r="L228" s="14">
        <f t="shared" si="41"/>
        <v>1.105</v>
      </c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4</v>
      </c>
      <c r="B229" s="10" t="s">
        <v>4</v>
      </c>
      <c r="C229" s="11" t="s">
        <v>14</v>
      </c>
      <c r="D229" s="13">
        <v>3000</v>
      </c>
      <c r="E229" s="13">
        <f t="shared" si="36"/>
        <v>12000</v>
      </c>
      <c r="F229" s="13">
        <f t="shared" si="37"/>
        <v>13260</v>
      </c>
      <c r="G229" s="2"/>
      <c r="H229" s="2"/>
      <c r="I229" s="13">
        <f>20000/8</f>
        <v>2500</v>
      </c>
      <c r="J229" s="13">
        <f t="shared" si="38"/>
        <v>10000</v>
      </c>
      <c r="K229" s="13">
        <f t="shared" si="39"/>
        <v>3260</v>
      </c>
      <c r="L229" s="14">
        <f t="shared" si="41"/>
        <v>0.27166666666666667</v>
      </c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0.2</v>
      </c>
      <c r="B230" s="10" t="s">
        <v>17</v>
      </c>
      <c r="C230" s="11" t="s">
        <v>29</v>
      </c>
      <c r="D230" s="13">
        <v>3000</v>
      </c>
      <c r="E230" s="13">
        <f t="shared" si="36"/>
        <v>600</v>
      </c>
      <c r="F230" s="13">
        <f t="shared" si="37"/>
        <v>663</v>
      </c>
      <c r="G230" s="2"/>
      <c r="H230" s="2"/>
      <c r="I230" s="13">
        <v>1333.33</v>
      </c>
      <c r="J230" s="13">
        <f t="shared" si="38"/>
        <v>266.666</v>
      </c>
      <c r="K230" s="13">
        <f t="shared" si="39"/>
        <v>396.334</v>
      </c>
      <c r="L230" s="14">
        <f t="shared" si="41"/>
        <v>0.66055666666666668</v>
      </c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0.2</v>
      </c>
      <c r="B231" s="10" t="s">
        <v>17</v>
      </c>
      <c r="C231" s="11" t="s">
        <v>133</v>
      </c>
      <c r="D231" s="13">
        <v>3000</v>
      </c>
      <c r="E231" s="13">
        <f t="shared" si="36"/>
        <v>600</v>
      </c>
      <c r="F231" s="13">
        <f t="shared" si="37"/>
        <v>663</v>
      </c>
      <c r="G231" s="2"/>
      <c r="H231" s="2"/>
      <c r="I231" s="13">
        <v>2000</v>
      </c>
      <c r="J231" s="13">
        <f t="shared" si="38"/>
        <v>400</v>
      </c>
      <c r="K231" s="13">
        <f t="shared" si="39"/>
        <v>263</v>
      </c>
      <c r="L231" s="18">
        <f>IFERROR(K231/E231, 0)</f>
        <v>0.43833333333333335</v>
      </c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0.2</v>
      </c>
      <c r="B232" s="10" t="s">
        <v>17</v>
      </c>
      <c r="C232" s="11" t="s">
        <v>42</v>
      </c>
      <c r="D232" s="13">
        <v>4000</v>
      </c>
      <c r="E232" s="13">
        <f t="shared" si="36"/>
        <v>800</v>
      </c>
      <c r="F232" s="13">
        <f t="shared" si="37"/>
        <v>884</v>
      </c>
      <c r="G232" s="2"/>
      <c r="H232" s="2"/>
      <c r="I232" s="13">
        <v>3000</v>
      </c>
      <c r="J232" s="13">
        <f t="shared" si="38"/>
        <v>600</v>
      </c>
      <c r="K232" s="13">
        <f t="shared" si="39"/>
        <v>284</v>
      </c>
      <c r="L232" s="14">
        <f t="shared" ref="L232:L235" si="42">IFERROR(K232/E232, 0)</f>
        <v>0.35499999999999998</v>
      </c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2</v>
      </c>
      <c r="B233" s="10" t="s">
        <v>4</v>
      </c>
      <c r="C233" s="11" t="s">
        <v>114</v>
      </c>
      <c r="D233" s="13">
        <v>3000</v>
      </c>
      <c r="E233" s="13">
        <f t="shared" si="36"/>
        <v>6000</v>
      </c>
      <c r="F233" s="13">
        <f t="shared" si="37"/>
        <v>6630</v>
      </c>
      <c r="G233" s="2"/>
      <c r="H233" s="2"/>
      <c r="I233" s="13">
        <f>15000/12</f>
        <v>1250</v>
      </c>
      <c r="J233" s="13">
        <f t="shared" si="38"/>
        <v>2500</v>
      </c>
      <c r="K233" s="13">
        <f t="shared" si="39"/>
        <v>4130</v>
      </c>
      <c r="L233" s="14">
        <f t="shared" si="42"/>
        <v>0.68833333333333335</v>
      </c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1</v>
      </c>
      <c r="B234" s="10" t="s">
        <v>4</v>
      </c>
      <c r="C234" s="11" t="s">
        <v>1089</v>
      </c>
      <c r="D234" s="13">
        <v>4000</v>
      </c>
      <c r="E234" s="13">
        <f t="shared" si="36"/>
        <v>4000</v>
      </c>
      <c r="F234" s="13">
        <f t="shared" si="37"/>
        <v>4420</v>
      </c>
      <c r="G234" s="2"/>
      <c r="H234" s="7" t="s">
        <v>1171</v>
      </c>
      <c r="I234" s="13">
        <v>4000</v>
      </c>
      <c r="J234" s="13">
        <f t="shared" si="38"/>
        <v>4000</v>
      </c>
      <c r="K234" s="13">
        <f t="shared" si="39"/>
        <v>420</v>
      </c>
      <c r="L234" s="14">
        <f t="shared" si="42"/>
        <v>0.105</v>
      </c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2.2000000000000002</v>
      </c>
      <c r="B235" s="10" t="s">
        <v>17</v>
      </c>
      <c r="C235" s="11" t="s">
        <v>1172</v>
      </c>
      <c r="D235" s="13">
        <v>1800</v>
      </c>
      <c r="E235" s="13">
        <f t="shared" si="36"/>
        <v>3960.0000000000005</v>
      </c>
      <c r="F235" s="13">
        <f t="shared" si="37"/>
        <v>4375.8</v>
      </c>
      <c r="G235" s="2"/>
      <c r="H235" s="7" t="s">
        <v>1153</v>
      </c>
      <c r="I235" s="13">
        <f>3300/2.2</f>
        <v>1499.9999999999998</v>
      </c>
      <c r="J235" s="13">
        <f t="shared" si="38"/>
        <v>3299.9999999999995</v>
      </c>
      <c r="K235" s="13">
        <f t="shared" si="39"/>
        <v>1075.8000000000006</v>
      </c>
      <c r="L235" s="14">
        <f t="shared" si="42"/>
        <v>0.27166666666666678</v>
      </c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"/>
      <c r="B236" s="2"/>
      <c r="C236" s="4"/>
      <c r="D236" s="2"/>
      <c r="E236" s="2"/>
      <c r="F236" s="13"/>
      <c r="G236" s="2"/>
      <c r="H236" s="2"/>
      <c r="I236" s="2"/>
      <c r="J236" s="2"/>
      <c r="K236" s="2"/>
      <c r="L236" s="3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"/>
      <c r="B237" s="2"/>
      <c r="C237" s="4"/>
      <c r="D237" s="2"/>
      <c r="E237" s="13">
        <f t="shared" ref="E237:F237" si="43">SUM(E224:E235)</f>
        <v>88160</v>
      </c>
      <c r="F237" s="13">
        <f t="shared" si="43"/>
        <v>97416.8</v>
      </c>
      <c r="G237" s="2"/>
      <c r="H237" s="2"/>
      <c r="I237" s="2"/>
      <c r="J237" s="2"/>
      <c r="K237" s="13">
        <f>SUM(K224:K235)</f>
        <v>29023.138329004327</v>
      </c>
      <c r="L237" s="14">
        <f>K237/F237</f>
        <v>0.2979274450505901</v>
      </c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0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0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0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0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88" t="s">
        <v>47</v>
      </c>
      <c r="B242" s="89"/>
      <c r="C242" s="89"/>
      <c r="D242" s="2"/>
      <c r="E242" s="7" t="s">
        <v>1093</v>
      </c>
      <c r="F242" s="8">
        <v>46140</v>
      </c>
      <c r="G242" s="7" t="s">
        <v>106</v>
      </c>
      <c r="H242" s="2"/>
      <c r="I242" s="9" t="s">
        <v>2</v>
      </c>
      <c r="J242" s="9"/>
      <c r="K242" s="9"/>
      <c r="L242" s="3"/>
      <c r="M242" s="1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3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6" t="s">
        <v>3</v>
      </c>
      <c r="B244" s="10" t="s">
        <v>4</v>
      </c>
      <c r="C244" s="11" t="s">
        <v>5</v>
      </c>
      <c r="D244" s="10" t="s">
        <v>6</v>
      </c>
      <c r="E244" s="10" t="s">
        <v>7</v>
      </c>
      <c r="F244" s="10" t="s">
        <v>8</v>
      </c>
      <c r="G244" s="2"/>
      <c r="H244" s="2"/>
      <c r="I244" s="10" t="s">
        <v>9</v>
      </c>
      <c r="J244" s="10" t="s">
        <v>7</v>
      </c>
      <c r="K244" s="10" t="s">
        <v>10</v>
      </c>
      <c r="L244" s="3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3</v>
      </c>
      <c r="B245" s="10" t="s">
        <v>15</v>
      </c>
      <c r="C245" s="11" t="s">
        <v>27</v>
      </c>
      <c r="D245" s="13">
        <v>25000</v>
      </c>
      <c r="E245" s="13">
        <f t="shared" ref="E245:E273" si="44">A245*D245</f>
        <v>75000</v>
      </c>
      <c r="F245" s="13">
        <f t="shared" ref="F245:F272" si="45">E245*1.105</f>
        <v>82875</v>
      </c>
      <c r="G245" s="2"/>
      <c r="H245" s="2"/>
      <c r="I245" s="13">
        <v>18000</v>
      </c>
      <c r="J245" s="13">
        <f t="shared" ref="J245:J273" si="46">I245*A245</f>
        <v>54000</v>
      </c>
      <c r="K245" s="13">
        <f t="shared" ref="K245:K273" si="47">F245-J245</f>
        <v>28875</v>
      </c>
      <c r="L245" s="18">
        <f t="shared" ref="L245:L273" si="48">IFERROR(K245/E245, 0)</f>
        <v>0.38500000000000001</v>
      </c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6</v>
      </c>
      <c r="B246" s="10" t="s">
        <v>17</v>
      </c>
      <c r="C246" s="11" t="s">
        <v>40</v>
      </c>
      <c r="D246" s="13">
        <v>1500</v>
      </c>
      <c r="E246" s="13">
        <f t="shared" si="44"/>
        <v>9000</v>
      </c>
      <c r="F246" s="13">
        <f t="shared" si="45"/>
        <v>9945</v>
      </c>
      <c r="G246" s="2"/>
      <c r="H246" s="2"/>
      <c r="I246" s="13">
        <f>8000/7</f>
        <v>1142.8571428571429</v>
      </c>
      <c r="J246" s="13">
        <f t="shared" si="46"/>
        <v>6857.1428571428569</v>
      </c>
      <c r="K246" s="13">
        <f t="shared" si="47"/>
        <v>3087.8571428571431</v>
      </c>
      <c r="L246" s="18">
        <f t="shared" si="48"/>
        <v>0.34309523809523812</v>
      </c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6</v>
      </c>
      <c r="B247" s="10" t="s">
        <v>17</v>
      </c>
      <c r="C247" s="11" t="s">
        <v>48</v>
      </c>
      <c r="D247" s="13">
        <v>900</v>
      </c>
      <c r="E247" s="13">
        <f t="shared" si="44"/>
        <v>5400</v>
      </c>
      <c r="F247" s="13">
        <f t="shared" si="45"/>
        <v>5967</v>
      </c>
      <c r="G247" s="2"/>
      <c r="H247" s="2"/>
      <c r="I247" s="13">
        <f>8000/15</f>
        <v>533.33333333333337</v>
      </c>
      <c r="J247" s="13">
        <f t="shared" si="46"/>
        <v>3200</v>
      </c>
      <c r="K247" s="13">
        <f t="shared" si="47"/>
        <v>2767</v>
      </c>
      <c r="L247" s="18">
        <f t="shared" si="48"/>
        <v>0.51240740740740742</v>
      </c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8</v>
      </c>
      <c r="B248" s="10" t="s">
        <v>17</v>
      </c>
      <c r="C248" s="11" t="s">
        <v>39</v>
      </c>
      <c r="D248" s="13">
        <v>1700</v>
      </c>
      <c r="E248" s="13">
        <f t="shared" si="44"/>
        <v>13600</v>
      </c>
      <c r="F248" s="13">
        <f t="shared" si="45"/>
        <v>15028</v>
      </c>
      <c r="G248" s="2"/>
      <c r="H248" s="2"/>
      <c r="I248" s="13">
        <f>17600/15</f>
        <v>1173.3333333333333</v>
      </c>
      <c r="J248" s="13">
        <f t="shared" si="46"/>
        <v>9386.6666666666661</v>
      </c>
      <c r="K248" s="13">
        <f t="shared" si="47"/>
        <v>5641.3333333333339</v>
      </c>
      <c r="L248" s="18">
        <f t="shared" si="48"/>
        <v>0.4148039215686275</v>
      </c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3</v>
      </c>
      <c r="B249" s="10" t="s">
        <v>17</v>
      </c>
      <c r="C249" s="11" t="s">
        <v>129</v>
      </c>
      <c r="D249" s="13">
        <v>1600</v>
      </c>
      <c r="E249" s="13">
        <f t="shared" si="44"/>
        <v>4800</v>
      </c>
      <c r="F249" s="13">
        <f t="shared" si="45"/>
        <v>5304</v>
      </c>
      <c r="G249" s="2"/>
      <c r="H249" s="2"/>
      <c r="I249" s="13">
        <f>13000/11</f>
        <v>1181.8181818181818</v>
      </c>
      <c r="J249" s="13">
        <f t="shared" si="46"/>
        <v>3545.454545454545</v>
      </c>
      <c r="K249" s="13">
        <f t="shared" si="47"/>
        <v>1758.545454545455</v>
      </c>
      <c r="L249" s="18">
        <f t="shared" si="48"/>
        <v>0.36636363636363645</v>
      </c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2</v>
      </c>
      <c r="B250" s="10" t="s">
        <v>17</v>
      </c>
      <c r="C250" s="11" t="s">
        <v>82</v>
      </c>
      <c r="D250" s="13">
        <v>2200</v>
      </c>
      <c r="E250" s="13">
        <f t="shared" si="44"/>
        <v>4400</v>
      </c>
      <c r="F250" s="13">
        <f t="shared" si="45"/>
        <v>4862</v>
      </c>
      <c r="G250" s="2"/>
      <c r="H250" s="2"/>
      <c r="I250" s="13">
        <f>16000/14</f>
        <v>1142.8571428571429</v>
      </c>
      <c r="J250" s="13">
        <f t="shared" si="46"/>
        <v>2285.7142857142858</v>
      </c>
      <c r="K250" s="13">
        <f t="shared" si="47"/>
        <v>2576.2857142857142</v>
      </c>
      <c r="L250" s="18">
        <f t="shared" si="48"/>
        <v>0.58551948051948055</v>
      </c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2</v>
      </c>
      <c r="B251" s="10" t="s">
        <v>17</v>
      </c>
      <c r="C251" s="11" t="s">
        <v>99</v>
      </c>
      <c r="D251" s="13">
        <v>1500</v>
      </c>
      <c r="E251" s="13">
        <f t="shared" si="44"/>
        <v>3000</v>
      </c>
      <c r="F251" s="13">
        <f t="shared" si="45"/>
        <v>3315</v>
      </c>
      <c r="G251" s="2"/>
      <c r="H251" s="2"/>
      <c r="I251" s="13">
        <f>8000/7</f>
        <v>1142.8571428571429</v>
      </c>
      <c r="J251" s="13">
        <f t="shared" si="46"/>
        <v>2285.7142857142858</v>
      </c>
      <c r="K251" s="13">
        <f t="shared" si="47"/>
        <v>1029.2857142857142</v>
      </c>
      <c r="L251" s="18">
        <f t="shared" si="48"/>
        <v>0.34309523809523806</v>
      </c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</v>
      </c>
      <c r="B252" s="10" t="s">
        <v>21</v>
      </c>
      <c r="C252" s="11" t="s">
        <v>64</v>
      </c>
      <c r="D252" s="13">
        <v>2500</v>
      </c>
      <c r="E252" s="13">
        <f t="shared" si="44"/>
        <v>2500</v>
      </c>
      <c r="F252" s="13">
        <f t="shared" si="45"/>
        <v>2762.5</v>
      </c>
      <c r="G252" s="2"/>
      <c r="H252" s="2"/>
      <c r="I252" s="13">
        <v>1000</v>
      </c>
      <c r="J252" s="13">
        <f t="shared" si="46"/>
        <v>1000</v>
      </c>
      <c r="K252" s="13">
        <f t="shared" si="47"/>
        <v>1762.5</v>
      </c>
      <c r="L252" s="18">
        <f t="shared" si="48"/>
        <v>0.70499999999999996</v>
      </c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1</v>
      </c>
      <c r="B253" s="10" t="s">
        <v>17</v>
      </c>
      <c r="C253" s="11" t="s">
        <v>35</v>
      </c>
      <c r="D253" s="13">
        <v>2500</v>
      </c>
      <c r="E253" s="13">
        <f t="shared" si="44"/>
        <v>2500</v>
      </c>
      <c r="F253" s="13">
        <f t="shared" si="45"/>
        <v>2762.5</v>
      </c>
      <c r="G253" s="2"/>
      <c r="H253" s="2"/>
      <c r="I253" s="13">
        <f>14000/9</f>
        <v>1555.5555555555557</v>
      </c>
      <c r="J253" s="13">
        <f t="shared" si="46"/>
        <v>1555.5555555555557</v>
      </c>
      <c r="K253" s="13">
        <f t="shared" si="47"/>
        <v>1206.9444444444443</v>
      </c>
      <c r="L253" s="18">
        <f t="shared" si="48"/>
        <v>0.48277777777777775</v>
      </c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1</v>
      </c>
      <c r="B254" s="10" t="s">
        <v>17</v>
      </c>
      <c r="C254" s="11" t="s">
        <v>61</v>
      </c>
      <c r="D254" s="13">
        <v>2800</v>
      </c>
      <c r="E254" s="13">
        <f t="shared" si="44"/>
        <v>2800</v>
      </c>
      <c r="F254" s="13">
        <f t="shared" si="45"/>
        <v>3094</v>
      </c>
      <c r="G254" s="2"/>
      <c r="H254" s="2"/>
      <c r="I254" s="13">
        <f>24000/14</f>
        <v>1714.2857142857142</v>
      </c>
      <c r="J254" s="13">
        <f t="shared" si="46"/>
        <v>1714.2857142857142</v>
      </c>
      <c r="K254" s="13">
        <f t="shared" si="47"/>
        <v>1379.7142857142858</v>
      </c>
      <c r="L254" s="18">
        <f t="shared" si="48"/>
        <v>0.49275510204081635</v>
      </c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1</v>
      </c>
      <c r="B255" s="10" t="s">
        <v>17</v>
      </c>
      <c r="C255" s="11" t="s">
        <v>31</v>
      </c>
      <c r="D255" s="13">
        <v>2800</v>
      </c>
      <c r="E255" s="13">
        <f t="shared" si="44"/>
        <v>2800</v>
      </c>
      <c r="F255" s="13">
        <f t="shared" si="45"/>
        <v>3094</v>
      </c>
      <c r="G255" s="2"/>
      <c r="H255" s="2"/>
      <c r="I255" s="13">
        <f>1928</f>
        <v>1928</v>
      </c>
      <c r="J255" s="13">
        <f t="shared" si="46"/>
        <v>1928</v>
      </c>
      <c r="K255" s="13">
        <f t="shared" si="47"/>
        <v>1166</v>
      </c>
      <c r="L255" s="18">
        <f t="shared" si="48"/>
        <v>0.41642857142857143</v>
      </c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0.5</v>
      </c>
      <c r="B256" s="10" t="s">
        <v>17</v>
      </c>
      <c r="C256" s="11" t="s">
        <v>32</v>
      </c>
      <c r="D256" s="13">
        <v>2400</v>
      </c>
      <c r="E256" s="13">
        <f t="shared" si="44"/>
        <v>1200</v>
      </c>
      <c r="F256" s="13">
        <f t="shared" si="45"/>
        <v>1326</v>
      </c>
      <c r="G256" s="2"/>
      <c r="H256" s="2"/>
      <c r="I256" s="13">
        <f>12000/7</f>
        <v>1714.2857142857142</v>
      </c>
      <c r="J256" s="13">
        <f t="shared" si="46"/>
        <v>857.14285714285711</v>
      </c>
      <c r="K256" s="13">
        <f t="shared" si="47"/>
        <v>468.85714285714289</v>
      </c>
      <c r="L256" s="18">
        <f t="shared" si="48"/>
        <v>0.39071428571428574</v>
      </c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0.5</v>
      </c>
      <c r="B257" s="10" t="s">
        <v>17</v>
      </c>
      <c r="C257" s="11" t="s">
        <v>33</v>
      </c>
      <c r="D257" s="13">
        <v>3000</v>
      </c>
      <c r="E257" s="13">
        <f t="shared" si="44"/>
        <v>1500</v>
      </c>
      <c r="F257" s="13">
        <f t="shared" si="45"/>
        <v>1657.5</v>
      </c>
      <c r="G257" s="2"/>
      <c r="H257" s="2"/>
      <c r="I257" s="13">
        <f>15000/7</f>
        <v>2142.8571428571427</v>
      </c>
      <c r="J257" s="13">
        <f t="shared" si="46"/>
        <v>1071.4285714285713</v>
      </c>
      <c r="K257" s="13">
        <f t="shared" si="47"/>
        <v>586.07142857142867</v>
      </c>
      <c r="L257" s="18">
        <f t="shared" si="48"/>
        <v>0.39071428571428579</v>
      </c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2</v>
      </c>
      <c r="B258" s="10" t="s">
        <v>4</v>
      </c>
      <c r="C258" s="11" t="s">
        <v>14</v>
      </c>
      <c r="D258" s="13">
        <v>3200</v>
      </c>
      <c r="E258" s="13">
        <f t="shared" si="44"/>
        <v>6400</v>
      </c>
      <c r="F258" s="13">
        <f t="shared" si="45"/>
        <v>7072</v>
      </c>
      <c r="G258" s="2"/>
      <c r="H258" s="2"/>
      <c r="I258" s="13">
        <f>20000/8</f>
        <v>2500</v>
      </c>
      <c r="J258" s="13">
        <f t="shared" si="46"/>
        <v>5000</v>
      </c>
      <c r="K258" s="13">
        <f t="shared" si="47"/>
        <v>2072</v>
      </c>
      <c r="L258" s="18">
        <f t="shared" si="48"/>
        <v>0.32374999999999998</v>
      </c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1</v>
      </c>
      <c r="B259" s="10" t="s">
        <v>17</v>
      </c>
      <c r="C259" s="11" t="s">
        <v>43</v>
      </c>
      <c r="D259" s="13">
        <v>4500</v>
      </c>
      <c r="E259" s="13">
        <f t="shared" si="44"/>
        <v>4500</v>
      </c>
      <c r="F259" s="13">
        <f t="shared" si="45"/>
        <v>4972.5</v>
      </c>
      <c r="G259" s="2"/>
      <c r="H259" s="2"/>
      <c r="I259" s="13">
        <f>15000/4</f>
        <v>3750</v>
      </c>
      <c r="J259" s="13">
        <f t="shared" si="46"/>
        <v>3750</v>
      </c>
      <c r="K259" s="13">
        <f t="shared" si="47"/>
        <v>1222.5</v>
      </c>
      <c r="L259" s="18">
        <f t="shared" si="48"/>
        <v>0.27166666666666667</v>
      </c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1</v>
      </c>
      <c r="B260" s="10" t="s">
        <v>17</v>
      </c>
      <c r="C260" s="11" t="s">
        <v>36</v>
      </c>
      <c r="D260" s="13">
        <v>1800</v>
      </c>
      <c r="E260" s="13">
        <f t="shared" si="44"/>
        <v>1800</v>
      </c>
      <c r="F260" s="13">
        <f t="shared" si="45"/>
        <v>1989</v>
      </c>
      <c r="G260" s="2"/>
      <c r="H260" s="2"/>
      <c r="I260" s="13">
        <v>800</v>
      </c>
      <c r="J260" s="13">
        <f t="shared" si="46"/>
        <v>800</v>
      </c>
      <c r="K260" s="13">
        <f t="shared" si="47"/>
        <v>1189</v>
      </c>
      <c r="L260" s="18">
        <f t="shared" si="48"/>
        <v>0.66055555555555556</v>
      </c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2">
        <v>1</v>
      </c>
      <c r="B261" s="10" t="s">
        <v>17</v>
      </c>
      <c r="C261" s="11" t="s">
        <v>38</v>
      </c>
      <c r="D261" s="13">
        <v>1800</v>
      </c>
      <c r="E261" s="13">
        <f t="shared" si="44"/>
        <v>1800</v>
      </c>
      <c r="F261" s="13">
        <f t="shared" si="45"/>
        <v>1989</v>
      </c>
      <c r="G261" s="2"/>
      <c r="H261" s="2"/>
      <c r="I261" s="13">
        <v>1250</v>
      </c>
      <c r="J261" s="13">
        <f t="shared" si="46"/>
        <v>1250</v>
      </c>
      <c r="K261" s="13">
        <f t="shared" si="47"/>
        <v>739</v>
      </c>
      <c r="L261" s="18">
        <f t="shared" si="48"/>
        <v>0.41055555555555556</v>
      </c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2">
        <v>12</v>
      </c>
      <c r="B262" s="10" t="s">
        <v>21</v>
      </c>
      <c r="C262" s="11" t="s">
        <v>46</v>
      </c>
      <c r="D262" s="13">
        <v>800</v>
      </c>
      <c r="E262" s="13">
        <f t="shared" si="44"/>
        <v>9600</v>
      </c>
      <c r="F262" s="13">
        <f t="shared" si="45"/>
        <v>10608</v>
      </c>
      <c r="G262" s="2"/>
      <c r="H262" s="2"/>
      <c r="I262" s="13">
        <f>14000/24</f>
        <v>583.33333333333337</v>
      </c>
      <c r="J262" s="13">
        <f t="shared" si="46"/>
        <v>7000</v>
      </c>
      <c r="K262" s="13">
        <f t="shared" si="47"/>
        <v>3608</v>
      </c>
      <c r="L262" s="18">
        <f t="shared" si="48"/>
        <v>0.37583333333333335</v>
      </c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2">
        <v>3</v>
      </c>
      <c r="B263" s="10" t="s">
        <v>4</v>
      </c>
      <c r="C263" s="11" t="s">
        <v>65</v>
      </c>
      <c r="D263" s="13">
        <v>1800</v>
      </c>
      <c r="E263" s="13">
        <f t="shared" si="44"/>
        <v>5400</v>
      </c>
      <c r="F263" s="13">
        <f t="shared" si="45"/>
        <v>5967</v>
      </c>
      <c r="G263" s="2"/>
      <c r="H263" s="2"/>
      <c r="I263" s="13">
        <f>70000/60</f>
        <v>1166.6666666666667</v>
      </c>
      <c r="J263" s="13">
        <f t="shared" si="46"/>
        <v>3500</v>
      </c>
      <c r="K263" s="13">
        <f t="shared" si="47"/>
        <v>2467</v>
      </c>
      <c r="L263" s="18">
        <f t="shared" si="48"/>
        <v>0.45685185185185184</v>
      </c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2">
        <v>0.8</v>
      </c>
      <c r="B264" s="10" t="s">
        <v>21</v>
      </c>
      <c r="C264" s="11" t="s">
        <v>52</v>
      </c>
      <c r="D264" s="13">
        <v>2000</v>
      </c>
      <c r="E264" s="13">
        <f t="shared" si="44"/>
        <v>1600</v>
      </c>
      <c r="F264" s="13">
        <f t="shared" si="45"/>
        <v>1768</v>
      </c>
      <c r="G264" s="2"/>
      <c r="H264" s="2"/>
      <c r="I264" s="13">
        <v>1000</v>
      </c>
      <c r="J264" s="13">
        <f t="shared" si="46"/>
        <v>800</v>
      </c>
      <c r="K264" s="13">
        <f t="shared" si="47"/>
        <v>968</v>
      </c>
      <c r="L264" s="18">
        <f t="shared" si="48"/>
        <v>0.60499999999999998</v>
      </c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2">
        <v>0.8</v>
      </c>
      <c r="B265" s="10" t="s">
        <v>17</v>
      </c>
      <c r="C265" s="11" t="s">
        <v>93</v>
      </c>
      <c r="D265" s="13">
        <v>3000</v>
      </c>
      <c r="E265" s="13">
        <f t="shared" si="44"/>
        <v>2400</v>
      </c>
      <c r="F265" s="13">
        <f t="shared" si="45"/>
        <v>2652</v>
      </c>
      <c r="G265" s="2"/>
      <c r="H265" s="2"/>
      <c r="I265" s="13">
        <f>10000/7</f>
        <v>1428.5714285714287</v>
      </c>
      <c r="J265" s="13">
        <f t="shared" si="46"/>
        <v>1142.8571428571429</v>
      </c>
      <c r="K265" s="13">
        <f t="shared" si="47"/>
        <v>1509.1428571428571</v>
      </c>
      <c r="L265" s="82">
        <f t="shared" si="48"/>
        <v>0.62880952380952382</v>
      </c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2">
        <v>1</v>
      </c>
      <c r="B266" s="10" t="s">
        <v>23</v>
      </c>
      <c r="C266" s="11" t="s">
        <v>26</v>
      </c>
      <c r="D266" s="13">
        <v>19000</v>
      </c>
      <c r="E266" s="13">
        <f t="shared" si="44"/>
        <v>19000</v>
      </c>
      <c r="F266" s="13">
        <f t="shared" si="45"/>
        <v>20995</v>
      </c>
      <c r="G266" s="2"/>
      <c r="H266" s="2"/>
      <c r="I266" s="13">
        <v>14000</v>
      </c>
      <c r="J266" s="13">
        <f t="shared" si="46"/>
        <v>14000</v>
      </c>
      <c r="K266" s="13">
        <f t="shared" si="47"/>
        <v>6995</v>
      </c>
      <c r="L266" s="18">
        <f t="shared" si="48"/>
        <v>0.36815789473684213</v>
      </c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2">
        <v>4</v>
      </c>
      <c r="B267" s="10" t="s">
        <v>17</v>
      </c>
      <c r="C267" s="11" t="s">
        <v>123</v>
      </c>
      <c r="D267" s="13">
        <v>2800</v>
      </c>
      <c r="E267" s="13">
        <f t="shared" si="44"/>
        <v>11200</v>
      </c>
      <c r="F267" s="13">
        <f t="shared" si="45"/>
        <v>12376</v>
      </c>
      <c r="G267" s="2"/>
      <c r="H267" s="2"/>
      <c r="I267" s="13">
        <f>28000/15</f>
        <v>1866.6666666666667</v>
      </c>
      <c r="J267" s="13">
        <f t="shared" si="46"/>
        <v>7466.666666666667</v>
      </c>
      <c r="K267" s="13">
        <f t="shared" si="47"/>
        <v>4909.333333333333</v>
      </c>
      <c r="L267" s="18">
        <f t="shared" si="48"/>
        <v>0.4383333333333333</v>
      </c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2">
        <v>3</v>
      </c>
      <c r="B268" s="10" t="s">
        <v>17</v>
      </c>
      <c r="C268" s="11" t="s">
        <v>24</v>
      </c>
      <c r="D268" s="13">
        <v>3600</v>
      </c>
      <c r="E268" s="13">
        <f t="shared" si="44"/>
        <v>10800</v>
      </c>
      <c r="F268" s="13">
        <f t="shared" si="45"/>
        <v>11934</v>
      </c>
      <c r="G268" s="2"/>
      <c r="H268" s="2"/>
      <c r="I268" s="13">
        <f>50000/17</f>
        <v>2941.1764705882351</v>
      </c>
      <c r="J268" s="13">
        <f t="shared" si="46"/>
        <v>8823.5294117647063</v>
      </c>
      <c r="K268" s="13">
        <f t="shared" si="47"/>
        <v>3110.4705882352937</v>
      </c>
      <c r="L268" s="18">
        <f t="shared" si="48"/>
        <v>0.28800653594771236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2">
        <v>3</v>
      </c>
      <c r="B269" s="10" t="s">
        <v>17</v>
      </c>
      <c r="C269" s="11" t="s">
        <v>25</v>
      </c>
      <c r="D269" s="13">
        <v>4500</v>
      </c>
      <c r="E269" s="13">
        <f t="shared" si="44"/>
        <v>13500</v>
      </c>
      <c r="F269" s="13">
        <f t="shared" si="45"/>
        <v>14917.5</v>
      </c>
      <c r="G269" s="2"/>
      <c r="H269" s="2"/>
      <c r="I269" s="13">
        <f>47000/17</f>
        <v>2764.705882352941</v>
      </c>
      <c r="J269" s="13">
        <f t="shared" si="46"/>
        <v>8294.1176470588234</v>
      </c>
      <c r="K269" s="13">
        <f t="shared" si="47"/>
        <v>6623.3823529411766</v>
      </c>
      <c r="L269" s="18">
        <f t="shared" si="48"/>
        <v>0.49062091503267974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2">
        <v>2</v>
      </c>
      <c r="B270" s="10" t="s">
        <v>17</v>
      </c>
      <c r="C270" s="11" t="s">
        <v>49</v>
      </c>
      <c r="D270" s="13">
        <v>2800</v>
      </c>
      <c r="E270" s="13">
        <f t="shared" si="44"/>
        <v>5600</v>
      </c>
      <c r="F270" s="13">
        <f t="shared" si="45"/>
        <v>6188</v>
      </c>
      <c r="G270" s="2"/>
      <c r="H270" s="2"/>
      <c r="I270" s="13">
        <f>35000/17</f>
        <v>2058.8235294117649</v>
      </c>
      <c r="J270" s="13">
        <f t="shared" si="46"/>
        <v>4117.6470588235297</v>
      </c>
      <c r="K270" s="13">
        <f t="shared" si="47"/>
        <v>2070.3529411764703</v>
      </c>
      <c r="L270" s="18">
        <f t="shared" si="48"/>
        <v>0.36970588235294111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2">
        <v>1</v>
      </c>
      <c r="B271" s="10" t="s">
        <v>17</v>
      </c>
      <c r="C271" s="11" t="s">
        <v>62</v>
      </c>
      <c r="D271" s="13">
        <v>2800</v>
      </c>
      <c r="E271" s="13">
        <f t="shared" si="44"/>
        <v>2800</v>
      </c>
      <c r="F271" s="13">
        <f t="shared" si="45"/>
        <v>3094</v>
      </c>
      <c r="G271" s="2"/>
      <c r="H271" s="2"/>
      <c r="I271" s="13">
        <f>27000/17</f>
        <v>1588.2352941176471</v>
      </c>
      <c r="J271" s="13">
        <f t="shared" si="46"/>
        <v>1588.2352941176471</v>
      </c>
      <c r="K271" s="13">
        <f t="shared" si="47"/>
        <v>1505.7647058823529</v>
      </c>
      <c r="L271" s="18">
        <f t="shared" si="48"/>
        <v>0.53777310924369748</v>
      </c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2">
        <v>1</v>
      </c>
      <c r="B272" s="10" t="s">
        <v>17</v>
      </c>
      <c r="C272" s="11" t="s">
        <v>89</v>
      </c>
      <c r="D272" s="13">
        <v>13500</v>
      </c>
      <c r="E272" s="13">
        <f t="shared" si="44"/>
        <v>13500</v>
      </c>
      <c r="F272" s="13">
        <f t="shared" si="45"/>
        <v>14917.5</v>
      </c>
      <c r="G272" s="2"/>
      <c r="H272" s="2"/>
      <c r="I272" s="13">
        <f>58000/5</f>
        <v>11600</v>
      </c>
      <c r="J272" s="13">
        <f t="shared" si="46"/>
        <v>11600</v>
      </c>
      <c r="K272" s="13">
        <f t="shared" si="47"/>
        <v>3317.5</v>
      </c>
      <c r="L272" s="18">
        <f t="shared" si="48"/>
        <v>0.24574074074074073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2">
        <v>0.5</v>
      </c>
      <c r="B273" s="10" t="s">
        <v>23</v>
      </c>
      <c r="C273" s="11" t="s">
        <v>12</v>
      </c>
      <c r="D273" s="13">
        <v>54000</v>
      </c>
      <c r="E273" s="13">
        <f t="shared" si="44"/>
        <v>27000</v>
      </c>
      <c r="F273" s="13">
        <f>E273*1.21</f>
        <v>32670</v>
      </c>
      <c r="G273" s="2"/>
      <c r="H273" s="2"/>
      <c r="I273" s="13">
        <v>54000</v>
      </c>
      <c r="J273" s="13">
        <f t="shared" si="46"/>
        <v>27000</v>
      </c>
      <c r="K273" s="13">
        <f t="shared" si="47"/>
        <v>5670</v>
      </c>
      <c r="L273" s="18">
        <f t="shared" si="48"/>
        <v>0.21</v>
      </c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"/>
      <c r="B274" s="2"/>
      <c r="C274" s="4"/>
      <c r="D274" s="2"/>
      <c r="E274" s="2"/>
      <c r="F274" s="2"/>
      <c r="G274" s="2"/>
      <c r="H274" s="2"/>
      <c r="I274" s="2"/>
      <c r="J274" s="2"/>
      <c r="K274" s="2"/>
      <c r="L274" s="3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"/>
      <c r="B275" s="2"/>
      <c r="C275" s="4"/>
      <c r="D275" s="2"/>
      <c r="E275" s="13">
        <f t="shared" ref="E275:F275" si="49">SUM(E245:E273)</f>
        <v>265400</v>
      </c>
      <c r="F275" s="13">
        <f t="shared" si="49"/>
        <v>296102</v>
      </c>
      <c r="G275" s="2"/>
      <c r="H275" s="2"/>
      <c r="I275" s="2"/>
      <c r="J275" s="2"/>
      <c r="K275" s="13">
        <f>SUM(K245:K273)</f>
        <v>100281.84143960616</v>
      </c>
      <c r="L275" s="18">
        <f>K275/F275</f>
        <v>0.33867329987506384</v>
      </c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2"/>
      <c r="C276" s="4"/>
      <c r="D276" s="2"/>
      <c r="E276" s="2"/>
      <c r="F276" s="13"/>
      <c r="G276" s="4"/>
      <c r="H276" s="2"/>
      <c r="I276" s="2"/>
      <c r="J276" s="2"/>
      <c r="K276" s="2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6"/>
      <c r="B277" s="6"/>
      <c r="C277" s="6"/>
      <c r="D277" s="2"/>
      <c r="E277" s="7"/>
      <c r="F277" s="8"/>
      <c r="G277" s="7"/>
      <c r="H277" s="2"/>
      <c r="I277" s="9"/>
      <c r="J277" s="9"/>
      <c r="K277" s="9"/>
      <c r="L277" s="3"/>
      <c r="M277" s="1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88" t="s">
        <v>50</v>
      </c>
      <c r="B278" s="89"/>
      <c r="C278" s="89"/>
      <c r="D278" s="2"/>
      <c r="E278" s="7" t="s">
        <v>1093</v>
      </c>
      <c r="F278" s="8">
        <v>46140</v>
      </c>
      <c r="G278" s="7" t="s">
        <v>106</v>
      </c>
      <c r="H278" s="2"/>
      <c r="I278" s="9" t="s">
        <v>2</v>
      </c>
      <c r="J278" s="9"/>
      <c r="K278" s="9"/>
      <c r="L278" s="3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3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6" t="s">
        <v>3</v>
      </c>
      <c r="B280" s="10" t="s">
        <v>4</v>
      </c>
      <c r="C280" s="11" t="s">
        <v>5</v>
      </c>
      <c r="D280" s="10" t="s">
        <v>6</v>
      </c>
      <c r="E280" s="10" t="s">
        <v>7</v>
      </c>
      <c r="F280" s="10" t="s">
        <v>8</v>
      </c>
      <c r="G280" s="2"/>
      <c r="H280" s="2"/>
      <c r="I280" s="10" t="s">
        <v>9</v>
      </c>
      <c r="J280" s="10" t="s">
        <v>7</v>
      </c>
      <c r="K280" s="10" t="s">
        <v>10</v>
      </c>
      <c r="L280" s="3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1</v>
      </c>
      <c r="B281" s="10" t="s">
        <v>21</v>
      </c>
      <c r="C281" s="11" t="s">
        <v>51</v>
      </c>
      <c r="D281" s="13">
        <v>1000</v>
      </c>
      <c r="E281" s="13">
        <f t="shared" ref="E281:E312" si="50">A281*D281</f>
        <v>1000</v>
      </c>
      <c r="F281" s="13">
        <f t="shared" ref="F281:F311" si="51">E281*1.105</f>
        <v>1105</v>
      </c>
      <c r="G281" s="2"/>
      <c r="H281" s="2"/>
      <c r="I281" s="13"/>
      <c r="J281" s="13">
        <f t="shared" ref="J281:J312" si="52">I281*A281</f>
        <v>0</v>
      </c>
      <c r="K281" s="13">
        <f t="shared" ref="K281:K312" si="53">F281-J281</f>
        <v>1105</v>
      </c>
      <c r="L281" s="18">
        <f t="shared" ref="L281:L312" si="54">IFERROR(K281/E281, 0)</f>
        <v>1.105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1</v>
      </c>
      <c r="B282" s="10" t="s">
        <v>4</v>
      </c>
      <c r="C282" s="11" t="s">
        <v>64</v>
      </c>
      <c r="D282" s="13">
        <v>2500</v>
      </c>
      <c r="E282" s="13">
        <f t="shared" si="50"/>
        <v>2500</v>
      </c>
      <c r="F282" s="13">
        <f t="shared" si="51"/>
        <v>2762.5</v>
      </c>
      <c r="G282" s="2"/>
      <c r="H282" s="2"/>
      <c r="I282" s="13">
        <v>1000</v>
      </c>
      <c r="J282" s="13">
        <f t="shared" si="52"/>
        <v>1000</v>
      </c>
      <c r="K282" s="13">
        <f t="shared" si="53"/>
        <v>1762.5</v>
      </c>
      <c r="L282" s="18">
        <f t="shared" si="54"/>
        <v>0.70499999999999996</v>
      </c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5</v>
      </c>
      <c r="B283" s="10" t="s">
        <v>17</v>
      </c>
      <c r="C283" s="11" t="s">
        <v>62</v>
      </c>
      <c r="D283" s="13">
        <v>2800</v>
      </c>
      <c r="E283" s="13">
        <f t="shared" si="50"/>
        <v>14000</v>
      </c>
      <c r="F283" s="13">
        <f t="shared" si="51"/>
        <v>15470</v>
      </c>
      <c r="G283" s="2"/>
      <c r="H283" s="2"/>
      <c r="I283" s="13">
        <f>27000/17</f>
        <v>1588.2352941176471</v>
      </c>
      <c r="J283" s="13">
        <f t="shared" si="52"/>
        <v>7941.1764705882351</v>
      </c>
      <c r="K283" s="13">
        <f t="shared" si="53"/>
        <v>7528.8235294117649</v>
      </c>
      <c r="L283" s="18">
        <f t="shared" si="54"/>
        <v>0.53777310924369748</v>
      </c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2</v>
      </c>
      <c r="B284" s="10" t="s">
        <v>17</v>
      </c>
      <c r="C284" s="11" t="s">
        <v>129</v>
      </c>
      <c r="D284" s="13">
        <v>1600</v>
      </c>
      <c r="E284" s="13">
        <f t="shared" si="50"/>
        <v>3200</v>
      </c>
      <c r="F284" s="13">
        <f t="shared" si="51"/>
        <v>3536</v>
      </c>
      <c r="G284" s="2"/>
      <c r="H284" s="2"/>
      <c r="I284" s="13">
        <f>13000/11</f>
        <v>1181.8181818181818</v>
      </c>
      <c r="J284" s="13">
        <f t="shared" si="52"/>
        <v>2363.6363636363635</v>
      </c>
      <c r="K284" s="13">
        <f t="shared" si="53"/>
        <v>1172.3636363636365</v>
      </c>
      <c r="L284" s="18">
        <f t="shared" si="54"/>
        <v>0.36636363636363639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1</v>
      </c>
      <c r="B285" s="10" t="s">
        <v>17</v>
      </c>
      <c r="C285" s="11" t="s">
        <v>99</v>
      </c>
      <c r="D285" s="13">
        <v>1500</v>
      </c>
      <c r="E285" s="13">
        <f t="shared" si="50"/>
        <v>1500</v>
      </c>
      <c r="F285" s="13">
        <f t="shared" si="51"/>
        <v>1657.5</v>
      </c>
      <c r="G285" s="2"/>
      <c r="H285" s="2"/>
      <c r="I285" s="13">
        <f>8000/7</f>
        <v>1142.8571428571429</v>
      </c>
      <c r="J285" s="13">
        <f t="shared" si="52"/>
        <v>1142.8571428571429</v>
      </c>
      <c r="K285" s="13">
        <f t="shared" si="53"/>
        <v>514.64285714285711</v>
      </c>
      <c r="L285" s="18">
        <f t="shared" si="54"/>
        <v>0.34309523809523806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3</v>
      </c>
      <c r="B286" s="10" t="s">
        <v>15</v>
      </c>
      <c r="C286" s="11" t="s">
        <v>27</v>
      </c>
      <c r="D286" s="13">
        <v>25000</v>
      </c>
      <c r="E286" s="13">
        <f t="shared" si="50"/>
        <v>75000</v>
      </c>
      <c r="F286" s="13">
        <f t="shared" si="51"/>
        <v>82875</v>
      </c>
      <c r="G286" s="2"/>
      <c r="H286" s="2"/>
      <c r="I286" s="13">
        <v>18000</v>
      </c>
      <c r="J286" s="13">
        <f t="shared" si="52"/>
        <v>54000</v>
      </c>
      <c r="K286" s="13">
        <f t="shared" si="53"/>
        <v>28875</v>
      </c>
      <c r="L286" s="18">
        <f t="shared" si="54"/>
        <v>0.38500000000000001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1</v>
      </c>
      <c r="B287" s="10" t="s">
        <v>4</v>
      </c>
      <c r="C287" s="11" t="s">
        <v>14</v>
      </c>
      <c r="D287" s="13">
        <v>3200</v>
      </c>
      <c r="E287" s="13">
        <f t="shared" si="50"/>
        <v>3200</v>
      </c>
      <c r="F287" s="13">
        <f t="shared" si="51"/>
        <v>3536</v>
      </c>
      <c r="G287" s="2"/>
      <c r="H287" s="2"/>
      <c r="I287" s="13">
        <f>20000/8</f>
        <v>2500</v>
      </c>
      <c r="J287" s="13">
        <f t="shared" si="52"/>
        <v>2500</v>
      </c>
      <c r="K287" s="13">
        <f t="shared" si="53"/>
        <v>1036</v>
      </c>
      <c r="L287" s="18">
        <f t="shared" si="54"/>
        <v>0.32374999999999998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8</v>
      </c>
      <c r="B288" s="10" t="s">
        <v>17</v>
      </c>
      <c r="C288" s="11" t="s">
        <v>48</v>
      </c>
      <c r="D288" s="13">
        <v>900</v>
      </c>
      <c r="E288" s="13">
        <f t="shared" si="50"/>
        <v>7200</v>
      </c>
      <c r="F288" s="13">
        <f t="shared" si="51"/>
        <v>7956</v>
      </c>
      <c r="G288" s="2"/>
      <c r="H288" s="2"/>
      <c r="I288" s="13">
        <f>8000/15</f>
        <v>533.33333333333337</v>
      </c>
      <c r="J288" s="13">
        <f t="shared" si="52"/>
        <v>4266.666666666667</v>
      </c>
      <c r="K288" s="13">
        <f t="shared" si="53"/>
        <v>3689.333333333333</v>
      </c>
      <c r="L288" s="18">
        <f t="shared" si="54"/>
        <v>0.51240740740740731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4</v>
      </c>
      <c r="B289" s="10" t="s">
        <v>17</v>
      </c>
      <c r="C289" s="11" t="s">
        <v>56</v>
      </c>
      <c r="D289" s="13">
        <v>1200</v>
      </c>
      <c r="E289" s="13">
        <f t="shared" si="50"/>
        <v>4800</v>
      </c>
      <c r="F289" s="13">
        <f t="shared" si="51"/>
        <v>5304</v>
      </c>
      <c r="G289" s="2"/>
      <c r="H289" s="2"/>
      <c r="I289" s="13">
        <f>10000/15</f>
        <v>666.66666666666663</v>
      </c>
      <c r="J289" s="13">
        <f t="shared" si="52"/>
        <v>2666.6666666666665</v>
      </c>
      <c r="K289" s="13">
        <f t="shared" si="53"/>
        <v>2637.3333333333335</v>
      </c>
      <c r="L289" s="18">
        <f t="shared" si="54"/>
        <v>0.54944444444444451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2">
        <v>1</v>
      </c>
      <c r="B290" s="10" t="s">
        <v>21</v>
      </c>
      <c r="C290" s="11" t="s">
        <v>42</v>
      </c>
      <c r="D290" s="13">
        <v>4500</v>
      </c>
      <c r="E290" s="13">
        <f t="shared" si="50"/>
        <v>4500</v>
      </c>
      <c r="F290" s="13">
        <f t="shared" si="51"/>
        <v>4972.5</v>
      </c>
      <c r="G290" s="2"/>
      <c r="H290" s="2"/>
      <c r="I290" s="13">
        <v>3000</v>
      </c>
      <c r="J290" s="13">
        <f t="shared" si="52"/>
        <v>3000</v>
      </c>
      <c r="K290" s="13">
        <f t="shared" si="53"/>
        <v>1972.5</v>
      </c>
      <c r="L290" s="18">
        <f t="shared" si="54"/>
        <v>0.43833333333333335</v>
      </c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2">
        <v>2</v>
      </c>
      <c r="B291" s="10" t="s">
        <v>17</v>
      </c>
      <c r="C291" s="11" t="s">
        <v>18</v>
      </c>
      <c r="D291" s="13">
        <v>1600</v>
      </c>
      <c r="E291" s="13">
        <f t="shared" si="50"/>
        <v>3200</v>
      </c>
      <c r="F291" s="13">
        <f t="shared" si="51"/>
        <v>3536</v>
      </c>
      <c r="G291" s="2"/>
      <c r="H291" s="2"/>
      <c r="I291" s="13">
        <f>15000/14</f>
        <v>1071.4285714285713</v>
      </c>
      <c r="J291" s="13">
        <f t="shared" si="52"/>
        <v>2142.8571428571427</v>
      </c>
      <c r="K291" s="13">
        <f t="shared" si="53"/>
        <v>1393.1428571428573</v>
      </c>
      <c r="L291" s="18">
        <f t="shared" si="54"/>
        <v>0.43535714285714294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2">
        <v>1</v>
      </c>
      <c r="B292" s="10" t="s">
        <v>17</v>
      </c>
      <c r="C292" s="11" t="s">
        <v>93</v>
      </c>
      <c r="D292" s="13">
        <v>2800</v>
      </c>
      <c r="E292" s="13">
        <f t="shared" si="50"/>
        <v>2800</v>
      </c>
      <c r="F292" s="13">
        <f t="shared" si="51"/>
        <v>3094</v>
      </c>
      <c r="G292" s="2"/>
      <c r="H292" s="2"/>
      <c r="I292" s="13">
        <f>10000/7</f>
        <v>1428.5714285714287</v>
      </c>
      <c r="J292" s="13">
        <f t="shared" si="52"/>
        <v>1428.5714285714287</v>
      </c>
      <c r="K292" s="13">
        <f t="shared" si="53"/>
        <v>1665.4285714285713</v>
      </c>
      <c r="L292" s="82">
        <f t="shared" si="54"/>
        <v>0.59479591836734691</v>
      </c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2">
        <v>1</v>
      </c>
      <c r="B293" s="10" t="s">
        <v>21</v>
      </c>
      <c r="C293" s="11" t="s">
        <v>133</v>
      </c>
      <c r="D293" s="13">
        <v>3000</v>
      </c>
      <c r="E293" s="13">
        <f t="shared" si="50"/>
        <v>3000</v>
      </c>
      <c r="F293" s="13">
        <f t="shared" si="51"/>
        <v>3315</v>
      </c>
      <c r="G293" s="2"/>
      <c r="H293" s="2"/>
      <c r="I293" s="7">
        <v>2000</v>
      </c>
      <c r="J293" s="13">
        <f t="shared" si="52"/>
        <v>2000</v>
      </c>
      <c r="K293" s="13">
        <f t="shared" si="53"/>
        <v>1315</v>
      </c>
      <c r="L293" s="82">
        <f t="shared" si="54"/>
        <v>0.43833333333333335</v>
      </c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2">
        <v>1</v>
      </c>
      <c r="B294" s="10" t="s">
        <v>21</v>
      </c>
      <c r="C294" s="11" t="s">
        <v>52</v>
      </c>
      <c r="D294" s="13">
        <v>2000</v>
      </c>
      <c r="E294" s="13">
        <f t="shared" si="50"/>
        <v>2000</v>
      </c>
      <c r="F294" s="13">
        <f t="shared" si="51"/>
        <v>2210</v>
      </c>
      <c r="G294" s="2"/>
      <c r="H294" s="2"/>
      <c r="I294" s="7">
        <v>1000</v>
      </c>
      <c r="J294" s="13">
        <f t="shared" si="52"/>
        <v>1000</v>
      </c>
      <c r="K294" s="13">
        <f t="shared" si="53"/>
        <v>1210</v>
      </c>
      <c r="L294" s="82">
        <f t="shared" si="54"/>
        <v>0.60499999999999998</v>
      </c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2">
        <v>3</v>
      </c>
      <c r="B295" s="10" t="s">
        <v>17</v>
      </c>
      <c r="C295" s="11" t="s">
        <v>43</v>
      </c>
      <c r="D295" s="13">
        <v>4500</v>
      </c>
      <c r="E295" s="13">
        <f t="shared" si="50"/>
        <v>13500</v>
      </c>
      <c r="F295" s="13">
        <f t="shared" si="51"/>
        <v>14917.5</v>
      </c>
      <c r="G295" s="2"/>
      <c r="H295" s="2"/>
      <c r="I295" s="13">
        <f>15000/4</f>
        <v>3750</v>
      </c>
      <c r="J295" s="13">
        <f t="shared" si="52"/>
        <v>11250</v>
      </c>
      <c r="K295" s="13">
        <f t="shared" si="53"/>
        <v>3667.5</v>
      </c>
      <c r="L295" s="82">
        <f t="shared" si="54"/>
        <v>0.27166666666666667</v>
      </c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2">
        <v>0.4</v>
      </c>
      <c r="B296" s="10" t="s">
        <v>17</v>
      </c>
      <c r="C296" s="11" t="s">
        <v>88</v>
      </c>
      <c r="D296" s="13">
        <v>1400</v>
      </c>
      <c r="E296" s="13">
        <f t="shared" si="50"/>
        <v>560</v>
      </c>
      <c r="F296" s="13">
        <f t="shared" si="51"/>
        <v>618.79999999999995</v>
      </c>
      <c r="G296" s="2"/>
      <c r="H296" s="2"/>
      <c r="I296" s="7">
        <v>1000</v>
      </c>
      <c r="J296" s="13">
        <f t="shared" si="52"/>
        <v>400</v>
      </c>
      <c r="K296" s="13">
        <f t="shared" si="53"/>
        <v>218.79999999999995</v>
      </c>
      <c r="L296" s="82">
        <f t="shared" si="54"/>
        <v>0.39071428571428563</v>
      </c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5</v>
      </c>
      <c r="B297" s="10" t="s">
        <v>17</v>
      </c>
      <c r="C297" s="11" t="s">
        <v>25</v>
      </c>
      <c r="D297" s="13">
        <v>4500</v>
      </c>
      <c r="E297" s="13">
        <f t="shared" si="50"/>
        <v>22500</v>
      </c>
      <c r="F297" s="13">
        <f t="shared" si="51"/>
        <v>24862.5</v>
      </c>
      <c r="G297" s="2"/>
      <c r="H297" s="2"/>
      <c r="I297" s="2">
        <f>47000/17</f>
        <v>2764.705882352941</v>
      </c>
      <c r="J297" s="13">
        <f t="shared" si="52"/>
        <v>13823.529411764704</v>
      </c>
      <c r="K297" s="13">
        <f t="shared" si="53"/>
        <v>11038.970588235296</v>
      </c>
      <c r="L297" s="82">
        <f t="shared" si="54"/>
        <v>0.49062091503267979</v>
      </c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2">
        <v>1</v>
      </c>
      <c r="B298" s="10" t="s">
        <v>17</v>
      </c>
      <c r="C298" s="11" t="s">
        <v>31</v>
      </c>
      <c r="D298" s="13">
        <v>2800</v>
      </c>
      <c r="E298" s="13">
        <f t="shared" si="50"/>
        <v>2800</v>
      </c>
      <c r="F298" s="13">
        <f t="shared" si="51"/>
        <v>3094</v>
      </c>
      <c r="G298" s="2"/>
      <c r="H298" s="2"/>
      <c r="I298" s="7">
        <v>1928</v>
      </c>
      <c r="J298" s="13">
        <f t="shared" si="52"/>
        <v>1928</v>
      </c>
      <c r="K298" s="13">
        <f t="shared" si="53"/>
        <v>1166</v>
      </c>
      <c r="L298" s="82">
        <f t="shared" si="54"/>
        <v>0.41642857142857143</v>
      </c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2">
        <v>2</v>
      </c>
      <c r="B299" s="10" t="s">
        <v>23</v>
      </c>
      <c r="C299" s="11" t="s">
        <v>26</v>
      </c>
      <c r="D299" s="13">
        <v>19000</v>
      </c>
      <c r="E299" s="13">
        <f t="shared" si="50"/>
        <v>38000</v>
      </c>
      <c r="F299" s="13">
        <f t="shared" si="51"/>
        <v>41990</v>
      </c>
      <c r="G299" s="2"/>
      <c r="H299" s="2"/>
      <c r="I299" s="7">
        <v>14000</v>
      </c>
      <c r="J299" s="13">
        <f t="shared" si="52"/>
        <v>28000</v>
      </c>
      <c r="K299" s="13">
        <f t="shared" si="53"/>
        <v>13990</v>
      </c>
      <c r="L299" s="82">
        <f t="shared" si="54"/>
        <v>0.36815789473684213</v>
      </c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2">
        <v>2</v>
      </c>
      <c r="B300" s="10" t="s">
        <v>4</v>
      </c>
      <c r="C300" s="11" t="s">
        <v>65</v>
      </c>
      <c r="D300" s="13">
        <v>1800</v>
      </c>
      <c r="E300" s="13">
        <f t="shared" si="50"/>
        <v>3600</v>
      </c>
      <c r="F300" s="13">
        <f t="shared" si="51"/>
        <v>3978</v>
      </c>
      <c r="G300" s="2"/>
      <c r="H300" s="2"/>
      <c r="I300" s="13">
        <f>70000/60</f>
        <v>1166.6666666666667</v>
      </c>
      <c r="J300" s="13">
        <f t="shared" si="52"/>
        <v>2333.3333333333335</v>
      </c>
      <c r="K300" s="13">
        <f t="shared" si="53"/>
        <v>1644.6666666666665</v>
      </c>
      <c r="L300" s="82">
        <f t="shared" si="54"/>
        <v>0.45685185185185179</v>
      </c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2">
        <v>0.5</v>
      </c>
      <c r="B301" s="10" t="s">
        <v>21</v>
      </c>
      <c r="C301" s="11" t="s">
        <v>29</v>
      </c>
      <c r="D301" s="13">
        <v>3000</v>
      </c>
      <c r="E301" s="13">
        <f t="shared" si="50"/>
        <v>1500</v>
      </c>
      <c r="F301" s="13">
        <f t="shared" si="51"/>
        <v>1657.5</v>
      </c>
      <c r="G301" s="2"/>
      <c r="H301" s="2"/>
      <c r="I301" s="13">
        <v>1333.33</v>
      </c>
      <c r="J301" s="13">
        <f t="shared" si="52"/>
        <v>666.66499999999996</v>
      </c>
      <c r="K301" s="13">
        <f t="shared" si="53"/>
        <v>990.83500000000004</v>
      </c>
      <c r="L301" s="18">
        <f t="shared" si="54"/>
        <v>0.66055666666666668</v>
      </c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2">
        <v>5</v>
      </c>
      <c r="B302" s="10" t="s">
        <v>17</v>
      </c>
      <c r="C302" s="11" t="s">
        <v>123</v>
      </c>
      <c r="D302" s="13">
        <v>2800</v>
      </c>
      <c r="E302" s="13">
        <f t="shared" si="50"/>
        <v>14000</v>
      </c>
      <c r="F302" s="13">
        <f t="shared" si="51"/>
        <v>15470</v>
      </c>
      <c r="G302" s="2"/>
      <c r="H302" s="2"/>
      <c r="I302" s="13">
        <f>28000/15</f>
        <v>1866.6666666666667</v>
      </c>
      <c r="J302" s="13">
        <f t="shared" si="52"/>
        <v>9333.3333333333339</v>
      </c>
      <c r="K302" s="13">
        <f t="shared" si="53"/>
        <v>6136.6666666666661</v>
      </c>
      <c r="L302" s="18">
        <f t="shared" si="54"/>
        <v>0.4383333333333333</v>
      </c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2">
        <v>1</v>
      </c>
      <c r="B303" s="10" t="s">
        <v>17</v>
      </c>
      <c r="C303" s="11" t="s">
        <v>34</v>
      </c>
      <c r="D303" s="13">
        <v>4000</v>
      </c>
      <c r="E303" s="13">
        <f t="shared" si="50"/>
        <v>4000</v>
      </c>
      <c r="F303" s="13">
        <f t="shared" si="51"/>
        <v>4420</v>
      </c>
      <c r="G303" s="2"/>
      <c r="H303" s="2"/>
      <c r="I303" s="13">
        <v>2000</v>
      </c>
      <c r="J303" s="13">
        <f t="shared" si="52"/>
        <v>2000</v>
      </c>
      <c r="K303" s="13">
        <f t="shared" si="53"/>
        <v>2420</v>
      </c>
      <c r="L303" s="18">
        <f t="shared" si="54"/>
        <v>0.60499999999999998</v>
      </c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2">
        <v>1.2</v>
      </c>
      <c r="B304" s="10" t="s">
        <v>17</v>
      </c>
      <c r="C304" s="11" t="s">
        <v>35</v>
      </c>
      <c r="D304" s="13">
        <v>2500</v>
      </c>
      <c r="E304" s="13">
        <f t="shared" si="50"/>
        <v>3000</v>
      </c>
      <c r="F304" s="13">
        <f t="shared" si="51"/>
        <v>3315</v>
      </c>
      <c r="G304" s="2"/>
      <c r="H304" s="2"/>
      <c r="I304" s="13">
        <f>14000/9</f>
        <v>1555.5555555555557</v>
      </c>
      <c r="J304" s="13">
        <f t="shared" si="52"/>
        <v>1866.6666666666667</v>
      </c>
      <c r="K304" s="13">
        <f t="shared" si="53"/>
        <v>1448.3333333333333</v>
      </c>
      <c r="L304" s="18">
        <f t="shared" si="54"/>
        <v>0.48277777777777775</v>
      </c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2">
        <v>2.5</v>
      </c>
      <c r="B305" s="10" t="s">
        <v>17</v>
      </c>
      <c r="C305" s="11" t="s">
        <v>36</v>
      </c>
      <c r="D305" s="13">
        <v>1800</v>
      </c>
      <c r="E305" s="13">
        <f t="shared" si="50"/>
        <v>4500</v>
      </c>
      <c r="F305" s="13">
        <f t="shared" si="51"/>
        <v>4972.5</v>
      </c>
      <c r="G305" s="2"/>
      <c r="H305" s="2"/>
      <c r="I305" s="13">
        <v>800</v>
      </c>
      <c r="J305" s="13">
        <f t="shared" si="52"/>
        <v>2000</v>
      </c>
      <c r="K305" s="13">
        <f t="shared" si="53"/>
        <v>2972.5</v>
      </c>
      <c r="L305" s="18">
        <f t="shared" si="54"/>
        <v>0.66055555555555556</v>
      </c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2">
        <v>2</v>
      </c>
      <c r="B306" s="10" t="s">
        <v>17</v>
      </c>
      <c r="C306" s="11" t="s">
        <v>38</v>
      </c>
      <c r="D306" s="13">
        <v>1800</v>
      </c>
      <c r="E306" s="13">
        <f t="shared" si="50"/>
        <v>3600</v>
      </c>
      <c r="F306" s="13">
        <f t="shared" si="51"/>
        <v>3978</v>
      </c>
      <c r="G306" s="2"/>
      <c r="H306" s="2"/>
      <c r="I306" s="13">
        <v>1250</v>
      </c>
      <c r="J306" s="13">
        <f t="shared" si="52"/>
        <v>2500</v>
      </c>
      <c r="K306" s="13">
        <f t="shared" si="53"/>
        <v>1478</v>
      </c>
      <c r="L306" s="18">
        <f t="shared" si="54"/>
        <v>0.41055555555555556</v>
      </c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2">
        <v>15</v>
      </c>
      <c r="B307" s="10" t="s">
        <v>21</v>
      </c>
      <c r="C307" s="11" t="s">
        <v>46</v>
      </c>
      <c r="D307" s="13">
        <v>800</v>
      </c>
      <c r="E307" s="13">
        <f t="shared" si="50"/>
        <v>12000</v>
      </c>
      <c r="F307" s="13">
        <f t="shared" si="51"/>
        <v>13260</v>
      </c>
      <c r="G307" s="2"/>
      <c r="H307" s="2"/>
      <c r="I307" s="13">
        <f>14000/24</f>
        <v>583.33333333333337</v>
      </c>
      <c r="J307" s="13">
        <f t="shared" si="52"/>
        <v>8750</v>
      </c>
      <c r="K307" s="13">
        <f t="shared" si="53"/>
        <v>4510</v>
      </c>
      <c r="L307" s="18">
        <f t="shared" si="54"/>
        <v>0.37583333333333335</v>
      </c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2">
        <v>10</v>
      </c>
      <c r="B308" s="10" t="s">
        <v>17</v>
      </c>
      <c r="C308" s="11" t="s">
        <v>39</v>
      </c>
      <c r="D308" s="13">
        <v>1800</v>
      </c>
      <c r="E308" s="13">
        <f t="shared" si="50"/>
        <v>18000</v>
      </c>
      <c r="F308" s="13">
        <f t="shared" si="51"/>
        <v>19890</v>
      </c>
      <c r="G308" s="2"/>
      <c r="H308" s="2"/>
      <c r="I308" s="13">
        <f>17600/15</f>
        <v>1173.3333333333333</v>
      </c>
      <c r="J308" s="13">
        <f t="shared" si="52"/>
        <v>11733.333333333332</v>
      </c>
      <c r="K308" s="13">
        <f t="shared" si="53"/>
        <v>8156.6666666666679</v>
      </c>
      <c r="L308" s="18">
        <f t="shared" si="54"/>
        <v>0.45314814814814819</v>
      </c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2">
        <v>8</v>
      </c>
      <c r="B309" s="10" t="s">
        <v>17</v>
      </c>
      <c r="C309" s="11" t="s">
        <v>40</v>
      </c>
      <c r="D309" s="13">
        <v>1500</v>
      </c>
      <c r="E309" s="13">
        <f t="shared" si="50"/>
        <v>12000</v>
      </c>
      <c r="F309" s="13">
        <f t="shared" si="51"/>
        <v>13260</v>
      </c>
      <c r="G309" s="2"/>
      <c r="H309" s="2"/>
      <c r="I309" s="13">
        <f>8000/7</f>
        <v>1142.8571428571429</v>
      </c>
      <c r="J309" s="13">
        <f t="shared" si="52"/>
        <v>9142.8571428571431</v>
      </c>
      <c r="K309" s="13">
        <f t="shared" si="53"/>
        <v>4117.1428571428569</v>
      </c>
      <c r="L309" s="18">
        <f t="shared" si="54"/>
        <v>0.34309523809523806</v>
      </c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2">
        <v>2</v>
      </c>
      <c r="B310" s="10" t="s">
        <v>17</v>
      </c>
      <c r="C310" s="11" t="s">
        <v>82</v>
      </c>
      <c r="D310" s="13">
        <v>2200</v>
      </c>
      <c r="E310" s="13">
        <f t="shared" si="50"/>
        <v>4400</v>
      </c>
      <c r="F310" s="13">
        <f t="shared" si="51"/>
        <v>4862</v>
      </c>
      <c r="G310" s="2"/>
      <c r="H310" s="2"/>
      <c r="I310" s="13">
        <f t="shared" ref="I310:I311" si="55">24000/14</f>
        <v>1714.2857142857142</v>
      </c>
      <c r="J310" s="13">
        <f t="shared" si="52"/>
        <v>3428.5714285714284</v>
      </c>
      <c r="K310" s="13">
        <f t="shared" si="53"/>
        <v>1433.4285714285716</v>
      </c>
      <c r="L310" s="18">
        <f t="shared" si="54"/>
        <v>0.32577922077922083</v>
      </c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2">
        <v>1</v>
      </c>
      <c r="B311" s="10" t="s">
        <v>17</v>
      </c>
      <c r="C311" s="11" t="s">
        <v>61</v>
      </c>
      <c r="D311" s="13">
        <v>2800</v>
      </c>
      <c r="E311" s="13">
        <f t="shared" si="50"/>
        <v>2800</v>
      </c>
      <c r="F311" s="13">
        <f t="shared" si="51"/>
        <v>3094</v>
      </c>
      <c r="G311" s="2"/>
      <c r="H311" s="2"/>
      <c r="I311" s="13">
        <f t="shared" si="55"/>
        <v>1714.2857142857142</v>
      </c>
      <c r="J311" s="13">
        <f t="shared" si="52"/>
        <v>1714.2857142857142</v>
      </c>
      <c r="K311" s="13">
        <f t="shared" si="53"/>
        <v>1379.7142857142858</v>
      </c>
      <c r="L311" s="18">
        <f t="shared" si="54"/>
        <v>0.49275510204081635</v>
      </c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2">
        <v>0.5</v>
      </c>
      <c r="B312" s="10" t="s">
        <v>23</v>
      </c>
      <c r="C312" s="11" t="s">
        <v>12</v>
      </c>
      <c r="D312" s="13">
        <v>54000</v>
      </c>
      <c r="E312" s="13">
        <f t="shared" si="50"/>
        <v>27000</v>
      </c>
      <c r="F312" s="13">
        <f>E312*1.21</f>
        <v>32670</v>
      </c>
      <c r="G312" s="2"/>
      <c r="H312" s="2"/>
      <c r="I312" s="13">
        <v>54000</v>
      </c>
      <c r="J312" s="13">
        <f t="shared" si="52"/>
        <v>27000</v>
      </c>
      <c r="K312" s="13">
        <f t="shared" si="53"/>
        <v>5670</v>
      </c>
      <c r="L312" s="18">
        <f t="shared" si="54"/>
        <v>0.21</v>
      </c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"/>
      <c r="B313" s="2"/>
      <c r="C313" s="4"/>
      <c r="D313" s="2"/>
      <c r="E313" s="2"/>
      <c r="F313" s="2"/>
      <c r="G313" s="2"/>
      <c r="H313" s="2"/>
      <c r="I313" s="2"/>
      <c r="J313" s="2"/>
      <c r="K313" s="2"/>
      <c r="L313" s="3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2"/>
      <c r="C314" s="4"/>
      <c r="D314" s="2"/>
      <c r="E314" s="13">
        <f t="shared" ref="E314:F314" si="56">SUM(E281:E312)</f>
        <v>315660</v>
      </c>
      <c r="F314" s="13">
        <f t="shared" si="56"/>
        <v>351639.3</v>
      </c>
      <c r="G314" s="2"/>
      <c r="H314" s="2"/>
      <c r="I314" s="2"/>
      <c r="J314" s="2"/>
      <c r="K314" s="13">
        <f>SUM(K281:K312)</f>
        <v>128316.29275401072</v>
      </c>
      <c r="L314" s="18">
        <f>K314/F314</f>
        <v>0.36490885050109795</v>
      </c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2"/>
      <c r="C315" s="4"/>
      <c r="D315" s="2"/>
      <c r="E315" s="13"/>
      <c r="F315" s="13"/>
      <c r="G315" s="2"/>
      <c r="H315" s="2"/>
      <c r="I315" s="2"/>
      <c r="J315" s="2"/>
      <c r="K315" s="13"/>
      <c r="L315" s="14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2"/>
      <c r="C316" s="4"/>
      <c r="D316" s="2"/>
      <c r="E316" s="13"/>
      <c r="F316" s="13"/>
      <c r="G316" s="2"/>
      <c r="H316" s="2"/>
      <c r="I316" s="2"/>
      <c r="J316" s="2"/>
      <c r="K316" s="13"/>
      <c r="L316" s="1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"/>
      <c r="B317" s="2"/>
      <c r="C317" s="4"/>
      <c r="D317" s="2"/>
      <c r="E317" s="13"/>
      <c r="F317" s="13"/>
      <c r="G317" s="2"/>
      <c r="H317" s="2"/>
      <c r="I317" s="2"/>
      <c r="J317" s="2"/>
      <c r="K317" s="13"/>
      <c r="L317" s="1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6" t="s">
        <v>108</v>
      </c>
      <c r="B318" s="1"/>
      <c r="C318" s="1"/>
      <c r="D318" s="22" t="s">
        <v>92</v>
      </c>
      <c r="E318" s="8">
        <v>46140</v>
      </c>
      <c r="F318" s="24" t="s">
        <v>37</v>
      </c>
      <c r="G318" s="2"/>
      <c r="H318" s="2"/>
      <c r="I318" s="2"/>
      <c r="J318" s="2"/>
      <c r="K318" s="2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2"/>
      <c r="C319" s="4"/>
      <c r="D319" s="2"/>
      <c r="E319" s="2"/>
      <c r="F319" s="2"/>
      <c r="G319" s="2"/>
      <c r="H319" s="2"/>
      <c r="I319" s="2"/>
      <c r="J319" s="2"/>
      <c r="K319" s="2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6" t="s">
        <v>3</v>
      </c>
      <c r="B320" s="10" t="s">
        <v>4</v>
      </c>
      <c r="C320" s="11" t="s">
        <v>5</v>
      </c>
      <c r="D320" s="10" t="s">
        <v>6</v>
      </c>
      <c r="E320" s="10" t="s">
        <v>7</v>
      </c>
      <c r="F320" s="2"/>
      <c r="G320" s="2"/>
      <c r="H320" s="2"/>
      <c r="I320" s="10" t="s">
        <v>6</v>
      </c>
      <c r="J320" s="10" t="s">
        <v>7</v>
      </c>
      <c r="K320" s="10" t="s">
        <v>10</v>
      </c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2">
        <v>1</v>
      </c>
      <c r="B321" s="10" t="s">
        <v>15</v>
      </c>
      <c r="C321" s="11" t="s">
        <v>84</v>
      </c>
      <c r="D321" s="13">
        <v>23000</v>
      </c>
      <c r="E321" s="13">
        <f t="shared" ref="E321:E327" si="57">A321*D321</f>
        <v>23000</v>
      </c>
      <c r="F321" s="2"/>
      <c r="G321" s="2"/>
      <c r="H321" s="2"/>
      <c r="I321" s="13">
        <v>18000</v>
      </c>
      <c r="J321" s="13">
        <f t="shared" ref="J321:J327" si="58">I321*A321</f>
        <v>18000</v>
      </c>
      <c r="K321" s="13">
        <f t="shared" ref="K321:K327" si="59">E321-J321</f>
        <v>5000</v>
      </c>
      <c r="L321" s="14">
        <f t="shared" ref="L321:L327" si="60">K321/E321</f>
        <v>0.21739130434782608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2">
        <v>1</v>
      </c>
      <c r="B322" s="10" t="s">
        <v>15</v>
      </c>
      <c r="C322" s="11" t="s">
        <v>77</v>
      </c>
      <c r="D322" s="13">
        <v>26000</v>
      </c>
      <c r="E322" s="13">
        <f t="shared" si="57"/>
        <v>26000</v>
      </c>
      <c r="F322" s="2"/>
      <c r="G322" s="2"/>
      <c r="H322" s="2"/>
      <c r="I322" s="13">
        <v>20000</v>
      </c>
      <c r="J322" s="13">
        <f t="shared" si="58"/>
        <v>20000</v>
      </c>
      <c r="K322" s="13">
        <f t="shared" si="59"/>
        <v>6000</v>
      </c>
      <c r="L322" s="14">
        <f t="shared" si="60"/>
        <v>0.23076923076923078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2">
        <v>1</v>
      </c>
      <c r="B323" s="10" t="s">
        <v>15</v>
      </c>
      <c r="C323" s="11" t="s">
        <v>16</v>
      </c>
      <c r="D323" s="13">
        <v>13000</v>
      </c>
      <c r="E323" s="13">
        <f t="shared" si="57"/>
        <v>13000</v>
      </c>
      <c r="F323" s="2"/>
      <c r="G323" s="2"/>
      <c r="H323" s="7"/>
      <c r="I323" s="13">
        <v>8000</v>
      </c>
      <c r="J323" s="13">
        <f t="shared" si="58"/>
        <v>8000</v>
      </c>
      <c r="K323" s="13">
        <f t="shared" si="59"/>
        <v>5000</v>
      </c>
      <c r="L323" s="14">
        <f t="shared" si="60"/>
        <v>0.38461538461538464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2">
        <v>1</v>
      </c>
      <c r="B324" s="10" t="s">
        <v>23</v>
      </c>
      <c r="C324" s="11" t="s">
        <v>88</v>
      </c>
      <c r="D324" s="13">
        <v>16000</v>
      </c>
      <c r="E324" s="13">
        <f t="shared" si="57"/>
        <v>16000</v>
      </c>
      <c r="F324" s="2"/>
      <c r="G324" s="2"/>
      <c r="H324" s="2"/>
      <c r="I324" s="13">
        <v>10000</v>
      </c>
      <c r="J324" s="13">
        <f t="shared" si="58"/>
        <v>10000</v>
      </c>
      <c r="K324" s="13">
        <f t="shared" si="59"/>
        <v>6000</v>
      </c>
      <c r="L324" s="14">
        <f t="shared" si="60"/>
        <v>0.375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2">
        <v>2</v>
      </c>
      <c r="B325" s="10" t="s">
        <v>21</v>
      </c>
      <c r="C325" s="11" t="s">
        <v>42</v>
      </c>
      <c r="D325" s="13">
        <v>4000</v>
      </c>
      <c r="E325" s="13">
        <f t="shared" si="57"/>
        <v>8000</v>
      </c>
      <c r="F325" s="2"/>
      <c r="G325" s="2"/>
      <c r="H325" s="7"/>
      <c r="I325" s="13">
        <v>3000</v>
      </c>
      <c r="J325" s="13">
        <f t="shared" si="58"/>
        <v>6000</v>
      </c>
      <c r="K325" s="13">
        <f t="shared" si="59"/>
        <v>2000</v>
      </c>
      <c r="L325" s="14">
        <f t="shared" si="60"/>
        <v>0.25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2">
        <v>4</v>
      </c>
      <c r="B326" s="10" t="s">
        <v>21</v>
      </c>
      <c r="C326" s="11" t="s">
        <v>133</v>
      </c>
      <c r="D326" s="13">
        <v>3000</v>
      </c>
      <c r="E326" s="13">
        <f t="shared" si="57"/>
        <v>12000</v>
      </c>
      <c r="F326" s="2"/>
      <c r="G326" s="2"/>
      <c r="H326" s="2"/>
      <c r="I326" s="13">
        <v>2000</v>
      </c>
      <c r="J326" s="13">
        <f t="shared" si="58"/>
        <v>8000</v>
      </c>
      <c r="K326" s="13">
        <f t="shared" si="59"/>
        <v>4000</v>
      </c>
      <c r="L326" s="14">
        <f t="shared" si="60"/>
        <v>0.33333333333333331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2">
        <v>4</v>
      </c>
      <c r="B327" s="10" t="s">
        <v>21</v>
      </c>
      <c r="C327" s="11" t="s">
        <v>51</v>
      </c>
      <c r="D327" s="13">
        <v>1500</v>
      </c>
      <c r="E327" s="13">
        <f t="shared" si="57"/>
        <v>6000</v>
      </c>
      <c r="F327" s="2"/>
      <c r="G327" s="2"/>
      <c r="H327" s="2"/>
      <c r="I327" s="13"/>
      <c r="J327" s="13">
        <f t="shared" si="58"/>
        <v>0</v>
      </c>
      <c r="K327" s="13">
        <f t="shared" si="59"/>
        <v>6000</v>
      </c>
      <c r="L327" s="14">
        <f t="shared" si="60"/>
        <v>1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"/>
      <c r="B328" s="2"/>
      <c r="C328" s="4"/>
      <c r="D328" s="2"/>
      <c r="E328" s="2"/>
      <c r="F328" s="2"/>
      <c r="G328" s="4"/>
      <c r="H328" s="2"/>
      <c r="I328" s="2"/>
      <c r="J328" s="2"/>
      <c r="K328" s="2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"/>
      <c r="B329" s="2"/>
      <c r="C329" s="4"/>
      <c r="D329" s="2"/>
      <c r="E329" s="13">
        <f>SUM(E321:E327)</f>
        <v>104000</v>
      </c>
      <c r="F329" s="2"/>
      <c r="G329" s="2"/>
      <c r="H329" s="2"/>
      <c r="I329" s="2"/>
      <c r="J329" s="2"/>
      <c r="K329" s="13">
        <f>SUM(K321:K327)</f>
        <v>34000</v>
      </c>
      <c r="L329" s="14">
        <f>K329/E329</f>
        <v>0.32692307692307693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"/>
      <c r="B330" s="2"/>
      <c r="C330" s="4"/>
      <c r="D330" s="2"/>
      <c r="E330" s="13"/>
      <c r="F330" s="13"/>
      <c r="G330" s="2"/>
      <c r="H330" s="2"/>
      <c r="I330" s="2"/>
      <c r="J330" s="2"/>
      <c r="K330" s="13"/>
      <c r="L330" s="1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"/>
      <c r="B331" s="2"/>
      <c r="C331" s="4"/>
      <c r="D331" s="2"/>
      <c r="E331" s="13"/>
      <c r="F331" s="13"/>
      <c r="G331" s="2"/>
      <c r="H331" s="2"/>
      <c r="I331" s="2"/>
      <c r="J331" s="2"/>
      <c r="K331" s="13"/>
      <c r="L331" s="1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6" t="s">
        <v>174</v>
      </c>
      <c r="B332" s="25"/>
      <c r="C332" s="1"/>
      <c r="D332" s="12" t="s">
        <v>178</v>
      </c>
      <c r="E332" s="8">
        <v>46140</v>
      </c>
      <c r="F332" s="15" t="s">
        <v>37</v>
      </c>
      <c r="G332" s="2"/>
      <c r="H332" s="2"/>
      <c r="I332" s="2"/>
      <c r="J332" s="2"/>
      <c r="K332" s="2"/>
      <c r="L332" s="3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3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6" t="s">
        <v>3</v>
      </c>
      <c r="B334" s="10" t="s">
        <v>4</v>
      </c>
      <c r="C334" s="6" t="s">
        <v>5</v>
      </c>
      <c r="D334" s="10" t="s">
        <v>6</v>
      </c>
      <c r="E334" s="10" t="s">
        <v>7</v>
      </c>
      <c r="F334" s="2"/>
      <c r="G334" s="2"/>
      <c r="H334" s="2"/>
      <c r="I334" s="10" t="s">
        <v>6</v>
      </c>
      <c r="J334" s="10" t="s">
        <v>7</v>
      </c>
      <c r="K334" s="10" t="s">
        <v>10</v>
      </c>
      <c r="L334" s="3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2">
        <v>2</v>
      </c>
      <c r="B335" s="10" t="s">
        <v>23</v>
      </c>
      <c r="C335" s="6" t="s">
        <v>99</v>
      </c>
      <c r="D335" s="13">
        <v>10000</v>
      </c>
      <c r="E335" s="13">
        <f t="shared" ref="E335:E353" si="61">A335*D335</f>
        <v>20000</v>
      </c>
      <c r="F335" s="2"/>
      <c r="G335" s="2"/>
      <c r="H335" s="2"/>
      <c r="I335" s="13">
        <v>7000</v>
      </c>
      <c r="J335" s="13">
        <f t="shared" ref="J335:J353" si="62">I335*A335</f>
        <v>14000</v>
      </c>
      <c r="K335" s="13">
        <f t="shared" ref="K335:K353" si="63">E335-J335</f>
        <v>6000</v>
      </c>
      <c r="L335" s="14">
        <f t="shared" ref="L335:L353" si="64">K335/E335</f>
        <v>0.3</v>
      </c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2">
        <v>1</v>
      </c>
      <c r="B336" s="10" t="s">
        <v>23</v>
      </c>
      <c r="C336" s="6" t="s">
        <v>31</v>
      </c>
      <c r="D336" s="13">
        <v>17000</v>
      </c>
      <c r="E336" s="13">
        <f t="shared" si="61"/>
        <v>17000</v>
      </c>
      <c r="F336" s="2"/>
      <c r="G336" s="2"/>
      <c r="H336" s="2"/>
      <c r="I336" s="13">
        <v>13500</v>
      </c>
      <c r="J336" s="13">
        <f t="shared" si="62"/>
        <v>13500</v>
      </c>
      <c r="K336" s="13">
        <f t="shared" si="63"/>
        <v>3500</v>
      </c>
      <c r="L336" s="14">
        <f t="shared" si="64"/>
        <v>0.20588235294117646</v>
      </c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2">
        <v>1</v>
      </c>
      <c r="B337" s="10" t="s">
        <v>23</v>
      </c>
      <c r="C337" s="6" t="s">
        <v>41</v>
      </c>
      <c r="D337" s="13">
        <v>24000</v>
      </c>
      <c r="E337" s="13">
        <f t="shared" si="61"/>
        <v>24000</v>
      </c>
      <c r="F337" s="2"/>
      <c r="G337" s="2"/>
      <c r="H337" s="2"/>
      <c r="I337" s="13">
        <v>18000</v>
      </c>
      <c r="J337" s="13">
        <f t="shared" si="62"/>
        <v>18000</v>
      </c>
      <c r="K337" s="13">
        <f t="shared" si="63"/>
        <v>6000</v>
      </c>
      <c r="L337" s="14">
        <f t="shared" si="64"/>
        <v>0.25</v>
      </c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2">
        <v>2</v>
      </c>
      <c r="B338" s="10" t="s">
        <v>23</v>
      </c>
      <c r="C338" s="6" t="s">
        <v>14</v>
      </c>
      <c r="D338" s="13">
        <v>28000</v>
      </c>
      <c r="E338" s="13">
        <f t="shared" si="61"/>
        <v>56000</v>
      </c>
      <c r="F338" s="2"/>
      <c r="G338" s="2"/>
      <c r="H338" s="2"/>
      <c r="I338" s="13">
        <v>22500</v>
      </c>
      <c r="J338" s="13">
        <f t="shared" si="62"/>
        <v>45000</v>
      </c>
      <c r="K338" s="13">
        <f t="shared" si="63"/>
        <v>11000</v>
      </c>
      <c r="L338" s="14">
        <f t="shared" si="64"/>
        <v>0.19642857142857142</v>
      </c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2">
        <v>4</v>
      </c>
      <c r="B339" s="10" t="s">
        <v>23</v>
      </c>
      <c r="C339" s="6" t="s">
        <v>130</v>
      </c>
      <c r="D339" s="13">
        <v>15000</v>
      </c>
      <c r="E339" s="13">
        <f t="shared" si="61"/>
        <v>60000</v>
      </c>
      <c r="F339" s="2"/>
      <c r="G339" s="2"/>
      <c r="H339" s="2"/>
      <c r="I339" s="13">
        <v>12000</v>
      </c>
      <c r="J339" s="13">
        <f t="shared" si="62"/>
        <v>48000</v>
      </c>
      <c r="K339" s="13">
        <f t="shared" si="63"/>
        <v>12000</v>
      </c>
      <c r="L339" s="14">
        <f t="shared" si="64"/>
        <v>0.2</v>
      </c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2">
        <v>3</v>
      </c>
      <c r="B340" s="10" t="s">
        <v>23</v>
      </c>
      <c r="C340" s="6" t="s">
        <v>12</v>
      </c>
      <c r="D340" s="13">
        <v>58000</v>
      </c>
      <c r="E340" s="13">
        <f t="shared" si="61"/>
        <v>174000</v>
      </c>
      <c r="F340" s="2"/>
      <c r="G340" s="2"/>
      <c r="H340" s="2"/>
      <c r="I340" s="13">
        <v>50000</v>
      </c>
      <c r="J340" s="13">
        <f t="shared" si="62"/>
        <v>150000</v>
      </c>
      <c r="K340" s="13">
        <f t="shared" si="63"/>
        <v>24000</v>
      </c>
      <c r="L340" s="14">
        <f t="shared" si="64"/>
        <v>0.13793103448275862</v>
      </c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2">
        <v>0.5</v>
      </c>
      <c r="B341" s="10" t="s">
        <v>23</v>
      </c>
      <c r="C341" s="6" t="s">
        <v>42</v>
      </c>
      <c r="D341" s="13">
        <v>35000</v>
      </c>
      <c r="E341" s="13">
        <f t="shared" si="61"/>
        <v>17500</v>
      </c>
      <c r="F341" s="2"/>
      <c r="G341" s="2"/>
      <c r="H341" s="2"/>
      <c r="I341" s="13">
        <v>30000</v>
      </c>
      <c r="J341" s="13">
        <f t="shared" si="62"/>
        <v>15000</v>
      </c>
      <c r="K341" s="13">
        <f t="shared" si="63"/>
        <v>2500</v>
      </c>
      <c r="L341" s="14">
        <f t="shared" si="64"/>
        <v>0.14285714285714285</v>
      </c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2">
        <v>6</v>
      </c>
      <c r="B342" s="10" t="s">
        <v>15</v>
      </c>
      <c r="C342" s="6" t="s">
        <v>48</v>
      </c>
      <c r="D342" s="13">
        <v>12000</v>
      </c>
      <c r="E342" s="13">
        <f t="shared" si="61"/>
        <v>72000</v>
      </c>
      <c r="F342" s="2"/>
      <c r="G342" s="2"/>
      <c r="H342" s="2"/>
      <c r="I342" s="13">
        <v>8000</v>
      </c>
      <c r="J342" s="13">
        <f t="shared" si="62"/>
        <v>48000</v>
      </c>
      <c r="K342" s="13">
        <f t="shared" si="63"/>
        <v>24000</v>
      </c>
      <c r="L342" s="14">
        <f t="shared" si="64"/>
        <v>0.33333333333333331</v>
      </c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2">
        <v>4</v>
      </c>
      <c r="B343" s="10" t="s">
        <v>15</v>
      </c>
      <c r="C343" s="6" t="s">
        <v>135</v>
      </c>
      <c r="D343" s="13">
        <v>14000</v>
      </c>
      <c r="E343" s="13">
        <f t="shared" si="61"/>
        <v>56000</v>
      </c>
      <c r="F343" s="2"/>
      <c r="G343" s="2"/>
      <c r="H343" s="7" t="s">
        <v>1173</v>
      </c>
      <c r="I343" s="13">
        <v>10000</v>
      </c>
      <c r="J343" s="13">
        <f t="shared" si="62"/>
        <v>40000</v>
      </c>
      <c r="K343" s="13">
        <f t="shared" si="63"/>
        <v>16000</v>
      </c>
      <c r="L343" s="14">
        <f t="shared" si="64"/>
        <v>0.2857142857142857</v>
      </c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2">
        <v>3</v>
      </c>
      <c r="B344" s="10" t="s">
        <v>15</v>
      </c>
      <c r="C344" s="6" t="s">
        <v>77</v>
      </c>
      <c r="D344" s="13">
        <v>26000</v>
      </c>
      <c r="E344" s="13">
        <f t="shared" si="61"/>
        <v>78000</v>
      </c>
      <c r="F344" s="2"/>
      <c r="G344" s="2"/>
      <c r="H344" s="2"/>
      <c r="I344" s="13">
        <v>20000</v>
      </c>
      <c r="J344" s="13">
        <f t="shared" si="62"/>
        <v>60000</v>
      </c>
      <c r="K344" s="13">
        <f t="shared" si="63"/>
        <v>18000</v>
      </c>
      <c r="L344" s="14">
        <f t="shared" si="64"/>
        <v>0.23076923076923078</v>
      </c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2">
        <v>3</v>
      </c>
      <c r="B345" s="10" t="s">
        <v>15</v>
      </c>
      <c r="C345" s="6" t="s">
        <v>129</v>
      </c>
      <c r="D345" s="13">
        <v>16000</v>
      </c>
      <c r="E345" s="13">
        <f t="shared" si="61"/>
        <v>48000</v>
      </c>
      <c r="F345" s="2"/>
      <c r="G345" s="2"/>
      <c r="H345" s="2"/>
      <c r="I345" s="13">
        <v>13000</v>
      </c>
      <c r="J345" s="13">
        <f t="shared" si="62"/>
        <v>39000</v>
      </c>
      <c r="K345" s="13">
        <f t="shared" si="63"/>
        <v>9000</v>
      </c>
      <c r="L345" s="14">
        <f t="shared" si="64"/>
        <v>0.1875</v>
      </c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2">
        <v>4</v>
      </c>
      <c r="B346" s="10" t="s">
        <v>15</v>
      </c>
      <c r="C346" s="6" t="s">
        <v>56</v>
      </c>
      <c r="D346" s="13">
        <v>14000</v>
      </c>
      <c r="E346" s="13">
        <f t="shared" si="61"/>
        <v>56000</v>
      </c>
      <c r="F346" s="2"/>
      <c r="G346" s="2"/>
      <c r="H346" s="2"/>
      <c r="I346" s="13">
        <v>10000</v>
      </c>
      <c r="J346" s="13">
        <f t="shared" si="62"/>
        <v>40000</v>
      </c>
      <c r="K346" s="13">
        <f t="shared" si="63"/>
        <v>16000</v>
      </c>
      <c r="L346" s="14">
        <f t="shared" si="64"/>
        <v>0.2857142857142857</v>
      </c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2">
        <v>1</v>
      </c>
      <c r="B347" s="10" t="s">
        <v>21</v>
      </c>
      <c r="C347" s="6" t="s">
        <v>29</v>
      </c>
      <c r="D347" s="13">
        <v>3000</v>
      </c>
      <c r="E347" s="13">
        <f t="shared" si="61"/>
        <v>3000</v>
      </c>
      <c r="F347" s="2"/>
      <c r="G347" s="2"/>
      <c r="H347" s="2"/>
      <c r="I347" s="13">
        <v>1333.33</v>
      </c>
      <c r="J347" s="13">
        <f t="shared" si="62"/>
        <v>1333.33</v>
      </c>
      <c r="K347" s="13">
        <f t="shared" si="63"/>
        <v>1666.67</v>
      </c>
      <c r="L347" s="14">
        <f t="shared" si="64"/>
        <v>0.5555566666666667</v>
      </c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2">
        <v>3</v>
      </c>
      <c r="B348" s="10" t="s">
        <v>21</v>
      </c>
      <c r="C348" s="6" t="s">
        <v>34</v>
      </c>
      <c r="D348" s="13">
        <v>4000</v>
      </c>
      <c r="E348" s="13">
        <f t="shared" si="61"/>
        <v>12000</v>
      </c>
      <c r="F348" s="2"/>
      <c r="G348" s="2"/>
      <c r="H348" s="2"/>
      <c r="I348" s="13">
        <v>2000</v>
      </c>
      <c r="J348" s="13">
        <f t="shared" si="62"/>
        <v>6000</v>
      </c>
      <c r="K348" s="13">
        <f t="shared" si="63"/>
        <v>6000</v>
      </c>
      <c r="L348" s="14">
        <f t="shared" si="64"/>
        <v>0.5</v>
      </c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2">
        <v>1</v>
      </c>
      <c r="B349" s="10" t="s">
        <v>23</v>
      </c>
      <c r="C349" s="6" t="s">
        <v>93</v>
      </c>
      <c r="D349" s="13">
        <v>18000</v>
      </c>
      <c r="E349" s="13">
        <f t="shared" si="61"/>
        <v>18000</v>
      </c>
      <c r="F349" s="2"/>
      <c r="G349" s="2"/>
      <c r="H349" s="2"/>
      <c r="I349" s="13">
        <v>10000</v>
      </c>
      <c r="J349" s="13">
        <f t="shared" si="62"/>
        <v>10000</v>
      </c>
      <c r="K349" s="13">
        <f t="shared" si="63"/>
        <v>8000</v>
      </c>
      <c r="L349" s="14">
        <f t="shared" si="64"/>
        <v>0.44444444444444442</v>
      </c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2">
        <v>1</v>
      </c>
      <c r="B350" s="10" t="s">
        <v>23</v>
      </c>
      <c r="C350" s="6" t="s">
        <v>39</v>
      </c>
      <c r="D350" s="13">
        <v>22000</v>
      </c>
      <c r="E350" s="13">
        <f t="shared" si="61"/>
        <v>22000</v>
      </c>
      <c r="F350" s="2"/>
      <c r="G350" s="2"/>
      <c r="H350" s="2"/>
      <c r="I350" s="13">
        <v>17600</v>
      </c>
      <c r="J350" s="13">
        <f t="shared" si="62"/>
        <v>17600</v>
      </c>
      <c r="K350" s="13">
        <f t="shared" si="63"/>
        <v>4400</v>
      </c>
      <c r="L350" s="14">
        <f t="shared" si="64"/>
        <v>0.2</v>
      </c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2">
        <v>1</v>
      </c>
      <c r="B351" s="10" t="s">
        <v>23</v>
      </c>
      <c r="C351" s="6" t="s">
        <v>79</v>
      </c>
      <c r="D351" s="13">
        <v>12000</v>
      </c>
      <c r="E351" s="13">
        <f t="shared" si="61"/>
        <v>12000</v>
      </c>
      <c r="F351" s="2"/>
      <c r="G351" s="2"/>
      <c r="H351" s="2"/>
      <c r="I351" s="13">
        <v>9000</v>
      </c>
      <c r="J351" s="13">
        <f t="shared" si="62"/>
        <v>9000</v>
      </c>
      <c r="K351" s="13">
        <f t="shared" si="63"/>
        <v>3000</v>
      </c>
      <c r="L351" s="14">
        <f t="shared" si="64"/>
        <v>0.25</v>
      </c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2">
        <v>1</v>
      </c>
      <c r="B352" s="10" t="s">
        <v>23</v>
      </c>
      <c r="C352" s="6" t="s">
        <v>46</v>
      </c>
      <c r="D352" s="13">
        <v>16000</v>
      </c>
      <c r="E352" s="13">
        <f t="shared" si="61"/>
        <v>16000</v>
      </c>
      <c r="F352" s="2"/>
      <c r="G352" s="2"/>
      <c r="H352" s="2"/>
      <c r="I352" s="13">
        <v>14000</v>
      </c>
      <c r="J352" s="13">
        <f t="shared" si="62"/>
        <v>14000</v>
      </c>
      <c r="K352" s="13">
        <f t="shared" si="63"/>
        <v>2000</v>
      </c>
      <c r="L352" s="14">
        <f t="shared" si="64"/>
        <v>0.125</v>
      </c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2">
        <v>2</v>
      </c>
      <c r="B353" s="10" t="s">
        <v>23</v>
      </c>
      <c r="C353" s="6" t="s">
        <v>22</v>
      </c>
      <c r="D353" s="13">
        <v>12000</v>
      </c>
      <c r="E353" s="13">
        <f t="shared" si="61"/>
        <v>24000</v>
      </c>
      <c r="F353" s="2"/>
      <c r="G353" s="2"/>
      <c r="H353" s="2"/>
      <c r="I353" s="13">
        <v>9000</v>
      </c>
      <c r="J353" s="13">
        <f t="shared" si="62"/>
        <v>18000</v>
      </c>
      <c r="K353" s="13">
        <f t="shared" si="63"/>
        <v>6000</v>
      </c>
      <c r="L353" s="14">
        <f t="shared" si="64"/>
        <v>0.25</v>
      </c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"/>
      <c r="B354" s="2"/>
      <c r="C354" s="1"/>
      <c r="D354" s="2"/>
      <c r="E354" s="2"/>
      <c r="F354" s="2"/>
      <c r="G354" s="1"/>
      <c r="H354" s="2"/>
      <c r="I354" s="2"/>
      <c r="J354" s="2"/>
      <c r="K354" s="2"/>
      <c r="L354" s="3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"/>
      <c r="B355" s="2"/>
      <c r="C355" s="1"/>
      <c r="D355" s="2"/>
      <c r="E355" s="13">
        <f>SUM(E335:E353)</f>
        <v>785500</v>
      </c>
      <c r="F355" s="2"/>
      <c r="G355" s="2"/>
      <c r="H355" s="2"/>
      <c r="I355" s="2"/>
      <c r="J355" s="2"/>
      <c r="K355" s="13">
        <f>SUM(K335:K353)</f>
        <v>179066.67</v>
      </c>
      <c r="L355" s="14">
        <f>K355/E355</f>
        <v>0.22796520687460217</v>
      </c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"/>
      <c r="B356" s="2"/>
      <c r="C356" s="4"/>
      <c r="D356" s="2"/>
      <c r="E356" s="13"/>
      <c r="F356" s="13"/>
      <c r="G356" s="2"/>
      <c r="H356" s="2"/>
      <c r="I356" s="2"/>
      <c r="J356" s="2"/>
      <c r="K356" s="13"/>
      <c r="L356" s="1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"/>
      <c r="B357" s="2"/>
      <c r="C357" s="4"/>
      <c r="D357" s="2"/>
      <c r="E357" s="13"/>
      <c r="F357" s="13"/>
      <c r="G357" s="2"/>
      <c r="H357" s="2"/>
      <c r="I357" s="2"/>
      <c r="J357" s="2"/>
      <c r="K357" s="13"/>
      <c r="L357" s="1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"/>
      <c r="B358" s="2"/>
      <c r="C358" s="4"/>
      <c r="D358" s="2"/>
      <c r="E358" s="13"/>
      <c r="F358" s="13"/>
      <c r="G358" s="2"/>
      <c r="H358" s="2"/>
      <c r="I358" s="2"/>
      <c r="J358" s="2"/>
      <c r="K358" s="13"/>
      <c r="L358" s="1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"/>
      <c r="B359" s="2"/>
      <c r="C359" s="4"/>
      <c r="D359" s="2"/>
      <c r="E359" s="13"/>
      <c r="F359" s="13"/>
      <c r="G359" s="2"/>
      <c r="H359" s="2"/>
      <c r="I359" s="2"/>
      <c r="J359" s="2"/>
      <c r="K359" s="13"/>
      <c r="L359" s="1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"/>
      <c r="B360" s="2"/>
      <c r="C360" s="4"/>
      <c r="D360" s="2"/>
      <c r="E360" s="13"/>
      <c r="F360" s="13"/>
      <c r="G360" s="2"/>
      <c r="H360" s="2"/>
      <c r="I360" s="2"/>
      <c r="J360" s="2"/>
      <c r="K360" s="13"/>
      <c r="L360" s="1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5.5" customHeight="1" x14ac:dyDescent="0.25">
      <c r="A361" s="26" t="s">
        <v>101</v>
      </c>
      <c r="B361" s="27">
        <f>F314+F275+E218+E198+E175+F162+F121+F41+F81+F237+E355+E329</f>
        <v>3525316.4</v>
      </c>
      <c r="C361" s="4"/>
      <c r="D361" s="4"/>
      <c r="E361" s="4"/>
      <c r="F361" s="4"/>
      <c r="G361" s="4"/>
      <c r="H361" s="4"/>
      <c r="I361" s="4"/>
      <c r="J361" s="4"/>
      <c r="K361" s="4"/>
      <c r="L361" s="2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7" customHeight="1" x14ac:dyDescent="0.25">
      <c r="A363" s="26" t="s">
        <v>102</v>
      </c>
      <c r="B363" s="27">
        <f>K314+K275+K218+K198+K175+K162+K121+K81+K41+K237+K329+K355</f>
        <v>1192086.3198114762</v>
      </c>
      <c r="C363" s="4"/>
      <c r="D363" s="4"/>
      <c r="E363" s="4"/>
      <c r="F363" s="4"/>
      <c r="G363" s="4"/>
      <c r="H363" s="4"/>
      <c r="I363" s="4"/>
      <c r="J363" s="4"/>
      <c r="K363" s="4"/>
      <c r="L363" s="2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6.25" customHeight="1" x14ac:dyDescent="0.25">
      <c r="A366" s="26" t="s">
        <v>103</v>
      </c>
      <c r="B366" s="29">
        <f>B363/B361</f>
        <v>0.33815016428354522</v>
      </c>
      <c r="C366" s="4"/>
      <c r="D366" s="4"/>
      <c r="E366" s="4"/>
      <c r="F366" s="4"/>
      <c r="G366" s="4"/>
      <c r="H366" s="4"/>
      <c r="I366" s="4"/>
      <c r="J366" s="4"/>
      <c r="K366" s="4"/>
      <c r="L366" s="2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90" t="s">
        <v>104</v>
      </c>
      <c r="B368" s="89"/>
      <c r="C368" s="4"/>
      <c r="D368" s="4"/>
      <c r="E368" s="4"/>
      <c r="F368" s="4"/>
      <c r="G368" s="4"/>
      <c r="H368" s="4"/>
      <c r="I368" s="4"/>
      <c r="J368" s="4"/>
      <c r="K368" s="4"/>
      <c r="L368" s="2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"/>
      <c r="B369" s="2"/>
      <c r="C369" s="4"/>
      <c r="D369" s="2"/>
      <c r="E369" s="13"/>
      <c r="F369" s="13"/>
      <c r="G369" s="2"/>
      <c r="H369" s="2"/>
      <c r="I369" s="2"/>
      <c r="J369" s="2"/>
      <c r="K369" s="13"/>
      <c r="L369" s="1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"/>
      <c r="B370" s="2"/>
      <c r="C370" s="4"/>
      <c r="D370" s="2"/>
      <c r="E370" s="13"/>
      <c r="F370" s="13"/>
      <c r="G370" s="2"/>
      <c r="H370" s="2"/>
      <c r="I370" s="2"/>
      <c r="J370" s="2"/>
      <c r="K370" s="13"/>
      <c r="L370" s="1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"/>
      <c r="B371" s="2"/>
      <c r="C371" s="4"/>
      <c r="D371" s="2"/>
      <c r="E371" s="13"/>
      <c r="F371" s="13"/>
      <c r="G371" s="2"/>
      <c r="H371" s="2"/>
      <c r="I371" s="2"/>
      <c r="J371" s="2"/>
      <c r="K371" s="13"/>
      <c r="L371" s="1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"/>
      <c r="B372" s="2"/>
      <c r="C372" s="4"/>
      <c r="D372" s="2"/>
      <c r="E372" s="13"/>
      <c r="F372" s="13"/>
      <c r="G372" s="2"/>
      <c r="H372" s="2"/>
      <c r="I372" s="2"/>
      <c r="J372" s="2"/>
      <c r="K372" s="13"/>
      <c r="L372" s="1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"/>
      <c r="B373" s="2"/>
      <c r="C373" s="4"/>
      <c r="D373" s="2"/>
      <c r="E373" s="13"/>
      <c r="F373" s="13"/>
      <c r="G373" s="2"/>
      <c r="H373" s="2"/>
      <c r="I373" s="2"/>
      <c r="J373" s="2"/>
      <c r="K373" s="13"/>
      <c r="L373" s="1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"/>
      <c r="B374" s="2"/>
      <c r="C374" s="4"/>
      <c r="D374" s="2"/>
      <c r="E374" s="13"/>
      <c r="F374" s="13"/>
      <c r="G374" s="2"/>
      <c r="H374" s="2"/>
      <c r="I374" s="2"/>
      <c r="J374" s="2"/>
      <c r="K374" s="13"/>
      <c r="L374" s="1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"/>
      <c r="B375" s="2"/>
      <c r="C375" s="4"/>
      <c r="D375" s="2"/>
      <c r="E375" s="13"/>
      <c r="F375" s="13"/>
      <c r="G375" s="2"/>
      <c r="H375" s="2"/>
      <c r="I375" s="2"/>
      <c r="J375" s="2"/>
      <c r="K375" s="13"/>
      <c r="L375" s="1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"/>
      <c r="B376" s="2"/>
      <c r="C376" s="4"/>
      <c r="D376" s="2"/>
      <c r="E376" s="13"/>
      <c r="F376" s="13"/>
      <c r="G376" s="2"/>
      <c r="H376" s="2"/>
      <c r="I376" s="2"/>
      <c r="J376" s="2"/>
      <c r="K376" s="13"/>
      <c r="L376" s="1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"/>
      <c r="B377" s="2"/>
      <c r="C377" s="4"/>
      <c r="D377" s="2"/>
      <c r="E377" s="13"/>
      <c r="F377" s="13"/>
      <c r="G377" s="2"/>
      <c r="H377" s="2"/>
      <c r="I377" s="2"/>
      <c r="J377" s="2"/>
      <c r="K377" s="13"/>
      <c r="L377" s="1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"/>
      <c r="B378" s="2"/>
      <c r="C378" s="4"/>
      <c r="D378" s="2"/>
      <c r="E378" s="13"/>
      <c r="F378" s="13"/>
      <c r="G378" s="2"/>
      <c r="H378" s="2"/>
      <c r="I378" s="2"/>
      <c r="J378" s="2"/>
      <c r="K378" s="13"/>
      <c r="L378" s="1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"/>
      <c r="B379" s="2"/>
      <c r="C379" s="4"/>
      <c r="D379" s="2"/>
      <c r="E379" s="13"/>
      <c r="F379" s="13"/>
      <c r="G379" s="2"/>
      <c r="H379" s="2"/>
      <c r="I379" s="2"/>
      <c r="J379" s="2"/>
      <c r="K379" s="13"/>
      <c r="L379" s="1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"/>
      <c r="B380" s="2"/>
      <c r="C380" s="4"/>
      <c r="D380" s="2"/>
      <c r="E380" s="13"/>
      <c r="F380" s="13"/>
      <c r="G380" s="2"/>
      <c r="H380" s="2"/>
      <c r="I380" s="2"/>
      <c r="J380" s="2"/>
      <c r="K380" s="13"/>
      <c r="L380" s="1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"/>
      <c r="B381" s="2"/>
      <c r="C381" s="4"/>
      <c r="D381" s="2"/>
      <c r="E381" s="13"/>
      <c r="F381" s="13"/>
      <c r="G381" s="2"/>
      <c r="H381" s="2"/>
      <c r="I381" s="2"/>
      <c r="J381" s="2"/>
      <c r="K381" s="13"/>
      <c r="L381" s="1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"/>
      <c r="B382" s="2"/>
      <c r="C382" s="4"/>
      <c r="D382" s="2"/>
      <c r="E382" s="13"/>
      <c r="F382" s="13"/>
      <c r="G382" s="2"/>
      <c r="H382" s="2"/>
      <c r="I382" s="2"/>
      <c r="J382" s="2"/>
      <c r="K382" s="13"/>
      <c r="L382" s="1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"/>
      <c r="B383" s="2"/>
      <c r="C383" s="4"/>
      <c r="D383" s="2"/>
      <c r="E383" s="13"/>
      <c r="F383" s="13"/>
      <c r="G383" s="2"/>
      <c r="H383" s="2"/>
      <c r="I383" s="2"/>
      <c r="J383" s="2"/>
      <c r="K383" s="13"/>
      <c r="L383" s="1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"/>
      <c r="B384" s="2"/>
      <c r="C384" s="4"/>
      <c r="D384" s="2"/>
      <c r="E384" s="13"/>
      <c r="F384" s="13"/>
      <c r="G384" s="2"/>
      <c r="H384" s="2"/>
      <c r="I384" s="2"/>
      <c r="J384" s="2"/>
      <c r="K384" s="13"/>
      <c r="L384" s="1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"/>
      <c r="B385" s="2"/>
      <c r="C385" s="4"/>
      <c r="D385" s="2"/>
      <c r="E385" s="13"/>
      <c r="F385" s="13"/>
      <c r="G385" s="2"/>
      <c r="H385" s="2"/>
      <c r="I385" s="2"/>
      <c r="J385" s="2"/>
      <c r="K385" s="13"/>
      <c r="L385" s="1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"/>
      <c r="B386" s="2"/>
      <c r="C386" s="4"/>
      <c r="D386" s="2"/>
      <c r="E386" s="13"/>
      <c r="F386" s="13"/>
      <c r="G386" s="2"/>
      <c r="H386" s="2"/>
      <c r="I386" s="2"/>
      <c r="J386" s="2"/>
      <c r="K386" s="13"/>
      <c r="L386" s="1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"/>
      <c r="B387" s="2"/>
      <c r="C387" s="4"/>
      <c r="D387" s="2"/>
      <c r="E387" s="13"/>
      <c r="F387" s="13"/>
      <c r="G387" s="2"/>
      <c r="H387" s="2"/>
      <c r="I387" s="2"/>
      <c r="J387" s="2"/>
      <c r="K387" s="13"/>
      <c r="L387" s="1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"/>
      <c r="B388" s="2"/>
      <c r="C388" s="4"/>
      <c r="D388" s="2"/>
      <c r="E388" s="13"/>
      <c r="F388" s="13"/>
      <c r="G388" s="2"/>
      <c r="H388" s="2"/>
      <c r="I388" s="2"/>
      <c r="J388" s="2"/>
      <c r="K388" s="13"/>
      <c r="L388" s="1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"/>
      <c r="B389" s="2"/>
      <c r="C389" s="4"/>
      <c r="D389" s="2"/>
      <c r="E389" s="13"/>
      <c r="F389" s="13"/>
      <c r="G389" s="2"/>
      <c r="H389" s="2"/>
      <c r="I389" s="2"/>
      <c r="J389" s="2"/>
      <c r="K389" s="13"/>
      <c r="L389" s="1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"/>
      <c r="B390" s="2"/>
      <c r="C390" s="4"/>
      <c r="D390" s="2"/>
      <c r="E390" s="13"/>
      <c r="F390" s="13"/>
      <c r="G390" s="2"/>
      <c r="H390" s="2"/>
      <c r="I390" s="2"/>
      <c r="J390" s="2"/>
      <c r="K390" s="13"/>
      <c r="L390" s="1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"/>
      <c r="B391" s="2"/>
      <c r="C391" s="4"/>
      <c r="D391" s="2"/>
      <c r="E391" s="13"/>
      <c r="F391" s="13"/>
      <c r="G391" s="2"/>
      <c r="H391" s="2"/>
      <c r="I391" s="2"/>
      <c r="J391" s="2"/>
      <c r="K391" s="13"/>
      <c r="L391" s="1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"/>
      <c r="B392" s="2"/>
      <c r="C392" s="4"/>
      <c r="D392" s="2"/>
      <c r="E392" s="13"/>
      <c r="F392" s="13"/>
      <c r="G392" s="2"/>
      <c r="H392" s="2"/>
      <c r="I392" s="2"/>
      <c r="J392" s="2"/>
      <c r="K392" s="13"/>
      <c r="L392" s="1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"/>
      <c r="B393" s="2"/>
      <c r="C393" s="4"/>
      <c r="D393" s="2"/>
      <c r="E393" s="13"/>
      <c r="F393" s="13"/>
      <c r="G393" s="2"/>
      <c r="H393" s="2"/>
      <c r="I393" s="2"/>
      <c r="J393" s="2"/>
      <c r="K393" s="13"/>
      <c r="L393" s="1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1"/>
      <c r="B394" s="2"/>
      <c r="C394" s="4"/>
      <c r="D394" s="2"/>
      <c r="E394" s="13"/>
      <c r="F394" s="13"/>
      <c r="G394" s="2"/>
      <c r="H394" s="2"/>
      <c r="I394" s="2"/>
      <c r="J394" s="2"/>
      <c r="K394" s="13"/>
      <c r="L394" s="1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"/>
      <c r="B395" s="2"/>
      <c r="C395" s="4"/>
      <c r="D395" s="2"/>
      <c r="E395" s="13"/>
      <c r="F395" s="13"/>
      <c r="G395" s="2"/>
      <c r="H395" s="2"/>
      <c r="I395" s="2"/>
      <c r="J395" s="2"/>
      <c r="K395" s="13"/>
      <c r="L395" s="1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"/>
      <c r="B396" s="2"/>
      <c r="C396" s="4"/>
      <c r="D396" s="2"/>
      <c r="E396" s="13"/>
      <c r="F396" s="13"/>
      <c r="G396" s="2"/>
      <c r="H396" s="2"/>
      <c r="I396" s="2"/>
      <c r="J396" s="2"/>
      <c r="K396" s="13"/>
      <c r="L396" s="1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"/>
      <c r="B397" s="2"/>
      <c r="C397" s="4"/>
      <c r="D397" s="2"/>
      <c r="E397" s="13"/>
      <c r="F397" s="13"/>
      <c r="G397" s="2"/>
      <c r="H397" s="2"/>
      <c r="I397" s="2"/>
      <c r="J397" s="2"/>
      <c r="K397" s="13"/>
      <c r="L397" s="1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"/>
      <c r="B398" s="2"/>
      <c r="C398" s="4"/>
      <c r="D398" s="2"/>
      <c r="E398" s="13"/>
      <c r="F398" s="13"/>
      <c r="G398" s="2"/>
      <c r="H398" s="2"/>
      <c r="I398" s="2"/>
      <c r="J398" s="2"/>
      <c r="K398" s="13"/>
      <c r="L398" s="1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1"/>
      <c r="B399" s="2"/>
      <c r="C399" s="4"/>
      <c r="D399" s="2"/>
      <c r="E399" s="13"/>
      <c r="F399" s="13"/>
      <c r="G399" s="2"/>
      <c r="H399" s="2"/>
      <c r="I399" s="2"/>
      <c r="J399" s="2"/>
      <c r="K399" s="13"/>
      <c r="L399" s="1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"/>
      <c r="B400" s="2"/>
      <c r="C400" s="4"/>
      <c r="D400" s="2"/>
      <c r="E400" s="13"/>
      <c r="F400" s="13"/>
      <c r="G400" s="2"/>
      <c r="H400" s="2"/>
      <c r="I400" s="2"/>
      <c r="J400" s="2"/>
      <c r="K400" s="13"/>
      <c r="L400" s="1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"/>
      <c r="B401" s="2"/>
      <c r="C401" s="4"/>
      <c r="D401" s="2"/>
      <c r="E401" s="13"/>
      <c r="F401" s="13"/>
      <c r="G401" s="2"/>
      <c r="H401" s="2"/>
      <c r="I401" s="2"/>
      <c r="J401" s="2"/>
      <c r="K401" s="13"/>
      <c r="L401" s="1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"/>
      <c r="B402" s="2"/>
      <c r="C402" s="4"/>
      <c r="D402" s="2"/>
      <c r="E402" s="13"/>
      <c r="F402" s="13"/>
      <c r="G402" s="2"/>
      <c r="H402" s="2"/>
      <c r="I402" s="2"/>
      <c r="J402" s="2"/>
      <c r="K402" s="13"/>
      <c r="L402" s="1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"/>
      <c r="B403" s="2"/>
      <c r="C403" s="4"/>
      <c r="D403" s="2"/>
      <c r="E403" s="13"/>
      <c r="F403" s="13"/>
      <c r="G403" s="2"/>
      <c r="H403" s="2"/>
      <c r="I403" s="2"/>
      <c r="J403" s="2"/>
      <c r="K403" s="13"/>
      <c r="L403" s="1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"/>
      <c r="B404" s="2"/>
      <c r="C404" s="4"/>
      <c r="D404" s="2"/>
      <c r="E404" s="13"/>
      <c r="F404" s="13"/>
      <c r="G404" s="2"/>
      <c r="H404" s="2"/>
      <c r="I404" s="2"/>
      <c r="J404" s="2"/>
      <c r="K404" s="13"/>
      <c r="L404" s="1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"/>
      <c r="B405" s="2"/>
      <c r="C405" s="4"/>
      <c r="D405" s="2"/>
      <c r="E405" s="13"/>
      <c r="F405" s="13"/>
      <c r="G405" s="2"/>
      <c r="H405" s="2"/>
      <c r="I405" s="2"/>
      <c r="J405" s="2"/>
      <c r="K405" s="13"/>
      <c r="L405" s="1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"/>
      <c r="B406" s="2"/>
      <c r="C406" s="4"/>
      <c r="D406" s="2"/>
      <c r="E406" s="13"/>
      <c r="F406" s="13"/>
      <c r="G406" s="2"/>
      <c r="H406" s="2"/>
      <c r="I406" s="2"/>
      <c r="J406" s="2"/>
      <c r="K406" s="13"/>
      <c r="L406" s="1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"/>
      <c r="B407" s="2"/>
      <c r="C407" s="4"/>
      <c r="D407" s="2"/>
      <c r="E407" s="13"/>
      <c r="F407" s="13"/>
      <c r="G407" s="2"/>
      <c r="H407" s="2"/>
      <c r="I407" s="2"/>
      <c r="J407" s="2"/>
      <c r="K407" s="13"/>
      <c r="L407" s="1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"/>
      <c r="B408" s="2"/>
      <c r="C408" s="4"/>
      <c r="D408" s="2"/>
      <c r="E408" s="13"/>
      <c r="F408" s="13"/>
      <c r="G408" s="2"/>
      <c r="H408" s="2"/>
      <c r="I408" s="2"/>
      <c r="J408" s="2"/>
      <c r="K408" s="13"/>
      <c r="L408" s="1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"/>
      <c r="B409" s="2"/>
      <c r="C409" s="4"/>
      <c r="D409" s="2"/>
      <c r="E409" s="13"/>
      <c r="F409" s="13"/>
      <c r="G409" s="2"/>
      <c r="H409" s="2"/>
      <c r="I409" s="2"/>
      <c r="J409" s="2"/>
      <c r="K409" s="13"/>
      <c r="L409" s="1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"/>
      <c r="B410" s="2"/>
      <c r="C410" s="4"/>
      <c r="D410" s="2"/>
      <c r="E410" s="13"/>
      <c r="F410" s="13"/>
      <c r="G410" s="2"/>
      <c r="H410" s="2"/>
      <c r="I410" s="2"/>
      <c r="J410" s="2"/>
      <c r="K410" s="13"/>
      <c r="L410" s="1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"/>
      <c r="B411" s="2"/>
      <c r="C411" s="4"/>
      <c r="D411" s="2"/>
      <c r="E411" s="13"/>
      <c r="F411" s="13"/>
      <c r="G411" s="2"/>
      <c r="H411" s="2"/>
      <c r="I411" s="2"/>
      <c r="J411" s="2"/>
      <c r="K411" s="13"/>
      <c r="L411" s="1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"/>
      <c r="B412" s="2"/>
      <c r="C412" s="4"/>
      <c r="D412" s="2"/>
      <c r="E412" s="13"/>
      <c r="F412" s="13"/>
      <c r="G412" s="2"/>
      <c r="H412" s="2"/>
      <c r="I412" s="2"/>
      <c r="J412" s="2"/>
      <c r="K412" s="13"/>
      <c r="L412" s="1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"/>
      <c r="B413" s="2"/>
      <c r="C413" s="4"/>
      <c r="D413" s="2"/>
      <c r="E413" s="13"/>
      <c r="F413" s="13"/>
      <c r="G413" s="2"/>
      <c r="H413" s="2"/>
      <c r="I413" s="2"/>
      <c r="J413" s="2"/>
      <c r="K413" s="13"/>
      <c r="L413" s="1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"/>
      <c r="B414" s="2"/>
      <c r="C414" s="4"/>
      <c r="D414" s="2"/>
      <c r="E414" s="13"/>
      <c r="F414" s="13"/>
      <c r="G414" s="2"/>
      <c r="H414" s="2"/>
      <c r="I414" s="2"/>
      <c r="J414" s="2"/>
      <c r="K414" s="13"/>
      <c r="L414" s="1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"/>
      <c r="B415" s="2"/>
      <c r="C415" s="4"/>
      <c r="D415" s="2"/>
      <c r="E415" s="13"/>
      <c r="F415" s="13"/>
      <c r="G415" s="2"/>
      <c r="H415" s="2"/>
      <c r="I415" s="2"/>
      <c r="J415" s="2"/>
      <c r="K415" s="13"/>
      <c r="L415" s="1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"/>
      <c r="B416" s="2"/>
      <c r="C416" s="4"/>
      <c r="D416" s="2"/>
      <c r="E416" s="13"/>
      <c r="F416" s="13"/>
      <c r="G416" s="2"/>
      <c r="H416" s="2"/>
      <c r="I416" s="2"/>
      <c r="J416" s="2"/>
      <c r="K416" s="13"/>
      <c r="L416" s="1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"/>
      <c r="B417" s="2"/>
      <c r="C417" s="4"/>
      <c r="D417" s="2"/>
      <c r="E417" s="13"/>
      <c r="F417" s="13"/>
      <c r="G417" s="2"/>
      <c r="H417" s="2"/>
      <c r="I417" s="2"/>
      <c r="J417" s="2"/>
      <c r="K417" s="13"/>
      <c r="L417" s="1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"/>
      <c r="B418" s="2"/>
      <c r="C418" s="4"/>
      <c r="D418" s="2"/>
      <c r="E418" s="13"/>
      <c r="F418" s="13"/>
      <c r="G418" s="2"/>
      <c r="H418" s="2"/>
      <c r="I418" s="2"/>
      <c r="J418" s="2"/>
      <c r="K418" s="13"/>
      <c r="L418" s="1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"/>
      <c r="B419" s="2"/>
      <c r="C419" s="4"/>
      <c r="D419" s="2"/>
      <c r="E419" s="13"/>
      <c r="F419" s="13"/>
      <c r="G419" s="2"/>
      <c r="H419" s="2"/>
      <c r="I419" s="2"/>
      <c r="J419" s="2"/>
      <c r="K419" s="13"/>
      <c r="L419" s="1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"/>
      <c r="B420" s="2"/>
      <c r="C420" s="4"/>
      <c r="D420" s="2"/>
      <c r="E420" s="13"/>
      <c r="F420" s="13"/>
      <c r="G420" s="2"/>
      <c r="H420" s="2"/>
      <c r="I420" s="2"/>
      <c r="J420" s="2"/>
      <c r="K420" s="13"/>
      <c r="L420" s="1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"/>
      <c r="B421" s="2"/>
      <c r="C421" s="4"/>
      <c r="D421" s="2"/>
      <c r="E421" s="13"/>
      <c r="F421" s="13"/>
      <c r="G421" s="2"/>
      <c r="H421" s="2"/>
      <c r="I421" s="2"/>
      <c r="J421" s="2"/>
      <c r="K421" s="13"/>
      <c r="L421" s="1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2"/>
      <c r="C422" s="4"/>
      <c r="D422" s="2"/>
      <c r="E422" s="13"/>
      <c r="F422" s="13"/>
      <c r="G422" s="2"/>
      <c r="H422" s="2"/>
      <c r="I422" s="2"/>
      <c r="J422" s="2"/>
      <c r="K422" s="13"/>
      <c r="L422" s="1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2"/>
      <c r="C423" s="4"/>
      <c r="D423" s="2"/>
      <c r="E423" s="13"/>
      <c r="F423" s="13"/>
      <c r="G423" s="2"/>
      <c r="H423" s="2"/>
      <c r="I423" s="2"/>
      <c r="J423" s="2"/>
      <c r="K423" s="13"/>
      <c r="L423" s="1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2"/>
      <c r="C424" s="4"/>
      <c r="D424" s="2"/>
      <c r="E424" s="13"/>
      <c r="F424" s="13"/>
      <c r="G424" s="2"/>
      <c r="H424" s="2"/>
      <c r="I424" s="2"/>
      <c r="J424" s="2"/>
      <c r="K424" s="13"/>
      <c r="L424" s="1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"/>
      <c r="B425" s="2"/>
      <c r="C425" s="4"/>
      <c r="D425" s="2"/>
      <c r="E425" s="13"/>
      <c r="F425" s="13"/>
      <c r="G425" s="2"/>
      <c r="H425" s="2"/>
      <c r="I425" s="2"/>
      <c r="J425" s="2"/>
      <c r="K425" s="13"/>
      <c r="L425" s="1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"/>
      <c r="B426" s="2"/>
      <c r="C426" s="4"/>
      <c r="D426" s="2"/>
      <c r="E426" s="13"/>
      <c r="F426" s="13"/>
      <c r="G426" s="2"/>
      <c r="H426" s="2"/>
      <c r="I426" s="2"/>
      <c r="J426" s="2"/>
      <c r="K426" s="13"/>
      <c r="L426" s="1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"/>
      <c r="B427" s="2"/>
      <c r="C427" s="4"/>
      <c r="D427" s="2"/>
      <c r="E427" s="13"/>
      <c r="F427" s="13"/>
      <c r="G427" s="2"/>
      <c r="H427" s="2"/>
      <c r="I427" s="2"/>
      <c r="J427" s="2"/>
      <c r="K427" s="13"/>
      <c r="L427" s="1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"/>
      <c r="B428" s="2"/>
      <c r="C428" s="4"/>
      <c r="D428" s="2"/>
      <c r="E428" s="13"/>
      <c r="F428" s="13"/>
      <c r="G428" s="2"/>
      <c r="H428" s="2"/>
      <c r="I428" s="2"/>
      <c r="J428" s="2"/>
      <c r="K428" s="13"/>
      <c r="L428" s="1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"/>
      <c r="B429" s="2"/>
      <c r="C429" s="4"/>
      <c r="D429" s="2"/>
      <c r="E429" s="13"/>
      <c r="F429" s="13"/>
      <c r="G429" s="2"/>
      <c r="H429" s="2"/>
      <c r="I429" s="2"/>
      <c r="J429" s="2"/>
      <c r="K429" s="13"/>
      <c r="L429" s="1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"/>
      <c r="B430" s="2"/>
      <c r="C430" s="4"/>
      <c r="D430" s="2"/>
      <c r="E430" s="13"/>
      <c r="F430" s="13"/>
      <c r="G430" s="2"/>
      <c r="H430" s="2"/>
      <c r="I430" s="2"/>
      <c r="J430" s="2"/>
      <c r="K430" s="13"/>
      <c r="L430" s="1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"/>
      <c r="B431" s="2"/>
      <c r="C431" s="4"/>
      <c r="D431" s="2"/>
      <c r="E431" s="13"/>
      <c r="F431" s="13"/>
      <c r="G431" s="2"/>
      <c r="H431" s="2"/>
      <c r="I431" s="2"/>
      <c r="J431" s="2"/>
      <c r="K431" s="13"/>
      <c r="L431" s="1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1"/>
      <c r="B432" s="2"/>
      <c r="C432" s="4"/>
      <c r="D432" s="2"/>
      <c r="E432" s="13"/>
      <c r="F432" s="13"/>
      <c r="G432" s="2"/>
      <c r="H432" s="2"/>
      <c r="I432" s="2"/>
      <c r="J432" s="2"/>
      <c r="K432" s="13"/>
      <c r="L432" s="1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1"/>
      <c r="B433" s="2"/>
      <c r="C433" s="4"/>
      <c r="D433" s="2"/>
      <c r="E433" s="13"/>
      <c r="F433" s="13"/>
      <c r="G433" s="2"/>
      <c r="H433" s="2"/>
      <c r="I433" s="2"/>
      <c r="J433" s="2"/>
      <c r="K433" s="13"/>
      <c r="L433" s="1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"/>
      <c r="B434" s="2"/>
      <c r="C434" s="4"/>
      <c r="D434" s="2"/>
      <c r="E434" s="13"/>
      <c r="F434" s="13"/>
      <c r="G434" s="2"/>
      <c r="H434" s="2"/>
      <c r="I434" s="2"/>
      <c r="J434" s="2"/>
      <c r="K434" s="13"/>
      <c r="L434" s="1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"/>
      <c r="B435" s="2"/>
      <c r="C435" s="4"/>
      <c r="D435" s="2"/>
      <c r="E435" s="13"/>
      <c r="F435" s="13"/>
      <c r="G435" s="2"/>
      <c r="H435" s="2"/>
      <c r="I435" s="2"/>
      <c r="J435" s="2"/>
      <c r="K435" s="13"/>
      <c r="L435" s="1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"/>
      <c r="B436" s="2"/>
      <c r="C436" s="4"/>
      <c r="D436" s="2"/>
      <c r="E436" s="13"/>
      <c r="F436" s="13"/>
      <c r="G436" s="2"/>
      <c r="H436" s="2"/>
      <c r="I436" s="2"/>
      <c r="J436" s="2"/>
      <c r="K436" s="13"/>
      <c r="L436" s="1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"/>
      <c r="B437" s="2"/>
      <c r="C437" s="4"/>
      <c r="D437" s="2"/>
      <c r="E437" s="13"/>
      <c r="F437" s="13"/>
      <c r="G437" s="2"/>
      <c r="H437" s="2"/>
      <c r="I437" s="2"/>
      <c r="J437" s="2"/>
      <c r="K437" s="13"/>
      <c r="L437" s="1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2"/>
      <c r="C438" s="4"/>
      <c r="D438" s="2"/>
      <c r="E438" s="13"/>
      <c r="F438" s="13"/>
      <c r="G438" s="2"/>
      <c r="H438" s="2"/>
      <c r="I438" s="2"/>
      <c r="J438" s="2"/>
      <c r="K438" s="13"/>
      <c r="L438" s="1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"/>
      <c r="B439" s="2"/>
      <c r="C439" s="4"/>
      <c r="D439" s="2"/>
      <c r="E439" s="13"/>
      <c r="F439" s="13"/>
      <c r="G439" s="2"/>
      <c r="H439" s="2"/>
      <c r="I439" s="2"/>
      <c r="J439" s="2"/>
      <c r="K439" s="13"/>
      <c r="L439" s="1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"/>
      <c r="B440" s="2"/>
      <c r="C440" s="4"/>
      <c r="D440" s="2"/>
      <c r="E440" s="13"/>
      <c r="F440" s="13"/>
      <c r="G440" s="2"/>
      <c r="H440" s="2"/>
      <c r="I440" s="2"/>
      <c r="J440" s="2"/>
      <c r="K440" s="13"/>
      <c r="L440" s="1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"/>
      <c r="B441" s="2"/>
      <c r="C441" s="4"/>
      <c r="D441" s="2"/>
      <c r="E441" s="13"/>
      <c r="F441" s="13"/>
      <c r="G441" s="2"/>
      <c r="H441" s="2"/>
      <c r="I441" s="2"/>
      <c r="J441" s="2"/>
      <c r="K441" s="13"/>
      <c r="L441" s="1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"/>
      <c r="B442" s="2"/>
      <c r="C442" s="4"/>
      <c r="D442" s="2"/>
      <c r="E442" s="13"/>
      <c r="F442" s="13"/>
      <c r="G442" s="2"/>
      <c r="H442" s="2"/>
      <c r="I442" s="2"/>
      <c r="J442" s="2"/>
      <c r="K442" s="13"/>
      <c r="L442" s="1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"/>
      <c r="B443" s="2"/>
      <c r="C443" s="4"/>
      <c r="D443" s="2"/>
      <c r="E443" s="13"/>
      <c r="F443" s="13"/>
      <c r="G443" s="2"/>
      <c r="H443" s="2"/>
      <c r="I443" s="2"/>
      <c r="J443" s="2"/>
      <c r="K443" s="13"/>
      <c r="L443" s="1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"/>
      <c r="B444" s="2"/>
      <c r="C444" s="4"/>
      <c r="D444" s="2"/>
      <c r="E444" s="13"/>
      <c r="F444" s="13"/>
      <c r="G444" s="2"/>
      <c r="H444" s="2"/>
      <c r="I444" s="2"/>
      <c r="J444" s="2"/>
      <c r="K444" s="13"/>
      <c r="L444" s="1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"/>
      <c r="B445" s="2"/>
      <c r="C445" s="4"/>
      <c r="D445" s="2"/>
      <c r="E445" s="13"/>
      <c r="F445" s="13"/>
      <c r="G445" s="2"/>
      <c r="H445" s="2"/>
      <c r="I445" s="2"/>
      <c r="J445" s="2"/>
      <c r="K445" s="13"/>
      <c r="L445" s="1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"/>
      <c r="B446" s="2"/>
      <c r="C446" s="4"/>
      <c r="D446" s="2"/>
      <c r="E446" s="13"/>
      <c r="F446" s="13"/>
      <c r="G446" s="2"/>
      <c r="H446" s="2"/>
      <c r="I446" s="2"/>
      <c r="J446" s="2"/>
      <c r="K446" s="13"/>
      <c r="L446" s="1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"/>
      <c r="B447" s="2"/>
      <c r="C447" s="4"/>
      <c r="D447" s="2"/>
      <c r="E447" s="13"/>
      <c r="F447" s="13"/>
      <c r="G447" s="2"/>
      <c r="H447" s="2"/>
      <c r="I447" s="2"/>
      <c r="J447" s="2"/>
      <c r="K447" s="13"/>
      <c r="L447" s="1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"/>
      <c r="B448" s="2"/>
      <c r="C448" s="4"/>
      <c r="D448" s="2"/>
      <c r="E448" s="13"/>
      <c r="F448" s="13"/>
      <c r="G448" s="2"/>
      <c r="H448" s="2"/>
      <c r="I448" s="2"/>
      <c r="J448" s="2"/>
      <c r="K448" s="13"/>
      <c r="L448" s="1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"/>
      <c r="B449" s="2"/>
      <c r="C449" s="4"/>
      <c r="D449" s="2"/>
      <c r="E449" s="13"/>
      <c r="F449" s="13"/>
      <c r="G449" s="2"/>
      <c r="H449" s="2"/>
      <c r="I449" s="2"/>
      <c r="J449" s="2"/>
      <c r="K449" s="13"/>
      <c r="L449" s="1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"/>
      <c r="B450" s="2"/>
      <c r="C450" s="4"/>
      <c r="D450" s="2"/>
      <c r="E450" s="13"/>
      <c r="F450" s="13"/>
      <c r="G450" s="2"/>
      <c r="H450" s="2"/>
      <c r="I450" s="2"/>
      <c r="J450" s="2"/>
      <c r="K450" s="13"/>
      <c r="L450" s="1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"/>
      <c r="B451" s="2"/>
      <c r="C451" s="4"/>
      <c r="D451" s="2"/>
      <c r="E451" s="13"/>
      <c r="F451" s="13"/>
      <c r="G451" s="2"/>
      <c r="H451" s="2"/>
      <c r="I451" s="2"/>
      <c r="J451" s="2"/>
      <c r="K451" s="13"/>
      <c r="L451" s="1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"/>
      <c r="B452" s="2"/>
      <c r="C452" s="4"/>
      <c r="D452" s="2"/>
      <c r="E452" s="13"/>
      <c r="F452" s="13"/>
      <c r="G452" s="2"/>
      <c r="H452" s="2"/>
      <c r="I452" s="2"/>
      <c r="J452" s="2"/>
      <c r="K452" s="13"/>
      <c r="L452" s="1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"/>
      <c r="B453" s="2"/>
      <c r="C453" s="4"/>
      <c r="D453" s="2"/>
      <c r="E453" s="13"/>
      <c r="F453" s="13"/>
      <c r="G453" s="2"/>
      <c r="H453" s="2"/>
      <c r="I453" s="2"/>
      <c r="J453" s="2"/>
      <c r="K453" s="13"/>
      <c r="L453" s="1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"/>
      <c r="B454" s="2"/>
      <c r="C454" s="4"/>
      <c r="D454" s="2"/>
      <c r="E454" s="13"/>
      <c r="F454" s="13"/>
      <c r="G454" s="2"/>
      <c r="H454" s="2"/>
      <c r="I454" s="2"/>
      <c r="J454" s="2"/>
      <c r="K454" s="13"/>
      <c r="L454" s="1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"/>
      <c r="B455" s="2"/>
      <c r="C455" s="4"/>
      <c r="D455" s="2"/>
      <c r="E455" s="13"/>
      <c r="F455" s="13"/>
      <c r="G455" s="2"/>
      <c r="H455" s="2"/>
      <c r="I455" s="2"/>
      <c r="J455" s="2"/>
      <c r="K455" s="13"/>
      <c r="L455" s="1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"/>
      <c r="B456" s="2"/>
      <c r="C456" s="4"/>
      <c r="D456" s="2"/>
      <c r="E456" s="13"/>
      <c r="F456" s="13"/>
      <c r="G456" s="2"/>
      <c r="H456" s="2"/>
      <c r="I456" s="2"/>
      <c r="J456" s="2"/>
      <c r="K456" s="13"/>
      <c r="L456" s="1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"/>
      <c r="B457" s="2"/>
      <c r="C457" s="4"/>
      <c r="D457" s="2"/>
      <c r="E457" s="13"/>
      <c r="F457" s="13"/>
      <c r="G457" s="2"/>
      <c r="H457" s="2"/>
      <c r="I457" s="2"/>
      <c r="J457" s="2"/>
      <c r="K457" s="13"/>
      <c r="L457" s="1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2"/>
      <c r="C458" s="4"/>
      <c r="D458" s="2"/>
      <c r="E458" s="13"/>
      <c r="F458" s="13"/>
      <c r="G458" s="2"/>
      <c r="H458" s="2"/>
      <c r="I458" s="2"/>
      <c r="J458" s="2"/>
      <c r="K458" s="13"/>
      <c r="L458" s="1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2"/>
      <c r="C459" s="4"/>
      <c r="D459" s="2"/>
      <c r="E459" s="13"/>
      <c r="F459" s="13"/>
      <c r="G459" s="2"/>
      <c r="H459" s="2"/>
      <c r="I459" s="2"/>
      <c r="J459" s="2"/>
      <c r="K459" s="13"/>
      <c r="L459" s="1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"/>
      <c r="B460" s="2"/>
      <c r="C460" s="4"/>
      <c r="D460" s="2"/>
      <c r="E460" s="13"/>
      <c r="F460" s="13"/>
      <c r="G460" s="2"/>
      <c r="H460" s="2"/>
      <c r="I460" s="2"/>
      <c r="J460" s="2"/>
      <c r="K460" s="13"/>
      <c r="L460" s="1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2"/>
      <c r="C461" s="4"/>
      <c r="D461" s="2"/>
      <c r="E461" s="13"/>
      <c r="F461" s="13"/>
      <c r="G461" s="2"/>
      <c r="H461" s="2"/>
      <c r="I461" s="2"/>
      <c r="J461" s="2"/>
      <c r="K461" s="13"/>
      <c r="L461" s="1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"/>
      <c r="B462" s="2"/>
      <c r="C462" s="4"/>
      <c r="D462" s="2"/>
      <c r="E462" s="13"/>
      <c r="F462" s="13"/>
      <c r="G462" s="2"/>
      <c r="H462" s="2"/>
      <c r="I462" s="2"/>
      <c r="J462" s="2"/>
      <c r="K462" s="13"/>
      <c r="L462" s="1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"/>
      <c r="B463" s="2"/>
      <c r="C463" s="4"/>
      <c r="D463" s="2"/>
      <c r="E463" s="13"/>
      <c r="F463" s="13"/>
      <c r="G463" s="2"/>
      <c r="H463" s="2"/>
      <c r="I463" s="2"/>
      <c r="J463" s="2"/>
      <c r="K463" s="13"/>
      <c r="L463" s="1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"/>
      <c r="B464" s="2"/>
      <c r="C464" s="4"/>
      <c r="D464" s="2"/>
      <c r="E464" s="13"/>
      <c r="F464" s="13"/>
      <c r="G464" s="2"/>
      <c r="H464" s="2"/>
      <c r="I464" s="2"/>
      <c r="J464" s="2"/>
      <c r="K464" s="13"/>
      <c r="L464" s="1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"/>
      <c r="B465" s="2"/>
      <c r="C465" s="4"/>
      <c r="D465" s="2"/>
      <c r="E465" s="13"/>
      <c r="F465" s="13"/>
      <c r="G465" s="2"/>
      <c r="H465" s="2"/>
      <c r="I465" s="2"/>
      <c r="J465" s="2"/>
      <c r="K465" s="13"/>
      <c r="L465" s="1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"/>
      <c r="B466" s="2"/>
      <c r="C466" s="4"/>
      <c r="D466" s="2"/>
      <c r="E466" s="13"/>
      <c r="F466" s="13"/>
      <c r="G466" s="2"/>
      <c r="H466" s="2"/>
      <c r="I466" s="2"/>
      <c r="J466" s="2"/>
      <c r="K466" s="13"/>
      <c r="L466" s="1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"/>
      <c r="B467" s="2"/>
      <c r="C467" s="4"/>
      <c r="D467" s="2"/>
      <c r="E467" s="13"/>
      <c r="F467" s="13"/>
      <c r="G467" s="2"/>
      <c r="H467" s="2"/>
      <c r="I467" s="2"/>
      <c r="J467" s="2"/>
      <c r="K467" s="13"/>
      <c r="L467" s="1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"/>
      <c r="B468" s="2"/>
      <c r="C468" s="4"/>
      <c r="D468" s="2"/>
      <c r="E468" s="13"/>
      <c r="F468" s="13"/>
      <c r="G468" s="2"/>
      <c r="H468" s="2"/>
      <c r="I468" s="2"/>
      <c r="J468" s="2"/>
      <c r="K468" s="13"/>
      <c r="L468" s="1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"/>
      <c r="B469" s="2"/>
      <c r="C469" s="4"/>
      <c r="D469" s="2"/>
      <c r="E469" s="13"/>
      <c r="F469" s="13"/>
      <c r="G469" s="2"/>
      <c r="H469" s="2"/>
      <c r="I469" s="2"/>
      <c r="J469" s="2"/>
      <c r="K469" s="13"/>
      <c r="L469" s="1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"/>
      <c r="B470" s="2"/>
      <c r="C470" s="4"/>
      <c r="D470" s="2"/>
      <c r="E470" s="13"/>
      <c r="F470" s="13"/>
      <c r="G470" s="2"/>
      <c r="H470" s="2"/>
      <c r="I470" s="2"/>
      <c r="J470" s="2"/>
      <c r="K470" s="13"/>
      <c r="L470" s="1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"/>
      <c r="B471" s="2"/>
      <c r="C471" s="4"/>
      <c r="D471" s="2"/>
      <c r="E471" s="13"/>
      <c r="F471" s="13"/>
      <c r="G471" s="2"/>
      <c r="H471" s="2"/>
      <c r="I471" s="2"/>
      <c r="J471" s="2"/>
      <c r="K471" s="13"/>
      <c r="L471" s="1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"/>
      <c r="B472" s="2"/>
      <c r="C472" s="4"/>
      <c r="D472" s="2"/>
      <c r="E472" s="13"/>
      <c r="F472" s="13"/>
      <c r="G472" s="2"/>
      <c r="H472" s="2"/>
      <c r="I472" s="2"/>
      <c r="J472" s="2"/>
      <c r="K472" s="13"/>
      <c r="L472" s="1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"/>
      <c r="B473" s="2"/>
      <c r="C473" s="4"/>
      <c r="D473" s="2"/>
      <c r="E473" s="13"/>
      <c r="F473" s="13"/>
      <c r="G473" s="2"/>
      <c r="H473" s="2"/>
      <c r="I473" s="2"/>
      <c r="J473" s="2"/>
      <c r="K473" s="13"/>
      <c r="L473" s="1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"/>
      <c r="B474" s="2"/>
      <c r="C474" s="4"/>
      <c r="D474" s="2"/>
      <c r="E474" s="13"/>
      <c r="F474" s="13"/>
      <c r="G474" s="2"/>
      <c r="H474" s="2"/>
      <c r="I474" s="2"/>
      <c r="J474" s="2"/>
      <c r="K474" s="13"/>
      <c r="L474" s="1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"/>
      <c r="B475" s="2"/>
      <c r="C475" s="4"/>
      <c r="D475" s="2"/>
      <c r="E475" s="13"/>
      <c r="F475" s="13"/>
      <c r="G475" s="2"/>
      <c r="H475" s="2"/>
      <c r="I475" s="2"/>
      <c r="J475" s="2"/>
      <c r="K475" s="13"/>
      <c r="L475" s="1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"/>
      <c r="B476" s="2"/>
      <c r="C476" s="4"/>
      <c r="D476" s="2"/>
      <c r="E476" s="13"/>
      <c r="F476" s="13"/>
      <c r="G476" s="2"/>
      <c r="H476" s="2"/>
      <c r="I476" s="2"/>
      <c r="J476" s="2"/>
      <c r="K476" s="13"/>
      <c r="L476" s="1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"/>
      <c r="B477" s="2"/>
      <c r="C477" s="4"/>
      <c r="D477" s="2"/>
      <c r="E477" s="13"/>
      <c r="F477" s="13"/>
      <c r="G477" s="2"/>
      <c r="H477" s="2"/>
      <c r="I477" s="2"/>
      <c r="J477" s="2"/>
      <c r="K477" s="13"/>
      <c r="L477" s="1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"/>
      <c r="B478" s="2"/>
      <c r="C478" s="4"/>
      <c r="D478" s="2"/>
      <c r="E478" s="13"/>
      <c r="F478" s="13"/>
      <c r="G478" s="2"/>
      <c r="H478" s="2"/>
      <c r="I478" s="2"/>
      <c r="J478" s="2"/>
      <c r="K478" s="13"/>
      <c r="L478" s="1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"/>
      <c r="B479" s="2"/>
      <c r="C479" s="4"/>
      <c r="D479" s="2"/>
      <c r="E479" s="13"/>
      <c r="F479" s="13"/>
      <c r="G479" s="2"/>
      <c r="H479" s="2"/>
      <c r="I479" s="2"/>
      <c r="J479" s="2"/>
      <c r="K479" s="13"/>
      <c r="L479" s="1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"/>
      <c r="B480" s="2"/>
      <c r="C480" s="4"/>
      <c r="D480" s="2"/>
      <c r="E480" s="13"/>
      <c r="F480" s="13"/>
      <c r="G480" s="2"/>
      <c r="H480" s="2"/>
      <c r="I480" s="2"/>
      <c r="J480" s="2"/>
      <c r="K480" s="13"/>
      <c r="L480" s="1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2"/>
      <c r="C481" s="4"/>
      <c r="D481" s="2"/>
      <c r="E481" s="13"/>
      <c r="F481" s="13"/>
      <c r="G481" s="2"/>
      <c r="H481" s="2"/>
      <c r="I481" s="2"/>
      <c r="J481" s="2"/>
      <c r="K481" s="13"/>
      <c r="L481" s="14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2"/>
      <c r="C482" s="4"/>
      <c r="D482" s="2"/>
      <c r="E482" s="13"/>
      <c r="F482" s="13"/>
      <c r="G482" s="2"/>
      <c r="H482" s="2"/>
      <c r="I482" s="2"/>
      <c r="J482" s="2"/>
      <c r="K482" s="13"/>
      <c r="L482" s="14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"/>
      <c r="B483" s="2"/>
      <c r="C483" s="4"/>
      <c r="D483" s="2"/>
      <c r="E483" s="13"/>
      <c r="F483" s="13"/>
      <c r="G483" s="2"/>
      <c r="H483" s="2"/>
      <c r="I483" s="2"/>
      <c r="J483" s="2"/>
      <c r="K483" s="13"/>
      <c r="L483" s="14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"/>
      <c r="B484" s="2"/>
      <c r="C484" s="4"/>
      <c r="D484" s="2"/>
      <c r="E484" s="13"/>
      <c r="F484" s="13"/>
      <c r="G484" s="2"/>
      <c r="H484" s="2"/>
      <c r="I484" s="2"/>
      <c r="J484" s="2"/>
      <c r="K484" s="13"/>
      <c r="L484" s="14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"/>
      <c r="B485" s="2"/>
      <c r="C485" s="4"/>
      <c r="D485" s="2"/>
      <c r="E485" s="13"/>
      <c r="F485" s="13"/>
      <c r="G485" s="2"/>
      <c r="H485" s="2"/>
      <c r="I485" s="2"/>
      <c r="J485" s="2"/>
      <c r="K485" s="13"/>
      <c r="L485" s="14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"/>
      <c r="B486" s="2"/>
      <c r="C486" s="4"/>
      <c r="D486" s="2"/>
      <c r="E486" s="13"/>
      <c r="F486" s="13"/>
      <c r="G486" s="2"/>
      <c r="H486" s="2"/>
      <c r="I486" s="2"/>
      <c r="J486" s="2"/>
      <c r="K486" s="13"/>
      <c r="L486" s="14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"/>
      <c r="B487" s="2"/>
      <c r="C487" s="4"/>
      <c r="D487" s="2"/>
      <c r="E487" s="13"/>
      <c r="F487" s="13"/>
      <c r="G487" s="2"/>
      <c r="H487" s="2"/>
      <c r="I487" s="2"/>
      <c r="J487" s="2"/>
      <c r="K487" s="13"/>
      <c r="L487" s="14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"/>
      <c r="B488" s="2"/>
      <c r="C488" s="4"/>
      <c r="D488" s="2"/>
      <c r="E488" s="13"/>
      <c r="F488" s="13"/>
      <c r="G488" s="2"/>
      <c r="H488" s="2"/>
      <c r="I488" s="2"/>
      <c r="J488" s="2"/>
      <c r="K488" s="13"/>
      <c r="L488" s="14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"/>
      <c r="B489" s="2"/>
      <c r="C489" s="4"/>
      <c r="D489" s="2"/>
      <c r="E489" s="13"/>
      <c r="F489" s="13"/>
      <c r="G489" s="2"/>
      <c r="H489" s="2"/>
      <c r="I489" s="2"/>
      <c r="J489" s="2"/>
      <c r="K489" s="13"/>
      <c r="L489" s="14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"/>
      <c r="B490" s="2"/>
      <c r="C490" s="4"/>
      <c r="D490" s="2"/>
      <c r="E490" s="13"/>
      <c r="F490" s="13"/>
      <c r="G490" s="2"/>
      <c r="H490" s="2"/>
      <c r="I490" s="2"/>
      <c r="J490" s="2"/>
      <c r="K490" s="13"/>
      <c r="L490" s="14"/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"/>
      <c r="B491" s="2"/>
      <c r="C491" s="4"/>
      <c r="D491" s="2"/>
      <c r="E491" s="13"/>
      <c r="F491" s="13"/>
      <c r="G491" s="2"/>
      <c r="H491" s="2"/>
      <c r="I491" s="2"/>
      <c r="J491" s="2"/>
      <c r="K491" s="13"/>
      <c r="L491" s="14"/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"/>
      <c r="B492" s="2"/>
      <c r="C492" s="4"/>
      <c r="D492" s="2"/>
      <c r="E492" s="13"/>
      <c r="F492" s="13"/>
      <c r="G492" s="2"/>
      <c r="H492" s="2"/>
      <c r="I492" s="2"/>
      <c r="J492" s="2"/>
      <c r="K492" s="13"/>
      <c r="L492" s="14"/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"/>
      <c r="B493" s="2"/>
      <c r="C493" s="4"/>
      <c r="D493" s="2"/>
      <c r="E493" s="13"/>
      <c r="F493" s="13"/>
      <c r="G493" s="2"/>
      <c r="H493" s="2"/>
      <c r="I493" s="2"/>
      <c r="J493" s="2"/>
      <c r="K493" s="13"/>
      <c r="L493" s="14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"/>
      <c r="B494" s="2"/>
      <c r="C494" s="4"/>
      <c r="D494" s="2"/>
      <c r="E494" s="13"/>
      <c r="F494" s="13"/>
      <c r="G494" s="2"/>
      <c r="H494" s="2"/>
      <c r="I494" s="2"/>
      <c r="J494" s="2"/>
      <c r="K494" s="13"/>
      <c r="L494" s="14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"/>
      <c r="B495" s="2"/>
      <c r="C495" s="4"/>
      <c r="D495" s="2"/>
      <c r="E495" s="13"/>
      <c r="F495" s="13"/>
      <c r="G495" s="2"/>
      <c r="H495" s="2"/>
      <c r="I495" s="2"/>
      <c r="J495" s="2"/>
      <c r="K495" s="13"/>
      <c r="L495" s="14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2"/>
      <c r="C496" s="4"/>
      <c r="D496" s="2"/>
      <c r="E496" s="13"/>
      <c r="F496" s="13"/>
      <c r="G496" s="2"/>
      <c r="H496" s="2"/>
      <c r="I496" s="2"/>
      <c r="J496" s="2"/>
      <c r="K496" s="13"/>
      <c r="L496" s="14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"/>
      <c r="B497" s="2"/>
      <c r="C497" s="4"/>
      <c r="D497" s="2"/>
      <c r="E497" s="13"/>
      <c r="F497" s="13"/>
      <c r="G497" s="2"/>
      <c r="H497" s="2"/>
      <c r="I497" s="2"/>
      <c r="J497" s="2"/>
      <c r="K497" s="13"/>
      <c r="L497" s="14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"/>
      <c r="B498" s="2"/>
      <c r="C498" s="4"/>
      <c r="D498" s="2"/>
      <c r="E498" s="13"/>
      <c r="F498" s="13"/>
      <c r="G498" s="2"/>
      <c r="H498" s="2"/>
      <c r="I498" s="2"/>
      <c r="J498" s="2"/>
      <c r="K498" s="13"/>
      <c r="L498" s="14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"/>
      <c r="B499" s="2"/>
      <c r="C499" s="4"/>
      <c r="D499" s="2"/>
      <c r="E499" s="13"/>
      <c r="F499" s="13"/>
      <c r="G499" s="2"/>
      <c r="H499" s="2"/>
      <c r="I499" s="2"/>
      <c r="J499" s="2"/>
      <c r="K499" s="13"/>
      <c r="L499" s="14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"/>
      <c r="B500" s="2"/>
      <c r="C500" s="4"/>
      <c r="D500" s="2"/>
      <c r="E500" s="13"/>
      <c r="F500" s="13"/>
      <c r="G500" s="2"/>
      <c r="H500" s="2"/>
      <c r="I500" s="2"/>
      <c r="J500" s="2"/>
      <c r="K500" s="13"/>
      <c r="L500" s="14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"/>
      <c r="B501" s="2"/>
      <c r="C501" s="4"/>
      <c r="D501" s="2"/>
      <c r="E501" s="13"/>
      <c r="F501" s="13"/>
      <c r="G501" s="2"/>
      <c r="H501" s="2"/>
      <c r="I501" s="2"/>
      <c r="J501" s="2"/>
      <c r="K501" s="13"/>
      <c r="L501" s="14"/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"/>
      <c r="B502" s="2"/>
      <c r="C502" s="4"/>
      <c r="D502" s="2"/>
      <c r="E502" s="13"/>
      <c r="F502" s="13"/>
      <c r="G502" s="2"/>
      <c r="H502" s="2"/>
      <c r="I502" s="2"/>
      <c r="J502" s="2"/>
      <c r="K502" s="13"/>
      <c r="L502" s="14"/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2"/>
      <c r="C503" s="4"/>
      <c r="D503" s="2"/>
      <c r="E503" s="13"/>
      <c r="F503" s="13"/>
      <c r="G503" s="2"/>
      <c r="H503" s="2"/>
      <c r="I503" s="2"/>
      <c r="J503" s="2"/>
      <c r="K503" s="13"/>
      <c r="L503" s="14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2"/>
      <c r="C504" s="4"/>
      <c r="D504" s="2"/>
      <c r="E504" s="13"/>
      <c r="F504" s="13"/>
      <c r="G504" s="2"/>
      <c r="H504" s="2"/>
      <c r="I504" s="2"/>
      <c r="J504" s="2"/>
      <c r="K504" s="13"/>
      <c r="L504" s="14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2"/>
      <c r="C505" s="4"/>
      <c r="D505" s="2"/>
      <c r="E505" s="13"/>
      <c r="F505" s="13"/>
      <c r="G505" s="2"/>
      <c r="H505" s="2"/>
      <c r="I505" s="2"/>
      <c r="J505" s="2"/>
      <c r="K505" s="13"/>
      <c r="L505" s="14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"/>
      <c r="B506" s="2"/>
      <c r="C506" s="4"/>
      <c r="D506" s="2"/>
      <c r="E506" s="13"/>
      <c r="F506" s="13"/>
      <c r="G506" s="2"/>
      <c r="H506" s="2"/>
      <c r="I506" s="2"/>
      <c r="J506" s="2"/>
      <c r="K506" s="13"/>
      <c r="L506" s="14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"/>
      <c r="B507" s="2"/>
      <c r="C507" s="4"/>
      <c r="D507" s="2"/>
      <c r="E507" s="13"/>
      <c r="F507" s="13"/>
      <c r="G507" s="2"/>
      <c r="H507" s="2"/>
      <c r="I507" s="2"/>
      <c r="J507" s="2"/>
      <c r="K507" s="13"/>
      <c r="L507" s="14"/>
      <c r="M507" s="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"/>
      <c r="B508" s="2"/>
      <c r="C508" s="4"/>
      <c r="D508" s="2"/>
      <c r="E508" s="13"/>
      <c r="F508" s="13"/>
      <c r="G508" s="2"/>
      <c r="H508" s="2"/>
      <c r="I508" s="2"/>
      <c r="J508" s="2"/>
      <c r="K508" s="13"/>
      <c r="L508" s="14"/>
      <c r="M508" s="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"/>
      <c r="B509" s="2"/>
      <c r="C509" s="4"/>
      <c r="D509" s="2"/>
      <c r="E509" s="13"/>
      <c r="F509" s="13"/>
      <c r="G509" s="2"/>
      <c r="H509" s="2"/>
      <c r="I509" s="2"/>
      <c r="J509" s="2"/>
      <c r="K509" s="13"/>
      <c r="L509" s="14"/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"/>
      <c r="B510" s="2"/>
      <c r="C510" s="4"/>
      <c r="D510" s="2"/>
      <c r="E510" s="13"/>
      <c r="F510" s="13"/>
      <c r="G510" s="2"/>
      <c r="H510" s="2"/>
      <c r="I510" s="2"/>
      <c r="J510" s="2"/>
      <c r="K510" s="13"/>
      <c r="L510" s="14"/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"/>
      <c r="B511" s="2"/>
      <c r="C511" s="4"/>
      <c r="D511" s="2"/>
      <c r="E511" s="13"/>
      <c r="F511" s="13"/>
      <c r="G511" s="2"/>
      <c r="H511" s="2"/>
      <c r="I511" s="2"/>
      <c r="J511" s="2"/>
      <c r="K511" s="13"/>
      <c r="L511" s="14"/>
      <c r="M511" s="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"/>
      <c r="B512" s="2"/>
      <c r="C512" s="4"/>
      <c r="D512" s="2"/>
      <c r="E512" s="13"/>
      <c r="F512" s="13"/>
      <c r="G512" s="2"/>
      <c r="H512" s="2"/>
      <c r="I512" s="2"/>
      <c r="J512" s="2"/>
      <c r="K512" s="13"/>
      <c r="L512" s="14"/>
      <c r="M512" s="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"/>
      <c r="B513" s="2"/>
      <c r="C513" s="4"/>
      <c r="D513" s="2"/>
      <c r="E513" s="13"/>
      <c r="F513" s="13"/>
      <c r="G513" s="2"/>
      <c r="H513" s="2"/>
      <c r="I513" s="2"/>
      <c r="J513" s="2"/>
      <c r="K513" s="13"/>
      <c r="L513" s="14"/>
      <c r="M513" s="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"/>
      <c r="B514" s="2"/>
      <c r="C514" s="4"/>
      <c r="D514" s="2"/>
      <c r="E514" s="13"/>
      <c r="F514" s="13"/>
      <c r="G514" s="2"/>
      <c r="H514" s="2"/>
      <c r="I514" s="2"/>
      <c r="J514" s="2"/>
      <c r="K514" s="13"/>
      <c r="L514" s="14"/>
      <c r="M514" s="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2"/>
      <c r="C515" s="4"/>
      <c r="D515" s="2"/>
      <c r="E515" s="13"/>
      <c r="F515" s="13"/>
      <c r="G515" s="2"/>
      <c r="H515" s="2"/>
      <c r="I515" s="2"/>
      <c r="J515" s="2"/>
      <c r="K515" s="13"/>
      <c r="L515" s="14"/>
      <c r="M515" s="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2"/>
      <c r="C516" s="4"/>
      <c r="D516" s="2"/>
      <c r="E516" s="13"/>
      <c r="F516" s="13"/>
      <c r="G516" s="2"/>
      <c r="H516" s="2"/>
      <c r="I516" s="2"/>
      <c r="J516" s="2"/>
      <c r="K516" s="13"/>
      <c r="L516" s="14"/>
      <c r="M516" s="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2"/>
      <c r="C517" s="4"/>
      <c r="D517" s="2"/>
      <c r="E517" s="13"/>
      <c r="F517" s="13"/>
      <c r="G517" s="2"/>
      <c r="H517" s="2"/>
      <c r="I517" s="2"/>
      <c r="J517" s="2"/>
      <c r="K517" s="13"/>
      <c r="L517" s="14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2"/>
      <c r="C518" s="4"/>
      <c r="D518" s="2"/>
      <c r="E518" s="13"/>
      <c r="F518" s="13"/>
      <c r="G518" s="2"/>
      <c r="H518" s="2"/>
      <c r="I518" s="2"/>
      <c r="J518" s="2"/>
      <c r="K518" s="13"/>
      <c r="L518" s="14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"/>
      <c r="B519" s="2"/>
      <c r="C519" s="4"/>
      <c r="D519" s="2"/>
      <c r="E519" s="13"/>
      <c r="F519" s="13"/>
      <c r="G519" s="2"/>
      <c r="H519" s="2"/>
      <c r="I519" s="2"/>
      <c r="J519" s="2"/>
      <c r="K519" s="13"/>
      <c r="L519" s="14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"/>
      <c r="B520" s="2"/>
      <c r="C520" s="4"/>
      <c r="D520" s="2"/>
      <c r="E520" s="13"/>
      <c r="F520" s="13"/>
      <c r="G520" s="2"/>
      <c r="H520" s="2"/>
      <c r="I520" s="2"/>
      <c r="J520" s="2"/>
      <c r="K520" s="13"/>
      <c r="L520" s="14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"/>
      <c r="B521" s="2"/>
      <c r="C521" s="4"/>
      <c r="D521" s="2"/>
      <c r="E521" s="13"/>
      <c r="F521" s="13"/>
      <c r="G521" s="2"/>
      <c r="H521" s="2"/>
      <c r="I521" s="2"/>
      <c r="J521" s="2"/>
      <c r="K521" s="13"/>
      <c r="L521" s="14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"/>
      <c r="B522" s="2"/>
      <c r="C522" s="4"/>
      <c r="D522" s="2"/>
      <c r="E522" s="13"/>
      <c r="F522" s="13"/>
      <c r="G522" s="2"/>
      <c r="H522" s="2"/>
      <c r="I522" s="2"/>
      <c r="J522" s="2"/>
      <c r="K522" s="13"/>
      <c r="L522" s="14"/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"/>
      <c r="B523" s="2"/>
      <c r="C523" s="4"/>
      <c r="D523" s="2"/>
      <c r="E523" s="13"/>
      <c r="F523" s="13"/>
      <c r="G523" s="2"/>
      <c r="H523" s="2"/>
      <c r="I523" s="2"/>
      <c r="J523" s="2"/>
      <c r="K523" s="13"/>
      <c r="L523" s="14"/>
      <c r="M523" s="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"/>
      <c r="B524" s="2"/>
      <c r="C524" s="4"/>
      <c r="D524" s="2"/>
      <c r="E524" s="13"/>
      <c r="F524" s="13"/>
      <c r="G524" s="2"/>
      <c r="H524" s="2"/>
      <c r="I524" s="2"/>
      <c r="J524" s="2"/>
      <c r="K524" s="13"/>
      <c r="L524" s="14"/>
      <c r="M524" s="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"/>
      <c r="B525" s="2"/>
      <c r="C525" s="4"/>
      <c r="D525" s="2"/>
      <c r="E525" s="13"/>
      <c r="F525" s="13"/>
      <c r="G525" s="2"/>
      <c r="H525" s="2"/>
      <c r="I525" s="2"/>
      <c r="J525" s="2"/>
      <c r="K525" s="13"/>
      <c r="L525" s="14"/>
      <c r="M525" s="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"/>
      <c r="B526" s="2"/>
      <c r="C526" s="4"/>
      <c r="D526" s="2"/>
      <c r="E526" s="13"/>
      <c r="F526" s="13"/>
      <c r="G526" s="2"/>
      <c r="H526" s="2"/>
      <c r="I526" s="2"/>
      <c r="J526" s="2"/>
      <c r="K526" s="13"/>
      <c r="L526" s="14"/>
      <c r="M526" s="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"/>
      <c r="B527" s="2"/>
      <c r="C527" s="4"/>
      <c r="D527" s="2"/>
      <c r="E527" s="13"/>
      <c r="F527" s="13"/>
      <c r="G527" s="2"/>
      <c r="H527" s="2"/>
      <c r="I527" s="2"/>
      <c r="J527" s="2"/>
      <c r="K527" s="13"/>
      <c r="L527" s="14"/>
      <c r="M527" s="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"/>
      <c r="B528" s="2"/>
      <c r="C528" s="4"/>
      <c r="D528" s="2"/>
      <c r="E528" s="13"/>
      <c r="F528" s="13"/>
      <c r="G528" s="2"/>
      <c r="H528" s="2"/>
      <c r="I528" s="2"/>
      <c r="J528" s="2"/>
      <c r="K528" s="13"/>
      <c r="L528" s="14"/>
      <c r="M528" s="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"/>
      <c r="B529" s="2"/>
      <c r="C529" s="4"/>
      <c r="D529" s="2"/>
      <c r="E529" s="13"/>
      <c r="F529" s="13"/>
      <c r="G529" s="2"/>
      <c r="H529" s="2"/>
      <c r="I529" s="2"/>
      <c r="J529" s="2"/>
      <c r="K529" s="13"/>
      <c r="L529" s="14"/>
      <c r="M529" s="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"/>
      <c r="B530" s="2"/>
      <c r="C530" s="4"/>
      <c r="D530" s="2"/>
      <c r="E530" s="13"/>
      <c r="F530" s="13"/>
      <c r="G530" s="2"/>
      <c r="H530" s="2"/>
      <c r="I530" s="2"/>
      <c r="J530" s="2"/>
      <c r="K530" s="13"/>
      <c r="L530" s="14"/>
      <c r="M530" s="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"/>
      <c r="B531" s="2"/>
      <c r="C531" s="4"/>
      <c r="D531" s="2"/>
      <c r="E531" s="13"/>
      <c r="F531" s="13"/>
      <c r="G531" s="2"/>
      <c r="H531" s="2"/>
      <c r="I531" s="2"/>
      <c r="J531" s="2"/>
      <c r="K531" s="13"/>
      <c r="L531" s="14"/>
      <c r="M531" s="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"/>
      <c r="B532" s="2"/>
      <c r="C532" s="4"/>
      <c r="D532" s="2"/>
      <c r="E532" s="13"/>
      <c r="F532" s="13"/>
      <c r="G532" s="2"/>
      <c r="H532" s="2"/>
      <c r="I532" s="2"/>
      <c r="J532" s="2"/>
      <c r="K532" s="13"/>
      <c r="L532" s="14"/>
      <c r="M532" s="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"/>
      <c r="B533" s="2"/>
      <c r="C533" s="4"/>
      <c r="D533" s="2"/>
      <c r="E533" s="13"/>
      <c r="F533" s="13"/>
      <c r="G533" s="2"/>
      <c r="H533" s="2"/>
      <c r="I533" s="2"/>
      <c r="J533" s="2"/>
      <c r="K533" s="13"/>
      <c r="L533" s="14"/>
      <c r="M533" s="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"/>
      <c r="B534" s="2"/>
      <c r="C534" s="4"/>
      <c r="D534" s="2"/>
      <c r="E534" s="13"/>
      <c r="F534" s="13"/>
      <c r="G534" s="2"/>
      <c r="H534" s="2"/>
      <c r="I534" s="2"/>
      <c r="J534" s="2"/>
      <c r="K534" s="13"/>
      <c r="L534" s="14"/>
      <c r="M534" s="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"/>
      <c r="B535" s="2"/>
      <c r="C535" s="4"/>
      <c r="D535" s="2"/>
      <c r="E535" s="13"/>
      <c r="F535" s="13"/>
      <c r="G535" s="2"/>
      <c r="H535" s="2"/>
      <c r="I535" s="2"/>
      <c r="J535" s="2"/>
      <c r="K535" s="13"/>
      <c r="L535" s="14"/>
      <c r="M535" s="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"/>
      <c r="B536" s="2"/>
      <c r="C536" s="4"/>
      <c r="D536" s="2"/>
      <c r="E536" s="13"/>
      <c r="F536" s="13"/>
      <c r="G536" s="2"/>
      <c r="H536" s="2"/>
      <c r="I536" s="2"/>
      <c r="J536" s="2"/>
      <c r="K536" s="13"/>
      <c r="L536" s="14"/>
      <c r="M536" s="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"/>
      <c r="B537" s="2"/>
      <c r="C537" s="4"/>
      <c r="D537" s="2"/>
      <c r="E537" s="13"/>
      <c r="F537" s="13"/>
      <c r="G537" s="2"/>
      <c r="H537" s="2"/>
      <c r="I537" s="2"/>
      <c r="J537" s="2"/>
      <c r="K537" s="13"/>
      <c r="L537" s="14"/>
      <c r="M537" s="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2"/>
      <c r="C538" s="4"/>
      <c r="D538" s="2"/>
      <c r="E538" s="13"/>
      <c r="F538" s="13"/>
      <c r="G538" s="2"/>
      <c r="H538" s="2"/>
      <c r="I538" s="2"/>
      <c r="J538" s="2"/>
      <c r="K538" s="13"/>
      <c r="L538" s="14"/>
      <c r="M538" s="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2"/>
      <c r="C539" s="4"/>
      <c r="D539" s="2"/>
      <c r="E539" s="13"/>
      <c r="F539" s="13"/>
      <c r="G539" s="2"/>
      <c r="H539" s="2"/>
      <c r="I539" s="2"/>
      <c r="J539" s="2"/>
      <c r="K539" s="13"/>
      <c r="L539" s="14"/>
      <c r="M539" s="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"/>
      <c r="B540" s="2"/>
      <c r="C540" s="4"/>
      <c r="D540" s="2"/>
      <c r="E540" s="13"/>
      <c r="F540" s="13"/>
      <c r="G540" s="2"/>
      <c r="H540" s="2"/>
      <c r="I540" s="2"/>
      <c r="J540" s="2"/>
      <c r="K540" s="13"/>
      <c r="L540" s="14"/>
      <c r="M540" s="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"/>
      <c r="B541" s="2"/>
      <c r="C541" s="4"/>
      <c r="D541" s="2"/>
      <c r="E541" s="13"/>
      <c r="F541" s="13"/>
      <c r="G541" s="2"/>
      <c r="H541" s="2"/>
      <c r="I541" s="2"/>
      <c r="J541" s="2"/>
      <c r="K541" s="13"/>
      <c r="L541" s="14"/>
      <c r="M541" s="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"/>
      <c r="B542" s="2"/>
      <c r="C542" s="4"/>
      <c r="D542" s="2"/>
      <c r="E542" s="13"/>
      <c r="F542" s="13"/>
      <c r="G542" s="2"/>
      <c r="H542" s="2"/>
      <c r="I542" s="2"/>
      <c r="J542" s="2"/>
      <c r="K542" s="13"/>
      <c r="L542" s="14"/>
      <c r="M542" s="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"/>
      <c r="B543" s="2"/>
      <c r="C543" s="4"/>
      <c r="D543" s="2"/>
      <c r="E543" s="13"/>
      <c r="F543" s="13"/>
      <c r="G543" s="2"/>
      <c r="H543" s="2"/>
      <c r="I543" s="2"/>
      <c r="J543" s="2"/>
      <c r="K543" s="13"/>
      <c r="L543" s="14"/>
      <c r="M543" s="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"/>
      <c r="B544" s="2"/>
      <c r="C544" s="4"/>
      <c r="D544" s="2"/>
      <c r="E544" s="13"/>
      <c r="F544" s="13"/>
      <c r="G544" s="2"/>
      <c r="H544" s="2"/>
      <c r="I544" s="2"/>
      <c r="J544" s="2"/>
      <c r="K544" s="13"/>
      <c r="L544" s="14"/>
      <c r="M544" s="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"/>
      <c r="B545" s="2"/>
      <c r="C545" s="4"/>
      <c r="D545" s="2"/>
      <c r="E545" s="13"/>
      <c r="F545" s="13"/>
      <c r="G545" s="2"/>
      <c r="H545" s="2"/>
      <c r="I545" s="2"/>
      <c r="J545" s="2"/>
      <c r="K545" s="13"/>
      <c r="L545" s="14"/>
      <c r="M545" s="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"/>
      <c r="B546" s="2"/>
      <c r="C546" s="4"/>
      <c r="D546" s="2"/>
      <c r="E546" s="13"/>
      <c r="F546" s="13"/>
      <c r="G546" s="2"/>
      <c r="H546" s="2"/>
      <c r="I546" s="2"/>
      <c r="J546" s="2"/>
      <c r="K546" s="13"/>
      <c r="L546" s="14"/>
      <c r="M546" s="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"/>
      <c r="B547" s="2"/>
      <c r="C547" s="4"/>
      <c r="D547" s="2"/>
      <c r="E547" s="13"/>
      <c r="F547" s="13"/>
      <c r="G547" s="2"/>
      <c r="H547" s="2"/>
      <c r="I547" s="2"/>
      <c r="J547" s="2"/>
      <c r="K547" s="13"/>
      <c r="L547" s="14"/>
      <c r="M547" s="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"/>
      <c r="B548" s="2"/>
      <c r="C548" s="4"/>
      <c r="D548" s="2"/>
      <c r="E548" s="13"/>
      <c r="F548" s="13"/>
      <c r="G548" s="2"/>
      <c r="H548" s="2"/>
      <c r="I548" s="2"/>
      <c r="J548" s="2"/>
      <c r="K548" s="13"/>
      <c r="L548" s="14"/>
      <c r="M548" s="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"/>
      <c r="B549" s="2"/>
      <c r="C549" s="4"/>
      <c r="D549" s="2"/>
      <c r="E549" s="13"/>
      <c r="F549" s="13"/>
      <c r="G549" s="2"/>
      <c r="H549" s="2"/>
      <c r="I549" s="2"/>
      <c r="J549" s="2"/>
      <c r="K549" s="13"/>
      <c r="L549" s="14"/>
      <c r="M549" s="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"/>
      <c r="B550" s="2"/>
      <c r="C550" s="4"/>
      <c r="D550" s="2"/>
      <c r="E550" s="13"/>
      <c r="F550" s="13"/>
      <c r="G550" s="2"/>
      <c r="H550" s="2"/>
      <c r="I550" s="2"/>
      <c r="J550" s="2"/>
      <c r="K550" s="13"/>
      <c r="L550" s="14"/>
      <c r="M550" s="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"/>
      <c r="B551" s="2"/>
      <c r="C551" s="4"/>
      <c r="D551" s="2"/>
      <c r="E551" s="13"/>
      <c r="F551" s="13"/>
      <c r="G551" s="2"/>
      <c r="H551" s="2"/>
      <c r="I551" s="2"/>
      <c r="J551" s="2"/>
      <c r="K551" s="13"/>
      <c r="L551" s="14"/>
      <c r="M551" s="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"/>
      <c r="B552" s="2"/>
      <c r="C552" s="4"/>
      <c r="D552" s="2"/>
      <c r="E552" s="13"/>
      <c r="F552" s="13"/>
      <c r="G552" s="2"/>
      <c r="H552" s="2"/>
      <c r="I552" s="2"/>
      <c r="J552" s="2"/>
      <c r="K552" s="13"/>
      <c r="L552" s="14"/>
      <c r="M552" s="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"/>
      <c r="B553" s="2"/>
      <c r="C553" s="4"/>
      <c r="D553" s="2"/>
      <c r="E553" s="13"/>
      <c r="F553" s="13"/>
      <c r="G553" s="2"/>
      <c r="H553" s="2"/>
      <c r="I553" s="2"/>
      <c r="J553" s="2"/>
      <c r="K553" s="13"/>
      <c r="L553" s="14"/>
      <c r="M553" s="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"/>
      <c r="B554" s="2"/>
      <c r="C554" s="4"/>
      <c r="D554" s="2"/>
      <c r="E554" s="13"/>
      <c r="F554" s="13"/>
      <c r="G554" s="2"/>
      <c r="H554" s="2"/>
      <c r="I554" s="2"/>
      <c r="J554" s="2"/>
      <c r="K554" s="13"/>
      <c r="L554" s="14"/>
      <c r="M554" s="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"/>
      <c r="B555" s="2"/>
      <c r="C555" s="4"/>
      <c r="D555" s="2"/>
      <c r="E555" s="13"/>
      <c r="F555" s="13"/>
      <c r="G555" s="2"/>
      <c r="H555" s="2"/>
      <c r="I555" s="2"/>
      <c r="J555" s="2"/>
      <c r="K555" s="13"/>
      <c r="L555" s="14"/>
      <c r="M555" s="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"/>
      <c r="B556" s="2"/>
      <c r="C556" s="4"/>
      <c r="D556" s="2"/>
      <c r="E556" s="13"/>
      <c r="F556" s="13"/>
      <c r="G556" s="2"/>
      <c r="H556" s="2"/>
      <c r="I556" s="2"/>
      <c r="J556" s="2"/>
      <c r="K556" s="13"/>
      <c r="L556" s="14"/>
      <c r="M556" s="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"/>
      <c r="B557" s="2"/>
      <c r="C557" s="4"/>
      <c r="D557" s="2"/>
      <c r="E557" s="13"/>
      <c r="F557" s="13"/>
      <c r="G557" s="2"/>
      <c r="H557" s="2"/>
      <c r="I557" s="2"/>
      <c r="J557" s="2"/>
      <c r="K557" s="13"/>
      <c r="L557" s="14"/>
      <c r="M557" s="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"/>
      <c r="B558" s="2"/>
      <c r="C558" s="4"/>
      <c r="D558" s="2"/>
      <c r="E558" s="13"/>
      <c r="F558" s="13"/>
      <c r="G558" s="2"/>
      <c r="H558" s="2"/>
      <c r="I558" s="2"/>
      <c r="J558" s="2"/>
      <c r="K558" s="13"/>
      <c r="L558" s="14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2"/>
      <c r="C559" s="4"/>
      <c r="D559" s="2"/>
      <c r="E559" s="13"/>
      <c r="F559" s="13"/>
      <c r="G559" s="2"/>
      <c r="H559" s="2"/>
      <c r="I559" s="2"/>
      <c r="J559" s="2"/>
      <c r="K559" s="13"/>
      <c r="L559" s="14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"/>
      <c r="B560" s="2"/>
      <c r="C560" s="4"/>
      <c r="D560" s="2"/>
      <c r="E560" s="13"/>
      <c r="F560" s="13"/>
      <c r="G560" s="2"/>
      <c r="H560" s="2"/>
      <c r="I560" s="2"/>
      <c r="J560" s="2"/>
      <c r="K560" s="13"/>
      <c r="L560" s="14"/>
      <c r="M560" s="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2"/>
      <c r="C561" s="4"/>
      <c r="D561" s="2"/>
      <c r="E561" s="13"/>
      <c r="F561" s="13"/>
      <c r="G561" s="2"/>
      <c r="H561" s="2"/>
      <c r="I561" s="2"/>
      <c r="J561" s="2"/>
      <c r="K561" s="13"/>
      <c r="L561" s="14"/>
      <c r="M561" s="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1"/>
      <c r="B562" s="2"/>
      <c r="C562" s="4"/>
      <c r="D562" s="2"/>
      <c r="E562" s="13"/>
      <c r="F562" s="13"/>
      <c r="G562" s="2"/>
      <c r="H562" s="2"/>
      <c r="I562" s="2"/>
      <c r="J562" s="2"/>
      <c r="K562" s="13"/>
      <c r="L562" s="14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"/>
      <c r="B563" s="2"/>
      <c r="C563" s="4"/>
      <c r="D563" s="2"/>
      <c r="E563" s="13"/>
      <c r="F563" s="13"/>
      <c r="G563" s="2"/>
      <c r="H563" s="2"/>
      <c r="I563" s="2"/>
      <c r="J563" s="2"/>
      <c r="K563" s="13"/>
      <c r="L563" s="14"/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"/>
      <c r="B564" s="2"/>
      <c r="C564" s="4"/>
      <c r="D564" s="2"/>
      <c r="E564" s="13"/>
      <c r="F564" s="13"/>
      <c r="G564" s="2"/>
      <c r="H564" s="2"/>
      <c r="I564" s="2"/>
      <c r="J564" s="2"/>
      <c r="K564" s="13"/>
      <c r="L564" s="14"/>
      <c r="M564" s="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"/>
      <c r="B565" s="2"/>
      <c r="C565" s="4"/>
      <c r="D565" s="2"/>
      <c r="E565" s="13"/>
      <c r="F565" s="13"/>
      <c r="G565" s="2"/>
      <c r="H565" s="2"/>
      <c r="I565" s="2"/>
      <c r="J565" s="2"/>
      <c r="K565" s="13"/>
      <c r="L565" s="14"/>
      <c r="M565" s="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"/>
      <c r="B566" s="2"/>
      <c r="C566" s="4"/>
      <c r="D566" s="2"/>
      <c r="E566" s="13"/>
      <c r="F566" s="13"/>
      <c r="G566" s="2"/>
      <c r="H566" s="2"/>
      <c r="I566" s="2"/>
      <c r="J566" s="2"/>
      <c r="K566" s="13"/>
      <c r="L566" s="14"/>
      <c r="M566" s="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"/>
      <c r="B567" s="2"/>
      <c r="C567" s="4"/>
      <c r="D567" s="2"/>
      <c r="E567" s="13"/>
      <c r="F567" s="13"/>
      <c r="G567" s="2"/>
      <c r="H567" s="2"/>
      <c r="I567" s="2"/>
      <c r="J567" s="2"/>
      <c r="K567" s="13"/>
      <c r="L567" s="14"/>
      <c r="M567" s="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"/>
      <c r="B568" s="2"/>
      <c r="C568" s="4"/>
      <c r="D568" s="2"/>
      <c r="E568" s="13"/>
      <c r="F568" s="13"/>
      <c r="G568" s="2"/>
      <c r="H568" s="2"/>
      <c r="I568" s="2"/>
      <c r="J568" s="2"/>
      <c r="K568" s="13"/>
      <c r="L568" s="14"/>
      <c r="M568" s="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"/>
      <c r="B569" s="2"/>
      <c r="C569" s="4"/>
      <c r="D569" s="2"/>
      <c r="E569" s="13"/>
      <c r="F569" s="13"/>
      <c r="G569" s="2"/>
      <c r="H569" s="2"/>
      <c r="I569" s="2"/>
      <c r="J569" s="2"/>
      <c r="K569" s="13"/>
      <c r="L569" s="14"/>
      <c r="M569" s="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"/>
      <c r="B570" s="2"/>
      <c r="C570" s="4"/>
      <c r="D570" s="2"/>
      <c r="E570" s="13"/>
      <c r="F570" s="13"/>
      <c r="G570" s="2"/>
      <c r="H570" s="2"/>
      <c r="I570" s="2"/>
      <c r="J570" s="2"/>
      <c r="K570" s="13"/>
      <c r="L570" s="14"/>
      <c r="M570" s="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"/>
      <c r="B571" s="2"/>
      <c r="C571" s="4"/>
      <c r="D571" s="2"/>
      <c r="E571" s="13"/>
      <c r="F571" s="13"/>
      <c r="G571" s="2"/>
      <c r="H571" s="2"/>
      <c r="I571" s="2"/>
      <c r="J571" s="2"/>
      <c r="K571" s="13"/>
      <c r="L571" s="14"/>
      <c r="M571" s="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"/>
      <c r="B572" s="2"/>
      <c r="C572" s="4"/>
      <c r="D572" s="2"/>
      <c r="E572" s="13"/>
      <c r="F572" s="13"/>
      <c r="G572" s="2"/>
      <c r="H572" s="2"/>
      <c r="I572" s="2"/>
      <c r="J572" s="2"/>
      <c r="K572" s="13"/>
      <c r="L572" s="14"/>
      <c r="M572" s="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"/>
      <c r="B573" s="2"/>
      <c r="C573" s="4"/>
      <c r="D573" s="2"/>
      <c r="E573" s="13"/>
      <c r="F573" s="13"/>
      <c r="G573" s="2"/>
      <c r="H573" s="2"/>
      <c r="I573" s="2"/>
      <c r="J573" s="2"/>
      <c r="K573" s="13"/>
      <c r="L573" s="14"/>
      <c r="M573" s="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"/>
      <c r="B574" s="2"/>
      <c r="C574" s="4"/>
      <c r="D574" s="2"/>
      <c r="E574" s="13"/>
      <c r="F574" s="13"/>
      <c r="G574" s="2"/>
      <c r="H574" s="2"/>
      <c r="I574" s="2"/>
      <c r="J574" s="2"/>
      <c r="K574" s="13"/>
      <c r="L574" s="14"/>
      <c r="M574" s="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"/>
      <c r="B575" s="2"/>
      <c r="C575" s="4"/>
      <c r="D575" s="2"/>
      <c r="E575" s="13"/>
      <c r="F575" s="13"/>
      <c r="G575" s="2"/>
      <c r="H575" s="2"/>
      <c r="I575" s="2"/>
      <c r="J575" s="2"/>
      <c r="K575" s="13"/>
      <c r="L575" s="14"/>
      <c r="M575" s="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"/>
      <c r="B576" s="2"/>
      <c r="C576" s="4"/>
      <c r="D576" s="2"/>
      <c r="E576" s="13"/>
      <c r="F576" s="13"/>
      <c r="G576" s="2"/>
      <c r="H576" s="2"/>
      <c r="I576" s="2"/>
      <c r="J576" s="2"/>
      <c r="K576" s="13"/>
      <c r="L576" s="14"/>
      <c r="M576" s="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"/>
      <c r="B577" s="2"/>
      <c r="C577" s="4"/>
      <c r="D577" s="2"/>
      <c r="E577" s="13"/>
      <c r="F577" s="13"/>
      <c r="G577" s="2"/>
      <c r="H577" s="2"/>
      <c r="I577" s="2"/>
      <c r="J577" s="2"/>
      <c r="K577" s="13"/>
      <c r="L577" s="14"/>
      <c r="M577" s="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"/>
      <c r="B578" s="2"/>
      <c r="C578" s="4"/>
      <c r="D578" s="2"/>
      <c r="E578" s="13"/>
      <c r="F578" s="13"/>
      <c r="G578" s="2"/>
      <c r="H578" s="2"/>
      <c r="I578" s="2"/>
      <c r="J578" s="2"/>
      <c r="K578" s="13"/>
      <c r="L578" s="14"/>
      <c r="M578" s="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"/>
      <c r="B579" s="2"/>
      <c r="C579" s="4"/>
      <c r="D579" s="2"/>
      <c r="E579" s="13"/>
      <c r="F579" s="13"/>
      <c r="G579" s="2"/>
      <c r="H579" s="2"/>
      <c r="I579" s="2"/>
      <c r="J579" s="2"/>
      <c r="K579" s="13"/>
      <c r="L579" s="14"/>
      <c r="M579" s="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"/>
      <c r="B580" s="2"/>
      <c r="C580" s="4"/>
      <c r="D580" s="2"/>
      <c r="E580" s="13"/>
      <c r="F580" s="13"/>
      <c r="G580" s="2"/>
      <c r="H580" s="2"/>
      <c r="I580" s="2"/>
      <c r="J580" s="2"/>
      <c r="K580" s="13"/>
      <c r="L580" s="14"/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"/>
      <c r="B581" s="2"/>
      <c r="C581" s="4"/>
      <c r="D581" s="2"/>
      <c r="E581" s="13"/>
      <c r="F581" s="13"/>
      <c r="G581" s="2"/>
      <c r="H581" s="2"/>
      <c r="I581" s="2"/>
      <c r="J581" s="2"/>
      <c r="K581" s="13"/>
      <c r="L581" s="14"/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"/>
      <c r="B582" s="2"/>
      <c r="C582" s="4"/>
      <c r="D582" s="2"/>
      <c r="E582" s="13"/>
      <c r="F582" s="13"/>
      <c r="G582" s="2"/>
      <c r="H582" s="2"/>
      <c r="I582" s="2"/>
      <c r="J582" s="2"/>
      <c r="K582" s="13"/>
      <c r="L582" s="14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"/>
      <c r="B583" s="2"/>
      <c r="C583" s="4"/>
      <c r="D583" s="2"/>
      <c r="E583" s="13"/>
      <c r="F583" s="13"/>
      <c r="G583" s="2"/>
      <c r="H583" s="2"/>
      <c r="I583" s="2"/>
      <c r="J583" s="2"/>
      <c r="K583" s="13"/>
      <c r="L583" s="14"/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"/>
      <c r="B584" s="2"/>
      <c r="C584" s="4"/>
      <c r="D584" s="2"/>
      <c r="E584" s="13"/>
      <c r="F584" s="13"/>
      <c r="G584" s="2"/>
      <c r="H584" s="2"/>
      <c r="I584" s="2"/>
      <c r="J584" s="2"/>
      <c r="K584" s="13"/>
      <c r="L584" s="14"/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"/>
      <c r="B585" s="2"/>
      <c r="C585" s="4"/>
      <c r="D585" s="2"/>
      <c r="E585" s="13"/>
      <c r="F585" s="13"/>
      <c r="G585" s="2"/>
      <c r="H585" s="2"/>
      <c r="I585" s="2"/>
      <c r="J585" s="2"/>
      <c r="K585" s="13"/>
      <c r="L585" s="14"/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"/>
      <c r="B586" s="2"/>
      <c r="C586" s="4"/>
      <c r="D586" s="2"/>
      <c r="E586" s="13"/>
      <c r="F586" s="13"/>
      <c r="G586" s="2"/>
      <c r="H586" s="2"/>
      <c r="I586" s="2"/>
      <c r="J586" s="2"/>
      <c r="K586" s="13"/>
      <c r="L586" s="14"/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"/>
      <c r="B587" s="2"/>
      <c r="C587" s="4"/>
      <c r="D587" s="2"/>
      <c r="E587" s="13"/>
      <c r="F587" s="13"/>
      <c r="G587" s="2"/>
      <c r="H587" s="2"/>
      <c r="I587" s="2"/>
      <c r="J587" s="2"/>
      <c r="K587" s="13"/>
      <c r="L587" s="14"/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"/>
      <c r="B588" s="2"/>
      <c r="C588" s="4"/>
      <c r="D588" s="2"/>
      <c r="E588" s="13"/>
      <c r="F588" s="13"/>
      <c r="G588" s="2"/>
      <c r="H588" s="2"/>
      <c r="I588" s="2"/>
      <c r="J588" s="2"/>
      <c r="K588" s="13"/>
      <c r="L588" s="14"/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"/>
      <c r="B589" s="2"/>
      <c r="C589" s="4"/>
      <c r="D589" s="2"/>
      <c r="E589" s="13"/>
      <c r="F589" s="13"/>
      <c r="G589" s="2"/>
      <c r="H589" s="2"/>
      <c r="I589" s="2"/>
      <c r="J589" s="2"/>
      <c r="K589" s="13"/>
      <c r="L589" s="14"/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"/>
      <c r="B590" s="2"/>
      <c r="C590" s="4"/>
      <c r="D590" s="2"/>
      <c r="E590" s="13"/>
      <c r="F590" s="13"/>
      <c r="G590" s="2"/>
      <c r="H590" s="2"/>
      <c r="I590" s="2"/>
      <c r="J590" s="2"/>
      <c r="K590" s="13"/>
      <c r="L590" s="14"/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"/>
      <c r="B591" s="2"/>
      <c r="C591" s="4"/>
      <c r="D591" s="2"/>
      <c r="E591" s="13"/>
      <c r="F591" s="13"/>
      <c r="G591" s="2"/>
      <c r="H591" s="2"/>
      <c r="I591" s="2"/>
      <c r="J591" s="2"/>
      <c r="K591" s="13"/>
      <c r="L591" s="14"/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"/>
      <c r="B592" s="2"/>
      <c r="C592" s="4"/>
      <c r="D592" s="2"/>
      <c r="E592" s="13"/>
      <c r="F592" s="13"/>
      <c r="G592" s="2"/>
      <c r="H592" s="2"/>
      <c r="I592" s="2"/>
      <c r="J592" s="2"/>
      <c r="K592" s="13"/>
      <c r="L592" s="14"/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"/>
      <c r="B593" s="2"/>
      <c r="C593" s="4"/>
      <c r="D593" s="2"/>
      <c r="E593" s="13"/>
      <c r="F593" s="13"/>
      <c r="G593" s="2"/>
      <c r="H593" s="2"/>
      <c r="I593" s="2"/>
      <c r="J593" s="2"/>
      <c r="K593" s="13"/>
      <c r="L593" s="14"/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"/>
      <c r="B594" s="2"/>
      <c r="C594" s="4"/>
      <c r="D594" s="2"/>
      <c r="E594" s="13"/>
      <c r="F594" s="13"/>
      <c r="G594" s="2"/>
      <c r="H594" s="2"/>
      <c r="I594" s="2"/>
      <c r="J594" s="2"/>
      <c r="K594" s="13"/>
      <c r="L594" s="14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2"/>
      <c r="C595" s="4"/>
      <c r="D595" s="2"/>
      <c r="E595" s="13"/>
      <c r="F595" s="13"/>
      <c r="G595" s="2"/>
      <c r="H595" s="2"/>
      <c r="I595" s="2"/>
      <c r="J595" s="2"/>
      <c r="K595" s="13"/>
      <c r="L595" s="14"/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2"/>
      <c r="C596" s="4"/>
      <c r="D596" s="2"/>
      <c r="E596" s="13"/>
      <c r="F596" s="13"/>
      <c r="G596" s="2"/>
      <c r="H596" s="2"/>
      <c r="I596" s="2"/>
      <c r="J596" s="2"/>
      <c r="K596" s="13"/>
      <c r="L596" s="14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2"/>
      <c r="C597" s="4"/>
      <c r="D597" s="2"/>
      <c r="E597" s="13"/>
      <c r="F597" s="13"/>
      <c r="G597" s="2"/>
      <c r="H597" s="2"/>
      <c r="I597" s="2"/>
      <c r="J597" s="2"/>
      <c r="K597" s="13"/>
      <c r="L597" s="14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"/>
      <c r="B598" s="2"/>
      <c r="C598" s="4"/>
      <c r="D598" s="2"/>
      <c r="E598" s="13"/>
      <c r="F598" s="13"/>
      <c r="G598" s="2"/>
      <c r="H598" s="2"/>
      <c r="I598" s="2"/>
      <c r="J598" s="2"/>
      <c r="K598" s="13"/>
      <c r="L598" s="14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"/>
      <c r="B599" s="2"/>
      <c r="C599" s="4"/>
      <c r="D599" s="2"/>
      <c r="E599" s="13"/>
      <c r="F599" s="13"/>
      <c r="G599" s="2"/>
      <c r="H599" s="2"/>
      <c r="I599" s="2"/>
      <c r="J599" s="2"/>
      <c r="K599" s="13"/>
      <c r="L599" s="14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"/>
      <c r="B600" s="2"/>
      <c r="C600" s="4"/>
      <c r="D600" s="2"/>
      <c r="E600" s="13"/>
      <c r="F600" s="13"/>
      <c r="G600" s="2"/>
      <c r="H600" s="2"/>
      <c r="I600" s="2"/>
      <c r="J600" s="2"/>
      <c r="K600" s="13"/>
      <c r="L600" s="14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"/>
      <c r="B601" s="2"/>
      <c r="C601" s="4"/>
      <c r="D601" s="2"/>
      <c r="E601" s="13"/>
      <c r="F601" s="13"/>
      <c r="G601" s="2"/>
      <c r="H601" s="2"/>
      <c r="I601" s="2"/>
      <c r="J601" s="2"/>
      <c r="K601" s="13"/>
      <c r="L601" s="14"/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"/>
      <c r="B602" s="2"/>
      <c r="C602" s="4"/>
      <c r="D602" s="2"/>
      <c r="E602" s="13"/>
      <c r="F602" s="13"/>
      <c r="G602" s="2"/>
      <c r="H602" s="2"/>
      <c r="I602" s="2"/>
      <c r="J602" s="2"/>
      <c r="K602" s="13"/>
      <c r="L602" s="14"/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"/>
      <c r="B603" s="2"/>
      <c r="C603" s="4"/>
      <c r="D603" s="2"/>
      <c r="E603" s="13"/>
      <c r="F603" s="13"/>
      <c r="G603" s="2"/>
      <c r="H603" s="2"/>
      <c r="I603" s="2"/>
      <c r="J603" s="2"/>
      <c r="K603" s="13"/>
      <c r="L603" s="14"/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"/>
      <c r="B604" s="2"/>
      <c r="C604" s="4"/>
      <c r="D604" s="2"/>
      <c r="E604" s="13"/>
      <c r="F604" s="13"/>
      <c r="G604" s="2"/>
      <c r="H604" s="2"/>
      <c r="I604" s="2"/>
      <c r="J604" s="2"/>
      <c r="K604" s="13"/>
      <c r="L604" s="14"/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"/>
      <c r="B605" s="2"/>
      <c r="C605" s="4"/>
      <c r="D605" s="2"/>
      <c r="E605" s="13"/>
      <c r="F605" s="13"/>
      <c r="G605" s="2"/>
      <c r="H605" s="2"/>
      <c r="I605" s="2"/>
      <c r="J605" s="2"/>
      <c r="K605" s="13"/>
      <c r="L605" s="14"/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"/>
      <c r="B606" s="2"/>
      <c r="C606" s="4"/>
      <c r="D606" s="2"/>
      <c r="E606" s="13"/>
      <c r="F606" s="13"/>
      <c r="G606" s="2"/>
      <c r="H606" s="2"/>
      <c r="I606" s="2"/>
      <c r="J606" s="2"/>
      <c r="K606" s="13"/>
      <c r="L606" s="14"/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"/>
      <c r="B607" s="2"/>
      <c r="C607" s="4"/>
      <c r="D607" s="2"/>
      <c r="E607" s="13"/>
      <c r="F607" s="13"/>
      <c r="G607" s="2"/>
      <c r="H607" s="2"/>
      <c r="I607" s="2"/>
      <c r="J607" s="2"/>
      <c r="K607" s="13"/>
      <c r="L607" s="14"/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"/>
      <c r="B608" s="2"/>
      <c r="C608" s="4"/>
      <c r="D608" s="2"/>
      <c r="E608" s="13"/>
      <c r="F608" s="13"/>
      <c r="G608" s="2"/>
      <c r="H608" s="2"/>
      <c r="I608" s="2"/>
      <c r="J608" s="2"/>
      <c r="K608" s="13"/>
      <c r="L608" s="14"/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"/>
      <c r="B609" s="2"/>
      <c r="C609" s="4"/>
      <c r="D609" s="2"/>
      <c r="E609" s="13"/>
      <c r="F609" s="13"/>
      <c r="G609" s="2"/>
      <c r="H609" s="2"/>
      <c r="I609" s="2"/>
      <c r="J609" s="2"/>
      <c r="K609" s="13"/>
      <c r="L609" s="14"/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"/>
      <c r="B610" s="2"/>
      <c r="C610" s="4"/>
      <c r="D610" s="2"/>
      <c r="E610" s="13"/>
      <c r="F610" s="13"/>
      <c r="G610" s="2"/>
      <c r="H610" s="2"/>
      <c r="I610" s="2"/>
      <c r="J610" s="2"/>
      <c r="K610" s="13"/>
      <c r="L610" s="14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2"/>
      <c r="C611" s="4"/>
      <c r="D611" s="2"/>
      <c r="E611" s="13"/>
      <c r="F611" s="13"/>
      <c r="G611" s="2"/>
      <c r="H611" s="2"/>
      <c r="I611" s="2"/>
      <c r="J611" s="2"/>
      <c r="K611" s="13"/>
      <c r="L611" s="14"/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"/>
      <c r="B612" s="2"/>
      <c r="C612" s="4"/>
      <c r="D612" s="2"/>
      <c r="E612" s="13"/>
      <c r="F612" s="13"/>
      <c r="G612" s="2"/>
      <c r="H612" s="2"/>
      <c r="I612" s="2"/>
      <c r="J612" s="2"/>
      <c r="K612" s="13"/>
      <c r="L612" s="14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"/>
      <c r="B613" s="2"/>
      <c r="C613" s="4"/>
      <c r="D613" s="2"/>
      <c r="E613" s="13"/>
      <c r="F613" s="13"/>
      <c r="G613" s="2"/>
      <c r="H613" s="2"/>
      <c r="I613" s="2"/>
      <c r="J613" s="2"/>
      <c r="K613" s="13"/>
      <c r="L613" s="14"/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"/>
      <c r="B614" s="2"/>
      <c r="C614" s="4"/>
      <c r="D614" s="2"/>
      <c r="E614" s="13"/>
      <c r="F614" s="13"/>
      <c r="G614" s="2"/>
      <c r="H614" s="2"/>
      <c r="I614" s="2"/>
      <c r="J614" s="2"/>
      <c r="K614" s="13"/>
      <c r="L614" s="14"/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"/>
      <c r="B615" s="2"/>
      <c r="C615" s="4"/>
      <c r="D615" s="2"/>
      <c r="E615" s="13"/>
      <c r="F615" s="13"/>
      <c r="G615" s="2"/>
      <c r="H615" s="2"/>
      <c r="I615" s="2"/>
      <c r="J615" s="2"/>
      <c r="K615" s="13"/>
      <c r="L615" s="14"/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"/>
      <c r="B616" s="2"/>
      <c r="C616" s="4"/>
      <c r="D616" s="2"/>
      <c r="E616" s="13"/>
      <c r="F616" s="13"/>
      <c r="G616" s="2"/>
      <c r="H616" s="2"/>
      <c r="I616" s="2"/>
      <c r="J616" s="2"/>
      <c r="K616" s="13"/>
      <c r="L616" s="14"/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"/>
      <c r="B617" s="2"/>
      <c r="C617" s="4"/>
      <c r="D617" s="2"/>
      <c r="E617" s="13"/>
      <c r="F617" s="13"/>
      <c r="G617" s="2"/>
      <c r="H617" s="2"/>
      <c r="I617" s="2"/>
      <c r="J617" s="2"/>
      <c r="K617" s="13"/>
      <c r="L617" s="14"/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"/>
      <c r="B618" s="2"/>
      <c r="C618" s="4"/>
      <c r="D618" s="2"/>
      <c r="E618" s="13"/>
      <c r="F618" s="13"/>
      <c r="G618" s="2"/>
      <c r="H618" s="2"/>
      <c r="I618" s="2"/>
      <c r="J618" s="2"/>
      <c r="K618" s="13"/>
      <c r="L618" s="14"/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"/>
      <c r="B619" s="2"/>
      <c r="C619" s="4"/>
      <c r="D619" s="2"/>
      <c r="E619" s="13"/>
      <c r="F619" s="13"/>
      <c r="G619" s="2"/>
      <c r="H619" s="2"/>
      <c r="I619" s="2"/>
      <c r="J619" s="2"/>
      <c r="K619" s="13"/>
      <c r="L619" s="14"/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"/>
      <c r="B620" s="2"/>
      <c r="C620" s="4"/>
      <c r="D620" s="2"/>
      <c r="E620" s="13"/>
      <c r="F620" s="13"/>
      <c r="G620" s="2"/>
      <c r="H620" s="2"/>
      <c r="I620" s="2"/>
      <c r="J620" s="2"/>
      <c r="K620" s="13"/>
      <c r="L620" s="14"/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"/>
      <c r="B621" s="2"/>
      <c r="C621" s="4"/>
      <c r="D621" s="2"/>
      <c r="E621" s="13"/>
      <c r="F621" s="13"/>
      <c r="G621" s="2"/>
      <c r="H621" s="2"/>
      <c r="I621" s="2"/>
      <c r="J621" s="2"/>
      <c r="K621" s="13"/>
      <c r="L621" s="14"/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2"/>
      <c r="C622" s="4"/>
      <c r="D622" s="2"/>
      <c r="E622" s="13"/>
      <c r="F622" s="13"/>
      <c r="G622" s="2"/>
      <c r="H622" s="2"/>
      <c r="I622" s="2"/>
      <c r="J622" s="2"/>
      <c r="K622" s="13"/>
      <c r="L622" s="14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2"/>
      <c r="C623" s="4"/>
      <c r="D623" s="2"/>
      <c r="E623" s="13"/>
      <c r="F623" s="13"/>
      <c r="G623" s="2"/>
      <c r="H623" s="2"/>
      <c r="I623" s="2"/>
      <c r="J623" s="2"/>
      <c r="K623" s="13"/>
      <c r="L623" s="14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2"/>
      <c r="C624" s="4"/>
      <c r="D624" s="2"/>
      <c r="E624" s="13"/>
      <c r="F624" s="13"/>
      <c r="G624" s="2"/>
      <c r="H624" s="2"/>
      <c r="I624" s="2"/>
      <c r="J624" s="2"/>
      <c r="K624" s="13"/>
      <c r="L624" s="14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"/>
      <c r="B625" s="2"/>
      <c r="C625" s="4"/>
      <c r="D625" s="2"/>
      <c r="E625" s="13"/>
      <c r="F625" s="13"/>
      <c r="G625" s="2"/>
      <c r="H625" s="2"/>
      <c r="I625" s="2"/>
      <c r="J625" s="2"/>
      <c r="K625" s="13"/>
      <c r="L625" s="14"/>
      <c r="M625" s="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"/>
      <c r="B626" s="2"/>
      <c r="C626" s="4"/>
      <c r="D626" s="2"/>
      <c r="E626" s="13"/>
      <c r="F626" s="13"/>
      <c r="G626" s="2"/>
      <c r="H626" s="2"/>
      <c r="I626" s="2"/>
      <c r="J626" s="2"/>
      <c r="K626" s="13"/>
      <c r="L626" s="14"/>
      <c r="M626" s="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"/>
      <c r="B627" s="2"/>
      <c r="C627" s="4"/>
      <c r="D627" s="2"/>
      <c r="E627" s="13"/>
      <c r="F627" s="13"/>
      <c r="G627" s="2"/>
      <c r="H627" s="2"/>
      <c r="I627" s="2"/>
      <c r="J627" s="2"/>
      <c r="K627" s="13"/>
      <c r="L627" s="14"/>
      <c r="M627" s="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"/>
      <c r="B628" s="2"/>
      <c r="C628" s="4"/>
      <c r="D628" s="2"/>
      <c r="E628" s="13"/>
      <c r="F628" s="13"/>
      <c r="G628" s="2"/>
      <c r="H628" s="2"/>
      <c r="I628" s="2"/>
      <c r="J628" s="2"/>
      <c r="K628" s="13"/>
      <c r="L628" s="14"/>
      <c r="M628" s="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"/>
      <c r="B629" s="2"/>
      <c r="C629" s="4"/>
      <c r="D629" s="2"/>
      <c r="E629" s="13"/>
      <c r="F629" s="13"/>
      <c r="G629" s="2"/>
      <c r="H629" s="2"/>
      <c r="I629" s="2"/>
      <c r="J629" s="2"/>
      <c r="K629" s="13"/>
      <c r="L629" s="14"/>
      <c r="M629" s="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"/>
      <c r="B630" s="2"/>
      <c r="C630" s="4"/>
      <c r="D630" s="2"/>
      <c r="E630" s="13"/>
      <c r="F630" s="13"/>
      <c r="G630" s="2"/>
      <c r="H630" s="2"/>
      <c r="I630" s="2"/>
      <c r="J630" s="2"/>
      <c r="K630" s="13"/>
      <c r="L630" s="14"/>
      <c r="M630" s="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"/>
      <c r="B631" s="2"/>
      <c r="C631" s="4"/>
      <c r="D631" s="2"/>
      <c r="E631" s="13"/>
      <c r="F631" s="13"/>
      <c r="G631" s="2"/>
      <c r="H631" s="2"/>
      <c r="I631" s="2"/>
      <c r="J631" s="2"/>
      <c r="K631" s="13"/>
      <c r="L631" s="14"/>
      <c r="M631" s="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"/>
      <c r="B632" s="2"/>
      <c r="C632" s="4"/>
      <c r="D632" s="2"/>
      <c r="E632" s="13"/>
      <c r="F632" s="13"/>
      <c r="G632" s="2"/>
      <c r="H632" s="2"/>
      <c r="I632" s="2"/>
      <c r="J632" s="2"/>
      <c r="K632" s="13"/>
      <c r="L632" s="14"/>
      <c r="M632" s="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"/>
      <c r="B633" s="2"/>
      <c r="C633" s="4"/>
      <c r="D633" s="2"/>
      <c r="E633" s="13"/>
      <c r="F633" s="13"/>
      <c r="G633" s="2"/>
      <c r="H633" s="2"/>
      <c r="I633" s="2"/>
      <c r="J633" s="2"/>
      <c r="K633" s="13"/>
      <c r="L633" s="14"/>
      <c r="M633" s="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"/>
      <c r="B634" s="2"/>
      <c r="C634" s="4"/>
      <c r="D634" s="2"/>
      <c r="E634" s="13"/>
      <c r="F634" s="13"/>
      <c r="G634" s="2"/>
      <c r="H634" s="2"/>
      <c r="I634" s="2"/>
      <c r="J634" s="2"/>
      <c r="K634" s="13"/>
      <c r="L634" s="14"/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"/>
      <c r="B635" s="2"/>
      <c r="C635" s="4"/>
      <c r="D635" s="2"/>
      <c r="E635" s="13"/>
      <c r="F635" s="13"/>
      <c r="G635" s="2"/>
      <c r="H635" s="2"/>
      <c r="I635" s="2"/>
      <c r="J635" s="2"/>
      <c r="K635" s="13"/>
      <c r="L635" s="14"/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"/>
      <c r="B636" s="2"/>
      <c r="C636" s="4"/>
      <c r="D636" s="2"/>
      <c r="E636" s="13"/>
      <c r="F636" s="13"/>
      <c r="G636" s="2"/>
      <c r="H636" s="2"/>
      <c r="I636" s="2"/>
      <c r="J636" s="2"/>
      <c r="K636" s="13"/>
      <c r="L636" s="14"/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"/>
      <c r="B637" s="2"/>
      <c r="C637" s="4"/>
      <c r="D637" s="2"/>
      <c r="E637" s="13"/>
      <c r="F637" s="13"/>
      <c r="G637" s="2"/>
      <c r="H637" s="2"/>
      <c r="I637" s="2"/>
      <c r="J637" s="2"/>
      <c r="K637" s="13"/>
      <c r="L637" s="14"/>
      <c r="M637" s="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2"/>
      <c r="C638" s="4"/>
      <c r="D638" s="2"/>
      <c r="E638" s="13"/>
      <c r="F638" s="13"/>
      <c r="G638" s="2"/>
      <c r="H638" s="2"/>
      <c r="I638" s="2"/>
      <c r="J638" s="2"/>
      <c r="K638" s="13"/>
      <c r="L638" s="14"/>
      <c r="M638" s="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2"/>
      <c r="C639" s="4"/>
      <c r="D639" s="2"/>
      <c r="E639" s="13"/>
      <c r="F639" s="13"/>
      <c r="G639" s="2"/>
      <c r="H639" s="2"/>
      <c r="I639" s="2"/>
      <c r="J639" s="2"/>
      <c r="K639" s="13"/>
      <c r="L639" s="14"/>
      <c r="M639" s="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2"/>
      <c r="C640" s="4"/>
      <c r="D640" s="2"/>
      <c r="E640" s="13"/>
      <c r="F640" s="13"/>
      <c r="G640" s="2"/>
      <c r="H640" s="2"/>
      <c r="I640" s="2"/>
      <c r="J640" s="2"/>
      <c r="K640" s="13"/>
      <c r="L640" s="14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2"/>
      <c r="C641" s="4"/>
      <c r="D641" s="2"/>
      <c r="E641" s="13"/>
      <c r="F641" s="13"/>
      <c r="G641" s="2"/>
      <c r="H641" s="2"/>
      <c r="I641" s="2"/>
      <c r="J641" s="2"/>
      <c r="K641" s="13"/>
      <c r="L641" s="14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2"/>
      <c r="C642" s="4"/>
      <c r="D642" s="2"/>
      <c r="E642" s="13"/>
      <c r="F642" s="13"/>
      <c r="G642" s="2"/>
      <c r="H642" s="2"/>
      <c r="I642" s="2"/>
      <c r="J642" s="2"/>
      <c r="K642" s="13"/>
      <c r="L642" s="14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2"/>
      <c r="C643" s="4"/>
      <c r="D643" s="2"/>
      <c r="E643" s="13"/>
      <c r="F643" s="13"/>
      <c r="G643" s="2"/>
      <c r="H643" s="2"/>
      <c r="I643" s="2"/>
      <c r="J643" s="2"/>
      <c r="K643" s="13"/>
      <c r="L643" s="14"/>
      <c r="M643" s="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1"/>
      <c r="B644" s="2"/>
      <c r="C644" s="4"/>
      <c r="D644" s="2"/>
      <c r="E644" s="13"/>
      <c r="F644" s="13"/>
      <c r="G644" s="2"/>
      <c r="H644" s="2"/>
      <c r="I644" s="2"/>
      <c r="J644" s="2"/>
      <c r="K644" s="13"/>
      <c r="L644" s="14"/>
      <c r="M644" s="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2"/>
      <c r="C645" s="4"/>
      <c r="D645" s="2"/>
      <c r="E645" s="13"/>
      <c r="F645" s="13"/>
      <c r="G645" s="2"/>
      <c r="H645" s="2"/>
      <c r="I645" s="2"/>
      <c r="J645" s="2"/>
      <c r="K645" s="13"/>
      <c r="L645" s="14"/>
      <c r="M645" s="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"/>
      <c r="B646" s="2"/>
      <c r="C646" s="4"/>
      <c r="D646" s="2"/>
      <c r="E646" s="13"/>
      <c r="F646" s="13"/>
      <c r="G646" s="2"/>
      <c r="H646" s="2"/>
      <c r="I646" s="2"/>
      <c r="J646" s="2"/>
      <c r="K646" s="13"/>
      <c r="L646" s="14"/>
      <c r="M646" s="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2"/>
      <c r="C647" s="4"/>
      <c r="D647" s="2"/>
      <c r="E647" s="13"/>
      <c r="F647" s="13"/>
      <c r="G647" s="2"/>
      <c r="H647" s="2"/>
      <c r="I647" s="2"/>
      <c r="J647" s="2"/>
      <c r="K647" s="13"/>
      <c r="L647" s="14"/>
      <c r="M647" s="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2"/>
      <c r="C648" s="4"/>
      <c r="D648" s="2"/>
      <c r="E648" s="13"/>
      <c r="F648" s="13"/>
      <c r="G648" s="2"/>
      <c r="H648" s="2"/>
      <c r="I648" s="2"/>
      <c r="J648" s="2"/>
      <c r="K648" s="13"/>
      <c r="L648" s="14"/>
      <c r="M648" s="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"/>
      <c r="B649" s="2"/>
      <c r="C649" s="4"/>
      <c r="D649" s="2"/>
      <c r="E649" s="13"/>
      <c r="F649" s="13"/>
      <c r="G649" s="2"/>
      <c r="H649" s="2"/>
      <c r="I649" s="2"/>
      <c r="J649" s="2"/>
      <c r="K649" s="13"/>
      <c r="L649" s="14"/>
      <c r="M649" s="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2"/>
      <c r="C650" s="4"/>
      <c r="D650" s="2"/>
      <c r="E650" s="13"/>
      <c r="F650" s="13"/>
      <c r="G650" s="2"/>
      <c r="H650" s="2"/>
      <c r="I650" s="2"/>
      <c r="J650" s="2"/>
      <c r="K650" s="13"/>
      <c r="L650" s="14"/>
      <c r="M650" s="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"/>
      <c r="B651" s="2"/>
      <c r="C651" s="4"/>
      <c r="D651" s="2"/>
      <c r="E651" s="13"/>
      <c r="F651" s="13"/>
      <c r="G651" s="2"/>
      <c r="H651" s="2"/>
      <c r="I651" s="2"/>
      <c r="J651" s="2"/>
      <c r="K651" s="13"/>
      <c r="L651" s="14"/>
      <c r="M651" s="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2"/>
      <c r="C652" s="4"/>
      <c r="D652" s="2"/>
      <c r="E652" s="13"/>
      <c r="F652" s="13"/>
      <c r="G652" s="2"/>
      <c r="H652" s="2"/>
      <c r="I652" s="2"/>
      <c r="J652" s="2"/>
      <c r="K652" s="13"/>
      <c r="L652" s="14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2"/>
      <c r="C653" s="4"/>
      <c r="D653" s="2"/>
      <c r="E653" s="13"/>
      <c r="F653" s="13"/>
      <c r="G653" s="2"/>
      <c r="H653" s="2"/>
      <c r="I653" s="2"/>
      <c r="J653" s="2"/>
      <c r="K653" s="13"/>
      <c r="L653" s="14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2"/>
      <c r="C654" s="4"/>
      <c r="D654" s="2"/>
      <c r="E654" s="13"/>
      <c r="F654" s="13"/>
      <c r="G654" s="2"/>
      <c r="H654" s="2"/>
      <c r="I654" s="2"/>
      <c r="J654" s="2"/>
      <c r="K654" s="13"/>
      <c r="L654" s="14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2"/>
      <c r="C655" s="4"/>
      <c r="D655" s="2"/>
      <c r="E655" s="13"/>
      <c r="F655" s="13"/>
      <c r="G655" s="2"/>
      <c r="H655" s="2"/>
      <c r="I655" s="2"/>
      <c r="J655" s="2"/>
      <c r="K655" s="13"/>
      <c r="L655" s="14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2"/>
      <c r="C656" s="4"/>
      <c r="D656" s="2"/>
      <c r="E656" s="13"/>
      <c r="F656" s="13"/>
      <c r="G656" s="2"/>
      <c r="H656" s="2"/>
      <c r="I656" s="2"/>
      <c r="J656" s="2"/>
      <c r="K656" s="13"/>
      <c r="L656" s="14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2"/>
      <c r="C657" s="4"/>
      <c r="D657" s="2"/>
      <c r="E657" s="13"/>
      <c r="F657" s="13"/>
      <c r="G657" s="2"/>
      <c r="H657" s="2"/>
      <c r="I657" s="2"/>
      <c r="J657" s="2"/>
      <c r="K657" s="13"/>
      <c r="L657" s="14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2"/>
      <c r="C658" s="4"/>
      <c r="D658" s="2"/>
      <c r="E658" s="13"/>
      <c r="F658" s="13"/>
      <c r="G658" s="2"/>
      <c r="H658" s="2"/>
      <c r="I658" s="2"/>
      <c r="J658" s="2"/>
      <c r="K658" s="13"/>
      <c r="L658" s="14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2"/>
      <c r="C659" s="4"/>
      <c r="D659" s="2"/>
      <c r="E659" s="13"/>
      <c r="F659" s="13"/>
      <c r="G659" s="2"/>
      <c r="H659" s="2"/>
      <c r="I659" s="2"/>
      <c r="J659" s="2"/>
      <c r="K659" s="13"/>
      <c r="L659" s="14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2"/>
      <c r="C660" s="4"/>
      <c r="D660" s="2"/>
      <c r="E660" s="13"/>
      <c r="F660" s="13"/>
      <c r="G660" s="2"/>
      <c r="H660" s="2"/>
      <c r="I660" s="2"/>
      <c r="J660" s="2"/>
      <c r="K660" s="13"/>
      <c r="L660" s="14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2"/>
      <c r="C661" s="4"/>
      <c r="D661" s="2"/>
      <c r="E661" s="13"/>
      <c r="F661" s="13"/>
      <c r="G661" s="2"/>
      <c r="H661" s="2"/>
      <c r="I661" s="2"/>
      <c r="J661" s="2"/>
      <c r="K661" s="13"/>
      <c r="L661" s="14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2"/>
      <c r="C662" s="4"/>
      <c r="D662" s="2"/>
      <c r="E662" s="13"/>
      <c r="F662" s="13"/>
      <c r="G662" s="2"/>
      <c r="H662" s="2"/>
      <c r="I662" s="2"/>
      <c r="J662" s="2"/>
      <c r="K662" s="13"/>
      <c r="L662" s="14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2"/>
      <c r="C663" s="4"/>
      <c r="D663" s="2"/>
      <c r="E663" s="13"/>
      <c r="F663" s="13"/>
      <c r="G663" s="2"/>
      <c r="H663" s="2"/>
      <c r="I663" s="2"/>
      <c r="J663" s="2"/>
      <c r="K663" s="13"/>
      <c r="L663" s="14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2"/>
      <c r="C664" s="4"/>
      <c r="D664" s="2"/>
      <c r="E664" s="13"/>
      <c r="F664" s="13"/>
      <c r="G664" s="2"/>
      <c r="H664" s="2"/>
      <c r="I664" s="2"/>
      <c r="J664" s="2"/>
      <c r="K664" s="13"/>
      <c r="L664" s="14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2"/>
      <c r="C665" s="4"/>
      <c r="D665" s="2"/>
      <c r="E665" s="13"/>
      <c r="F665" s="13"/>
      <c r="G665" s="2"/>
      <c r="H665" s="2"/>
      <c r="I665" s="2"/>
      <c r="J665" s="2"/>
      <c r="K665" s="13"/>
      <c r="L665" s="14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2"/>
      <c r="C666" s="4"/>
      <c r="D666" s="2"/>
      <c r="E666" s="13"/>
      <c r="F666" s="13"/>
      <c r="G666" s="2"/>
      <c r="H666" s="2"/>
      <c r="I666" s="2"/>
      <c r="J666" s="2"/>
      <c r="K666" s="13"/>
      <c r="L666" s="14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2"/>
      <c r="C667" s="4"/>
      <c r="D667" s="2"/>
      <c r="E667" s="13"/>
      <c r="F667" s="13"/>
      <c r="G667" s="2"/>
      <c r="H667" s="2"/>
      <c r="I667" s="2"/>
      <c r="J667" s="2"/>
      <c r="K667" s="13"/>
      <c r="L667" s="14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2"/>
      <c r="C668" s="4"/>
      <c r="D668" s="2"/>
      <c r="E668" s="13"/>
      <c r="F668" s="13"/>
      <c r="G668" s="2"/>
      <c r="H668" s="2"/>
      <c r="I668" s="2"/>
      <c r="J668" s="2"/>
      <c r="K668" s="13"/>
      <c r="L668" s="14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2"/>
      <c r="C669" s="4"/>
      <c r="D669" s="2"/>
      <c r="E669" s="13"/>
      <c r="F669" s="13"/>
      <c r="G669" s="2"/>
      <c r="H669" s="2"/>
      <c r="I669" s="2"/>
      <c r="J669" s="2"/>
      <c r="K669" s="13"/>
      <c r="L669" s="14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2"/>
      <c r="C670" s="4"/>
      <c r="D670" s="2"/>
      <c r="E670" s="13"/>
      <c r="F670" s="13"/>
      <c r="G670" s="2"/>
      <c r="H670" s="2"/>
      <c r="I670" s="2"/>
      <c r="J670" s="2"/>
      <c r="K670" s="13"/>
      <c r="L670" s="14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2"/>
      <c r="C671" s="4"/>
      <c r="D671" s="2"/>
      <c r="E671" s="13"/>
      <c r="F671" s="13"/>
      <c r="G671" s="2"/>
      <c r="H671" s="2"/>
      <c r="I671" s="2"/>
      <c r="J671" s="2"/>
      <c r="K671" s="13"/>
      <c r="L671" s="14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2"/>
      <c r="C672" s="4"/>
      <c r="D672" s="2"/>
      <c r="E672" s="13"/>
      <c r="F672" s="13"/>
      <c r="G672" s="2"/>
      <c r="H672" s="2"/>
      <c r="I672" s="2"/>
      <c r="J672" s="2"/>
      <c r="K672" s="13"/>
      <c r="L672" s="14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2"/>
      <c r="C673" s="4"/>
      <c r="D673" s="2"/>
      <c r="E673" s="13"/>
      <c r="F673" s="13"/>
      <c r="G673" s="2"/>
      <c r="H673" s="2"/>
      <c r="I673" s="2"/>
      <c r="J673" s="2"/>
      <c r="K673" s="13"/>
      <c r="L673" s="14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2"/>
      <c r="C674" s="4"/>
      <c r="D674" s="2"/>
      <c r="E674" s="13"/>
      <c r="F674" s="13"/>
      <c r="G674" s="2"/>
      <c r="H674" s="2"/>
      <c r="I674" s="2"/>
      <c r="J674" s="2"/>
      <c r="K674" s="13"/>
      <c r="L674" s="14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2"/>
      <c r="C675" s="4"/>
      <c r="D675" s="2"/>
      <c r="E675" s="13"/>
      <c r="F675" s="13"/>
      <c r="G675" s="2"/>
      <c r="H675" s="2"/>
      <c r="I675" s="2"/>
      <c r="J675" s="2"/>
      <c r="K675" s="13"/>
      <c r="L675" s="14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2"/>
      <c r="C676" s="4"/>
      <c r="D676" s="2"/>
      <c r="E676" s="13"/>
      <c r="F676" s="13"/>
      <c r="G676" s="2"/>
      <c r="H676" s="2"/>
      <c r="I676" s="2"/>
      <c r="J676" s="2"/>
      <c r="K676" s="13"/>
      <c r="L676" s="14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2"/>
      <c r="C677" s="4"/>
      <c r="D677" s="2"/>
      <c r="E677" s="13"/>
      <c r="F677" s="13"/>
      <c r="G677" s="2"/>
      <c r="H677" s="2"/>
      <c r="I677" s="2"/>
      <c r="J677" s="2"/>
      <c r="K677" s="13"/>
      <c r="L677" s="14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2"/>
      <c r="C678" s="4"/>
      <c r="D678" s="2"/>
      <c r="E678" s="13"/>
      <c r="F678" s="13"/>
      <c r="G678" s="2"/>
      <c r="H678" s="2"/>
      <c r="I678" s="2"/>
      <c r="J678" s="2"/>
      <c r="K678" s="13"/>
      <c r="L678" s="14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2"/>
      <c r="C679" s="4"/>
      <c r="D679" s="2"/>
      <c r="E679" s="13"/>
      <c r="F679" s="13"/>
      <c r="G679" s="2"/>
      <c r="H679" s="2"/>
      <c r="I679" s="2"/>
      <c r="J679" s="2"/>
      <c r="K679" s="13"/>
      <c r="L679" s="14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2"/>
      <c r="C680" s="4"/>
      <c r="D680" s="2"/>
      <c r="E680" s="13"/>
      <c r="F680" s="13"/>
      <c r="G680" s="2"/>
      <c r="H680" s="2"/>
      <c r="I680" s="2"/>
      <c r="J680" s="2"/>
      <c r="K680" s="13"/>
      <c r="L680" s="14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2"/>
      <c r="C681" s="4"/>
      <c r="D681" s="2"/>
      <c r="E681" s="13"/>
      <c r="F681" s="13"/>
      <c r="G681" s="2"/>
      <c r="H681" s="2"/>
      <c r="I681" s="2"/>
      <c r="J681" s="2"/>
      <c r="K681" s="13"/>
      <c r="L681" s="14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2"/>
      <c r="C682" s="4"/>
      <c r="D682" s="2"/>
      <c r="E682" s="13"/>
      <c r="F682" s="13"/>
      <c r="G682" s="2"/>
      <c r="H682" s="2"/>
      <c r="I682" s="2"/>
      <c r="J682" s="2"/>
      <c r="K682" s="13"/>
      <c r="L682" s="14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2"/>
      <c r="C683" s="4"/>
      <c r="D683" s="2"/>
      <c r="E683" s="13"/>
      <c r="F683" s="13"/>
      <c r="G683" s="2"/>
      <c r="H683" s="2"/>
      <c r="I683" s="2"/>
      <c r="J683" s="2"/>
      <c r="K683" s="13"/>
      <c r="L683" s="14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2"/>
      <c r="C684" s="4"/>
      <c r="D684" s="2"/>
      <c r="E684" s="13"/>
      <c r="F684" s="13"/>
      <c r="G684" s="2"/>
      <c r="H684" s="2"/>
      <c r="I684" s="2"/>
      <c r="J684" s="2"/>
      <c r="K684" s="13"/>
      <c r="L684" s="14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2"/>
      <c r="C685" s="4"/>
      <c r="D685" s="2"/>
      <c r="E685" s="13"/>
      <c r="F685" s="13"/>
      <c r="G685" s="2"/>
      <c r="H685" s="2"/>
      <c r="I685" s="2"/>
      <c r="J685" s="2"/>
      <c r="K685" s="13"/>
      <c r="L685" s="14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2"/>
      <c r="C686" s="4"/>
      <c r="D686" s="2"/>
      <c r="E686" s="13"/>
      <c r="F686" s="13"/>
      <c r="G686" s="2"/>
      <c r="H686" s="2"/>
      <c r="I686" s="2"/>
      <c r="J686" s="2"/>
      <c r="K686" s="13"/>
      <c r="L686" s="14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2"/>
      <c r="C687" s="4"/>
      <c r="D687" s="2"/>
      <c r="E687" s="13"/>
      <c r="F687" s="13"/>
      <c r="G687" s="2"/>
      <c r="H687" s="2"/>
      <c r="I687" s="2"/>
      <c r="J687" s="2"/>
      <c r="K687" s="13"/>
      <c r="L687" s="14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2"/>
      <c r="C688" s="4"/>
      <c r="D688" s="2"/>
      <c r="E688" s="13"/>
      <c r="F688" s="13"/>
      <c r="G688" s="2"/>
      <c r="H688" s="2"/>
      <c r="I688" s="2"/>
      <c r="J688" s="2"/>
      <c r="K688" s="13"/>
      <c r="L688" s="14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2"/>
      <c r="C689" s="4"/>
      <c r="D689" s="2"/>
      <c r="E689" s="13"/>
      <c r="F689" s="13"/>
      <c r="G689" s="2"/>
      <c r="H689" s="2"/>
      <c r="I689" s="2"/>
      <c r="J689" s="2"/>
      <c r="K689" s="13"/>
      <c r="L689" s="14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2"/>
      <c r="C690" s="4"/>
      <c r="D690" s="2"/>
      <c r="E690" s="13"/>
      <c r="F690" s="13"/>
      <c r="G690" s="2"/>
      <c r="H690" s="2"/>
      <c r="I690" s="2"/>
      <c r="J690" s="2"/>
      <c r="K690" s="13"/>
      <c r="L690" s="14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2"/>
      <c r="C691" s="4"/>
      <c r="D691" s="2"/>
      <c r="E691" s="13"/>
      <c r="F691" s="13"/>
      <c r="G691" s="2"/>
      <c r="H691" s="2"/>
      <c r="I691" s="2"/>
      <c r="J691" s="2"/>
      <c r="K691" s="13"/>
      <c r="L691" s="14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2"/>
      <c r="C692" s="4"/>
      <c r="D692" s="2"/>
      <c r="E692" s="13"/>
      <c r="F692" s="13"/>
      <c r="G692" s="2"/>
      <c r="H692" s="2"/>
      <c r="I692" s="2"/>
      <c r="J692" s="2"/>
      <c r="K692" s="13"/>
      <c r="L692" s="14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2"/>
      <c r="C693" s="4"/>
      <c r="D693" s="2"/>
      <c r="E693" s="13"/>
      <c r="F693" s="13"/>
      <c r="G693" s="2"/>
      <c r="H693" s="2"/>
      <c r="I693" s="2"/>
      <c r="J693" s="2"/>
      <c r="K693" s="13"/>
      <c r="L693" s="14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2"/>
      <c r="C694" s="4"/>
      <c r="D694" s="2"/>
      <c r="E694" s="13"/>
      <c r="F694" s="13"/>
      <c r="G694" s="2"/>
      <c r="H694" s="2"/>
      <c r="I694" s="2"/>
      <c r="J694" s="2"/>
      <c r="K694" s="13"/>
      <c r="L694" s="14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2"/>
      <c r="C695" s="4"/>
      <c r="D695" s="2"/>
      <c r="E695" s="13"/>
      <c r="F695" s="13"/>
      <c r="G695" s="2"/>
      <c r="H695" s="2"/>
      <c r="I695" s="2"/>
      <c r="J695" s="2"/>
      <c r="K695" s="13"/>
      <c r="L695" s="14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2"/>
      <c r="C696" s="4"/>
      <c r="D696" s="2"/>
      <c r="E696" s="13"/>
      <c r="F696" s="13"/>
      <c r="G696" s="2"/>
      <c r="H696" s="2"/>
      <c r="I696" s="2"/>
      <c r="J696" s="2"/>
      <c r="K696" s="13"/>
      <c r="L696" s="14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2"/>
      <c r="C697" s="4"/>
      <c r="D697" s="2"/>
      <c r="E697" s="13"/>
      <c r="F697" s="13"/>
      <c r="G697" s="2"/>
      <c r="H697" s="2"/>
      <c r="I697" s="2"/>
      <c r="J697" s="2"/>
      <c r="K697" s="13"/>
      <c r="L697" s="14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2"/>
      <c r="C698" s="4"/>
      <c r="D698" s="2"/>
      <c r="E698" s="13"/>
      <c r="F698" s="13"/>
      <c r="G698" s="2"/>
      <c r="H698" s="2"/>
      <c r="I698" s="2"/>
      <c r="J698" s="2"/>
      <c r="K698" s="13"/>
      <c r="L698" s="14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2"/>
      <c r="C699" s="4"/>
      <c r="D699" s="2"/>
      <c r="E699" s="13"/>
      <c r="F699" s="13"/>
      <c r="G699" s="2"/>
      <c r="H699" s="2"/>
      <c r="I699" s="2"/>
      <c r="J699" s="2"/>
      <c r="K699" s="13"/>
      <c r="L699" s="14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2"/>
      <c r="C700" s="4"/>
      <c r="D700" s="2"/>
      <c r="E700" s="13"/>
      <c r="F700" s="13"/>
      <c r="G700" s="2"/>
      <c r="H700" s="2"/>
      <c r="I700" s="2"/>
      <c r="J700" s="2"/>
      <c r="K700" s="13"/>
      <c r="L700" s="14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2"/>
      <c r="C701" s="4"/>
      <c r="D701" s="2"/>
      <c r="E701" s="13"/>
      <c r="F701" s="13"/>
      <c r="G701" s="2"/>
      <c r="H701" s="2"/>
      <c r="I701" s="2"/>
      <c r="J701" s="2"/>
      <c r="K701" s="13"/>
      <c r="L701" s="14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2"/>
      <c r="C702" s="4"/>
      <c r="D702" s="2"/>
      <c r="E702" s="13"/>
      <c r="F702" s="13"/>
      <c r="G702" s="2"/>
      <c r="H702" s="2"/>
      <c r="I702" s="2"/>
      <c r="J702" s="2"/>
      <c r="K702" s="13"/>
      <c r="L702" s="14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2"/>
      <c r="C703" s="4"/>
      <c r="D703" s="2"/>
      <c r="E703" s="13"/>
      <c r="F703" s="13"/>
      <c r="G703" s="2"/>
      <c r="H703" s="2"/>
      <c r="I703" s="2"/>
      <c r="J703" s="2"/>
      <c r="K703" s="13"/>
      <c r="L703" s="14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2"/>
      <c r="C704" s="4"/>
      <c r="D704" s="2"/>
      <c r="E704" s="13"/>
      <c r="F704" s="13"/>
      <c r="G704" s="2"/>
      <c r="H704" s="2"/>
      <c r="I704" s="2"/>
      <c r="J704" s="2"/>
      <c r="K704" s="13"/>
      <c r="L704" s="14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2"/>
      <c r="C705" s="4"/>
      <c r="D705" s="2"/>
      <c r="E705" s="13"/>
      <c r="F705" s="13"/>
      <c r="G705" s="2"/>
      <c r="H705" s="2"/>
      <c r="I705" s="2"/>
      <c r="J705" s="2"/>
      <c r="K705" s="13"/>
      <c r="L705" s="14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2"/>
      <c r="C706" s="4"/>
      <c r="D706" s="2"/>
      <c r="E706" s="13"/>
      <c r="F706" s="13"/>
      <c r="G706" s="2"/>
      <c r="H706" s="2"/>
      <c r="I706" s="2"/>
      <c r="J706" s="2"/>
      <c r="K706" s="13"/>
      <c r="L706" s="14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2"/>
      <c r="C707" s="4"/>
      <c r="D707" s="2"/>
      <c r="E707" s="13"/>
      <c r="F707" s="13"/>
      <c r="G707" s="2"/>
      <c r="H707" s="2"/>
      <c r="I707" s="2"/>
      <c r="J707" s="2"/>
      <c r="K707" s="13"/>
      <c r="L707" s="14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2"/>
      <c r="C708" s="4"/>
      <c r="D708" s="2"/>
      <c r="E708" s="13"/>
      <c r="F708" s="13"/>
      <c r="G708" s="2"/>
      <c r="H708" s="2"/>
      <c r="I708" s="2"/>
      <c r="J708" s="2"/>
      <c r="K708" s="13"/>
      <c r="L708" s="14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2"/>
      <c r="C709" s="4"/>
      <c r="D709" s="2"/>
      <c r="E709" s="13"/>
      <c r="F709" s="13"/>
      <c r="G709" s="2"/>
      <c r="H709" s="2"/>
      <c r="I709" s="2"/>
      <c r="J709" s="2"/>
      <c r="K709" s="13"/>
      <c r="L709" s="14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2"/>
      <c r="C710" s="4"/>
      <c r="D710" s="2"/>
      <c r="E710" s="13"/>
      <c r="F710" s="13"/>
      <c r="G710" s="2"/>
      <c r="H710" s="2"/>
      <c r="I710" s="2"/>
      <c r="J710" s="2"/>
      <c r="K710" s="13"/>
      <c r="L710" s="14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2"/>
      <c r="C711" s="4"/>
      <c r="D711" s="2"/>
      <c r="E711" s="13"/>
      <c r="F711" s="13"/>
      <c r="G711" s="2"/>
      <c r="H711" s="2"/>
      <c r="I711" s="2"/>
      <c r="J711" s="2"/>
      <c r="K711" s="13"/>
      <c r="L711" s="14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2"/>
      <c r="C712" s="4"/>
      <c r="D712" s="2"/>
      <c r="E712" s="13"/>
      <c r="F712" s="13"/>
      <c r="G712" s="2"/>
      <c r="H712" s="2"/>
      <c r="I712" s="2"/>
      <c r="J712" s="2"/>
      <c r="K712" s="13"/>
      <c r="L712" s="14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2"/>
      <c r="C713" s="4"/>
      <c r="D713" s="2"/>
      <c r="E713" s="13"/>
      <c r="F713" s="13"/>
      <c r="G713" s="2"/>
      <c r="H713" s="2"/>
      <c r="I713" s="2"/>
      <c r="J713" s="2"/>
      <c r="K713" s="13"/>
      <c r="L713" s="14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2"/>
      <c r="C714" s="4"/>
      <c r="D714" s="2"/>
      <c r="E714" s="13"/>
      <c r="F714" s="13"/>
      <c r="G714" s="2"/>
      <c r="H714" s="2"/>
      <c r="I714" s="2"/>
      <c r="J714" s="2"/>
      <c r="K714" s="13"/>
      <c r="L714" s="14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2"/>
      <c r="C715" s="4"/>
      <c r="D715" s="2"/>
      <c r="E715" s="13"/>
      <c r="F715" s="13"/>
      <c r="G715" s="2"/>
      <c r="H715" s="2"/>
      <c r="I715" s="2"/>
      <c r="J715" s="2"/>
      <c r="K715" s="13"/>
      <c r="L715" s="14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2"/>
      <c r="C716" s="4"/>
      <c r="D716" s="2"/>
      <c r="E716" s="13"/>
      <c r="F716" s="13"/>
      <c r="G716" s="2"/>
      <c r="H716" s="2"/>
      <c r="I716" s="2"/>
      <c r="J716" s="2"/>
      <c r="K716" s="13"/>
      <c r="L716" s="14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2"/>
      <c r="C717" s="4"/>
      <c r="D717" s="2"/>
      <c r="E717" s="13"/>
      <c r="F717" s="13"/>
      <c r="G717" s="2"/>
      <c r="H717" s="2"/>
      <c r="I717" s="2"/>
      <c r="J717" s="2"/>
      <c r="K717" s="13"/>
      <c r="L717" s="14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2"/>
      <c r="C718" s="4"/>
      <c r="D718" s="2"/>
      <c r="E718" s="13"/>
      <c r="F718" s="13"/>
      <c r="G718" s="2"/>
      <c r="H718" s="2"/>
      <c r="I718" s="2"/>
      <c r="J718" s="2"/>
      <c r="K718" s="13"/>
      <c r="L718" s="14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2"/>
      <c r="C719" s="4"/>
      <c r="D719" s="2"/>
      <c r="E719" s="13"/>
      <c r="F719" s="13"/>
      <c r="G719" s="2"/>
      <c r="H719" s="2"/>
      <c r="I719" s="2"/>
      <c r="J719" s="2"/>
      <c r="K719" s="13"/>
      <c r="L719" s="14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2"/>
      <c r="C720" s="4"/>
      <c r="D720" s="2"/>
      <c r="E720" s="13"/>
      <c r="F720" s="13"/>
      <c r="G720" s="2"/>
      <c r="H720" s="2"/>
      <c r="I720" s="2"/>
      <c r="J720" s="2"/>
      <c r="K720" s="13"/>
      <c r="L720" s="14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2"/>
      <c r="C721" s="4"/>
      <c r="D721" s="2"/>
      <c r="E721" s="13"/>
      <c r="F721" s="13"/>
      <c r="G721" s="2"/>
      <c r="H721" s="2"/>
      <c r="I721" s="2"/>
      <c r="J721" s="2"/>
      <c r="K721" s="13"/>
      <c r="L721" s="14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2"/>
      <c r="C722" s="4"/>
      <c r="D722" s="2"/>
      <c r="E722" s="13"/>
      <c r="F722" s="13"/>
      <c r="G722" s="2"/>
      <c r="H722" s="2"/>
      <c r="I722" s="2"/>
      <c r="J722" s="2"/>
      <c r="K722" s="13"/>
      <c r="L722" s="14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2"/>
      <c r="C723" s="4"/>
      <c r="D723" s="2"/>
      <c r="E723" s="13"/>
      <c r="F723" s="13"/>
      <c r="G723" s="2"/>
      <c r="H723" s="2"/>
      <c r="I723" s="2"/>
      <c r="J723" s="2"/>
      <c r="K723" s="13"/>
      <c r="L723" s="14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2"/>
      <c r="C724" s="4"/>
      <c r="D724" s="2"/>
      <c r="E724" s="13"/>
      <c r="F724" s="13"/>
      <c r="G724" s="2"/>
      <c r="H724" s="2"/>
      <c r="I724" s="2"/>
      <c r="J724" s="2"/>
      <c r="K724" s="13"/>
      <c r="L724" s="14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2"/>
      <c r="C725" s="4"/>
      <c r="D725" s="2"/>
      <c r="E725" s="13"/>
      <c r="F725" s="13"/>
      <c r="G725" s="2"/>
      <c r="H725" s="2"/>
      <c r="I725" s="2"/>
      <c r="J725" s="2"/>
      <c r="K725" s="13"/>
      <c r="L725" s="14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2"/>
      <c r="C726" s="4"/>
      <c r="D726" s="2"/>
      <c r="E726" s="13"/>
      <c r="F726" s="13"/>
      <c r="G726" s="2"/>
      <c r="H726" s="2"/>
      <c r="I726" s="2"/>
      <c r="J726" s="2"/>
      <c r="K726" s="13"/>
      <c r="L726" s="14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2"/>
      <c r="C727" s="4"/>
      <c r="D727" s="2"/>
      <c r="E727" s="13"/>
      <c r="F727" s="13"/>
      <c r="G727" s="2"/>
      <c r="H727" s="2"/>
      <c r="I727" s="2"/>
      <c r="J727" s="2"/>
      <c r="K727" s="13"/>
      <c r="L727" s="14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2"/>
      <c r="C728" s="4"/>
      <c r="D728" s="2"/>
      <c r="E728" s="13"/>
      <c r="F728" s="13"/>
      <c r="G728" s="2"/>
      <c r="H728" s="2"/>
      <c r="I728" s="2"/>
      <c r="J728" s="2"/>
      <c r="K728" s="13"/>
      <c r="L728" s="14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2"/>
      <c r="C729" s="4"/>
      <c r="D729" s="2"/>
      <c r="E729" s="13"/>
      <c r="F729" s="13"/>
      <c r="G729" s="2"/>
      <c r="H729" s="2"/>
      <c r="I729" s="2"/>
      <c r="J729" s="2"/>
      <c r="K729" s="13"/>
      <c r="L729" s="14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2"/>
      <c r="C730" s="4"/>
      <c r="D730" s="2"/>
      <c r="E730" s="13"/>
      <c r="F730" s="13"/>
      <c r="G730" s="2"/>
      <c r="H730" s="2"/>
      <c r="I730" s="2"/>
      <c r="J730" s="2"/>
      <c r="K730" s="13"/>
      <c r="L730" s="14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2"/>
      <c r="C731" s="4"/>
      <c r="D731" s="2"/>
      <c r="E731" s="13"/>
      <c r="F731" s="13"/>
      <c r="G731" s="2"/>
      <c r="H731" s="2"/>
      <c r="I731" s="2"/>
      <c r="J731" s="2"/>
      <c r="K731" s="13"/>
      <c r="L731" s="14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2"/>
      <c r="C732" s="4"/>
      <c r="D732" s="2"/>
      <c r="E732" s="13"/>
      <c r="F732" s="13"/>
      <c r="G732" s="2"/>
      <c r="H732" s="2"/>
      <c r="I732" s="2"/>
      <c r="J732" s="2"/>
      <c r="K732" s="13"/>
      <c r="L732" s="14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2"/>
      <c r="C733" s="4"/>
      <c r="D733" s="2"/>
      <c r="E733" s="13"/>
      <c r="F733" s="13"/>
      <c r="G733" s="2"/>
      <c r="H733" s="2"/>
      <c r="I733" s="2"/>
      <c r="J733" s="2"/>
      <c r="K733" s="13"/>
      <c r="L733" s="14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2"/>
      <c r="C734" s="4"/>
      <c r="D734" s="2"/>
      <c r="E734" s="13"/>
      <c r="F734" s="13"/>
      <c r="G734" s="2"/>
      <c r="H734" s="2"/>
      <c r="I734" s="2"/>
      <c r="J734" s="2"/>
      <c r="K734" s="13"/>
      <c r="L734" s="14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2"/>
      <c r="C735" s="4"/>
      <c r="D735" s="2"/>
      <c r="E735" s="13"/>
      <c r="F735" s="13"/>
      <c r="G735" s="2"/>
      <c r="H735" s="2"/>
      <c r="I735" s="2"/>
      <c r="J735" s="2"/>
      <c r="K735" s="13"/>
      <c r="L735" s="14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2"/>
      <c r="C736" s="4"/>
      <c r="D736" s="2"/>
      <c r="E736" s="13"/>
      <c r="F736" s="13"/>
      <c r="G736" s="2"/>
      <c r="H736" s="2"/>
      <c r="I736" s="2"/>
      <c r="J736" s="2"/>
      <c r="K736" s="13"/>
      <c r="L736" s="14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2"/>
      <c r="C737" s="4"/>
      <c r="D737" s="2"/>
      <c r="E737" s="13"/>
      <c r="F737" s="13"/>
      <c r="G737" s="2"/>
      <c r="H737" s="2"/>
      <c r="I737" s="2"/>
      <c r="J737" s="2"/>
      <c r="K737" s="13"/>
      <c r="L737" s="14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2"/>
      <c r="C738" s="4"/>
      <c r="D738" s="2"/>
      <c r="E738" s="13"/>
      <c r="F738" s="13"/>
      <c r="G738" s="2"/>
      <c r="H738" s="2"/>
      <c r="I738" s="2"/>
      <c r="J738" s="2"/>
      <c r="K738" s="13"/>
      <c r="L738" s="14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2"/>
      <c r="C739" s="4"/>
      <c r="D739" s="2"/>
      <c r="E739" s="13"/>
      <c r="F739" s="13"/>
      <c r="G739" s="2"/>
      <c r="H739" s="2"/>
      <c r="I739" s="2"/>
      <c r="J739" s="2"/>
      <c r="K739" s="13"/>
      <c r="L739" s="14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2"/>
      <c r="C740" s="4"/>
      <c r="D740" s="2"/>
      <c r="E740" s="13"/>
      <c r="F740" s="13"/>
      <c r="G740" s="2"/>
      <c r="H740" s="2"/>
      <c r="I740" s="2"/>
      <c r="J740" s="2"/>
      <c r="K740" s="13"/>
      <c r="L740" s="14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2"/>
      <c r="C741" s="4"/>
      <c r="D741" s="2"/>
      <c r="E741" s="13"/>
      <c r="F741" s="13"/>
      <c r="G741" s="2"/>
      <c r="H741" s="2"/>
      <c r="I741" s="2"/>
      <c r="J741" s="2"/>
      <c r="K741" s="13"/>
      <c r="L741" s="14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2"/>
      <c r="C742" s="4"/>
      <c r="D742" s="2"/>
      <c r="E742" s="13"/>
      <c r="F742" s="13"/>
      <c r="G742" s="2"/>
      <c r="H742" s="2"/>
      <c r="I742" s="2"/>
      <c r="J742" s="2"/>
      <c r="K742" s="13"/>
      <c r="L742" s="14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2"/>
      <c r="C743" s="4"/>
      <c r="D743" s="2"/>
      <c r="E743" s="13"/>
      <c r="F743" s="13"/>
      <c r="G743" s="2"/>
      <c r="H743" s="2"/>
      <c r="I743" s="2"/>
      <c r="J743" s="2"/>
      <c r="K743" s="13"/>
      <c r="L743" s="14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2"/>
      <c r="C744" s="4"/>
      <c r="D744" s="2"/>
      <c r="E744" s="13"/>
      <c r="F744" s="13"/>
      <c r="G744" s="2"/>
      <c r="H744" s="2"/>
      <c r="I744" s="2"/>
      <c r="J744" s="2"/>
      <c r="K744" s="13"/>
      <c r="L744" s="14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2"/>
      <c r="C745" s="4"/>
      <c r="D745" s="2"/>
      <c r="E745" s="13"/>
      <c r="F745" s="13"/>
      <c r="G745" s="2"/>
      <c r="H745" s="2"/>
      <c r="I745" s="2"/>
      <c r="J745" s="2"/>
      <c r="K745" s="13"/>
      <c r="L745" s="14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2"/>
      <c r="C746" s="4"/>
      <c r="D746" s="2"/>
      <c r="E746" s="13"/>
      <c r="F746" s="13"/>
      <c r="G746" s="2"/>
      <c r="H746" s="2"/>
      <c r="I746" s="2"/>
      <c r="J746" s="2"/>
      <c r="K746" s="13"/>
      <c r="L746" s="14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2"/>
      <c r="C747" s="4"/>
      <c r="D747" s="2"/>
      <c r="E747" s="13"/>
      <c r="F747" s="13"/>
      <c r="G747" s="2"/>
      <c r="H747" s="2"/>
      <c r="I747" s="2"/>
      <c r="J747" s="2"/>
      <c r="K747" s="13"/>
      <c r="L747" s="14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2"/>
      <c r="C748" s="4"/>
      <c r="D748" s="2"/>
      <c r="E748" s="13"/>
      <c r="F748" s="13"/>
      <c r="G748" s="2"/>
      <c r="H748" s="2"/>
      <c r="I748" s="2"/>
      <c r="J748" s="2"/>
      <c r="K748" s="13"/>
      <c r="L748" s="14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2"/>
      <c r="C749" s="4"/>
      <c r="D749" s="2"/>
      <c r="E749" s="13"/>
      <c r="F749" s="13"/>
      <c r="G749" s="2"/>
      <c r="H749" s="2"/>
      <c r="I749" s="2"/>
      <c r="J749" s="2"/>
      <c r="K749" s="13"/>
      <c r="L749" s="14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2"/>
      <c r="C750" s="4"/>
      <c r="D750" s="2"/>
      <c r="E750" s="13"/>
      <c r="F750" s="13"/>
      <c r="G750" s="2"/>
      <c r="H750" s="2"/>
      <c r="I750" s="2"/>
      <c r="J750" s="2"/>
      <c r="K750" s="13"/>
      <c r="L750" s="14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2"/>
      <c r="C751" s="4"/>
      <c r="D751" s="2"/>
      <c r="E751" s="13"/>
      <c r="F751" s="13"/>
      <c r="G751" s="2"/>
      <c r="H751" s="2"/>
      <c r="I751" s="2"/>
      <c r="J751" s="2"/>
      <c r="K751" s="13"/>
      <c r="L751" s="14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2"/>
      <c r="C752" s="4"/>
      <c r="D752" s="2"/>
      <c r="E752" s="13"/>
      <c r="F752" s="13"/>
      <c r="G752" s="2"/>
      <c r="H752" s="2"/>
      <c r="I752" s="2"/>
      <c r="J752" s="2"/>
      <c r="K752" s="13"/>
      <c r="L752" s="14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2"/>
      <c r="C753" s="4"/>
      <c r="D753" s="2"/>
      <c r="E753" s="13"/>
      <c r="F753" s="13"/>
      <c r="G753" s="2"/>
      <c r="H753" s="2"/>
      <c r="I753" s="2"/>
      <c r="J753" s="2"/>
      <c r="K753" s="13"/>
      <c r="L753" s="14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2"/>
      <c r="C754" s="4"/>
      <c r="D754" s="2"/>
      <c r="E754" s="13"/>
      <c r="F754" s="13"/>
      <c r="G754" s="2"/>
      <c r="H754" s="2"/>
      <c r="I754" s="2"/>
      <c r="J754" s="2"/>
      <c r="K754" s="13"/>
      <c r="L754" s="14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2"/>
      <c r="C755" s="4"/>
      <c r="D755" s="2"/>
      <c r="E755" s="13"/>
      <c r="F755" s="13"/>
      <c r="G755" s="2"/>
      <c r="H755" s="2"/>
      <c r="I755" s="2"/>
      <c r="J755" s="2"/>
      <c r="K755" s="13"/>
      <c r="L755" s="14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2"/>
      <c r="C756" s="4"/>
      <c r="D756" s="2"/>
      <c r="E756" s="13"/>
      <c r="F756" s="13"/>
      <c r="G756" s="2"/>
      <c r="H756" s="2"/>
      <c r="I756" s="2"/>
      <c r="J756" s="2"/>
      <c r="K756" s="13"/>
      <c r="L756" s="14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2"/>
      <c r="C757" s="4"/>
      <c r="D757" s="2"/>
      <c r="E757" s="13"/>
      <c r="F757" s="13"/>
      <c r="G757" s="2"/>
      <c r="H757" s="2"/>
      <c r="I757" s="2"/>
      <c r="J757" s="2"/>
      <c r="K757" s="13"/>
      <c r="L757" s="14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2"/>
      <c r="C758" s="4"/>
      <c r="D758" s="2"/>
      <c r="E758" s="13"/>
      <c r="F758" s="13"/>
      <c r="G758" s="2"/>
      <c r="H758" s="2"/>
      <c r="I758" s="2"/>
      <c r="J758" s="2"/>
      <c r="K758" s="13"/>
      <c r="L758" s="14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2"/>
      <c r="C759" s="4"/>
      <c r="D759" s="2"/>
      <c r="E759" s="13"/>
      <c r="F759" s="13"/>
      <c r="G759" s="2"/>
      <c r="H759" s="2"/>
      <c r="I759" s="2"/>
      <c r="J759" s="2"/>
      <c r="K759" s="13"/>
      <c r="L759" s="14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2"/>
      <c r="C760" s="4"/>
      <c r="D760" s="2"/>
      <c r="E760" s="13"/>
      <c r="F760" s="13"/>
      <c r="G760" s="2"/>
      <c r="H760" s="2"/>
      <c r="I760" s="2"/>
      <c r="J760" s="2"/>
      <c r="K760" s="13"/>
      <c r="L760" s="14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2"/>
      <c r="C761" s="4"/>
      <c r="D761" s="2"/>
      <c r="E761" s="13"/>
      <c r="F761" s="13"/>
      <c r="G761" s="2"/>
      <c r="H761" s="2"/>
      <c r="I761" s="2"/>
      <c r="J761" s="2"/>
      <c r="K761" s="13"/>
      <c r="L761" s="14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2"/>
      <c r="C762" s="4"/>
      <c r="D762" s="2"/>
      <c r="E762" s="13"/>
      <c r="F762" s="13"/>
      <c r="G762" s="2"/>
      <c r="H762" s="2"/>
      <c r="I762" s="2"/>
      <c r="J762" s="2"/>
      <c r="K762" s="13"/>
      <c r="L762" s="14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2"/>
      <c r="C763" s="4"/>
      <c r="D763" s="2"/>
      <c r="E763" s="13"/>
      <c r="F763" s="13"/>
      <c r="G763" s="2"/>
      <c r="H763" s="2"/>
      <c r="I763" s="2"/>
      <c r="J763" s="2"/>
      <c r="K763" s="13"/>
      <c r="L763" s="14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2"/>
      <c r="C764" s="4"/>
      <c r="D764" s="2"/>
      <c r="E764" s="13"/>
      <c r="F764" s="13"/>
      <c r="G764" s="2"/>
      <c r="H764" s="2"/>
      <c r="I764" s="2"/>
      <c r="J764" s="2"/>
      <c r="K764" s="13"/>
      <c r="L764" s="14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2"/>
      <c r="C765" s="4"/>
      <c r="D765" s="2"/>
      <c r="E765" s="13"/>
      <c r="F765" s="13"/>
      <c r="G765" s="2"/>
      <c r="H765" s="2"/>
      <c r="I765" s="2"/>
      <c r="J765" s="2"/>
      <c r="K765" s="13"/>
      <c r="L765" s="14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2"/>
      <c r="C766" s="4"/>
      <c r="D766" s="2"/>
      <c r="E766" s="13"/>
      <c r="F766" s="13"/>
      <c r="G766" s="2"/>
      <c r="H766" s="2"/>
      <c r="I766" s="2"/>
      <c r="J766" s="2"/>
      <c r="K766" s="13"/>
      <c r="L766" s="14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2"/>
      <c r="C767" s="4"/>
      <c r="D767" s="2"/>
      <c r="E767" s="13"/>
      <c r="F767" s="13"/>
      <c r="G767" s="2"/>
      <c r="H767" s="2"/>
      <c r="I767" s="2"/>
      <c r="J767" s="2"/>
      <c r="K767" s="13"/>
      <c r="L767" s="14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2"/>
      <c r="C768" s="4"/>
      <c r="D768" s="2"/>
      <c r="E768" s="13"/>
      <c r="F768" s="13"/>
      <c r="G768" s="2"/>
      <c r="H768" s="2"/>
      <c r="I768" s="2"/>
      <c r="J768" s="2"/>
      <c r="K768" s="13"/>
      <c r="L768" s="14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2"/>
      <c r="C769" s="4"/>
      <c r="D769" s="2"/>
      <c r="E769" s="13"/>
      <c r="F769" s="13"/>
      <c r="G769" s="2"/>
      <c r="H769" s="2"/>
      <c r="I769" s="2"/>
      <c r="J769" s="2"/>
      <c r="K769" s="13"/>
      <c r="L769" s="14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2"/>
      <c r="C770" s="4"/>
      <c r="D770" s="2"/>
      <c r="E770" s="13"/>
      <c r="F770" s="13"/>
      <c r="G770" s="2"/>
      <c r="H770" s="2"/>
      <c r="I770" s="2"/>
      <c r="J770" s="2"/>
      <c r="K770" s="13"/>
      <c r="L770" s="14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2"/>
      <c r="C771" s="4"/>
      <c r="D771" s="2"/>
      <c r="E771" s="13"/>
      <c r="F771" s="13"/>
      <c r="G771" s="2"/>
      <c r="H771" s="2"/>
      <c r="I771" s="2"/>
      <c r="J771" s="2"/>
      <c r="K771" s="13"/>
      <c r="L771" s="14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2"/>
      <c r="C772" s="4"/>
      <c r="D772" s="2"/>
      <c r="E772" s="13"/>
      <c r="F772" s="13"/>
      <c r="G772" s="2"/>
      <c r="H772" s="2"/>
      <c r="I772" s="2"/>
      <c r="J772" s="2"/>
      <c r="K772" s="13"/>
      <c r="L772" s="14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2"/>
      <c r="C773" s="4"/>
      <c r="D773" s="2"/>
      <c r="E773" s="13"/>
      <c r="F773" s="13"/>
      <c r="G773" s="2"/>
      <c r="H773" s="2"/>
      <c r="I773" s="2"/>
      <c r="J773" s="2"/>
      <c r="K773" s="13"/>
      <c r="L773" s="14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2"/>
      <c r="C774" s="4"/>
      <c r="D774" s="2"/>
      <c r="E774" s="13"/>
      <c r="F774" s="13"/>
      <c r="G774" s="2"/>
      <c r="H774" s="2"/>
      <c r="I774" s="2"/>
      <c r="J774" s="2"/>
      <c r="K774" s="13"/>
      <c r="L774" s="14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2"/>
      <c r="C775" s="4"/>
      <c r="D775" s="2"/>
      <c r="E775" s="13"/>
      <c r="F775" s="13"/>
      <c r="G775" s="2"/>
      <c r="H775" s="2"/>
      <c r="I775" s="2"/>
      <c r="J775" s="2"/>
      <c r="K775" s="13"/>
      <c r="L775" s="14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2"/>
      <c r="C776" s="4"/>
      <c r="D776" s="2"/>
      <c r="E776" s="13"/>
      <c r="F776" s="13"/>
      <c r="G776" s="2"/>
      <c r="H776" s="2"/>
      <c r="I776" s="2"/>
      <c r="J776" s="2"/>
      <c r="K776" s="13"/>
      <c r="L776" s="14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2"/>
      <c r="C777" s="4"/>
      <c r="D777" s="2"/>
      <c r="E777" s="13"/>
      <c r="F777" s="13"/>
      <c r="G777" s="2"/>
      <c r="H777" s="2"/>
      <c r="I777" s="2"/>
      <c r="J777" s="2"/>
      <c r="K777" s="13"/>
      <c r="L777" s="14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2"/>
      <c r="C778" s="4"/>
      <c r="D778" s="2"/>
      <c r="E778" s="13"/>
      <c r="F778" s="13"/>
      <c r="G778" s="2"/>
      <c r="H778" s="2"/>
      <c r="I778" s="2"/>
      <c r="J778" s="2"/>
      <c r="K778" s="13"/>
      <c r="L778" s="14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2"/>
      <c r="C779" s="4"/>
      <c r="D779" s="2"/>
      <c r="E779" s="13"/>
      <c r="F779" s="13"/>
      <c r="G779" s="2"/>
      <c r="H779" s="2"/>
      <c r="I779" s="2"/>
      <c r="J779" s="2"/>
      <c r="K779" s="13"/>
      <c r="L779" s="14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2"/>
      <c r="C780" s="4"/>
      <c r="D780" s="2"/>
      <c r="E780" s="13"/>
      <c r="F780" s="13"/>
      <c r="G780" s="2"/>
      <c r="H780" s="2"/>
      <c r="I780" s="2"/>
      <c r="J780" s="2"/>
      <c r="K780" s="13"/>
      <c r="L780" s="14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2"/>
      <c r="C781" s="4"/>
      <c r="D781" s="2"/>
      <c r="E781" s="13"/>
      <c r="F781" s="13"/>
      <c r="G781" s="2"/>
      <c r="H781" s="2"/>
      <c r="I781" s="2"/>
      <c r="J781" s="2"/>
      <c r="K781" s="13"/>
      <c r="L781" s="14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"/>
      <c r="B782" s="2"/>
      <c r="C782" s="4"/>
      <c r="D782" s="2"/>
      <c r="E782" s="13"/>
      <c r="F782" s="13"/>
      <c r="G782" s="2"/>
      <c r="H782" s="2"/>
      <c r="I782" s="2"/>
      <c r="J782" s="2"/>
      <c r="K782" s="13"/>
      <c r="L782" s="14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"/>
      <c r="B783" s="2"/>
      <c r="C783" s="4"/>
      <c r="D783" s="2"/>
      <c r="E783" s="13"/>
      <c r="F783" s="13"/>
      <c r="G783" s="2"/>
      <c r="H783" s="2"/>
      <c r="I783" s="2"/>
      <c r="J783" s="2"/>
      <c r="K783" s="13"/>
      <c r="L783" s="14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"/>
      <c r="B784" s="2"/>
      <c r="C784" s="4"/>
      <c r="D784" s="2"/>
      <c r="E784" s="13"/>
      <c r="F784" s="13"/>
      <c r="G784" s="2"/>
      <c r="H784" s="2"/>
      <c r="I784" s="2"/>
      <c r="J784" s="2"/>
      <c r="K784" s="13"/>
      <c r="L784" s="14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"/>
      <c r="B785" s="2"/>
      <c r="C785" s="4"/>
      <c r="D785" s="2"/>
      <c r="E785" s="13"/>
      <c r="F785" s="13"/>
      <c r="G785" s="2"/>
      <c r="H785" s="2"/>
      <c r="I785" s="2"/>
      <c r="J785" s="2"/>
      <c r="K785" s="13"/>
      <c r="L785" s="14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"/>
      <c r="B786" s="2"/>
      <c r="C786" s="4"/>
      <c r="D786" s="2"/>
      <c r="E786" s="13"/>
      <c r="F786" s="13"/>
      <c r="G786" s="2"/>
      <c r="H786" s="2"/>
      <c r="I786" s="2"/>
      <c r="J786" s="2"/>
      <c r="K786" s="13"/>
      <c r="L786" s="14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"/>
      <c r="B787" s="2"/>
      <c r="C787" s="4"/>
      <c r="D787" s="2"/>
      <c r="E787" s="13"/>
      <c r="F787" s="13"/>
      <c r="G787" s="2"/>
      <c r="H787" s="2"/>
      <c r="I787" s="2"/>
      <c r="J787" s="2"/>
      <c r="K787" s="13"/>
      <c r="L787" s="14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"/>
      <c r="B788" s="2"/>
      <c r="C788" s="4"/>
      <c r="D788" s="2"/>
      <c r="E788" s="13"/>
      <c r="F788" s="13"/>
      <c r="G788" s="2"/>
      <c r="H788" s="2"/>
      <c r="I788" s="2"/>
      <c r="J788" s="2"/>
      <c r="K788" s="13"/>
      <c r="L788" s="14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"/>
      <c r="B789" s="2"/>
      <c r="C789" s="4"/>
      <c r="D789" s="2"/>
      <c r="E789" s="13"/>
      <c r="F789" s="13"/>
      <c r="G789" s="2"/>
      <c r="H789" s="2"/>
      <c r="I789" s="2"/>
      <c r="J789" s="2"/>
      <c r="K789" s="13"/>
      <c r="L789" s="14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"/>
      <c r="B790" s="2"/>
      <c r="C790" s="4"/>
      <c r="D790" s="2"/>
      <c r="E790" s="13"/>
      <c r="F790" s="13"/>
      <c r="G790" s="2"/>
      <c r="H790" s="2"/>
      <c r="I790" s="2"/>
      <c r="J790" s="2"/>
      <c r="K790" s="13"/>
      <c r="L790" s="14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"/>
      <c r="B791" s="2"/>
      <c r="C791" s="4"/>
      <c r="D791" s="2"/>
      <c r="E791" s="13"/>
      <c r="F791" s="13"/>
      <c r="G791" s="2"/>
      <c r="H791" s="2"/>
      <c r="I791" s="2"/>
      <c r="J791" s="2"/>
      <c r="K791" s="13"/>
      <c r="L791" s="14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"/>
      <c r="B792" s="2"/>
      <c r="C792" s="4"/>
      <c r="D792" s="2"/>
      <c r="E792" s="13"/>
      <c r="F792" s="13"/>
      <c r="G792" s="2"/>
      <c r="H792" s="2"/>
      <c r="I792" s="2"/>
      <c r="J792" s="2"/>
      <c r="K792" s="13"/>
      <c r="L792" s="14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"/>
      <c r="B793" s="2"/>
      <c r="C793" s="4"/>
      <c r="D793" s="2"/>
      <c r="E793" s="13"/>
      <c r="F793" s="13"/>
      <c r="G793" s="2"/>
      <c r="H793" s="2"/>
      <c r="I793" s="2"/>
      <c r="J793" s="2"/>
      <c r="K793" s="13"/>
      <c r="L793" s="14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"/>
      <c r="B794" s="2"/>
      <c r="C794" s="4"/>
      <c r="D794" s="2"/>
      <c r="E794" s="13"/>
      <c r="F794" s="13"/>
      <c r="G794" s="2"/>
      <c r="H794" s="2"/>
      <c r="I794" s="2"/>
      <c r="J794" s="2"/>
      <c r="K794" s="13"/>
      <c r="L794" s="14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"/>
      <c r="B795" s="2"/>
      <c r="C795" s="4"/>
      <c r="D795" s="2"/>
      <c r="E795" s="13"/>
      <c r="F795" s="13"/>
      <c r="G795" s="2"/>
      <c r="H795" s="2"/>
      <c r="I795" s="2"/>
      <c r="J795" s="2"/>
      <c r="K795" s="13"/>
      <c r="L795" s="14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"/>
      <c r="B796" s="2"/>
      <c r="C796" s="4"/>
      <c r="D796" s="2"/>
      <c r="E796" s="13"/>
      <c r="F796" s="13"/>
      <c r="G796" s="2"/>
      <c r="H796" s="2"/>
      <c r="I796" s="2"/>
      <c r="J796" s="2"/>
      <c r="K796" s="13"/>
      <c r="L796" s="14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"/>
      <c r="B797" s="2"/>
      <c r="C797" s="4"/>
      <c r="D797" s="2"/>
      <c r="E797" s="13"/>
      <c r="F797" s="13"/>
      <c r="G797" s="2"/>
      <c r="H797" s="2"/>
      <c r="I797" s="2"/>
      <c r="J797" s="2"/>
      <c r="K797" s="13"/>
      <c r="L797" s="14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"/>
      <c r="B798" s="2"/>
      <c r="C798" s="4"/>
      <c r="D798" s="2"/>
      <c r="E798" s="13"/>
      <c r="F798" s="13"/>
      <c r="G798" s="2"/>
      <c r="H798" s="2"/>
      <c r="I798" s="2"/>
      <c r="J798" s="2"/>
      <c r="K798" s="13"/>
      <c r="L798" s="14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"/>
      <c r="B799" s="2"/>
      <c r="C799" s="4"/>
      <c r="D799" s="2"/>
      <c r="E799" s="13"/>
      <c r="F799" s="13"/>
      <c r="G799" s="2"/>
      <c r="H799" s="2"/>
      <c r="I799" s="2"/>
      <c r="J799" s="2"/>
      <c r="K799" s="13"/>
      <c r="L799" s="14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"/>
      <c r="B800" s="2"/>
      <c r="C800" s="4"/>
      <c r="D800" s="2"/>
      <c r="E800" s="13"/>
      <c r="F800" s="13"/>
      <c r="G800" s="2"/>
      <c r="H800" s="2"/>
      <c r="I800" s="2"/>
      <c r="J800" s="2"/>
      <c r="K800" s="13"/>
      <c r="L800" s="14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"/>
      <c r="B801" s="2"/>
      <c r="C801" s="4"/>
      <c r="D801" s="2"/>
      <c r="E801" s="13"/>
      <c r="F801" s="13"/>
      <c r="G801" s="2"/>
      <c r="H801" s="2"/>
      <c r="I801" s="2"/>
      <c r="J801" s="2"/>
      <c r="K801" s="13"/>
      <c r="L801" s="14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"/>
      <c r="B802" s="2"/>
      <c r="C802" s="4"/>
      <c r="D802" s="2"/>
      <c r="E802" s="13"/>
      <c r="F802" s="13"/>
      <c r="G802" s="2"/>
      <c r="H802" s="2"/>
      <c r="I802" s="2"/>
      <c r="J802" s="2"/>
      <c r="K802" s="13"/>
      <c r="L802" s="14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"/>
      <c r="B803" s="2"/>
      <c r="C803" s="4"/>
      <c r="D803" s="2"/>
      <c r="E803" s="13"/>
      <c r="F803" s="13"/>
      <c r="G803" s="2"/>
      <c r="H803" s="2"/>
      <c r="I803" s="2"/>
      <c r="J803" s="2"/>
      <c r="K803" s="13"/>
      <c r="L803" s="14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"/>
      <c r="B804" s="2"/>
      <c r="C804" s="4"/>
      <c r="D804" s="2"/>
      <c r="E804" s="13"/>
      <c r="F804" s="13"/>
      <c r="G804" s="2"/>
      <c r="H804" s="2"/>
      <c r="I804" s="2"/>
      <c r="J804" s="2"/>
      <c r="K804" s="13"/>
      <c r="L804" s="14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"/>
      <c r="B805" s="2"/>
      <c r="C805" s="4"/>
      <c r="D805" s="2"/>
      <c r="E805" s="13"/>
      <c r="F805" s="13"/>
      <c r="G805" s="2"/>
      <c r="H805" s="2"/>
      <c r="I805" s="2"/>
      <c r="J805" s="2"/>
      <c r="K805" s="13"/>
      <c r="L805" s="14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"/>
      <c r="B806" s="2"/>
      <c r="C806" s="4"/>
      <c r="D806" s="2"/>
      <c r="E806" s="13"/>
      <c r="F806" s="13"/>
      <c r="G806" s="2"/>
      <c r="H806" s="2"/>
      <c r="I806" s="2"/>
      <c r="J806" s="2"/>
      <c r="K806" s="13"/>
      <c r="L806" s="14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"/>
      <c r="B807" s="2"/>
      <c r="C807" s="4"/>
      <c r="D807" s="2"/>
      <c r="E807" s="13"/>
      <c r="F807" s="13"/>
      <c r="G807" s="2"/>
      <c r="H807" s="2"/>
      <c r="I807" s="2"/>
      <c r="J807" s="2"/>
      <c r="K807" s="13"/>
      <c r="L807" s="14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"/>
      <c r="B808" s="2"/>
      <c r="C808" s="4"/>
      <c r="D808" s="2"/>
      <c r="E808" s="13"/>
      <c r="F808" s="13"/>
      <c r="G808" s="2"/>
      <c r="H808" s="2"/>
      <c r="I808" s="2"/>
      <c r="J808" s="2"/>
      <c r="K808" s="13"/>
      <c r="L808" s="14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"/>
      <c r="B809" s="2"/>
      <c r="C809" s="4"/>
      <c r="D809" s="2"/>
      <c r="E809" s="13"/>
      <c r="F809" s="13"/>
      <c r="G809" s="2"/>
      <c r="H809" s="2"/>
      <c r="I809" s="2"/>
      <c r="J809" s="2"/>
      <c r="K809" s="13"/>
      <c r="L809" s="14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"/>
      <c r="B810" s="2"/>
      <c r="C810" s="4"/>
      <c r="D810" s="2"/>
      <c r="E810" s="13"/>
      <c r="F810" s="13"/>
      <c r="G810" s="2"/>
      <c r="H810" s="2"/>
      <c r="I810" s="2"/>
      <c r="J810" s="2"/>
      <c r="K810" s="13"/>
      <c r="L810" s="14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"/>
      <c r="B811" s="2"/>
      <c r="C811" s="4"/>
      <c r="D811" s="2"/>
      <c r="E811" s="13"/>
      <c r="F811" s="13"/>
      <c r="G811" s="2"/>
      <c r="H811" s="2"/>
      <c r="I811" s="2"/>
      <c r="J811" s="2"/>
      <c r="K811" s="13"/>
      <c r="L811" s="14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"/>
      <c r="B812" s="2"/>
      <c r="C812" s="4"/>
      <c r="D812" s="2"/>
      <c r="E812" s="13"/>
      <c r="F812" s="13"/>
      <c r="G812" s="2"/>
      <c r="H812" s="2"/>
      <c r="I812" s="2"/>
      <c r="J812" s="2"/>
      <c r="K812" s="13"/>
      <c r="L812" s="14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"/>
      <c r="B813" s="2"/>
      <c r="C813" s="4"/>
      <c r="D813" s="2"/>
      <c r="E813" s="13"/>
      <c r="F813" s="13"/>
      <c r="G813" s="2"/>
      <c r="H813" s="2"/>
      <c r="I813" s="2"/>
      <c r="J813" s="2"/>
      <c r="K813" s="13"/>
      <c r="L813" s="14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"/>
      <c r="B814" s="2"/>
      <c r="C814" s="4"/>
      <c r="D814" s="2"/>
      <c r="E814" s="13"/>
      <c r="F814" s="13"/>
      <c r="G814" s="2"/>
      <c r="H814" s="2"/>
      <c r="I814" s="2"/>
      <c r="J814" s="2"/>
      <c r="K814" s="13"/>
      <c r="L814" s="14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"/>
      <c r="B815" s="2"/>
      <c r="C815" s="4"/>
      <c r="D815" s="2"/>
      <c r="E815" s="13"/>
      <c r="F815" s="13"/>
      <c r="G815" s="2"/>
      <c r="H815" s="2"/>
      <c r="I815" s="2"/>
      <c r="J815" s="2"/>
      <c r="K815" s="13"/>
      <c r="L815" s="14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"/>
      <c r="B816" s="2"/>
      <c r="C816" s="4"/>
      <c r="D816" s="2"/>
      <c r="E816" s="13"/>
      <c r="F816" s="13"/>
      <c r="G816" s="2"/>
      <c r="H816" s="2"/>
      <c r="I816" s="2"/>
      <c r="J816" s="2"/>
      <c r="K816" s="13"/>
      <c r="L816" s="14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"/>
      <c r="B817" s="2"/>
      <c r="C817" s="4"/>
      <c r="D817" s="2"/>
      <c r="E817" s="13"/>
      <c r="F817" s="13"/>
      <c r="G817" s="2"/>
      <c r="H817" s="2"/>
      <c r="I817" s="2"/>
      <c r="J817" s="2"/>
      <c r="K817" s="13"/>
      <c r="L817" s="14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"/>
      <c r="B818" s="2"/>
      <c r="C818" s="4"/>
      <c r="D818" s="2"/>
      <c r="E818" s="13"/>
      <c r="F818" s="13"/>
      <c r="G818" s="2"/>
      <c r="H818" s="2"/>
      <c r="I818" s="2"/>
      <c r="J818" s="2"/>
      <c r="K818" s="13"/>
      <c r="L818" s="14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"/>
      <c r="B819" s="2"/>
      <c r="C819" s="4"/>
      <c r="D819" s="2"/>
      <c r="E819" s="13"/>
      <c r="F819" s="13"/>
      <c r="G819" s="2"/>
      <c r="H819" s="2"/>
      <c r="I819" s="2"/>
      <c r="J819" s="2"/>
      <c r="K819" s="13"/>
      <c r="L819" s="14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"/>
      <c r="B820" s="2"/>
      <c r="C820" s="4"/>
      <c r="D820" s="2"/>
      <c r="E820" s="13"/>
      <c r="F820" s="13"/>
      <c r="G820" s="2"/>
      <c r="H820" s="2"/>
      <c r="I820" s="2"/>
      <c r="J820" s="2"/>
      <c r="K820" s="13"/>
      <c r="L820" s="14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"/>
      <c r="B821" s="2"/>
      <c r="C821" s="4"/>
      <c r="D821" s="2"/>
      <c r="E821" s="13"/>
      <c r="F821" s="13"/>
      <c r="G821" s="2"/>
      <c r="H821" s="2"/>
      <c r="I821" s="2"/>
      <c r="J821" s="2"/>
      <c r="K821" s="13"/>
      <c r="L821" s="14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"/>
      <c r="B822" s="2"/>
      <c r="C822" s="4"/>
      <c r="D822" s="2"/>
      <c r="E822" s="13"/>
      <c r="F822" s="13"/>
      <c r="G822" s="2"/>
      <c r="H822" s="2"/>
      <c r="I822" s="2"/>
      <c r="J822" s="2"/>
      <c r="K822" s="13"/>
      <c r="L822" s="14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"/>
      <c r="B823" s="2"/>
      <c r="C823" s="4"/>
      <c r="D823" s="2"/>
      <c r="E823" s="13"/>
      <c r="F823" s="13"/>
      <c r="G823" s="2"/>
      <c r="H823" s="2"/>
      <c r="I823" s="2"/>
      <c r="J823" s="2"/>
      <c r="K823" s="13"/>
      <c r="L823" s="14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"/>
      <c r="B824" s="2"/>
      <c r="C824" s="4"/>
      <c r="D824" s="2"/>
      <c r="E824" s="13"/>
      <c r="F824" s="13"/>
      <c r="G824" s="2"/>
      <c r="H824" s="2"/>
      <c r="I824" s="2"/>
      <c r="J824" s="2"/>
      <c r="K824" s="13"/>
      <c r="L824" s="14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"/>
      <c r="B825" s="2"/>
      <c r="C825" s="4"/>
      <c r="D825" s="2"/>
      <c r="E825" s="13"/>
      <c r="F825" s="13"/>
      <c r="G825" s="2"/>
      <c r="H825" s="2"/>
      <c r="I825" s="2"/>
      <c r="J825" s="2"/>
      <c r="K825" s="13"/>
      <c r="L825" s="14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"/>
      <c r="B826" s="2"/>
      <c r="C826" s="4"/>
      <c r="D826" s="2"/>
      <c r="E826" s="13"/>
      <c r="F826" s="13"/>
      <c r="G826" s="2"/>
      <c r="H826" s="2"/>
      <c r="I826" s="2"/>
      <c r="J826" s="2"/>
      <c r="K826" s="13"/>
      <c r="L826" s="14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"/>
      <c r="B827" s="2"/>
      <c r="C827" s="4"/>
      <c r="D827" s="2"/>
      <c r="E827" s="13"/>
      <c r="F827" s="13"/>
      <c r="G827" s="2"/>
      <c r="H827" s="2"/>
      <c r="I827" s="2"/>
      <c r="J827" s="2"/>
      <c r="K827" s="13"/>
      <c r="L827" s="14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1"/>
      <c r="B828" s="2"/>
      <c r="C828" s="4"/>
      <c r="D828" s="2"/>
      <c r="E828" s="13"/>
      <c r="F828" s="13"/>
      <c r="G828" s="2"/>
      <c r="H828" s="2"/>
      <c r="I828" s="2"/>
      <c r="J828" s="2"/>
      <c r="K828" s="13"/>
      <c r="L828" s="14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"/>
      <c r="B829" s="2"/>
      <c r="C829" s="4"/>
      <c r="D829" s="2"/>
      <c r="E829" s="13"/>
      <c r="F829" s="13"/>
      <c r="G829" s="2"/>
      <c r="H829" s="2"/>
      <c r="I829" s="2"/>
      <c r="J829" s="2"/>
      <c r="K829" s="13"/>
      <c r="L829" s="14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"/>
      <c r="B830" s="2"/>
      <c r="C830" s="4"/>
      <c r="D830" s="2"/>
      <c r="E830" s="13"/>
      <c r="F830" s="13"/>
      <c r="G830" s="2"/>
      <c r="H830" s="2"/>
      <c r="I830" s="2"/>
      <c r="J830" s="2"/>
      <c r="K830" s="13"/>
      <c r="L830" s="14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1"/>
      <c r="B831" s="2"/>
      <c r="C831" s="4"/>
      <c r="D831" s="2"/>
      <c r="E831" s="13"/>
      <c r="F831" s="13"/>
      <c r="G831" s="2"/>
      <c r="H831" s="2"/>
      <c r="I831" s="2"/>
      <c r="J831" s="2"/>
      <c r="K831" s="13"/>
      <c r="L831" s="14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"/>
      <c r="B832" s="2"/>
      <c r="C832" s="4"/>
      <c r="D832" s="2"/>
      <c r="E832" s="13"/>
      <c r="F832" s="13"/>
      <c r="G832" s="2"/>
      <c r="H832" s="2"/>
      <c r="I832" s="2"/>
      <c r="J832" s="2"/>
      <c r="K832" s="13"/>
      <c r="L832" s="14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"/>
      <c r="B833" s="2"/>
      <c r="C833" s="4"/>
      <c r="D833" s="2"/>
      <c r="E833" s="13"/>
      <c r="F833" s="13"/>
      <c r="G833" s="2"/>
      <c r="H833" s="2"/>
      <c r="I833" s="2"/>
      <c r="J833" s="2"/>
      <c r="K833" s="13"/>
      <c r="L833" s="14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"/>
      <c r="B834" s="2"/>
      <c r="C834" s="4"/>
      <c r="D834" s="2"/>
      <c r="E834" s="13"/>
      <c r="F834" s="13"/>
      <c r="G834" s="2"/>
      <c r="H834" s="2"/>
      <c r="I834" s="2"/>
      <c r="J834" s="2"/>
      <c r="K834" s="13"/>
      <c r="L834" s="14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"/>
      <c r="B835" s="2"/>
      <c r="C835" s="4"/>
      <c r="D835" s="2"/>
      <c r="E835" s="13"/>
      <c r="F835" s="13"/>
      <c r="G835" s="2"/>
      <c r="H835" s="2"/>
      <c r="I835" s="2"/>
      <c r="J835" s="2"/>
      <c r="K835" s="13"/>
      <c r="L835" s="14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"/>
      <c r="B836" s="2"/>
      <c r="C836" s="4"/>
      <c r="D836" s="2"/>
      <c r="E836" s="13"/>
      <c r="F836" s="13"/>
      <c r="G836" s="2"/>
      <c r="H836" s="2"/>
      <c r="I836" s="2"/>
      <c r="J836" s="2"/>
      <c r="K836" s="13"/>
      <c r="L836" s="14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"/>
      <c r="B837" s="2"/>
      <c r="C837" s="4"/>
      <c r="D837" s="2"/>
      <c r="E837" s="13"/>
      <c r="F837" s="13"/>
      <c r="G837" s="2"/>
      <c r="H837" s="2"/>
      <c r="I837" s="2"/>
      <c r="J837" s="2"/>
      <c r="K837" s="13"/>
      <c r="L837" s="14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1"/>
      <c r="B838" s="2"/>
      <c r="C838" s="4"/>
      <c r="D838" s="2"/>
      <c r="E838" s="13"/>
      <c r="F838" s="13"/>
      <c r="G838" s="2"/>
      <c r="H838" s="2"/>
      <c r="I838" s="2"/>
      <c r="J838" s="2"/>
      <c r="K838" s="13"/>
      <c r="L838" s="14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"/>
      <c r="B839" s="2"/>
      <c r="C839" s="4"/>
      <c r="D839" s="2"/>
      <c r="E839" s="13"/>
      <c r="F839" s="13"/>
      <c r="G839" s="2"/>
      <c r="H839" s="2"/>
      <c r="I839" s="2"/>
      <c r="J839" s="2"/>
      <c r="K839" s="13"/>
      <c r="L839" s="14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"/>
      <c r="B840" s="2"/>
      <c r="C840" s="4"/>
      <c r="D840" s="2"/>
      <c r="E840" s="13"/>
      <c r="F840" s="13"/>
      <c r="G840" s="2"/>
      <c r="H840" s="2"/>
      <c r="I840" s="2"/>
      <c r="J840" s="2"/>
      <c r="K840" s="13"/>
      <c r="L840" s="14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1"/>
      <c r="B841" s="2"/>
      <c r="C841" s="4"/>
      <c r="D841" s="2"/>
      <c r="E841" s="13"/>
      <c r="F841" s="13"/>
      <c r="G841" s="2"/>
      <c r="H841" s="2"/>
      <c r="I841" s="2"/>
      <c r="J841" s="2"/>
      <c r="K841" s="13"/>
      <c r="L841" s="14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"/>
      <c r="B842" s="2"/>
      <c r="C842" s="4"/>
      <c r="D842" s="2"/>
      <c r="E842" s="13"/>
      <c r="F842" s="13"/>
      <c r="G842" s="2"/>
      <c r="H842" s="2"/>
      <c r="I842" s="2"/>
      <c r="J842" s="2"/>
      <c r="K842" s="13"/>
      <c r="L842" s="14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"/>
      <c r="B843" s="2"/>
      <c r="C843" s="4"/>
      <c r="D843" s="2"/>
      <c r="E843" s="13"/>
      <c r="F843" s="13"/>
      <c r="G843" s="2"/>
      <c r="H843" s="2"/>
      <c r="I843" s="2"/>
      <c r="J843" s="2"/>
      <c r="K843" s="13"/>
      <c r="L843" s="14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"/>
      <c r="B844" s="2"/>
      <c r="C844" s="4"/>
      <c r="D844" s="2"/>
      <c r="E844" s="13"/>
      <c r="F844" s="13"/>
      <c r="G844" s="2"/>
      <c r="H844" s="2"/>
      <c r="I844" s="2"/>
      <c r="J844" s="2"/>
      <c r="K844" s="13"/>
      <c r="L844" s="14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"/>
      <c r="B845" s="2"/>
      <c r="C845" s="4"/>
      <c r="D845" s="2"/>
      <c r="E845" s="13"/>
      <c r="F845" s="13"/>
      <c r="G845" s="2"/>
      <c r="H845" s="2"/>
      <c r="I845" s="2"/>
      <c r="J845" s="2"/>
      <c r="K845" s="13"/>
      <c r="L845" s="14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"/>
      <c r="B846" s="2"/>
      <c r="C846" s="4"/>
      <c r="D846" s="2"/>
      <c r="E846" s="13"/>
      <c r="F846" s="13"/>
      <c r="G846" s="2"/>
      <c r="H846" s="2"/>
      <c r="I846" s="2"/>
      <c r="J846" s="2"/>
      <c r="K846" s="13"/>
      <c r="L846" s="14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"/>
      <c r="B847" s="2"/>
      <c r="C847" s="4"/>
      <c r="D847" s="2"/>
      <c r="E847" s="13"/>
      <c r="F847" s="13"/>
      <c r="G847" s="2"/>
      <c r="H847" s="2"/>
      <c r="I847" s="2"/>
      <c r="J847" s="2"/>
      <c r="K847" s="13"/>
      <c r="L847" s="14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1"/>
      <c r="B848" s="2"/>
      <c r="C848" s="4"/>
      <c r="D848" s="2"/>
      <c r="E848" s="13"/>
      <c r="F848" s="13"/>
      <c r="G848" s="2"/>
      <c r="H848" s="2"/>
      <c r="I848" s="2"/>
      <c r="J848" s="2"/>
      <c r="K848" s="13"/>
      <c r="L848" s="14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"/>
      <c r="B849" s="2"/>
      <c r="C849" s="4"/>
      <c r="D849" s="2"/>
      <c r="E849" s="13"/>
      <c r="F849" s="13"/>
      <c r="G849" s="2"/>
      <c r="H849" s="2"/>
      <c r="I849" s="2"/>
      <c r="J849" s="2"/>
      <c r="K849" s="13"/>
      <c r="L849" s="14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"/>
      <c r="B850" s="2"/>
      <c r="C850" s="4"/>
      <c r="D850" s="2"/>
      <c r="E850" s="13"/>
      <c r="F850" s="13"/>
      <c r="G850" s="2"/>
      <c r="H850" s="2"/>
      <c r="I850" s="2"/>
      <c r="J850" s="2"/>
      <c r="K850" s="13"/>
      <c r="L850" s="14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1"/>
      <c r="B851" s="2"/>
      <c r="C851" s="4"/>
      <c r="D851" s="2"/>
      <c r="E851" s="13"/>
      <c r="F851" s="13"/>
      <c r="G851" s="2"/>
      <c r="H851" s="2"/>
      <c r="I851" s="2"/>
      <c r="J851" s="2"/>
      <c r="K851" s="13"/>
      <c r="L851" s="14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"/>
      <c r="B852" s="2"/>
      <c r="C852" s="4"/>
      <c r="D852" s="2"/>
      <c r="E852" s="13"/>
      <c r="F852" s="13"/>
      <c r="G852" s="2"/>
      <c r="H852" s="2"/>
      <c r="I852" s="2"/>
      <c r="J852" s="2"/>
      <c r="K852" s="13"/>
      <c r="L852" s="14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"/>
      <c r="B853" s="2"/>
      <c r="C853" s="4"/>
      <c r="D853" s="2"/>
      <c r="E853" s="13"/>
      <c r="F853" s="13"/>
      <c r="G853" s="2"/>
      <c r="H853" s="2"/>
      <c r="I853" s="2"/>
      <c r="J853" s="2"/>
      <c r="K853" s="13"/>
      <c r="L853" s="14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"/>
      <c r="B854" s="2"/>
      <c r="C854" s="4"/>
      <c r="D854" s="2"/>
      <c r="E854" s="13"/>
      <c r="F854" s="13"/>
      <c r="G854" s="2"/>
      <c r="H854" s="2"/>
      <c r="I854" s="2"/>
      <c r="J854" s="2"/>
      <c r="K854" s="13"/>
      <c r="L854" s="14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"/>
      <c r="B855" s="2"/>
      <c r="C855" s="4"/>
      <c r="D855" s="2"/>
      <c r="E855" s="13"/>
      <c r="F855" s="13"/>
      <c r="G855" s="2"/>
      <c r="H855" s="2"/>
      <c r="I855" s="2"/>
      <c r="J855" s="2"/>
      <c r="K855" s="13"/>
      <c r="L855" s="14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"/>
      <c r="B856" s="2"/>
      <c r="C856" s="4"/>
      <c r="D856" s="2"/>
      <c r="E856" s="13"/>
      <c r="F856" s="13"/>
      <c r="G856" s="2"/>
      <c r="H856" s="2"/>
      <c r="I856" s="2"/>
      <c r="J856" s="2"/>
      <c r="K856" s="13"/>
      <c r="L856" s="14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"/>
      <c r="B857" s="2"/>
      <c r="C857" s="4"/>
      <c r="D857" s="2"/>
      <c r="E857" s="13"/>
      <c r="F857" s="13"/>
      <c r="G857" s="2"/>
      <c r="H857" s="2"/>
      <c r="I857" s="2"/>
      <c r="J857" s="2"/>
      <c r="K857" s="13"/>
      <c r="L857" s="14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"/>
      <c r="B858" s="2"/>
      <c r="C858" s="4"/>
      <c r="D858" s="2"/>
      <c r="E858" s="13"/>
      <c r="F858" s="13"/>
      <c r="G858" s="2"/>
      <c r="H858" s="2"/>
      <c r="I858" s="2"/>
      <c r="J858" s="2"/>
      <c r="K858" s="13"/>
      <c r="L858" s="14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"/>
      <c r="B859" s="2"/>
      <c r="C859" s="4"/>
      <c r="D859" s="2"/>
      <c r="E859" s="13"/>
      <c r="F859" s="13"/>
      <c r="G859" s="2"/>
      <c r="H859" s="2"/>
      <c r="I859" s="2"/>
      <c r="J859" s="2"/>
      <c r="K859" s="13"/>
      <c r="L859" s="14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"/>
      <c r="B860" s="2"/>
      <c r="C860" s="4"/>
      <c r="D860" s="2"/>
      <c r="E860" s="13"/>
      <c r="F860" s="13"/>
      <c r="G860" s="2"/>
      <c r="H860" s="2"/>
      <c r="I860" s="2"/>
      <c r="J860" s="2"/>
      <c r="K860" s="13"/>
      <c r="L860" s="14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"/>
      <c r="B861" s="2"/>
      <c r="C861" s="4"/>
      <c r="D861" s="2"/>
      <c r="E861" s="13"/>
      <c r="F861" s="13"/>
      <c r="G861" s="2"/>
      <c r="H861" s="2"/>
      <c r="I861" s="2"/>
      <c r="J861" s="2"/>
      <c r="K861" s="13"/>
      <c r="L861" s="14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"/>
      <c r="B862" s="2"/>
      <c r="C862" s="4"/>
      <c r="D862" s="2"/>
      <c r="E862" s="13"/>
      <c r="F862" s="13"/>
      <c r="G862" s="2"/>
      <c r="H862" s="2"/>
      <c r="I862" s="2"/>
      <c r="J862" s="2"/>
      <c r="K862" s="13"/>
      <c r="L862" s="14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"/>
      <c r="B863" s="2"/>
      <c r="C863" s="4"/>
      <c r="D863" s="2"/>
      <c r="E863" s="13"/>
      <c r="F863" s="13"/>
      <c r="G863" s="2"/>
      <c r="H863" s="2"/>
      <c r="I863" s="2"/>
      <c r="J863" s="2"/>
      <c r="K863" s="13"/>
      <c r="L863" s="14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"/>
      <c r="B864" s="2"/>
      <c r="C864" s="4"/>
      <c r="D864" s="2"/>
      <c r="E864" s="13"/>
      <c r="F864" s="13"/>
      <c r="G864" s="2"/>
      <c r="H864" s="2"/>
      <c r="I864" s="2"/>
      <c r="J864" s="2"/>
      <c r="K864" s="13"/>
      <c r="L864" s="14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"/>
      <c r="B865" s="2"/>
      <c r="C865" s="4"/>
      <c r="D865" s="2"/>
      <c r="E865" s="13"/>
      <c r="F865" s="13"/>
      <c r="G865" s="2"/>
      <c r="H865" s="2"/>
      <c r="I865" s="2"/>
      <c r="J865" s="2"/>
      <c r="K865" s="13"/>
      <c r="L865" s="14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"/>
      <c r="B866" s="2"/>
      <c r="C866" s="4"/>
      <c r="D866" s="2"/>
      <c r="E866" s="13"/>
      <c r="F866" s="13"/>
      <c r="G866" s="2"/>
      <c r="H866" s="2"/>
      <c r="I866" s="2"/>
      <c r="J866" s="2"/>
      <c r="K866" s="13"/>
      <c r="L866" s="14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"/>
      <c r="B867" s="2"/>
      <c r="C867" s="4"/>
      <c r="D867" s="2"/>
      <c r="E867" s="13"/>
      <c r="F867" s="13"/>
      <c r="G867" s="2"/>
      <c r="H867" s="2"/>
      <c r="I867" s="2"/>
      <c r="J867" s="2"/>
      <c r="K867" s="13"/>
      <c r="L867" s="14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"/>
      <c r="B868" s="2"/>
      <c r="C868" s="4"/>
      <c r="D868" s="2"/>
      <c r="E868" s="13"/>
      <c r="F868" s="13"/>
      <c r="G868" s="2"/>
      <c r="H868" s="2"/>
      <c r="I868" s="2"/>
      <c r="J868" s="2"/>
      <c r="K868" s="13"/>
      <c r="L868" s="14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"/>
      <c r="B869" s="2"/>
      <c r="C869" s="4"/>
      <c r="D869" s="2"/>
      <c r="E869" s="13"/>
      <c r="F869" s="13"/>
      <c r="G869" s="2"/>
      <c r="H869" s="2"/>
      <c r="I869" s="2"/>
      <c r="J869" s="2"/>
      <c r="K869" s="13"/>
      <c r="L869" s="14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"/>
      <c r="B870" s="2"/>
      <c r="C870" s="4"/>
      <c r="D870" s="2"/>
      <c r="E870" s="13"/>
      <c r="F870" s="13"/>
      <c r="G870" s="2"/>
      <c r="H870" s="2"/>
      <c r="I870" s="2"/>
      <c r="J870" s="2"/>
      <c r="K870" s="13"/>
      <c r="L870" s="14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"/>
      <c r="B871" s="2"/>
      <c r="C871" s="4"/>
      <c r="D871" s="2"/>
      <c r="E871" s="13"/>
      <c r="F871" s="13"/>
      <c r="G871" s="2"/>
      <c r="H871" s="2"/>
      <c r="I871" s="2"/>
      <c r="J871" s="2"/>
      <c r="K871" s="13"/>
      <c r="L871" s="14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"/>
      <c r="B872" s="2"/>
      <c r="C872" s="4"/>
      <c r="D872" s="2"/>
      <c r="E872" s="13"/>
      <c r="F872" s="13"/>
      <c r="G872" s="2"/>
      <c r="H872" s="2"/>
      <c r="I872" s="2"/>
      <c r="J872" s="2"/>
      <c r="K872" s="13"/>
      <c r="L872" s="14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"/>
      <c r="B873" s="2"/>
      <c r="C873" s="4"/>
      <c r="D873" s="2"/>
      <c r="E873" s="13"/>
      <c r="F873" s="13"/>
      <c r="G873" s="2"/>
      <c r="H873" s="2"/>
      <c r="I873" s="2"/>
      <c r="J873" s="2"/>
      <c r="K873" s="13"/>
      <c r="L873" s="14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"/>
      <c r="B874" s="2"/>
      <c r="C874" s="4"/>
      <c r="D874" s="2"/>
      <c r="E874" s="13"/>
      <c r="F874" s="13"/>
      <c r="G874" s="2"/>
      <c r="H874" s="2"/>
      <c r="I874" s="2"/>
      <c r="J874" s="2"/>
      <c r="K874" s="13"/>
      <c r="L874" s="14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"/>
      <c r="B875" s="2"/>
      <c r="C875" s="4"/>
      <c r="D875" s="2"/>
      <c r="E875" s="13"/>
      <c r="F875" s="13"/>
      <c r="G875" s="2"/>
      <c r="H875" s="2"/>
      <c r="I875" s="2"/>
      <c r="J875" s="2"/>
      <c r="K875" s="13"/>
      <c r="L875" s="14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"/>
      <c r="B876" s="2"/>
      <c r="C876" s="4"/>
      <c r="D876" s="2"/>
      <c r="E876" s="13"/>
      <c r="F876" s="13"/>
      <c r="G876" s="2"/>
      <c r="H876" s="2"/>
      <c r="I876" s="2"/>
      <c r="J876" s="2"/>
      <c r="K876" s="13"/>
      <c r="L876" s="14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"/>
      <c r="B877" s="2"/>
      <c r="C877" s="4"/>
      <c r="D877" s="2"/>
      <c r="E877" s="13"/>
      <c r="F877" s="13"/>
      <c r="G877" s="2"/>
      <c r="H877" s="2"/>
      <c r="I877" s="2"/>
      <c r="J877" s="2"/>
      <c r="K877" s="13"/>
      <c r="L877" s="14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"/>
      <c r="B878" s="2"/>
      <c r="C878" s="4"/>
      <c r="D878" s="2"/>
      <c r="E878" s="13"/>
      <c r="F878" s="13"/>
      <c r="G878" s="2"/>
      <c r="H878" s="2"/>
      <c r="I878" s="2"/>
      <c r="J878" s="2"/>
      <c r="K878" s="13"/>
      <c r="L878" s="14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"/>
      <c r="B879" s="2"/>
      <c r="C879" s="4"/>
      <c r="D879" s="2"/>
      <c r="E879" s="13"/>
      <c r="F879" s="13"/>
      <c r="G879" s="2"/>
      <c r="H879" s="2"/>
      <c r="I879" s="2"/>
      <c r="J879" s="2"/>
      <c r="K879" s="13"/>
      <c r="L879" s="14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"/>
      <c r="B880" s="2"/>
      <c r="C880" s="4"/>
      <c r="D880" s="2"/>
      <c r="E880" s="13"/>
      <c r="F880" s="13"/>
      <c r="G880" s="2"/>
      <c r="H880" s="2"/>
      <c r="I880" s="2"/>
      <c r="J880" s="2"/>
      <c r="K880" s="13"/>
      <c r="L880" s="14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"/>
      <c r="B881" s="2"/>
      <c r="C881" s="4"/>
      <c r="D881" s="2"/>
      <c r="E881" s="13"/>
      <c r="F881" s="13"/>
      <c r="G881" s="2"/>
      <c r="H881" s="2"/>
      <c r="I881" s="2"/>
      <c r="J881" s="2"/>
      <c r="K881" s="13"/>
      <c r="L881" s="14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"/>
      <c r="B882" s="2"/>
      <c r="C882" s="4"/>
      <c r="D882" s="2"/>
      <c r="E882" s="13"/>
      <c r="F882" s="13"/>
      <c r="G882" s="2"/>
      <c r="H882" s="2"/>
      <c r="I882" s="2"/>
      <c r="J882" s="2"/>
      <c r="K882" s="13"/>
      <c r="L882" s="14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"/>
      <c r="B883" s="2"/>
      <c r="C883" s="4"/>
      <c r="D883" s="2"/>
      <c r="E883" s="13"/>
      <c r="F883" s="13"/>
      <c r="G883" s="2"/>
      <c r="H883" s="2"/>
      <c r="I883" s="2"/>
      <c r="J883" s="2"/>
      <c r="K883" s="13"/>
      <c r="L883" s="14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"/>
      <c r="B884" s="2"/>
      <c r="C884" s="4"/>
      <c r="D884" s="2"/>
      <c r="E884" s="13"/>
      <c r="F884" s="13"/>
      <c r="G884" s="2"/>
      <c r="H884" s="2"/>
      <c r="I884" s="2"/>
      <c r="J884" s="2"/>
      <c r="K884" s="13"/>
      <c r="L884" s="14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"/>
      <c r="B885" s="2"/>
      <c r="C885" s="4"/>
      <c r="D885" s="2"/>
      <c r="E885" s="13"/>
      <c r="F885" s="13"/>
      <c r="G885" s="2"/>
      <c r="H885" s="2"/>
      <c r="I885" s="2"/>
      <c r="J885" s="2"/>
      <c r="K885" s="13"/>
      <c r="L885" s="14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"/>
      <c r="B886" s="2"/>
      <c r="C886" s="4"/>
      <c r="D886" s="2"/>
      <c r="E886" s="13"/>
      <c r="F886" s="13"/>
      <c r="G886" s="2"/>
      <c r="H886" s="2"/>
      <c r="I886" s="2"/>
      <c r="J886" s="2"/>
      <c r="K886" s="13"/>
      <c r="L886" s="14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"/>
      <c r="B887" s="2"/>
      <c r="C887" s="4"/>
      <c r="D887" s="2"/>
      <c r="E887" s="13"/>
      <c r="F887" s="13"/>
      <c r="G887" s="2"/>
      <c r="H887" s="2"/>
      <c r="I887" s="2"/>
      <c r="J887" s="2"/>
      <c r="K887" s="13"/>
      <c r="L887" s="14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"/>
      <c r="B888" s="2"/>
      <c r="C888" s="4"/>
      <c r="D888" s="2"/>
      <c r="E888" s="13"/>
      <c r="F888" s="13"/>
      <c r="G888" s="2"/>
      <c r="H888" s="2"/>
      <c r="I888" s="2"/>
      <c r="J888" s="2"/>
      <c r="K888" s="13"/>
      <c r="L888" s="14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"/>
      <c r="B889" s="2"/>
      <c r="C889" s="4"/>
      <c r="D889" s="2"/>
      <c r="E889" s="13"/>
      <c r="F889" s="13"/>
      <c r="G889" s="2"/>
      <c r="H889" s="2"/>
      <c r="I889" s="2"/>
      <c r="J889" s="2"/>
      <c r="K889" s="13"/>
      <c r="L889" s="14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"/>
      <c r="B890" s="2"/>
      <c r="C890" s="4"/>
      <c r="D890" s="2"/>
      <c r="E890" s="13"/>
      <c r="F890" s="13"/>
      <c r="G890" s="2"/>
      <c r="H890" s="2"/>
      <c r="I890" s="2"/>
      <c r="J890" s="2"/>
      <c r="K890" s="13"/>
      <c r="L890" s="14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"/>
      <c r="B891" s="2"/>
      <c r="C891" s="4"/>
      <c r="D891" s="2"/>
      <c r="E891" s="13"/>
      <c r="F891" s="13"/>
      <c r="G891" s="2"/>
      <c r="H891" s="2"/>
      <c r="I891" s="2"/>
      <c r="J891" s="2"/>
      <c r="K891" s="13"/>
      <c r="L891" s="14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"/>
      <c r="B892" s="2"/>
      <c r="C892" s="4"/>
      <c r="D892" s="2"/>
      <c r="E892" s="13"/>
      <c r="F892" s="13"/>
      <c r="G892" s="2"/>
      <c r="H892" s="2"/>
      <c r="I892" s="2"/>
      <c r="J892" s="2"/>
      <c r="K892" s="13"/>
      <c r="L892" s="14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"/>
      <c r="B893" s="2"/>
      <c r="C893" s="4"/>
      <c r="D893" s="2"/>
      <c r="E893" s="13"/>
      <c r="F893" s="13"/>
      <c r="G893" s="2"/>
      <c r="H893" s="2"/>
      <c r="I893" s="2"/>
      <c r="J893" s="2"/>
      <c r="K893" s="13"/>
      <c r="L893" s="14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"/>
      <c r="B894" s="2"/>
      <c r="C894" s="4"/>
      <c r="D894" s="2"/>
      <c r="E894" s="13"/>
      <c r="F894" s="13"/>
      <c r="G894" s="2"/>
      <c r="H894" s="2"/>
      <c r="I894" s="2"/>
      <c r="J894" s="2"/>
      <c r="K894" s="13"/>
      <c r="L894" s="14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"/>
      <c r="B895" s="2"/>
      <c r="C895" s="4"/>
      <c r="D895" s="2"/>
      <c r="E895" s="13"/>
      <c r="F895" s="13"/>
      <c r="G895" s="2"/>
      <c r="H895" s="2"/>
      <c r="I895" s="2"/>
      <c r="J895" s="2"/>
      <c r="K895" s="13"/>
      <c r="L895" s="14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"/>
      <c r="B896" s="2"/>
      <c r="C896" s="4"/>
      <c r="D896" s="2"/>
      <c r="E896" s="13"/>
      <c r="F896" s="13"/>
      <c r="G896" s="2"/>
      <c r="H896" s="2"/>
      <c r="I896" s="2"/>
      <c r="J896" s="2"/>
      <c r="K896" s="13"/>
      <c r="L896" s="14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"/>
      <c r="B897" s="2"/>
      <c r="C897" s="4"/>
      <c r="D897" s="2"/>
      <c r="E897" s="13"/>
      <c r="F897" s="13"/>
      <c r="G897" s="2"/>
      <c r="H897" s="2"/>
      <c r="I897" s="2"/>
      <c r="J897" s="2"/>
      <c r="K897" s="13"/>
      <c r="L897" s="14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"/>
      <c r="B898" s="2"/>
      <c r="C898" s="4"/>
      <c r="D898" s="2"/>
      <c r="E898" s="13"/>
      <c r="F898" s="13"/>
      <c r="G898" s="2"/>
      <c r="H898" s="2"/>
      <c r="I898" s="2"/>
      <c r="J898" s="2"/>
      <c r="K898" s="13"/>
      <c r="L898" s="14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"/>
      <c r="B899" s="2"/>
      <c r="C899" s="4"/>
      <c r="D899" s="2"/>
      <c r="E899" s="13"/>
      <c r="F899" s="13"/>
      <c r="G899" s="2"/>
      <c r="H899" s="2"/>
      <c r="I899" s="2"/>
      <c r="J899" s="2"/>
      <c r="K899" s="13"/>
      <c r="L899" s="14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"/>
      <c r="B900" s="2"/>
      <c r="C900" s="4"/>
      <c r="D900" s="2"/>
      <c r="E900" s="13"/>
      <c r="F900" s="13"/>
      <c r="G900" s="2"/>
      <c r="H900" s="2"/>
      <c r="I900" s="2"/>
      <c r="J900" s="2"/>
      <c r="K900" s="13"/>
      <c r="L900" s="14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"/>
      <c r="B901" s="2"/>
      <c r="C901" s="4"/>
      <c r="D901" s="2"/>
      <c r="E901" s="13"/>
      <c r="F901" s="13"/>
      <c r="G901" s="2"/>
      <c r="H901" s="2"/>
      <c r="I901" s="2"/>
      <c r="J901" s="2"/>
      <c r="K901" s="13"/>
      <c r="L901" s="14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"/>
      <c r="B902" s="2"/>
      <c r="C902" s="4"/>
      <c r="D902" s="2"/>
      <c r="E902" s="13"/>
      <c r="F902" s="13"/>
      <c r="G902" s="2"/>
      <c r="H902" s="2"/>
      <c r="I902" s="2"/>
      <c r="J902" s="2"/>
      <c r="K902" s="13"/>
      <c r="L902" s="14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"/>
      <c r="B903" s="2"/>
      <c r="C903" s="4"/>
      <c r="D903" s="2"/>
      <c r="E903" s="13"/>
      <c r="F903" s="13"/>
      <c r="G903" s="2"/>
      <c r="H903" s="2"/>
      <c r="I903" s="2"/>
      <c r="J903" s="2"/>
      <c r="K903" s="13"/>
      <c r="L903" s="14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"/>
      <c r="B904" s="2"/>
      <c r="C904" s="4"/>
      <c r="D904" s="2"/>
      <c r="E904" s="13"/>
      <c r="F904" s="13"/>
      <c r="G904" s="2"/>
      <c r="H904" s="2"/>
      <c r="I904" s="2"/>
      <c r="J904" s="2"/>
      <c r="K904" s="13"/>
      <c r="L904" s="14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"/>
      <c r="B905" s="2"/>
      <c r="C905" s="4"/>
      <c r="D905" s="2"/>
      <c r="E905" s="13"/>
      <c r="F905" s="13"/>
      <c r="G905" s="2"/>
      <c r="H905" s="2"/>
      <c r="I905" s="2"/>
      <c r="J905" s="2"/>
      <c r="K905" s="13"/>
      <c r="L905" s="14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"/>
      <c r="B906" s="2"/>
      <c r="C906" s="4"/>
      <c r="D906" s="2"/>
      <c r="E906" s="13"/>
      <c r="F906" s="13"/>
      <c r="G906" s="2"/>
      <c r="H906" s="2"/>
      <c r="I906" s="2"/>
      <c r="J906" s="2"/>
      <c r="K906" s="13"/>
      <c r="L906" s="14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"/>
      <c r="B907" s="2"/>
      <c r="C907" s="4"/>
      <c r="D907" s="2"/>
      <c r="E907" s="13"/>
      <c r="F907" s="13"/>
      <c r="G907" s="2"/>
      <c r="H907" s="2"/>
      <c r="I907" s="2"/>
      <c r="J907" s="2"/>
      <c r="K907" s="13"/>
      <c r="L907" s="14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"/>
      <c r="B908" s="2"/>
      <c r="C908" s="4"/>
      <c r="D908" s="2"/>
      <c r="E908" s="13"/>
      <c r="F908" s="13"/>
      <c r="G908" s="2"/>
      <c r="H908" s="2"/>
      <c r="I908" s="2"/>
      <c r="J908" s="2"/>
      <c r="K908" s="13"/>
      <c r="L908" s="14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"/>
      <c r="B909" s="2"/>
      <c r="C909" s="4"/>
      <c r="D909" s="2"/>
      <c r="E909" s="13"/>
      <c r="F909" s="13"/>
      <c r="G909" s="2"/>
      <c r="H909" s="2"/>
      <c r="I909" s="2"/>
      <c r="J909" s="2"/>
      <c r="K909" s="13"/>
      <c r="L909" s="14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"/>
      <c r="B910" s="2"/>
      <c r="C910" s="4"/>
      <c r="D910" s="2"/>
      <c r="E910" s="13"/>
      <c r="F910" s="13"/>
      <c r="G910" s="2"/>
      <c r="H910" s="2"/>
      <c r="I910" s="2"/>
      <c r="J910" s="2"/>
      <c r="K910" s="13"/>
      <c r="L910" s="14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"/>
      <c r="B911" s="2"/>
      <c r="C911" s="4"/>
      <c r="D911" s="2"/>
      <c r="E911" s="13"/>
      <c r="F911" s="13"/>
      <c r="G911" s="2"/>
      <c r="H911" s="2"/>
      <c r="I911" s="2"/>
      <c r="J911" s="2"/>
      <c r="K911" s="13"/>
      <c r="L911" s="14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"/>
      <c r="B912" s="2"/>
      <c r="C912" s="4"/>
      <c r="D912" s="2"/>
      <c r="E912" s="13"/>
      <c r="F912" s="13"/>
      <c r="G912" s="2"/>
      <c r="H912" s="2"/>
      <c r="I912" s="2"/>
      <c r="J912" s="2"/>
      <c r="K912" s="13"/>
      <c r="L912" s="14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"/>
      <c r="B913" s="2"/>
      <c r="C913" s="4"/>
      <c r="D913" s="2"/>
      <c r="E913" s="13"/>
      <c r="F913" s="13"/>
      <c r="G913" s="2"/>
      <c r="H913" s="2"/>
      <c r="I913" s="2"/>
      <c r="J913" s="2"/>
      <c r="K913" s="13"/>
      <c r="L913" s="14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"/>
      <c r="B914" s="2"/>
      <c r="C914" s="4"/>
      <c r="D914" s="2"/>
      <c r="E914" s="13"/>
      <c r="F914" s="13"/>
      <c r="G914" s="2"/>
      <c r="H914" s="2"/>
      <c r="I914" s="2"/>
      <c r="J914" s="2"/>
      <c r="K914" s="13"/>
      <c r="L914" s="14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"/>
      <c r="B915" s="2"/>
      <c r="C915" s="4"/>
      <c r="D915" s="2"/>
      <c r="E915" s="13"/>
      <c r="F915" s="13"/>
      <c r="G915" s="2"/>
      <c r="H915" s="2"/>
      <c r="I915" s="2"/>
      <c r="J915" s="2"/>
      <c r="K915" s="13"/>
      <c r="L915" s="14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"/>
      <c r="B916" s="2"/>
      <c r="C916" s="4"/>
      <c r="D916" s="2"/>
      <c r="E916" s="13"/>
      <c r="F916" s="13"/>
      <c r="G916" s="2"/>
      <c r="H916" s="2"/>
      <c r="I916" s="2"/>
      <c r="J916" s="2"/>
      <c r="K916" s="13"/>
      <c r="L916" s="14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"/>
      <c r="B917" s="2"/>
      <c r="C917" s="4"/>
      <c r="D917" s="2"/>
      <c r="E917" s="13"/>
      <c r="F917" s="13"/>
      <c r="G917" s="2"/>
      <c r="H917" s="2"/>
      <c r="I917" s="2"/>
      <c r="J917" s="2"/>
      <c r="K917" s="13"/>
      <c r="L917" s="14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"/>
      <c r="B918" s="2"/>
      <c r="C918" s="4"/>
      <c r="D918" s="2"/>
      <c r="E918" s="13"/>
      <c r="F918" s="13"/>
      <c r="G918" s="2"/>
      <c r="H918" s="2"/>
      <c r="I918" s="2"/>
      <c r="J918" s="2"/>
      <c r="K918" s="13"/>
      <c r="L918" s="14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"/>
      <c r="B919" s="2"/>
      <c r="C919" s="4"/>
      <c r="D919" s="2"/>
      <c r="E919" s="13"/>
      <c r="F919" s="13"/>
      <c r="G919" s="2"/>
      <c r="H919" s="2"/>
      <c r="I919" s="2"/>
      <c r="J919" s="2"/>
      <c r="K919" s="13"/>
      <c r="L919" s="14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"/>
      <c r="B920" s="2"/>
      <c r="C920" s="4"/>
      <c r="D920" s="2"/>
      <c r="E920" s="13"/>
      <c r="F920" s="13"/>
      <c r="G920" s="2"/>
      <c r="H920" s="2"/>
      <c r="I920" s="2"/>
      <c r="J920" s="2"/>
      <c r="K920" s="13"/>
      <c r="L920" s="14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"/>
      <c r="B921" s="2"/>
      <c r="C921" s="4"/>
      <c r="D921" s="2"/>
      <c r="E921" s="13"/>
      <c r="F921" s="13"/>
      <c r="G921" s="2"/>
      <c r="H921" s="2"/>
      <c r="I921" s="2"/>
      <c r="J921" s="2"/>
      <c r="K921" s="13"/>
      <c r="L921" s="14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"/>
      <c r="B922" s="2"/>
      <c r="C922" s="4"/>
      <c r="D922" s="2"/>
      <c r="E922" s="13"/>
      <c r="F922" s="13"/>
      <c r="G922" s="2"/>
      <c r="H922" s="2"/>
      <c r="I922" s="2"/>
      <c r="J922" s="2"/>
      <c r="K922" s="13"/>
      <c r="L922" s="14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"/>
      <c r="B923" s="2"/>
      <c r="C923" s="4"/>
      <c r="D923" s="2"/>
      <c r="E923" s="13"/>
      <c r="F923" s="13"/>
      <c r="G923" s="2"/>
      <c r="H923" s="2"/>
      <c r="I923" s="2"/>
      <c r="J923" s="2"/>
      <c r="K923" s="13"/>
      <c r="L923" s="14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"/>
      <c r="B924" s="2"/>
      <c r="C924" s="4"/>
      <c r="D924" s="2"/>
      <c r="E924" s="13"/>
      <c r="F924" s="13"/>
      <c r="G924" s="2"/>
      <c r="H924" s="2"/>
      <c r="I924" s="2"/>
      <c r="J924" s="2"/>
      <c r="K924" s="13"/>
      <c r="L924" s="14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"/>
      <c r="B925" s="2"/>
      <c r="C925" s="4"/>
      <c r="D925" s="2"/>
      <c r="E925" s="13"/>
      <c r="F925" s="13"/>
      <c r="G925" s="2"/>
      <c r="H925" s="2"/>
      <c r="I925" s="2"/>
      <c r="J925" s="2"/>
      <c r="K925" s="13"/>
      <c r="L925" s="14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"/>
      <c r="B926" s="2"/>
      <c r="C926" s="4"/>
      <c r="D926" s="2"/>
      <c r="E926" s="13"/>
      <c r="F926" s="13"/>
      <c r="G926" s="2"/>
      <c r="H926" s="2"/>
      <c r="I926" s="2"/>
      <c r="J926" s="2"/>
      <c r="K926" s="13"/>
      <c r="L926" s="14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"/>
      <c r="B927" s="2"/>
      <c r="C927" s="4"/>
      <c r="D927" s="2"/>
      <c r="E927" s="13"/>
      <c r="F927" s="13"/>
      <c r="G927" s="2"/>
      <c r="H927" s="2"/>
      <c r="I927" s="2"/>
      <c r="J927" s="2"/>
      <c r="K927" s="13"/>
      <c r="L927" s="14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"/>
      <c r="B928" s="2"/>
      <c r="C928" s="4"/>
      <c r="D928" s="2"/>
      <c r="E928" s="13"/>
      <c r="F928" s="13"/>
      <c r="G928" s="2"/>
      <c r="H928" s="2"/>
      <c r="I928" s="2"/>
      <c r="J928" s="2"/>
      <c r="K928" s="13"/>
      <c r="L928" s="14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"/>
      <c r="B929" s="2"/>
      <c r="C929" s="4"/>
      <c r="D929" s="2"/>
      <c r="E929" s="13"/>
      <c r="F929" s="13"/>
      <c r="G929" s="2"/>
      <c r="H929" s="2"/>
      <c r="I929" s="2"/>
      <c r="J929" s="2"/>
      <c r="K929" s="13"/>
      <c r="L929" s="14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"/>
      <c r="B930" s="2"/>
      <c r="C930" s="4"/>
      <c r="D930" s="2"/>
      <c r="E930" s="13"/>
      <c r="F930" s="13"/>
      <c r="G930" s="2"/>
      <c r="H930" s="2"/>
      <c r="I930" s="2"/>
      <c r="J930" s="2"/>
      <c r="K930" s="13"/>
      <c r="L930" s="14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"/>
      <c r="B931" s="2"/>
      <c r="C931" s="4"/>
      <c r="D931" s="2"/>
      <c r="E931" s="13"/>
      <c r="F931" s="13"/>
      <c r="G931" s="2"/>
      <c r="H931" s="2"/>
      <c r="I931" s="2"/>
      <c r="J931" s="2"/>
      <c r="K931" s="13"/>
      <c r="L931" s="14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"/>
      <c r="B932" s="2"/>
      <c r="C932" s="4"/>
      <c r="D932" s="2"/>
      <c r="E932" s="13"/>
      <c r="F932" s="13"/>
      <c r="G932" s="2"/>
      <c r="H932" s="2"/>
      <c r="I932" s="2"/>
      <c r="J932" s="2"/>
      <c r="K932" s="13"/>
      <c r="L932" s="14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"/>
      <c r="B933" s="2"/>
      <c r="C933" s="4"/>
      <c r="D933" s="2"/>
      <c r="E933" s="13"/>
      <c r="F933" s="13"/>
      <c r="G933" s="2"/>
      <c r="H933" s="2"/>
      <c r="I933" s="2"/>
      <c r="J933" s="2"/>
      <c r="K933" s="13"/>
      <c r="L933" s="14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"/>
      <c r="B934" s="2"/>
      <c r="C934" s="4"/>
      <c r="D934" s="2"/>
      <c r="E934" s="13"/>
      <c r="F934" s="13"/>
      <c r="G934" s="2"/>
      <c r="H934" s="2"/>
      <c r="I934" s="2"/>
      <c r="J934" s="2"/>
      <c r="K934" s="13"/>
      <c r="L934" s="14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"/>
      <c r="B935" s="2"/>
      <c r="C935" s="4"/>
      <c r="D935" s="2"/>
      <c r="E935" s="13"/>
      <c r="F935" s="13"/>
      <c r="G935" s="2"/>
      <c r="H935" s="2"/>
      <c r="I935" s="2"/>
      <c r="J935" s="2"/>
      <c r="K935" s="13"/>
      <c r="L935" s="14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1"/>
      <c r="B936" s="2"/>
      <c r="C936" s="4"/>
      <c r="D936" s="2"/>
      <c r="E936" s="13"/>
      <c r="F936" s="13"/>
      <c r="G936" s="2"/>
      <c r="H936" s="2"/>
      <c r="I936" s="2"/>
      <c r="J936" s="2"/>
      <c r="K936" s="13"/>
      <c r="L936" s="14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1"/>
      <c r="B937" s="2"/>
      <c r="C937" s="4"/>
      <c r="D937" s="2"/>
      <c r="E937" s="13"/>
      <c r="F937" s="13"/>
      <c r="G937" s="2"/>
      <c r="H937" s="2"/>
      <c r="I937" s="2"/>
      <c r="J937" s="2"/>
      <c r="K937" s="13"/>
      <c r="L937" s="14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"/>
      <c r="B938" s="2"/>
      <c r="C938" s="4"/>
      <c r="D938" s="2"/>
      <c r="E938" s="13"/>
      <c r="F938" s="13"/>
      <c r="G938" s="2"/>
      <c r="H938" s="2"/>
      <c r="I938" s="2"/>
      <c r="J938" s="2"/>
      <c r="K938" s="13"/>
      <c r="L938" s="14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"/>
      <c r="B939" s="2"/>
      <c r="C939" s="4"/>
      <c r="D939" s="2"/>
      <c r="E939" s="13"/>
      <c r="F939" s="13"/>
      <c r="G939" s="2"/>
      <c r="H939" s="2"/>
      <c r="I939" s="2"/>
      <c r="J939" s="2"/>
      <c r="K939" s="13"/>
      <c r="L939" s="14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"/>
      <c r="B940" s="2"/>
      <c r="C940" s="4"/>
      <c r="D940" s="2"/>
      <c r="E940" s="13"/>
      <c r="F940" s="13"/>
      <c r="G940" s="2"/>
      <c r="H940" s="2"/>
      <c r="I940" s="2"/>
      <c r="J940" s="2"/>
      <c r="K940" s="13"/>
      <c r="L940" s="14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"/>
      <c r="B941" s="2"/>
      <c r="C941" s="4"/>
      <c r="D941" s="2"/>
      <c r="E941" s="13"/>
      <c r="F941" s="13"/>
      <c r="G941" s="2"/>
      <c r="H941" s="2"/>
      <c r="I941" s="2"/>
      <c r="J941" s="2"/>
      <c r="K941" s="13"/>
      <c r="L941" s="14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"/>
      <c r="B942" s="2"/>
      <c r="C942" s="4"/>
      <c r="D942" s="2"/>
      <c r="E942" s="13"/>
      <c r="F942" s="13"/>
      <c r="G942" s="2"/>
      <c r="H942" s="2"/>
      <c r="I942" s="2"/>
      <c r="J942" s="2"/>
      <c r="K942" s="13"/>
      <c r="L942" s="14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"/>
      <c r="B943" s="2"/>
      <c r="C943" s="4"/>
      <c r="D943" s="2"/>
      <c r="E943" s="13"/>
      <c r="F943" s="13"/>
      <c r="G943" s="2"/>
      <c r="H943" s="2"/>
      <c r="I943" s="2"/>
      <c r="J943" s="2"/>
      <c r="K943" s="13"/>
      <c r="L943" s="14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"/>
      <c r="B944" s="2"/>
      <c r="C944" s="4"/>
      <c r="D944" s="2"/>
      <c r="E944" s="13"/>
      <c r="F944" s="13"/>
      <c r="G944" s="2"/>
      <c r="H944" s="2"/>
      <c r="I944" s="2"/>
      <c r="J944" s="2"/>
      <c r="K944" s="13"/>
      <c r="L944" s="14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"/>
      <c r="B945" s="2"/>
      <c r="C945" s="4"/>
      <c r="D945" s="2"/>
      <c r="E945" s="13"/>
      <c r="F945" s="13"/>
      <c r="G945" s="2"/>
      <c r="H945" s="2"/>
      <c r="I945" s="2"/>
      <c r="J945" s="2"/>
      <c r="K945" s="13"/>
      <c r="L945" s="14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"/>
      <c r="B946" s="2"/>
      <c r="C946" s="4"/>
      <c r="D946" s="2"/>
      <c r="E946" s="13"/>
      <c r="F946" s="13"/>
      <c r="G946" s="2"/>
      <c r="H946" s="2"/>
      <c r="I946" s="2"/>
      <c r="J946" s="2"/>
      <c r="K946" s="13"/>
      <c r="L946" s="14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"/>
      <c r="B947" s="2"/>
      <c r="C947" s="4"/>
      <c r="D947" s="2"/>
      <c r="E947" s="13"/>
      <c r="F947" s="13"/>
      <c r="G947" s="2"/>
      <c r="H947" s="2"/>
      <c r="I947" s="2"/>
      <c r="J947" s="2"/>
      <c r="K947" s="13"/>
      <c r="L947" s="14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"/>
      <c r="B948" s="2"/>
      <c r="C948" s="4"/>
      <c r="D948" s="2"/>
      <c r="E948" s="13"/>
      <c r="F948" s="13"/>
      <c r="G948" s="2"/>
      <c r="H948" s="2"/>
      <c r="I948" s="2"/>
      <c r="J948" s="2"/>
      <c r="K948" s="13"/>
      <c r="L948" s="14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"/>
      <c r="B949" s="2"/>
      <c r="C949" s="4"/>
      <c r="D949" s="2"/>
      <c r="E949" s="13"/>
      <c r="F949" s="13"/>
      <c r="G949" s="2"/>
      <c r="H949" s="2"/>
      <c r="I949" s="2"/>
      <c r="J949" s="2"/>
      <c r="K949" s="13"/>
      <c r="L949" s="14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"/>
      <c r="B950" s="2"/>
      <c r="C950" s="4"/>
      <c r="D950" s="2"/>
      <c r="E950" s="13"/>
      <c r="F950" s="13"/>
      <c r="G950" s="2"/>
      <c r="H950" s="2"/>
      <c r="I950" s="2"/>
      <c r="J950" s="2"/>
      <c r="K950" s="13"/>
      <c r="L950" s="14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"/>
      <c r="B951" s="2"/>
      <c r="C951" s="4"/>
      <c r="D951" s="2"/>
      <c r="E951" s="13"/>
      <c r="F951" s="13"/>
      <c r="G951" s="2"/>
      <c r="H951" s="2"/>
      <c r="I951" s="2"/>
      <c r="J951" s="2"/>
      <c r="K951" s="13"/>
      <c r="L951" s="14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"/>
      <c r="B952" s="2"/>
      <c r="C952" s="4"/>
      <c r="D952" s="2"/>
      <c r="E952" s="13"/>
      <c r="F952" s="13"/>
      <c r="G952" s="2"/>
      <c r="H952" s="2"/>
      <c r="I952" s="2"/>
      <c r="J952" s="2"/>
      <c r="K952" s="13"/>
      <c r="L952" s="14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"/>
      <c r="B953" s="2"/>
      <c r="C953" s="4"/>
      <c r="D953" s="2"/>
      <c r="E953" s="13"/>
      <c r="F953" s="13"/>
      <c r="G953" s="2"/>
      <c r="H953" s="2"/>
      <c r="I953" s="2"/>
      <c r="J953" s="2"/>
      <c r="K953" s="13"/>
      <c r="L953" s="14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"/>
      <c r="B954" s="2"/>
      <c r="C954" s="4"/>
      <c r="D954" s="2"/>
      <c r="E954" s="13"/>
      <c r="F954" s="13"/>
      <c r="G954" s="2"/>
      <c r="H954" s="2"/>
      <c r="I954" s="2"/>
      <c r="J954" s="2"/>
      <c r="K954" s="13"/>
      <c r="L954" s="14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"/>
      <c r="B955" s="2"/>
      <c r="C955" s="4"/>
      <c r="D955" s="2"/>
      <c r="E955" s="13"/>
      <c r="F955" s="13"/>
      <c r="G955" s="2"/>
      <c r="H955" s="2"/>
      <c r="I955" s="2"/>
      <c r="J955" s="2"/>
      <c r="K955" s="13"/>
      <c r="L955" s="14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"/>
      <c r="B956" s="2"/>
      <c r="C956" s="4"/>
      <c r="D956" s="2"/>
      <c r="E956" s="13"/>
      <c r="F956" s="13"/>
      <c r="G956" s="2"/>
      <c r="H956" s="2"/>
      <c r="I956" s="2"/>
      <c r="J956" s="2"/>
      <c r="K956" s="13"/>
      <c r="L956" s="14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"/>
      <c r="B957" s="2"/>
      <c r="C957" s="4"/>
      <c r="D957" s="2"/>
      <c r="E957" s="13"/>
      <c r="F957" s="13"/>
      <c r="G957" s="2"/>
      <c r="H957" s="2"/>
      <c r="I957" s="2"/>
      <c r="J957" s="2"/>
      <c r="K957" s="13"/>
      <c r="L957" s="14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"/>
      <c r="B958" s="2"/>
      <c r="C958" s="4"/>
      <c r="D958" s="2"/>
      <c r="E958" s="13"/>
      <c r="F958" s="13"/>
      <c r="G958" s="2"/>
      <c r="H958" s="2"/>
      <c r="I958" s="2"/>
      <c r="J958" s="2"/>
      <c r="K958" s="13"/>
      <c r="L958" s="14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"/>
      <c r="B959" s="2"/>
      <c r="C959" s="4"/>
      <c r="D959" s="2"/>
      <c r="E959" s="13"/>
      <c r="F959" s="13"/>
      <c r="G959" s="2"/>
      <c r="H959" s="2"/>
      <c r="I959" s="2"/>
      <c r="J959" s="2"/>
      <c r="K959" s="13"/>
      <c r="L959" s="14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"/>
      <c r="B960" s="2"/>
      <c r="C960" s="4"/>
      <c r="D960" s="2"/>
      <c r="E960" s="13"/>
      <c r="F960" s="13"/>
      <c r="G960" s="2"/>
      <c r="H960" s="2"/>
      <c r="I960" s="2"/>
      <c r="J960" s="2"/>
      <c r="K960" s="13"/>
      <c r="L960" s="14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"/>
      <c r="B961" s="2"/>
      <c r="C961" s="4"/>
      <c r="D961" s="2"/>
      <c r="E961" s="13"/>
      <c r="F961" s="13"/>
      <c r="G961" s="2"/>
      <c r="H961" s="2"/>
      <c r="I961" s="2"/>
      <c r="J961" s="2"/>
      <c r="K961" s="13"/>
      <c r="L961" s="14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"/>
      <c r="B962" s="2"/>
      <c r="C962" s="4"/>
      <c r="D962" s="2"/>
      <c r="E962" s="13"/>
      <c r="F962" s="13"/>
      <c r="G962" s="2"/>
      <c r="H962" s="2"/>
      <c r="I962" s="2"/>
      <c r="J962" s="2"/>
      <c r="K962" s="13"/>
      <c r="L962" s="14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"/>
      <c r="B963" s="2"/>
      <c r="C963" s="4"/>
      <c r="D963" s="2"/>
      <c r="E963" s="13"/>
      <c r="F963" s="13"/>
      <c r="G963" s="2"/>
      <c r="H963" s="2"/>
      <c r="I963" s="2"/>
      <c r="J963" s="2"/>
      <c r="K963" s="13"/>
      <c r="L963" s="14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"/>
      <c r="B964" s="2"/>
      <c r="C964" s="4"/>
      <c r="D964" s="2"/>
      <c r="E964" s="13"/>
      <c r="F964" s="13"/>
      <c r="G964" s="2"/>
      <c r="H964" s="2"/>
      <c r="I964" s="2"/>
      <c r="J964" s="2"/>
      <c r="K964" s="13"/>
      <c r="L964" s="14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"/>
      <c r="B965" s="2"/>
      <c r="C965" s="4"/>
      <c r="D965" s="2"/>
      <c r="E965" s="13"/>
      <c r="F965" s="13"/>
      <c r="G965" s="2"/>
      <c r="H965" s="2"/>
      <c r="I965" s="2"/>
      <c r="J965" s="2"/>
      <c r="K965" s="13"/>
      <c r="L965" s="14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"/>
      <c r="B966" s="2"/>
      <c r="C966" s="4"/>
      <c r="D966" s="2"/>
      <c r="E966" s="13"/>
      <c r="F966" s="13"/>
      <c r="G966" s="2"/>
      <c r="H966" s="2"/>
      <c r="I966" s="2"/>
      <c r="J966" s="2"/>
      <c r="K966" s="13"/>
      <c r="L966" s="14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"/>
      <c r="B967" s="2"/>
      <c r="C967" s="4"/>
      <c r="D967" s="2"/>
      <c r="E967" s="13"/>
      <c r="F967" s="13"/>
      <c r="G967" s="2"/>
      <c r="H967" s="2"/>
      <c r="I967" s="2"/>
      <c r="J967" s="2"/>
      <c r="K967" s="13"/>
      <c r="L967" s="14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"/>
      <c r="B968" s="2"/>
      <c r="C968" s="4"/>
      <c r="D968" s="2"/>
      <c r="E968" s="13"/>
      <c r="F968" s="13"/>
      <c r="G968" s="2"/>
      <c r="H968" s="2"/>
      <c r="I968" s="2"/>
      <c r="J968" s="2"/>
      <c r="K968" s="13"/>
      <c r="L968" s="14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"/>
      <c r="B969" s="2"/>
      <c r="C969" s="4"/>
      <c r="D969" s="2"/>
      <c r="E969" s="13"/>
      <c r="F969" s="13"/>
      <c r="G969" s="2"/>
      <c r="H969" s="2"/>
      <c r="I969" s="2"/>
      <c r="J969" s="2"/>
      <c r="K969" s="13"/>
      <c r="L969" s="14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"/>
      <c r="B970" s="2"/>
      <c r="C970" s="4"/>
      <c r="D970" s="2"/>
      <c r="E970" s="13"/>
      <c r="F970" s="13"/>
      <c r="G970" s="2"/>
      <c r="H970" s="2"/>
      <c r="I970" s="2"/>
      <c r="J970" s="2"/>
      <c r="K970" s="13"/>
      <c r="L970" s="14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"/>
      <c r="B971" s="2"/>
      <c r="C971" s="4"/>
      <c r="D971" s="2"/>
      <c r="E971" s="13"/>
      <c r="F971" s="13"/>
      <c r="G971" s="2"/>
      <c r="H971" s="2"/>
      <c r="I971" s="2"/>
      <c r="J971" s="2"/>
      <c r="K971" s="13"/>
      <c r="L971" s="14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"/>
      <c r="B972" s="2"/>
      <c r="C972" s="4"/>
      <c r="D972" s="2"/>
      <c r="E972" s="13"/>
      <c r="F972" s="13"/>
      <c r="G972" s="2"/>
      <c r="H972" s="2"/>
      <c r="I972" s="2"/>
      <c r="J972" s="2"/>
      <c r="K972" s="13"/>
      <c r="L972" s="14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"/>
      <c r="B973" s="2"/>
      <c r="C973" s="4"/>
      <c r="D973" s="2"/>
      <c r="E973" s="13"/>
      <c r="F973" s="13"/>
      <c r="G973" s="2"/>
      <c r="H973" s="2"/>
      <c r="I973" s="2"/>
      <c r="J973" s="2"/>
      <c r="K973" s="13"/>
      <c r="L973" s="14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"/>
      <c r="B974" s="2"/>
      <c r="C974" s="4"/>
      <c r="D974" s="2"/>
      <c r="E974" s="13"/>
      <c r="F974" s="13"/>
      <c r="G974" s="2"/>
      <c r="H974" s="2"/>
      <c r="I974" s="2"/>
      <c r="J974" s="2"/>
      <c r="K974" s="13"/>
      <c r="L974" s="14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"/>
      <c r="B975" s="2"/>
      <c r="C975" s="4"/>
      <c r="D975" s="2"/>
      <c r="E975" s="13"/>
      <c r="F975" s="13"/>
      <c r="G975" s="2"/>
      <c r="H975" s="2"/>
      <c r="I975" s="2"/>
      <c r="J975" s="2"/>
      <c r="K975" s="13"/>
      <c r="L975" s="14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"/>
      <c r="B976" s="2"/>
      <c r="C976" s="4"/>
      <c r="D976" s="2"/>
      <c r="E976" s="13"/>
      <c r="F976" s="13"/>
      <c r="G976" s="2"/>
      <c r="H976" s="2"/>
      <c r="I976" s="2"/>
      <c r="J976" s="2"/>
      <c r="K976" s="13"/>
      <c r="L976" s="14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"/>
      <c r="B977" s="2"/>
      <c r="C977" s="4"/>
      <c r="D977" s="2"/>
      <c r="E977" s="13"/>
      <c r="F977" s="13"/>
      <c r="G977" s="2"/>
      <c r="H977" s="2"/>
      <c r="I977" s="2"/>
      <c r="J977" s="2"/>
      <c r="K977" s="13"/>
      <c r="L977" s="14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"/>
      <c r="B978" s="2"/>
      <c r="C978" s="4"/>
      <c r="D978" s="2"/>
      <c r="E978" s="13"/>
      <c r="F978" s="13"/>
      <c r="G978" s="2"/>
      <c r="H978" s="2"/>
      <c r="I978" s="2"/>
      <c r="J978" s="2"/>
      <c r="K978" s="13"/>
      <c r="L978" s="14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"/>
      <c r="B979" s="2"/>
      <c r="C979" s="4"/>
      <c r="D979" s="2"/>
      <c r="E979" s="13"/>
      <c r="F979" s="13"/>
      <c r="G979" s="2"/>
      <c r="H979" s="2"/>
      <c r="I979" s="2"/>
      <c r="J979" s="2"/>
      <c r="K979" s="13"/>
      <c r="L979" s="14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"/>
      <c r="B980" s="2"/>
      <c r="C980" s="4"/>
      <c r="D980" s="2"/>
      <c r="E980" s="13"/>
      <c r="F980" s="13"/>
      <c r="G980" s="2"/>
      <c r="H980" s="2"/>
      <c r="I980" s="2"/>
      <c r="J980" s="2"/>
      <c r="K980" s="13"/>
      <c r="L980" s="14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"/>
      <c r="B981" s="2"/>
      <c r="C981" s="4"/>
      <c r="D981" s="2"/>
      <c r="E981" s="13"/>
      <c r="F981" s="13"/>
      <c r="G981" s="2"/>
      <c r="H981" s="2"/>
      <c r="I981" s="2"/>
      <c r="J981" s="2"/>
      <c r="K981" s="13"/>
      <c r="L981" s="14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"/>
      <c r="B982" s="2"/>
      <c r="C982" s="4"/>
      <c r="D982" s="2"/>
      <c r="E982" s="13"/>
      <c r="F982" s="13"/>
      <c r="G982" s="2"/>
      <c r="H982" s="2"/>
      <c r="I982" s="2"/>
      <c r="J982" s="2"/>
      <c r="K982" s="13"/>
      <c r="L982" s="14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"/>
      <c r="B983" s="2"/>
      <c r="C983" s="4"/>
      <c r="D983" s="2"/>
      <c r="E983" s="13"/>
      <c r="F983" s="13"/>
      <c r="G983" s="2"/>
      <c r="H983" s="2"/>
      <c r="I983" s="2"/>
      <c r="J983" s="2"/>
      <c r="K983" s="13"/>
      <c r="L983" s="14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"/>
      <c r="B984" s="2"/>
      <c r="C984" s="4"/>
      <c r="D984" s="2"/>
      <c r="E984" s="13"/>
      <c r="F984" s="13"/>
      <c r="G984" s="2"/>
      <c r="H984" s="2"/>
      <c r="I984" s="2"/>
      <c r="J984" s="2"/>
      <c r="K984" s="13"/>
      <c r="L984" s="14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"/>
      <c r="B985" s="2"/>
      <c r="C985" s="4"/>
      <c r="D985" s="2"/>
      <c r="E985" s="13"/>
      <c r="F985" s="13"/>
      <c r="G985" s="2"/>
      <c r="H985" s="2"/>
      <c r="I985" s="2"/>
      <c r="J985" s="2"/>
      <c r="K985" s="13"/>
      <c r="L985" s="14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"/>
      <c r="B986" s="2"/>
      <c r="C986" s="4"/>
      <c r="D986" s="2"/>
      <c r="E986" s="13"/>
      <c r="F986" s="13"/>
      <c r="G986" s="2"/>
      <c r="H986" s="2"/>
      <c r="I986" s="2"/>
      <c r="J986" s="2"/>
      <c r="K986" s="13"/>
      <c r="L986" s="14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"/>
      <c r="B987" s="2"/>
      <c r="C987" s="4"/>
      <c r="D987" s="2"/>
      <c r="E987" s="13"/>
      <c r="F987" s="13"/>
      <c r="G987" s="2"/>
      <c r="H987" s="2"/>
      <c r="I987" s="2"/>
      <c r="J987" s="2"/>
      <c r="K987" s="13"/>
      <c r="L987" s="14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1"/>
      <c r="B988" s="2"/>
      <c r="C988" s="4"/>
      <c r="D988" s="2"/>
      <c r="E988" s="13"/>
      <c r="F988" s="13"/>
      <c r="G988" s="2"/>
      <c r="H988" s="2"/>
      <c r="I988" s="2"/>
      <c r="J988" s="2"/>
      <c r="K988" s="13"/>
      <c r="L988" s="14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1"/>
      <c r="B989" s="2"/>
      <c r="C989" s="4"/>
      <c r="D989" s="2"/>
      <c r="E989" s="13"/>
      <c r="F989" s="13"/>
      <c r="G989" s="2"/>
      <c r="H989" s="2"/>
      <c r="I989" s="2"/>
      <c r="J989" s="2"/>
      <c r="K989" s="13"/>
      <c r="L989" s="14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"/>
      <c r="B990" s="2"/>
      <c r="C990" s="4"/>
      <c r="D990" s="2"/>
      <c r="E990" s="13"/>
      <c r="F990" s="13"/>
      <c r="G990" s="2"/>
      <c r="H990" s="2"/>
      <c r="I990" s="2"/>
      <c r="J990" s="2"/>
      <c r="K990" s="13"/>
      <c r="L990" s="14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"/>
      <c r="B991" s="2"/>
      <c r="C991" s="4"/>
      <c r="D991" s="2"/>
      <c r="E991" s="13"/>
      <c r="F991" s="13"/>
      <c r="G991" s="2"/>
      <c r="H991" s="2"/>
      <c r="I991" s="2"/>
      <c r="J991" s="2"/>
      <c r="K991" s="13"/>
      <c r="L991" s="14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"/>
      <c r="B992" s="2"/>
      <c r="C992" s="4"/>
      <c r="D992" s="2"/>
      <c r="E992" s="13"/>
      <c r="F992" s="13"/>
      <c r="G992" s="2"/>
      <c r="H992" s="2"/>
      <c r="I992" s="2"/>
      <c r="J992" s="2"/>
      <c r="K992" s="13"/>
      <c r="L992" s="14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"/>
      <c r="B993" s="2"/>
      <c r="C993" s="4"/>
      <c r="D993" s="2"/>
      <c r="E993" s="13"/>
      <c r="F993" s="13"/>
      <c r="G993" s="2"/>
      <c r="H993" s="2"/>
      <c r="I993" s="2"/>
      <c r="J993" s="2"/>
      <c r="K993" s="13"/>
      <c r="L993" s="14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"/>
      <c r="B994" s="2"/>
      <c r="C994" s="4"/>
      <c r="D994" s="2"/>
      <c r="E994" s="13"/>
      <c r="F994" s="13"/>
      <c r="G994" s="2"/>
      <c r="H994" s="2"/>
      <c r="I994" s="2"/>
      <c r="J994" s="2"/>
      <c r="K994" s="13"/>
      <c r="L994" s="14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"/>
      <c r="B995" s="2"/>
      <c r="C995" s="4"/>
      <c r="D995" s="2"/>
      <c r="E995" s="13"/>
      <c r="F995" s="13"/>
      <c r="G995" s="2"/>
      <c r="H995" s="2"/>
      <c r="I995" s="2"/>
      <c r="J995" s="2"/>
      <c r="K995" s="13"/>
      <c r="L995" s="14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"/>
      <c r="B996" s="2"/>
      <c r="C996" s="4"/>
      <c r="D996" s="2"/>
      <c r="E996" s="13"/>
      <c r="F996" s="13"/>
      <c r="G996" s="2"/>
      <c r="H996" s="2"/>
      <c r="I996" s="2"/>
      <c r="J996" s="2"/>
      <c r="K996" s="13"/>
      <c r="L996" s="14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"/>
      <c r="B997" s="2"/>
      <c r="C997" s="4"/>
      <c r="D997" s="2"/>
      <c r="E997" s="13"/>
      <c r="F997" s="13"/>
      <c r="G997" s="2"/>
      <c r="H997" s="2"/>
      <c r="I997" s="2"/>
      <c r="J997" s="2"/>
      <c r="K997" s="13"/>
      <c r="L997" s="14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"/>
      <c r="B998" s="2"/>
      <c r="C998" s="4"/>
      <c r="D998" s="2"/>
      <c r="E998" s="13"/>
      <c r="F998" s="13"/>
      <c r="G998" s="2"/>
      <c r="H998" s="2"/>
      <c r="I998" s="2"/>
      <c r="J998" s="2"/>
      <c r="K998" s="13"/>
      <c r="L998" s="14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"/>
      <c r="B999" s="2"/>
      <c r="C999" s="4"/>
      <c r="D999" s="2"/>
      <c r="E999" s="13"/>
      <c r="F999" s="13"/>
      <c r="G999" s="2"/>
      <c r="H999" s="2"/>
      <c r="I999" s="2"/>
      <c r="J999" s="2"/>
      <c r="K999" s="13"/>
      <c r="L999" s="14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"/>
      <c r="B1000" s="2"/>
      <c r="C1000" s="4"/>
      <c r="D1000" s="2"/>
      <c r="E1000" s="13"/>
      <c r="F1000" s="13"/>
      <c r="G1000" s="2"/>
      <c r="H1000" s="2"/>
      <c r="I1000" s="2"/>
      <c r="J1000" s="2"/>
      <c r="K1000" s="13"/>
      <c r="L1000" s="14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"/>
      <c r="B1001" s="2"/>
      <c r="C1001" s="4"/>
      <c r="D1001" s="2"/>
      <c r="E1001" s="13"/>
      <c r="F1001" s="13"/>
      <c r="G1001" s="2"/>
      <c r="H1001" s="2"/>
      <c r="I1001" s="2"/>
      <c r="J1001" s="2"/>
      <c r="K1001" s="13"/>
      <c r="L1001" s="14"/>
      <c r="M1001" s="1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1"/>
      <c r="B1002" s="2"/>
      <c r="C1002" s="4"/>
      <c r="D1002" s="2"/>
      <c r="E1002" s="13"/>
      <c r="F1002" s="13"/>
      <c r="G1002" s="2"/>
      <c r="H1002" s="2"/>
      <c r="I1002" s="2"/>
      <c r="J1002" s="2"/>
      <c r="K1002" s="13"/>
      <c r="L1002" s="14"/>
      <c r="M1002" s="1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1"/>
      <c r="B1003" s="2"/>
      <c r="C1003" s="4"/>
      <c r="D1003" s="2"/>
      <c r="E1003" s="13"/>
      <c r="F1003" s="13"/>
      <c r="G1003" s="2"/>
      <c r="H1003" s="2"/>
      <c r="I1003" s="2"/>
      <c r="J1003" s="2"/>
      <c r="K1003" s="13"/>
      <c r="L1003" s="14"/>
      <c r="M1003" s="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"/>
      <c r="B1004" s="2"/>
      <c r="C1004" s="4"/>
      <c r="D1004" s="2"/>
      <c r="E1004" s="13"/>
      <c r="F1004" s="13"/>
      <c r="G1004" s="2"/>
      <c r="H1004" s="2"/>
      <c r="I1004" s="2"/>
      <c r="J1004" s="2"/>
      <c r="K1004" s="13"/>
      <c r="L1004" s="14"/>
      <c r="M1004" s="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"/>
      <c r="B1005" s="2"/>
      <c r="C1005" s="4"/>
      <c r="D1005" s="2"/>
      <c r="E1005" s="13"/>
      <c r="F1005" s="13"/>
      <c r="G1005" s="2"/>
      <c r="H1005" s="2"/>
      <c r="I1005" s="2"/>
      <c r="J1005" s="2"/>
      <c r="K1005" s="13"/>
      <c r="L1005" s="14"/>
      <c r="M1005" s="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"/>
      <c r="B1006" s="2"/>
      <c r="C1006" s="4"/>
      <c r="D1006" s="2"/>
      <c r="E1006" s="13"/>
      <c r="F1006" s="13"/>
      <c r="G1006" s="2"/>
      <c r="H1006" s="2"/>
      <c r="I1006" s="2"/>
      <c r="J1006" s="2"/>
      <c r="K1006" s="13"/>
      <c r="L1006" s="14"/>
      <c r="M1006" s="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"/>
      <c r="B1007" s="2"/>
      <c r="C1007" s="4"/>
      <c r="D1007" s="2"/>
      <c r="E1007" s="13"/>
      <c r="F1007" s="13"/>
      <c r="G1007" s="2"/>
      <c r="H1007" s="2"/>
      <c r="I1007" s="2"/>
      <c r="J1007" s="2"/>
      <c r="K1007" s="13"/>
      <c r="L1007" s="14"/>
      <c r="M1007" s="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"/>
      <c r="B1008" s="2"/>
      <c r="C1008" s="4"/>
      <c r="D1008" s="2"/>
      <c r="E1008" s="13"/>
      <c r="F1008" s="13"/>
      <c r="G1008" s="2"/>
      <c r="H1008" s="2"/>
      <c r="I1008" s="2"/>
      <c r="J1008" s="2"/>
      <c r="K1008" s="13"/>
      <c r="L1008" s="14"/>
      <c r="M1008" s="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1"/>
      <c r="B1009" s="2"/>
      <c r="C1009" s="4"/>
      <c r="D1009" s="2"/>
      <c r="E1009" s="13"/>
      <c r="F1009" s="13"/>
      <c r="G1009" s="2"/>
      <c r="H1009" s="2"/>
      <c r="I1009" s="2"/>
      <c r="J1009" s="2"/>
      <c r="K1009" s="13"/>
      <c r="L1009" s="14"/>
      <c r="M1009" s="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1"/>
      <c r="B1010" s="2"/>
      <c r="C1010" s="4"/>
      <c r="D1010" s="2"/>
      <c r="E1010" s="13"/>
      <c r="F1010" s="13"/>
      <c r="G1010" s="2"/>
      <c r="H1010" s="2"/>
      <c r="I1010" s="2"/>
      <c r="J1010" s="2"/>
      <c r="K1010" s="13"/>
      <c r="L1010" s="14"/>
      <c r="M1010" s="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"/>
      <c r="B1011" s="2"/>
      <c r="C1011" s="4"/>
      <c r="D1011" s="2"/>
      <c r="E1011" s="13"/>
      <c r="F1011" s="13"/>
      <c r="G1011" s="2"/>
      <c r="H1011" s="2"/>
      <c r="I1011" s="2"/>
      <c r="J1011" s="2"/>
      <c r="K1011" s="13"/>
      <c r="L1011" s="14"/>
      <c r="M1011" s="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"/>
      <c r="B1012" s="2"/>
      <c r="C1012" s="4"/>
      <c r="D1012" s="2"/>
      <c r="E1012" s="13"/>
      <c r="F1012" s="13"/>
      <c r="G1012" s="2"/>
      <c r="H1012" s="2"/>
      <c r="I1012" s="2"/>
      <c r="J1012" s="2"/>
      <c r="K1012" s="13"/>
      <c r="L1012" s="14"/>
      <c r="M1012" s="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"/>
      <c r="B1013" s="2"/>
      <c r="C1013" s="4"/>
      <c r="D1013" s="2"/>
      <c r="E1013" s="13"/>
      <c r="F1013" s="13"/>
      <c r="G1013" s="2"/>
      <c r="H1013" s="2"/>
      <c r="I1013" s="2"/>
      <c r="J1013" s="2"/>
      <c r="K1013" s="13"/>
      <c r="L1013" s="14"/>
      <c r="M1013" s="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"/>
      <c r="B1014" s="2"/>
      <c r="C1014" s="4"/>
      <c r="D1014" s="2"/>
      <c r="E1014" s="13"/>
      <c r="F1014" s="13"/>
      <c r="G1014" s="2"/>
      <c r="H1014" s="2"/>
      <c r="I1014" s="2"/>
      <c r="J1014" s="2"/>
      <c r="K1014" s="13"/>
      <c r="L1014" s="14"/>
      <c r="M1014" s="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"/>
      <c r="B1015" s="2"/>
      <c r="C1015" s="4"/>
      <c r="D1015" s="2"/>
      <c r="E1015" s="13"/>
      <c r="F1015" s="13"/>
      <c r="G1015" s="2"/>
      <c r="H1015" s="2"/>
      <c r="I1015" s="2"/>
      <c r="J1015" s="2"/>
      <c r="K1015" s="13"/>
      <c r="L1015" s="14"/>
      <c r="M1015" s="1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"/>
      <c r="B1016" s="2"/>
      <c r="C1016" s="4"/>
      <c r="D1016" s="2"/>
      <c r="E1016" s="13"/>
      <c r="F1016" s="13"/>
      <c r="G1016" s="2"/>
      <c r="H1016" s="2"/>
      <c r="I1016" s="2"/>
      <c r="J1016" s="2"/>
      <c r="K1016" s="13"/>
      <c r="L1016" s="14"/>
      <c r="M1016" s="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"/>
      <c r="B1017" s="2"/>
      <c r="C1017" s="4"/>
      <c r="D1017" s="2"/>
      <c r="E1017" s="13"/>
      <c r="F1017" s="13"/>
      <c r="G1017" s="2"/>
      <c r="H1017" s="2"/>
      <c r="I1017" s="2"/>
      <c r="J1017" s="2"/>
      <c r="K1017" s="13"/>
      <c r="L1017" s="14"/>
      <c r="M1017" s="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"/>
      <c r="B1018" s="2"/>
      <c r="C1018" s="4"/>
      <c r="D1018" s="2"/>
      <c r="E1018" s="13"/>
      <c r="F1018" s="13"/>
      <c r="G1018" s="2"/>
      <c r="H1018" s="2"/>
      <c r="I1018" s="2"/>
      <c r="J1018" s="2"/>
      <c r="K1018" s="13"/>
      <c r="L1018" s="14"/>
      <c r="M1018" s="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1"/>
      <c r="B1019" s="2"/>
      <c r="C1019" s="4"/>
      <c r="D1019" s="2"/>
      <c r="E1019" s="13"/>
      <c r="F1019" s="13"/>
      <c r="G1019" s="2"/>
      <c r="H1019" s="2"/>
      <c r="I1019" s="2"/>
      <c r="J1019" s="2"/>
      <c r="K1019" s="13"/>
      <c r="L1019" s="14"/>
      <c r="M1019" s="1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1"/>
      <c r="B1020" s="2"/>
      <c r="C1020" s="4"/>
      <c r="D1020" s="2"/>
      <c r="E1020" s="13"/>
      <c r="F1020" s="13"/>
      <c r="G1020" s="2"/>
      <c r="H1020" s="2"/>
      <c r="I1020" s="2"/>
      <c r="J1020" s="2"/>
      <c r="K1020" s="13"/>
      <c r="L1020" s="14"/>
      <c r="M1020" s="1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"/>
      <c r="B1021" s="2"/>
      <c r="C1021" s="4"/>
      <c r="D1021" s="2"/>
      <c r="E1021" s="13"/>
      <c r="F1021" s="13"/>
      <c r="G1021" s="2"/>
      <c r="H1021" s="2"/>
      <c r="I1021" s="2"/>
      <c r="J1021" s="2"/>
      <c r="K1021" s="13"/>
      <c r="L1021" s="14"/>
      <c r="M1021" s="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"/>
      <c r="B1022" s="2"/>
      <c r="C1022" s="4"/>
      <c r="D1022" s="2"/>
      <c r="E1022" s="13"/>
      <c r="F1022" s="13"/>
      <c r="G1022" s="2"/>
      <c r="H1022" s="2"/>
      <c r="I1022" s="2"/>
      <c r="J1022" s="2"/>
      <c r="K1022" s="13"/>
      <c r="L1022" s="14"/>
      <c r="M1022" s="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"/>
      <c r="B1023" s="2"/>
      <c r="C1023" s="4"/>
      <c r="D1023" s="2"/>
      <c r="E1023" s="13"/>
      <c r="F1023" s="13"/>
      <c r="G1023" s="2"/>
      <c r="H1023" s="2"/>
      <c r="I1023" s="2"/>
      <c r="J1023" s="2"/>
      <c r="K1023" s="13"/>
      <c r="L1023" s="14"/>
      <c r="M1023" s="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"/>
      <c r="B1024" s="2"/>
      <c r="C1024" s="4"/>
      <c r="D1024" s="2"/>
      <c r="E1024" s="13"/>
      <c r="F1024" s="13"/>
      <c r="G1024" s="2"/>
      <c r="H1024" s="2"/>
      <c r="I1024" s="2"/>
      <c r="J1024" s="2"/>
      <c r="K1024" s="13"/>
      <c r="L1024" s="14"/>
      <c r="M1024" s="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"/>
      <c r="B1025" s="2"/>
      <c r="C1025" s="4"/>
      <c r="D1025" s="2"/>
      <c r="E1025" s="13"/>
      <c r="F1025" s="13"/>
      <c r="G1025" s="2"/>
      <c r="H1025" s="2"/>
      <c r="I1025" s="2"/>
      <c r="J1025" s="2"/>
      <c r="K1025" s="13"/>
      <c r="L1025" s="14"/>
      <c r="M1025" s="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"/>
      <c r="B1026" s="2"/>
      <c r="C1026" s="4"/>
      <c r="D1026" s="2"/>
      <c r="E1026" s="13"/>
      <c r="F1026" s="13"/>
      <c r="G1026" s="2"/>
      <c r="H1026" s="2"/>
      <c r="I1026" s="2"/>
      <c r="J1026" s="2"/>
      <c r="K1026" s="13"/>
      <c r="L1026" s="14"/>
      <c r="M1026" s="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1"/>
      <c r="B1027" s="2"/>
      <c r="C1027" s="4"/>
      <c r="D1027" s="2"/>
      <c r="E1027" s="13"/>
      <c r="F1027" s="13"/>
      <c r="G1027" s="2"/>
      <c r="H1027" s="2"/>
      <c r="I1027" s="2"/>
      <c r="J1027" s="2"/>
      <c r="K1027" s="13"/>
      <c r="L1027" s="14"/>
      <c r="M1027" s="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1"/>
      <c r="B1028" s="2"/>
      <c r="C1028" s="4"/>
      <c r="D1028" s="2"/>
      <c r="E1028" s="13"/>
      <c r="F1028" s="13"/>
      <c r="G1028" s="2"/>
      <c r="H1028" s="2"/>
      <c r="I1028" s="2"/>
      <c r="J1028" s="2"/>
      <c r="K1028" s="13"/>
      <c r="L1028" s="14"/>
      <c r="M1028" s="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"/>
      <c r="B1029" s="2"/>
      <c r="C1029" s="4"/>
      <c r="D1029" s="2"/>
      <c r="E1029" s="13"/>
      <c r="F1029" s="13"/>
      <c r="G1029" s="2"/>
      <c r="H1029" s="2"/>
      <c r="I1029" s="2"/>
      <c r="J1029" s="2"/>
      <c r="K1029" s="13"/>
      <c r="L1029" s="14"/>
      <c r="M1029" s="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"/>
      <c r="B1030" s="2"/>
      <c r="C1030" s="4"/>
      <c r="D1030" s="2"/>
      <c r="E1030" s="13"/>
      <c r="F1030" s="13"/>
      <c r="G1030" s="2"/>
      <c r="H1030" s="2"/>
      <c r="I1030" s="2"/>
      <c r="J1030" s="2"/>
      <c r="K1030" s="13"/>
      <c r="L1030" s="14"/>
      <c r="M1030" s="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"/>
      <c r="B1031" s="2"/>
      <c r="C1031" s="4"/>
      <c r="D1031" s="2"/>
      <c r="E1031" s="13"/>
      <c r="F1031" s="13"/>
      <c r="G1031" s="2"/>
      <c r="H1031" s="2"/>
      <c r="I1031" s="2"/>
      <c r="J1031" s="2"/>
      <c r="K1031" s="13"/>
      <c r="L1031" s="14"/>
      <c r="M1031" s="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"/>
      <c r="B1032" s="2"/>
      <c r="C1032" s="4"/>
      <c r="D1032" s="2"/>
      <c r="E1032" s="13"/>
      <c r="F1032" s="13"/>
      <c r="G1032" s="2"/>
      <c r="H1032" s="2"/>
      <c r="I1032" s="2"/>
      <c r="J1032" s="2"/>
      <c r="K1032" s="13"/>
      <c r="L1032" s="14"/>
      <c r="M1032" s="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"/>
      <c r="B1033" s="2"/>
      <c r="C1033" s="4"/>
      <c r="D1033" s="2"/>
      <c r="E1033" s="13"/>
      <c r="F1033" s="13"/>
      <c r="G1033" s="2"/>
      <c r="H1033" s="2"/>
      <c r="I1033" s="2"/>
      <c r="J1033" s="2"/>
      <c r="K1033" s="13"/>
      <c r="L1033" s="14"/>
      <c r="M1033" s="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"/>
      <c r="B1034" s="2"/>
      <c r="C1034" s="4"/>
      <c r="D1034" s="2"/>
      <c r="E1034" s="13"/>
      <c r="F1034" s="13"/>
      <c r="G1034" s="2"/>
      <c r="H1034" s="2"/>
      <c r="I1034" s="2"/>
      <c r="J1034" s="2"/>
      <c r="K1034" s="13"/>
      <c r="L1034" s="14"/>
      <c r="M1034" s="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"/>
      <c r="B1035" s="2"/>
      <c r="C1035" s="4"/>
      <c r="D1035" s="2"/>
      <c r="E1035" s="13"/>
      <c r="F1035" s="13"/>
      <c r="G1035" s="2"/>
      <c r="H1035" s="2"/>
      <c r="I1035" s="2"/>
      <c r="J1035" s="2"/>
      <c r="K1035" s="13"/>
      <c r="L1035" s="14"/>
      <c r="M1035" s="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"/>
      <c r="B1036" s="2"/>
      <c r="C1036" s="4"/>
      <c r="D1036" s="2"/>
      <c r="E1036" s="13"/>
      <c r="F1036" s="13"/>
      <c r="G1036" s="2"/>
      <c r="H1036" s="2"/>
      <c r="I1036" s="2"/>
      <c r="J1036" s="2"/>
      <c r="K1036" s="13"/>
      <c r="L1036" s="14"/>
      <c r="M1036" s="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"/>
      <c r="B1037" s="2"/>
      <c r="C1037" s="4"/>
      <c r="D1037" s="2"/>
      <c r="E1037" s="13"/>
      <c r="F1037" s="13"/>
      <c r="G1037" s="2"/>
      <c r="H1037" s="2"/>
      <c r="I1037" s="2"/>
      <c r="J1037" s="2"/>
      <c r="K1037" s="13"/>
      <c r="L1037" s="14"/>
      <c r="M1037" s="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"/>
      <c r="B1038" s="2"/>
      <c r="C1038" s="4"/>
      <c r="D1038" s="2"/>
      <c r="E1038" s="13"/>
      <c r="F1038" s="13"/>
      <c r="G1038" s="2"/>
      <c r="H1038" s="2"/>
      <c r="I1038" s="2"/>
      <c r="J1038" s="2"/>
      <c r="K1038" s="13"/>
      <c r="L1038" s="14"/>
      <c r="M1038" s="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"/>
      <c r="B1039" s="2"/>
      <c r="C1039" s="4"/>
      <c r="D1039" s="2"/>
      <c r="E1039" s="13"/>
      <c r="F1039" s="13"/>
      <c r="G1039" s="2"/>
      <c r="H1039" s="2"/>
      <c r="I1039" s="2"/>
      <c r="J1039" s="2"/>
      <c r="K1039" s="13"/>
      <c r="L1039" s="14"/>
      <c r="M1039" s="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"/>
      <c r="B1040" s="2"/>
      <c r="C1040" s="4"/>
      <c r="D1040" s="2"/>
      <c r="E1040" s="13"/>
      <c r="F1040" s="13"/>
      <c r="G1040" s="2"/>
      <c r="H1040" s="2"/>
      <c r="I1040" s="2"/>
      <c r="J1040" s="2"/>
      <c r="K1040" s="13"/>
      <c r="L1040" s="14"/>
      <c r="M1040" s="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"/>
      <c r="B1041" s="2"/>
      <c r="C1041" s="4"/>
      <c r="D1041" s="2"/>
      <c r="E1041" s="13"/>
      <c r="F1041" s="13"/>
      <c r="G1041" s="2"/>
      <c r="H1041" s="2"/>
      <c r="I1041" s="2"/>
      <c r="J1041" s="2"/>
      <c r="K1041" s="13"/>
      <c r="L1041" s="14"/>
      <c r="M1041" s="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"/>
      <c r="B1042" s="2"/>
      <c r="C1042" s="4"/>
      <c r="D1042" s="2"/>
      <c r="E1042" s="13"/>
      <c r="F1042" s="13"/>
      <c r="G1042" s="2"/>
      <c r="H1042" s="2"/>
      <c r="I1042" s="2"/>
      <c r="J1042" s="2"/>
      <c r="K1042" s="13"/>
      <c r="L1042" s="14"/>
      <c r="M1042" s="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"/>
      <c r="B1043" s="2"/>
      <c r="C1043" s="4"/>
      <c r="D1043" s="2"/>
      <c r="E1043" s="13"/>
      <c r="F1043" s="13"/>
      <c r="G1043" s="2"/>
      <c r="H1043" s="2"/>
      <c r="I1043" s="2"/>
      <c r="J1043" s="2"/>
      <c r="K1043" s="13"/>
      <c r="L1043" s="14"/>
      <c r="M1043" s="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"/>
      <c r="B1044" s="2"/>
      <c r="C1044" s="4"/>
      <c r="D1044" s="2"/>
      <c r="E1044" s="13"/>
      <c r="F1044" s="13"/>
      <c r="G1044" s="2"/>
      <c r="H1044" s="2"/>
      <c r="I1044" s="2"/>
      <c r="J1044" s="2"/>
      <c r="K1044" s="13"/>
      <c r="L1044" s="14"/>
      <c r="M1044" s="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"/>
      <c r="B1045" s="2"/>
      <c r="C1045" s="4"/>
      <c r="D1045" s="2"/>
      <c r="E1045" s="13"/>
      <c r="F1045" s="13"/>
      <c r="G1045" s="2"/>
      <c r="H1045" s="2"/>
      <c r="I1045" s="2"/>
      <c r="J1045" s="2"/>
      <c r="K1045" s="13"/>
      <c r="L1045" s="14"/>
      <c r="M1045" s="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"/>
      <c r="B1046" s="2"/>
      <c r="C1046" s="4"/>
      <c r="D1046" s="2"/>
      <c r="E1046" s="13"/>
      <c r="F1046" s="13"/>
      <c r="G1046" s="2"/>
      <c r="H1046" s="2"/>
      <c r="I1046" s="2"/>
      <c r="J1046" s="2"/>
      <c r="K1046" s="13"/>
      <c r="L1046" s="14"/>
      <c r="M1046" s="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"/>
      <c r="B1047" s="2"/>
      <c r="C1047" s="4"/>
      <c r="D1047" s="2"/>
      <c r="E1047" s="13"/>
      <c r="F1047" s="13"/>
      <c r="G1047" s="2"/>
      <c r="H1047" s="2"/>
      <c r="I1047" s="2"/>
      <c r="J1047" s="2"/>
      <c r="K1047" s="13"/>
      <c r="L1047" s="14"/>
      <c r="M1047" s="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"/>
      <c r="B1048" s="2"/>
      <c r="C1048" s="4"/>
      <c r="D1048" s="2"/>
      <c r="E1048" s="13"/>
      <c r="F1048" s="13"/>
      <c r="G1048" s="2"/>
      <c r="H1048" s="2"/>
      <c r="I1048" s="2"/>
      <c r="J1048" s="2"/>
      <c r="K1048" s="13"/>
      <c r="L1048" s="14"/>
      <c r="M1048" s="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"/>
      <c r="B1049" s="2"/>
      <c r="C1049" s="4"/>
      <c r="D1049" s="2"/>
      <c r="E1049" s="13"/>
      <c r="F1049" s="13"/>
      <c r="G1049" s="2"/>
      <c r="H1049" s="2"/>
      <c r="I1049" s="2"/>
      <c r="J1049" s="2"/>
      <c r="K1049" s="13"/>
      <c r="L1049" s="14"/>
      <c r="M1049" s="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"/>
      <c r="B1050" s="2"/>
      <c r="C1050" s="4"/>
      <c r="D1050" s="2"/>
      <c r="E1050" s="13"/>
      <c r="F1050" s="13"/>
      <c r="G1050" s="2"/>
      <c r="H1050" s="2"/>
      <c r="I1050" s="2"/>
      <c r="J1050" s="2"/>
      <c r="K1050" s="13"/>
      <c r="L1050" s="14"/>
      <c r="M1050" s="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"/>
      <c r="B1051" s="2"/>
      <c r="C1051" s="4"/>
      <c r="D1051" s="2"/>
      <c r="E1051" s="13"/>
      <c r="F1051" s="13"/>
      <c r="G1051" s="2"/>
      <c r="H1051" s="2"/>
      <c r="I1051" s="2"/>
      <c r="J1051" s="2"/>
      <c r="K1051" s="13"/>
      <c r="L1051" s="14"/>
      <c r="M1051" s="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"/>
      <c r="B1052" s="2"/>
      <c r="C1052" s="4"/>
      <c r="D1052" s="2"/>
      <c r="E1052" s="13"/>
      <c r="F1052" s="13"/>
      <c r="G1052" s="2"/>
      <c r="H1052" s="2"/>
      <c r="I1052" s="2"/>
      <c r="J1052" s="2"/>
      <c r="K1052" s="13"/>
      <c r="L1052" s="14"/>
      <c r="M1052" s="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"/>
      <c r="B1053" s="2"/>
      <c r="C1053" s="4"/>
      <c r="D1053" s="2"/>
      <c r="E1053" s="13"/>
      <c r="F1053" s="13"/>
      <c r="G1053" s="2"/>
      <c r="H1053" s="2"/>
      <c r="I1053" s="2"/>
      <c r="J1053" s="2"/>
      <c r="K1053" s="13"/>
      <c r="L1053" s="14"/>
      <c r="M1053" s="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"/>
      <c r="B1054" s="2"/>
      <c r="C1054" s="4"/>
      <c r="D1054" s="2"/>
      <c r="E1054" s="13"/>
      <c r="F1054" s="13"/>
      <c r="G1054" s="2"/>
      <c r="H1054" s="2"/>
      <c r="I1054" s="2"/>
      <c r="J1054" s="2"/>
      <c r="K1054" s="13"/>
      <c r="L1054" s="14"/>
      <c r="M1054" s="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"/>
      <c r="B1055" s="2"/>
      <c r="C1055" s="4"/>
      <c r="D1055" s="2"/>
      <c r="E1055" s="13"/>
      <c r="F1055" s="13"/>
      <c r="G1055" s="2"/>
      <c r="H1055" s="2"/>
      <c r="I1055" s="2"/>
      <c r="J1055" s="2"/>
      <c r="K1055" s="13"/>
      <c r="L1055" s="14"/>
      <c r="M1055" s="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"/>
      <c r="B1056" s="2"/>
      <c r="C1056" s="4"/>
      <c r="D1056" s="2"/>
      <c r="E1056" s="13"/>
      <c r="F1056" s="13"/>
      <c r="G1056" s="2"/>
      <c r="H1056" s="2"/>
      <c r="I1056" s="2"/>
      <c r="J1056" s="2"/>
      <c r="K1056" s="13"/>
      <c r="L1056" s="14"/>
      <c r="M1056" s="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"/>
      <c r="B1057" s="2"/>
      <c r="C1057" s="4"/>
      <c r="D1057" s="2"/>
      <c r="E1057" s="13"/>
      <c r="F1057" s="13"/>
      <c r="G1057" s="2"/>
      <c r="H1057" s="2"/>
      <c r="I1057" s="2"/>
      <c r="J1057" s="2"/>
      <c r="K1057" s="13"/>
      <c r="L1057" s="14"/>
      <c r="M1057" s="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"/>
      <c r="B1058" s="2"/>
      <c r="C1058" s="4"/>
      <c r="D1058" s="2"/>
      <c r="E1058" s="13"/>
      <c r="F1058" s="13"/>
      <c r="G1058" s="2"/>
      <c r="H1058" s="2"/>
      <c r="I1058" s="2"/>
      <c r="J1058" s="2"/>
      <c r="K1058" s="13"/>
      <c r="L1058" s="14"/>
      <c r="M1058" s="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"/>
      <c r="B1059" s="2"/>
      <c r="C1059" s="4"/>
      <c r="D1059" s="2"/>
      <c r="E1059" s="13"/>
      <c r="F1059" s="13"/>
      <c r="G1059" s="2"/>
      <c r="H1059" s="2"/>
      <c r="I1059" s="2"/>
      <c r="J1059" s="2"/>
      <c r="K1059" s="13"/>
      <c r="L1059" s="14"/>
      <c r="M1059" s="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"/>
      <c r="B1060" s="2"/>
      <c r="C1060" s="4"/>
      <c r="D1060" s="2"/>
      <c r="E1060" s="13"/>
      <c r="F1060" s="13"/>
      <c r="G1060" s="2"/>
      <c r="H1060" s="2"/>
      <c r="I1060" s="2"/>
      <c r="J1060" s="2"/>
      <c r="K1060" s="13"/>
      <c r="L1060" s="14"/>
      <c r="M1060" s="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"/>
      <c r="B1061" s="2"/>
      <c r="C1061" s="4"/>
      <c r="D1061" s="2"/>
      <c r="E1061" s="13"/>
      <c r="F1061" s="13"/>
      <c r="G1061" s="2"/>
      <c r="H1061" s="2"/>
      <c r="I1061" s="2"/>
      <c r="J1061" s="2"/>
      <c r="K1061" s="13"/>
      <c r="L1061" s="14"/>
      <c r="M1061" s="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1"/>
      <c r="B1062" s="2"/>
      <c r="C1062" s="4"/>
      <c r="D1062" s="2"/>
      <c r="E1062" s="13"/>
      <c r="F1062" s="13"/>
      <c r="G1062" s="2"/>
      <c r="H1062" s="2"/>
      <c r="I1062" s="2"/>
      <c r="J1062" s="2"/>
      <c r="K1062" s="13"/>
      <c r="L1062" s="14"/>
      <c r="M1062" s="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">
      <c r="A1063" s="1"/>
      <c r="B1063" s="2"/>
      <c r="C1063" s="4"/>
      <c r="D1063" s="2"/>
      <c r="E1063" s="13"/>
      <c r="F1063" s="13"/>
      <c r="G1063" s="2"/>
      <c r="H1063" s="2"/>
      <c r="I1063" s="2"/>
      <c r="J1063" s="2"/>
      <c r="K1063" s="13"/>
      <c r="L1063" s="14"/>
      <c r="M1063" s="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"/>
      <c r="B1064" s="2"/>
      <c r="C1064" s="4"/>
      <c r="D1064" s="2"/>
      <c r="E1064" s="13"/>
      <c r="F1064" s="13"/>
      <c r="G1064" s="2"/>
      <c r="H1064" s="2"/>
      <c r="I1064" s="2"/>
      <c r="J1064" s="2"/>
      <c r="K1064" s="13"/>
      <c r="L1064" s="14"/>
      <c r="M1064" s="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"/>
      <c r="B1065" s="2"/>
      <c r="C1065" s="4"/>
      <c r="D1065" s="2"/>
      <c r="E1065" s="13"/>
      <c r="F1065" s="13"/>
      <c r="G1065" s="2"/>
      <c r="H1065" s="2"/>
      <c r="I1065" s="2"/>
      <c r="J1065" s="2"/>
      <c r="K1065" s="13"/>
      <c r="L1065" s="14"/>
      <c r="M1065" s="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"/>
      <c r="B1066" s="2"/>
      <c r="C1066" s="4"/>
      <c r="D1066" s="2"/>
      <c r="E1066" s="13"/>
      <c r="F1066" s="13"/>
      <c r="G1066" s="2"/>
      <c r="H1066" s="2"/>
      <c r="I1066" s="2"/>
      <c r="J1066" s="2"/>
      <c r="K1066" s="13"/>
      <c r="L1066" s="14"/>
      <c r="M1066" s="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"/>
      <c r="B1067" s="2"/>
      <c r="C1067" s="4"/>
      <c r="D1067" s="2"/>
      <c r="E1067" s="13"/>
      <c r="F1067" s="13"/>
      <c r="G1067" s="2"/>
      <c r="H1067" s="2"/>
      <c r="I1067" s="2"/>
      <c r="J1067" s="2"/>
      <c r="K1067" s="13"/>
      <c r="L1067" s="14"/>
      <c r="M1067" s="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"/>
      <c r="B1068" s="2"/>
      <c r="C1068" s="4"/>
      <c r="D1068" s="2"/>
      <c r="E1068" s="13"/>
      <c r="F1068" s="13"/>
      <c r="G1068" s="2"/>
      <c r="H1068" s="2"/>
      <c r="I1068" s="2"/>
      <c r="J1068" s="2"/>
      <c r="K1068" s="13"/>
      <c r="L1068" s="14"/>
      <c r="M1068" s="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"/>
      <c r="B1069" s="2"/>
      <c r="C1069" s="4"/>
      <c r="D1069" s="2"/>
      <c r="E1069" s="13"/>
      <c r="F1069" s="13"/>
      <c r="G1069" s="2"/>
      <c r="H1069" s="2"/>
      <c r="I1069" s="2"/>
      <c r="J1069" s="2"/>
      <c r="K1069" s="13"/>
      <c r="L1069" s="14"/>
      <c r="M1069" s="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"/>
      <c r="B1070" s="2"/>
      <c r="C1070" s="4"/>
      <c r="D1070" s="2"/>
      <c r="E1070" s="13"/>
      <c r="F1070" s="13"/>
      <c r="G1070" s="2"/>
      <c r="H1070" s="2"/>
      <c r="I1070" s="2"/>
      <c r="J1070" s="2"/>
      <c r="K1070" s="13"/>
      <c r="L1070" s="14"/>
      <c r="M1070" s="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"/>
      <c r="B1071" s="2"/>
      <c r="C1071" s="4"/>
      <c r="D1071" s="2"/>
      <c r="E1071" s="13"/>
      <c r="F1071" s="13"/>
      <c r="G1071" s="2"/>
      <c r="H1071" s="2"/>
      <c r="I1071" s="2"/>
      <c r="J1071" s="2"/>
      <c r="K1071" s="13"/>
      <c r="L1071" s="14"/>
      <c r="M1071" s="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"/>
      <c r="B1072" s="2"/>
      <c r="C1072" s="4"/>
      <c r="D1072" s="2"/>
      <c r="E1072" s="13"/>
      <c r="F1072" s="13"/>
      <c r="G1072" s="2"/>
      <c r="H1072" s="2"/>
      <c r="I1072" s="2"/>
      <c r="J1072" s="2"/>
      <c r="K1072" s="13"/>
      <c r="L1072" s="14"/>
      <c r="M1072" s="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"/>
      <c r="B1073" s="2"/>
      <c r="C1073" s="4"/>
      <c r="D1073" s="2"/>
      <c r="E1073" s="13"/>
      <c r="F1073" s="13"/>
      <c r="G1073" s="2"/>
      <c r="H1073" s="2"/>
      <c r="I1073" s="2"/>
      <c r="J1073" s="2"/>
      <c r="K1073" s="13"/>
      <c r="L1073" s="14"/>
      <c r="M1073" s="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"/>
      <c r="B1074" s="2"/>
      <c r="C1074" s="4"/>
      <c r="D1074" s="2"/>
      <c r="E1074" s="13"/>
      <c r="F1074" s="13"/>
      <c r="G1074" s="2"/>
      <c r="H1074" s="2"/>
      <c r="I1074" s="2"/>
      <c r="J1074" s="2"/>
      <c r="K1074" s="13"/>
      <c r="L1074" s="14"/>
      <c r="M1074" s="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"/>
      <c r="B1075" s="2"/>
      <c r="C1075" s="4"/>
      <c r="D1075" s="2"/>
      <c r="E1075" s="13"/>
      <c r="F1075" s="13"/>
      <c r="G1075" s="2"/>
      <c r="H1075" s="2"/>
      <c r="I1075" s="2"/>
      <c r="J1075" s="2"/>
      <c r="K1075" s="13"/>
      <c r="L1075" s="14"/>
      <c r="M1075" s="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"/>
      <c r="B1076" s="2"/>
      <c r="C1076" s="4"/>
      <c r="D1076" s="2"/>
      <c r="E1076" s="13"/>
      <c r="F1076" s="13"/>
      <c r="G1076" s="2"/>
      <c r="H1076" s="2"/>
      <c r="I1076" s="2"/>
      <c r="J1076" s="2"/>
      <c r="K1076" s="13"/>
      <c r="L1076" s="14"/>
      <c r="M1076" s="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"/>
      <c r="B1077" s="2"/>
      <c r="C1077" s="4"/>
      <c r="D1077" s="2"/>
      <c r="E1077" s="13"/>
      <c r="F1077" s="13"/>
      <c r="G1077" s="2"/>
      <c r="H1077" s="2"/>
      <c r="I1077" s="2"/>
      <c r="J1077" s="2"/>
      <c r="K1077" s="13"/>
      <c r="L1077" s="14"/>
      <c r="M1077" s="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"/>
      <c r="B1078" s="2"/>
      <c r="C1078" s="4"/>
      <c r="D1078" s="2"/>
      <c r="E1078" s="13"/>
      <c r="F1078" s="13"/>
      <c r="G1078" s="2"/>
      <c r="H1078" s="2"/>
      <c r="I1078" s="2"/>
      <c r="J1078" s="2"/>
      <c r="K1078" s="13"/>
      <c r="L1078" s="14"/>
      <c r="M1078" s="1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"/>
      <c r="B1079" s="2"/>
      <c r="C1079" s="4"/>
      <c r="D1079" s="2"/>
      <c r="E1079" s="13"/>
      <c r="F1079" s="13"/>
      <c r="G1079" s="2"/>
      <c r="H1079" s="2"/>
      <c r="I1079" s="2"/>
      <c r="J1079" s="2"/>
      <c r="K1079" s="13"/>
      <c r="L1079" s="14"/>
      <c r="M1079" s="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"/>
      <c r="B1080" s="2"/>
      <c r="C1080" s="4"/>
      <c r="D1080" s="2"/>
      <c r="E1080" s="13"/>
      <c r="F1080" s="13"/>
      <c r="G1080" s="2"/>
      <c r="H1080" s="2"/>
      <c r="I1080" s="2"/>
      <c r="J1080" s="2"/>
      <c r="K1080" s="13"/>
      <c r="L1080" s="14"/>
      <c r="M1080" s="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"/>
      <c r="B1081" s="2"/>
      <c r="C1081" s="4"/>
      <c r="D1081" s="2"/>
      <c r="E1081" s="13"/>
      <c r="F1081" s="13"/>
      <c r="G1081" s="2"/>
      <c r="H1081" s="2"/>
      <c r="I1081" s="2"/>
      <c r="J1081" s="2"/>
      <c r="K1081" s="13"/>
      <c r="L1081" s="14"/>
      <c r="M1081" s="1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1"/>
      <c r="B1082" s="2"/>
      <c r="C1082" s="4"/>
      <c r="D1082" s="2"/>
      <c r="E1082" s="13"/>
      <c r="F1082" s="13"/>
      <c r="G1082" s="2"/>
      <c r="H1082" s="2"/>
      <c r="I1082" s="2"/>
      <c r="J1082" s="2"/>
      <c r="K1082" s="13"/>
      <c r="L1082" s="14"/>
      <c r="M1082" s="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1"/>
      <c r="B1083" s="2"/>
      <c r="C1083" s="4"/>
      <c r="D1083" s="2"/>
      <c r="E1083" s="13"/>
      <c r="F1083" s="13"/>
      <c r="G1083" s="2"/>
      <c r="H1083" s="2"/>
      <c r="I1083" s="2"/>
      <c r="J1083" s="2"/>
      <c r="K1083" s="13"/>
      <c r="L1083" s="14"/>
      <c r="M1083" s="1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"/>
      <c r="B1084" s="2"/>
      <c r="C1084" s="4"/>
      <c r="D1084" s="2"/>
      <c r="E1084" s="13"/>
      <c r="F1084" s="13"/>
      <c r="G1084" s="2"/>
      <c r="H1084" s="2"/>
      <c r="I1084" s="2"/>
      <c r="J1084" s="2"/>
      <c r="K1084" s="13"/>
      <c r="L1084" s="14"/>
      <c r="M1084" s="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"/>
      <c r="B1085" s="2"/>
      <c r="C1085" s="4"/>
      <c r="D1085" s="2"/>
      <c r="E1085" s="13"/>
      <c r="F1085" s="13"/>
      <c r="G1085" s="2"/>
      <c r="H1085" s="2"/>
      <c r="I1085" s="2"/>
      <c r="J1085" s="2"/>
      <c r="K1085" s="13"/>
      <c r="L1085" s="14"/>
      <c r="M1085" s="1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"/>
      <c r="B1086" s="2"/>
      <c r="C1086" s="4"/>
      <c r="D1086" s="2"/>
      <c r="E1086" s="13"/>
      <c r="F1086" s="13"/>
      <c r="G1086" s="2"/>
      <c r="H1086" s="2"/>
      <c r="I1086" s="2"/>
      <c r="J1086" s="2"/>
      <c r="K1086" s="13"/>
      <c r="L1086" s="14"/>
      <c r="M1086" s="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"/>
      <c r="B1087" s="2"/>
      <c r="C1087" s="4"/>
      <c r="D1087" s="2"/>
      <c r="E1087" s="13"/>
      <c r="F1087" s="13"/>
      <c r="G1087" s="2"/>
      <c r="H1087" s="2"/>
      <c r="I1087" s="2"/>
      <c r="J1087" s="2"/>
      <c r="K1087" s="13"/>
      <c r="L1087" s="14"/>
      <c r="M1087" s="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"/>
      <c r="B1088" s="2"/>
      <c r="C1088" s="4"/>
      <c r="D1088" s="2"/>
      <c r="E1088" s="13"/>
      <c r="F1088" s="13"/>
      <c r="G1088" s="2"/>
      <c r="H1088" s="2"/>
      <c r="I1088" s="2"/>
      <c r="J1088" s="2"/>
      <c r="K1088" s="13"/>
      <c r="L1088" s="14"/>
      <c r="M1088" s="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"/>
      <c r="B1089" s="2"/>
      <c r="C1089" s="4"/>
      <c r="D1089" s="2"/>
      <c r="E1089" s="13"/>
      <c r="F1089" s="13"/>
      <c r="G1089" s="2"/>
      <c r="H1089" s="2"/>
      <c r="I1089" s="2"/>
      <c r="J1089" s="2"/>
      <c r="K1089" s="13"/>
      <c r="L1089" s="14"/>
      <c r="M1089" s="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"/>
      <c r="B1090" s="2"/>
      <c r="C1090" s="4"/>
      <c r="D1090" s="2"/>
      <c r="E1090" s="13"/>
      <c r="F1090" s="13"/>
      <c r="G1090" s="2"/>
      <c r="H1090" s="2"/>
      <c r="I1090" s="2"/>
      <c r="J1090" s="2"/>
      <c r="K1090" s="13"/>
      <c r="L1090" s="14"/>
      <c r="M1090" s="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"/>
      <c r="B1091" s="2"/>
      <c r="C1091" s="4"/>
      <c r="D1091" s="2"/>
      <c r="E1091" s="13"/>
      <c r="F1091" s="13"/>
      <c r="G1091" s="2"/>
      <c r="H1091" s="2"/>
      <c r="I1091" s="2"/>
      <c r="J1091" s="2"/>
      <c r="K1091" s="13"/>
      <c r="L1091" s="14"/>
      <c r="M1091" s="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"/>
      <c r="B1092" s="2"/>
      <c r="C1092" s="4"/>
      <c r="D1092" s="2"/>
      <c r="E1092" s="13"/>
      <c r="F1092" s="13"/>
      <c r="G1092" s="2"/>
      <c r="H1092" s="2"/>
      <c r="I1092" s="2"/>
      <c r="J1092" s="2"/>
      <c r="K1092" s="13"/>
      <c r="L1092" s="14"/>
      <c r="M1092" s="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"/>
      <c r="B1093" s="2"/>
      <c r="C1093" s="4"/>
      <c r="D1093" s="2"/>
      <c r="E1093" s="13"/>
      <c r="F1093" s="13"/>
      <c r="G1093" s="2"/>
      <c r="H1093" s="2"/>
      <c r="I1093" s="2"/>
      <c r="J1093" s="2"/>
      <c r="K1093" s="13"/>
      <c r="L1093" s="14"/>
      <c r="M1093" s="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"/>
      <c r="B1094" s="2"/>
      <c r="C1094" s="4"/>
      <c r="D1094" s="2"/>
      <c r="E1094" s="13"/>
      <c r="F1094" s="13"/>
      <c r="G1094" s="2"/>
      <c r="H1094" s="2"/>
      <c r="I1094" s="2"/>
      <c r="J1094" s="2"/>
      <c r="K1094" s="13"/>
      <c r="L1094" s="14"/>
      <c r="M1094" s="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"/>
      <c r="B1095" s="2"/>
      <c r="C1095" s="4"/>
      <c r="D1095" s="2"/>
      <c r="E1095" s="13"/>
      <c r="F1095" s="13"/>
      <c r="G1095" s="2"/>
      <c r="H1095" s="2"/>
      <c r="I1095" s="2"/>
      <c r="J1095" s="2"/>
      <c r="K1095" s="13"/>
      <c r="L1095" s="14"/>
      <c r="M1095" s="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"/>
      <c r="B1096" s="2"/>
      <c r="C1096" s="4"/>
      <c r="D1096" s="2"/>
      <c r="E1096" s="13"/>
      <c r="F1096" s="13"/>
      <c r="G1096" s="2"/>
      <c r="H1096" s="2"/>
      <c r="I1096" s="2"/>
      <c r="J1096" s="2"/>
      <c r="K1096" s="13"/>
      <c r="L1096" s="14"/>
      <c r="M1096" s="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"/>
      <c r="B1097" s="2"/>
      <c r="C1097" s="4"/>
      <c r="D1097" s="2"/>
      <c r="E1097" s="13"/>
      <c r="F1097" s="13"/>
      <c r="G1097" s="2"/>
      <c r="H1097" s="2"/>
      <c r="I1097" s="2"/>
      <c r="J1097" s="2"/>
      <c r="K1097" s="13"/>
      <c r="L1097" s="14"/>
      <c r="M1097" s="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1"/>
      <c r="B1098" s="2"/>
      <c r="C1098" s="4"/>
      <c r="D1098" s="2"/>
      <c r="E1098" s="13"/>
      <c r="F1098" s="13"/>
      <c r="G1098" s="2"/>
      <c r="H1098" s="2"/>
      <c r="I1098" s="2"/>
      <c r="J1098" s="2"/>
      <c r="K1098" s="13"/>
      <c r="L1098" s="14"/>
      <c r="M1098" s="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1"/>
      <c r="B1099" s="2"/>
      <c r="C1099" s="4"/>
      <c r="D1099" s="2"/>
      <c r="E1099" s="13"/>
      <c r="F1099" s="13"/>
      <c r="G1099" s="2"/>
      <c r="H1099" s="2"/>
      <c r="I1099" s="2"/>
      <c r="J1099" s="2"/>
      <c r="K1099" s="13"/>
      <c r="L1099" s="14"/>
      <c r="M1099" s="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"/>
      <c r="B1100" s="2"/>
      <c r="C1100" s="4"/>
      <c r="D1100" s="2"/>
      <c r="E1100" s="13"/>
      <c r="F1100" s="13"/>
      <c r="G1100" s="2"/>
      <c r="H1100" s="2"/>
      <c r="I1100" s="2"/>
      <c r="J1100" s="2"/>
      <c r="K1100" s="13"/>
      <c r="L1100" s="14"/>
      <c r="M1100" s="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"/>
      <c r="B1101" s="2"/>
      <c r="C1101" s="4"/>
      <c r="D1101" s="2"/>
      <c r="E1101" s="13"/>
      <c r="F1101" s="13"/>
      <c r="G1101" s="2"/>
      <c r="H1101" s="2"/>
      <c r="I1101" s="2"/>
      <c r="J1101" s="2"/>
      <c r="K1101" s="13"/>
      <c r="L1101" s="14"/>
      <c r="M1101" s="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"/>
      <c r="B1102" s="2"/>
      <c r="C1102" s="4"/>
      <c r="D1102" s="2"/>
      <c r="E1102" s="13"/>
      <c r="F1102" s="13"/>
      <c r="G1102" s="2"/>
      <c r="H1102" s="2"/>
      <c r="I1102" s="2"/>
      <c r="J1102" s="2"/>
      <c r="K1102" s="13"/>
      <c r="L1102" s="14"/>
      <c r="M1102" s="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"/>
      <c r="B1103" s="2"/>
      <c r="C1103" s="4"/>
      <c r="D1103" s="2"/>
      <c r="E1103" s="13"/>
      <c r="F1103" s="13"/>
      <c r="G1103" s="2"/>
      <c r="H1103" s="2"/>
      <c r="I1103" s="2"/>
      <c r="J1103" s="2"/>
      <c r="K1103" s="13"/>
      <c r="L1103" s="14"/>
      <c r="M1103" s="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"/>
      <c r="B1104" s="2"/>
      <c r="C1104" s="4"/>
      <c r="D1104" s="2"/>
      <c r="E1104" s="13"/>
      <c r="F1104" s="13"/>
      <c r="G1104" s="2"/>
      <c r="H1104" s="2"/>
      <c r="I1104" s="2"/>
      <c r="J1104" s="2"/>
      <c r="K1104" s="13"/>
      <c r="L1104" s="14"/>
      <c r="M1104" s="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"/>
      <c r="B1105" s="2"/>
      <c r="C1105" s="4"/>
      <c r="D1105" s="2"/>
      <c r="E1105" s="13"/>
      <c r="F1105" s="13"/>
      <c r="G1105" s="2"/>
      <c r="H1105" s="2"/>
      <c r="I1105" s="2"/>
      <c r="J1105" s="2"/>
      <c r="K1105" s="13"/>
      <c r="L1105" s="14"/>
      <c r="M1105" s="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"/>
      <c r="B1106" s="2"/>
      <c r="C1106" s="4"/>
      <c r="D1106" s="2"/>
      <c r="E1106" s="13"/>
      <c r="F1106" s="13"/>
      <c r="G1106" s="2"/>
      <c r="H1106" s="2"/>
      <c r="I1106" s="2"/>
      <c r="J1106" s="2"/>
      <c r="K1106" s="13"/>
      <c r="L1106" s="14"/>
      <c r="M1106" s="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1"/>
      <c r="B1107" s="2"/>
      <c r="C1107" s="4"/>
      <c r="D1107" s="2"/>
      <c r="E1107" s="13"/>
      <c r="F1107" s="13"/>
      <c r="G1107" s="2"/>
      <c r="H1107" s="2"/>
      <c r="I1107" s="2"/>
      <c r="J1107" s="2"/>
      <c r="K1107" s="13"/>
      <c r="L1107" s="14"/>
      <c r="M1107" s="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1"/>
      <c r="B1108" s="2"/>
      <c r="C1108" s="4"/>
      <c r="D1108" s="2"/>
      <c r="E1108" s="13"/>
      <c r="F1108" s="13"/>
      <c r="G1108" s="2"/>
      <c r="H1108" s="2"/>
      <c r="I1108" s="2"/>
      <c r="J1108" s="2"/>
      <c r="K1108" s="13"/>
      <c r="L1108" s="14"/>
      <c r="M1108" s="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"/>
      <c r="B1109" s="2"/>
      <c r="C1109" s="4"/>
      <c r="D1109" s="2"/>
      <c r="E1109" s="13"/>
      <c r="F1109" s="13"/>
      <c r="G1109" s="2"/>
      <c r="H1109" s="2"/>
      <c r="I1109" s="2"/>
      <c r="J1109" s="2"/>
      <c r="K1109" s="13"/>
      <c r="L1109" s="14"/>
      <c r="M1109" s="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"/>
      <c r="B1110" s="2"/>
      <c r="C1110" s="4"/>
      <c r="D1110" s="2"/>
      <c r="E1110" s="13"/>
      <c r="F1110" s="13"/>
      <c r="G1110" s="2"/>
      <c r="H1110" s="2"/>
      <c r="I1110" s="2"/>
      <c r="J1110" s="2"/>
      <c r="K1110" s="13"/>
      <c r="L1110" s="14"/>
      <c r="M1110" s="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"/>
      <c r="B1111" s="2"/>
      <c r="C1111" s="4"/>
      <c r="D1111" s="2"/>
      <c r="E1111" s="13"/>
      <c r="F1111" s="13"/>
      <c r="G1111" s="2"/>
      <c r="H1111" s="2"/>
      <c r="I1111" s="2"/>
      <c r="J1111" s="2"/>
      <c r="K1111" s="13"/>
      <c r="L1111" s="14"/>
      <c r="M1111" s="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"/>
      <c r="B1112" s="2"/>
      <c r="C1112" s="4"/>
      <c r="D1112" s="2"/>
      <c r="E1112" s="13"/>
      <c r="F1112" s="13"/>
      <c r="G1112" s="2"/>
      <c r="H1112" s="2"/>
      <c r="I1112" s="2"/>
      <c r="J1112" s="2"/>
      <c r="K1112" s="13"/>
      <c r="L1112" s="14"/>
      <c r="M1112" s="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"/>
      <c r="B1113" s="2"/>
      <c r="C1113" s="4"/>
      <c r="D1113" s="2"/>
      <c r="E1113" s="13"/>
      <c r="F1113" s="13"/>
      <c r="G1113" s="2"/>
      <c r="H1113" s="2"/>
      <c r="I1113" s="2"/>
      <c r="J1113" s="2"/>
      <c r="K1113" s="13"/>
      <c r="L1113" s="14"/>
      <c r="M1113" s="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"/>
      <c r="B1114" s="2"/>
      <c r="C1114" s="4"/>
      <c r="D1114" s="2"/>
      <c r="E1114" s="13"/>
      <c r="F1114" s="13"/>
      <c r="G1114" s="2"/>
      <c r="H1114" s="2"/>
      <c r="I1114" s="2"/>
      <c r="J1114" s="2"/>
      <c r="K1114" s="13"/>
      <c r="L1114" s="14"/>
      <c r="M1114" s="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"/>
      <c r="B1115" s="2"/>
      <c r="C1115" s="4"/>
      <c r="D1115" s="2"/>
      <c r="E1115" s="13"/>
      <c r="F1115" s="13"/>
      <c r="G1115" s="2"/>
      <c r="H1115" s="2"/>
      <c r="I1115" s="2"/>
      <c r="J1115" s="2"/>
      <c r="K1115" s="13"/>
      <c r="L1115" s="14"/>
      <c r="M1115" s="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"/>
      <c r="B1116" s="2"/>
      <c r="C1116" s="4"/>
      <c r="D1116" s="2"/>
      <c r="E1116" s="13"/>
      <c r="F1116" s="13"/>
      <c r="G1116" s="2"/>
      <c r="H1116" s="2"/>
      <c r="I1116" s="2"/>
      <c r="J1116" s="2"/>
      <c r="K1116" s="13"/>
      <c r="L1116" s="14"/>
      <c r="M1116" s="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"/>
      <c r="B1117" s="2"/>
      <c r="C1117" s="4"/>
      <c r="D1117" s="2"/>
      <c r="E1117" s="13"/>
      <c r="F1117" s="13"/>
      <c r="G1117" s="2"/>
      <c r="H1117" s="2"/>
      <c r="I1117" s="2"/>
      <c r="J1117" s="2"/>
      <c r="K1117" s="13"/>
      <c r="L1117" s="14"/>
      <c r="M1117" s="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"/>
      <c r="B1118" s="2"/>
      <c r="C1118" s="4"/>
      <c r="D1118" s="2"/>
      <c r="E1118" s="13"/>
      <c r="F1118" s="13"/>
      <c r="G1118" s="2"/>
      <c r="H1118" s="2"/>
      <c r="I1118" s="2"/>
      <c r="J1118" s="2"/>
      <c r="K1118" s="13"/>
      <c r="L1118" s="14"/>
      <c r="M1118" s="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"/>
      <c r="B1119" s="2"/>
      <c r="C1119" s="4"/>
      <c r="D1119" s="2"/>
      <c r="E1119" s="13"/>
      <c r="F1119" s="13"/>
      <c r="G1119" s="2"/>
      <c r="H1119" s="2"/>
      <c r="I1119" s="2"/>
      <c r="J1119" s="2"/>
      <c r="K1119" s="13"/>
      <c r="L1119" s="14"/>
      <c r="M1119" s="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"/>
      <c r="B1120" s="2"/>
      <c r="C1120" s="4"/>
      <c r="D1120" s="2"/>
      <c r="E1120" s="13"/>
      <c r="F1120" s="13"/>
      <c r="G1120" s="2"/>
      <c r="H1120" s="2"/>
      <c r="I1120" s="2"/>
      <c r="J1120" s="2"/>
      <c r="K1120" s="13"/>
      <c r="L1120" s="14"/>
      <c r="M1120" s="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"/>
      <c r="B1121" s="2"/>
      <c r="C1121" s="4"/>
      <c r="D1121" s="2"/>
      <c r="E1121" s="13"/>
      <c r="F1121" s="13"/>
      <c r="G1121" s="2"/>
      <c r="H1121" s="2"/>
      <c r="I1121" s="2"/>
      <c r="J1121" s="2"/>
      <c r="K1121" s="13"/>
      <c r="L1121" s="14"/>
      <c r="M1121" s="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1"/>
      <c r="B1122" s="2"/>
      <c r="C1122" s="4"/>
      <c r="D1122" s="2"/>
      <c r="E1122" s="13"/>
      <c r="F1122" s="13"/>
      <c r="G1122" s="2"/>
      <c r="H1122" s="2"/>
      <c r="I1122" s="2"/>
      <c r="J1122" s="2"/>
      <c r="K1122" s="13"/>
      <c r="L1122" s="14"/>
      <c r="M1122" s="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1"/>
      <c r="B1123" s="2"/>
      <c r="C1123" s="4"/>
      <c r="D1123" s="2"/>
      <c r="E1123" s="13"/>
      <c r="F1123" s="13"/>
      <c r="G1123" s="2"/>
      <c r="H1123" s="2"/>
      <c r="I1123" s="2"/>
      <c r="J1123" s="2"/>
      <c r="K1123" s="13"/>
      <c r="L1123" s="14"/>
      <c r="M1123" s="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"/>
      <c r="B1124" s="2"/>
      <c r="C1124" s="4"/>
      <c r="D1124" s="2"/>
      <c r="E1124" s="13"/>
      <c r="F1124" s="13"/>
      <c r="G1124" s="2"/>
      <c r="H1124" s="2"/>
      <c r="I1124" s="2"/>
      <c r="J1124" s="2"/>
      <c r="K1124" s="13"/>
      <c r="L1124" s="14"/>
      <c r="M1124" s="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"/>
      <c r="B1125" s="2"/>
      <c r="C1125" s="4"/>
      <c r="D1125" s="2"/>
      <c r="E1125" s="13"/>
      <c r="F1125" s="13"/>
      <c r="G1125" s="2"/>
      <c r="H1125" s="2"/>
      <c r="I1125" s="2"/>
      <c r="J1125" s="2"/>
      <c r="K1125" s="13"/>
      <c r="L1125" s="14"/>
      <c r="M1125" s="1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"/>
      <c r="B1126" s="2"/>
      <c r="C1126" s="4"/>
      <c r="D1126" s="2"/>
      <c r="E1126" s="13"/>
      <c r="F1126" s="13"/>
      <c r="G1126" s="2"/>
      <c r="H1126" s="2"/>
      <c r="I1126" s="2"/>
      <c r="J1126" s="2"/>
      <c r="K1126" s="13"/>
      <c r="L1126" s="14"/>
      <c r="M1126" s="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1"/>
      <c r="B1127" s="2"/>
      <c r="C1127" s="4"/>
      <c r="D1127" s="2"/>
      <c r="E1127" s="13"/>
      <c r="F1127" s="13"/>
      <c r="G1127" s="2"/>
      <c r="H1127" s="2"/>
      <c r="I1127" s="2"/>
      <c r="J1127" s="2"/>
      <c r="K1127" s="13"/>
      <c r="L1127" s="14"/>
      <c r="M1127" s="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1"/>
      <c r="B1128" s="2"/>
      <c r="C1128" s="4"/>
      <c r="D1128" s="2"/>
      <c r="E1128" s="13"/>
      <c r="F1128" s="13"/>
      <c r="G1128" s="2"/>
      <c r="H1128" s="2"/>
      <c r="I1128" s="2"/>
      <c r="J1128" s="2"/>
      <c r="K1128" s="13"/>
      <c r="L1128" s="14"/>
      <c r="M1128" s="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"/>
      <c r="B1129" s="2"/>
      <c r="C1129" s="4"/>
      <c r="D1129" s="2"/>
      <c r="E1129" s="13"/>
      <c r="F1129" s="13"/>
      <c r="G1129" s="2"/>
      <c r="H1129" s="2"/>
      <c r="I1129" s="2"/>
      <c r="J1129" s="2"/>
      <c r="K1129" s="13"/>
      <c r="L1129" s="14"/>
      <c r="M1129" s="1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1"/>
      <c r="B1130" s="2"/>
      <c r="C1130" s="4"/>
      <c r="D1130" s="2"/>
      <c r="E1130" s="13"/>
      <c r="F1130" s="13"/>
      <c r="G1130" s="2"/>
      <c r="H1130" s="2"/>
      <c r="I1130" s="2"/>
      <c r="J1130" s="2"/>
      <c r="K1130" s="13"/>
      <c r="L1130" s="14"/>
      <c r="M1130" s="1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1"/>
      <c r="B1131" s="2"/>
      <c r="C1131" s="4"/>
      <c r="D1131" s="2"/>
      <c r="E1131" s="13"/>
      <c r="F1131" s="13"/>
      <c r="G1131" s="2"/>
      <c r="H1131" s="2"/>
      <c r="I1131" s="2"/>
      <c r="J1131" s="2"/>
      <c r="K1131" s="13"/>
      <c r="L1131" s="14"/>
      <c r="M1131" s="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"/>
      <c r="B1132" s="2"/>
      <c r="C1132" s="4"/>
      <c r="D1132" s="2"/>
      <c r="E1132" s="13"/>
      <c r="F1132" s="13"/>
      <c r="G1132" s="2"/>
      <c r="H1132" s="2"/>
      <c r="I1132" s="2"/>
      <c r="J1132" s="2"/>
      <c r="K1132" s="13"/>
      <c r="L1132" s="14"/>
      <c r="M1132" s="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"/>
      <c r="B1133" s="2"/>
      <c r="C1133" s="4"/>
      <c r="D1133" s="2"/>
      <c r="E1133" s="13"/>
      <c r="F1133" s="13"/>
      <c r="G1133" s="2"/>
      <c r="H1133" s="2"/>
      <c r="I1133" s="2"/>
      <c r="J1133" s="2"/>
      <c r="K1133" s="13"/>
      <c r="L1133" s="14"/>
      <c r="M1133" s="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"/>
      <c r="B1134" s="2"/>
      <c r="C1134" s="4"/>
      <c r="D1134" s="2"/>
      <c r="E1134" s="13"/>
      <c r="F1134" s="13"/>
      <c r="G1134" s="2"/>
      <c r="H1134" s="2"/>
      <c r="I1134" s="2"/>
      <c r="J1134" s="2"/>
      <c r="K1134" s="13"/>
      <c r="L1134" s="14"/>
      <c r="M1134" s="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"/>
      <c r="B1135" s="2"/>
      <c r="C1135" s="4"/>
      <c r="D1135" s="2"/>
      <c r="E1135" s="13"/>
      <c r="F1135" s="13"/>
      <c r="G1135" s="2"/>
      <c r="H1135" s="2"/>
      <c r="I1135" s="2"/>
      <c r="J1135" s="2"/>
      <c r="K1135" s="13"/>
      <c r="L1135" s="14"/>
      <c r="M1135" s="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"/>
      <c r="B1136" s="2"/>
      <c r="C1136" s="4"/>
      <c r="D1136" s="2"/>
      <c r="E1136" s="13"/>
      <c r="F1136" s="13"/>
      <c r="G1136" s="2"/>
      <c r="H1136" s="2"/>
      <c r="I1136" s="2"/>
      <c r="J1136" s="2"/>
      <c r="K1136" s="13"/>
      <c r="L1136" s="14"/>
      <c r="M1136" s="1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"/>
      <c r="B1137" s="2"/>
      <c r="C1137" s="4"/>
      <c r="D1137" s="2"/>
      <c r="E1137" s="13"/>
      <c r="F1137" s="13"/>
      <c r="G1137" s="2"/>
      <c r="H1137" s="2"/>
      <c r="I1137" s="2"/>
      <c r="J1137" s="2"/>
      <c r="K1137" s="13"/>
      <c r="L1137" s="14"/>
      <c r="M1137" s="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1"/>
      <c r="B1138" s="2"/>
      <c r="C1138" s="4"/>
      <c r="D1138" s="2"/>
      <c r="E1138" s="13"/>
      <c r="F1138" s="13"/>
      <c r="G1138" s="2"/>
      <c r="H1138" s="2"/>
      <c r="I1138" s="2"/>
      <c r="J1138" s="2"/>
      <c r="K1138" s="13"/>
      <c r="L1138" s="14"/>
      <c r="M1138" s="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1"/>
      <c r="B1139" s="2"/>
      <c r="C1139" s="4"/>
      <c r="D1139" s="2"/>
      <c r="E1139" s="13"/>
      <c r="F1139" s="13"/>
      <c r="G1139" s="2"/>
      <c r="H1139" s="2"/>
      <c r="I1139" s="2"/>
      <c r="J1139" s="2"/>
      <c r="K1139" s="13"/>
      <c r="L1139" s="14"/>
      <c r="M1139" s="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"/>
      <c r="B1140" s="2"/>
      <c r="C1140" s="4"/>
      <c r="D1140" s="2"/>
      <c r="E1140" s="13"/>
      <c r="F1140" s="13"/>
      <c r="G1140" s="2"/>
      <c r="H1140" s="2"/>
      <c r="I1140" s="2"/>
      <c r="J1140" s="2"/>
      <c r="K1140" s="13"/>
      <c r="L1140" s="14"/>
      <c r="M1140" s="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"/>
      <c r="B1141" s="2"/>
      <c r="C1141" s="4"/>
      <c r="D1141" s="2"/>
      <c r="E1141" s="13"/>
      <c r="F1141" s="13"/>
      <c r="G1141" s="2"/>
      <c r="H1141" s="2"/>
      <c r="I1141" s="2"/>
      <c r="J1141" s="2"/>
      <c r="K1141" s="13"/>
      <c r="L1141" s="14"/>
      <c r="M1141" s="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"/>
      <c r="B1142" s="2"/>
      <c r="C1142" s="4"/>
      <c r="D1142" s="2"/>
      <c r="E1142" s="13"/>
      <c r="F1142" s="13"/>
      <c r="G1142" s="2"/>
      <c r="H1142" s="2"/>
      <c r="I1142" s="2"/>
      <c r="J1142" s="2"/>
      <c r="K1142" s="13"/>
      <c r="L1142" s="14"/>
      <c r="M1142" s="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"/>
      <c r="B1143" s="2"/>
      <c r="C1143" s="4"/>
      <c r="D1143" s="2"/>
      <c r="E1143" s="13"/>
      <c r="F1143" s="13"/>
      <c r="G1143" s="2"/>
      <c r="H1143" s="2"/>
      <c r="I1143" s="2"/>
      <c r="J1143" s="2"/>
      <c r="K1143" s="13"/>
      <c r="L1143" s="14"/>
      <c r="M1143" s="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"/>
      <c r="B1144" s="2"/>
      <c r="C1144" s="4"/>
      <c r="D1144" s="2"/>
      <c r="E1144" s="13"/>
      <c r="F1144" s="13"/>
      <c r="G1144" s="2"/>
      <c r="H1144" s="2"/>
      <c r="I1144" s="2"/>
      <c r="J1144" s="2"/>
      <c r="K1144" s="13"/>
      <c r="L1144" s="14"/>
      <c r="M1144" s="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"/>
      <c r="B1145" s="2"/>
      <c r="C1145" s="4"/>
      <c r="D1145" s="2"/>
      <c r="E1145" s="13"/>
      <c r="F1145" s="13"/>
      <c r="G1145" s="2"/>
      <c r="H1145" s="2"/>
      <c r="I1145" s="2"/>
      <c r="J1145" s="2"/>
      <c r="K1145" s="13"/>
      <c r="L1145" s="14"/>
      <c r="M1145" s="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"/>
      <c r="B1146" s="2"/>
      <c r="C1146" s="4"/>
      <c r="D1146" s="2"/>
      <c r="E1146" s="13"/>
      <c r="F1146" s="13"/>
      <c r="G1146" s="2"/>
      <c r="H1146" s="2"/>
      <c r="I1146" s="2"/>
      <c r="J1146" s="2"/>
      <c r="K1146" s="13"/>
      <c r="L1146" s="14"/>
      <c r="M1146" s="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"/>
      <c r="B1147" s="2"/>
      <c r="C1147" s="4"/>
      <c r="D1147" s="2"/>
      <c r="E1147" s="13"/>
      <c r="F1147" s="13"/>
      <c r="G1147" s="2"/>
      <c r="H1147" s="2"/>
      <c r="I1147" s="2"/>
      <c r="J1147" s="2"/>
      <c r="K1147" s="13"/>
      <c r="L1147" s="14"/>
      <c r="M1147" s="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"/>
      <c r="B1148" s="2"/>
      <c r="C1148" s="4"/>
      <c r="D1148" s="2"/>
      <c r="E1148" s="13"/>
      <c r="F1148" s="13"/>
      <c r="G1148" s="2"/>
      <c r="H1148" s="2"/>
      <c r="I1148" s="2"/>
      <c r="J1148" s="2"/>
      <c r="K1148" s="13"/>
      <c r="L1148" s="14"/>
      <c r="M1148" s="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"/>
      <c r="B1149" s="2"/>
      <c r="C1149" s="4"/>
      <c r="D1149" s="2"/>
      <c r="E1149" s="13"/>
      <c r="F1149" s="13"/>
      <c r="G1149" s="2"/>
      <c r="H1149" s="2"/>
      <c r="I1149" s="2"/>
      <c r="J1149" s="2"/>
      <c r="K1149" s="13"/>
      <c r="L1149" s="14"/>
      <c r="M1149" s="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1"/>
      <c r="B1150" s="2"/>
      <c r="C1150" s="4"/>
      <c r="D1150" s="2"/>
      <c r="E1150" s="13"/>
      <c r="F1150" s="13"/>
      <c r="G1150" s="2"/>
      <c r="H1150" s="2"/>
      <c r="I1150" s="2"/>
      <c r="J1150" s="2"/>
      <c r="K1150" s="13"/>
      <c r="L1150" s="14"/>
      <c r="M1150" s="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1"/>
      <c r="B1151" s="2"/>
      <c r="C1151" s="4"/>
      <c r="D1151" s="2"/>
      <c r="E1151" s="13"/>
      <c r="F1151" s="13"/>
      <c r="G1151" s="2"/>
      <c r="H1151" s="2"/>
      <c r="I1151" s="2"/>
      <c r="J1151" s="2"/>
      <c r="K1151" s="13"/>
      <c r="L1151" s="14"/>
      <c r="M1151" s="1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"/>
      <c r="B1152" s="2"/>
      <c r="C1152" s="4"/>
      <c r="D1152" s="2"/>
      <c r="E1152" s="13"/>
      <c r="F1152" s="13"/>
      <c r="G1152" s="2"/>
      <c r="H1152" s="2"/>
      <c r="I1152" s="2"/>
      <c r="J1152" s="2"/>
      <c r="K1152" s="13"/>
      <c r="L1152" s="14"/>
      <c r="M1152" s="1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"/>
      <c r="B1153" s="2"/>
      <c r="C1153" s="4"/>
      <c r="D1153" s="2"/>
      <c r="E1153" s="13"/>
      <c r="F1153" s="13"/>
      <c r="G1153" s="2"/>
      <c r="H1153" s="2"/>
      <c r="I1153" s="2"/>
      <c r="J1153" s="2"/>
      <c r="K1153" s="13"/>
      <c r="L1153" s="14"/>
      <c r="M1153" s="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"/>
      <c r="B1154" s="2"/>
      <c r="C1154" s="4"/>
      <c r="D1154" s="2"/>
      <c r="E1154" s="13"/>
      <c r="F1154" s="13"/>
      <c r="G1154" s="2"/>
      <c r="H1154" s="2"/>
      <c r="I1154" s="2"/>
      <c r="J1154" s="2"/>
      <c r="K1154" s="13"/>
      <c r="L1154" s="14"/>
      <c r="M1154" s="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"/>
      <c r="B1155" s="2"/>
      <c r="C1155" s="4"/>
      <c r="D1155" s="2"/>
      <c r="E1155" s="13"/>
      <c r="F1155" s="13"/>
      <c r="G1155" s="2"/>
      <c r="H1155" s="2"/>
      <c r="I1155" s="2"/>
      <c r="J1155" s="2"/>
      <c r="K1155" s="13"/>
      <c r="L1155" s="14"/>
      <c r="M1155" s="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"/>
      <c r="B1156" s="2"/>
      <c r="C1156" s="4"/>
      <c r="D1156" s="2"/>
      <c r="E1156" s="13"/>
      <c r="F1156" s="13"/>
      <c r="G1156" s="2"/>
      <c r="H1156" s="2"/>
      <c r="I1156" s="2"/>
      <c r="J1156" s="2"/>
      <c r="K1156" s="13"/>
      <c r="L1156" s="14"/>
      <c r="M1156" s="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"/>
      <c r="B1157" s="2"/>
      <c r="C1157" s="4"/>
      <c r="D1157" s="2"/>
      <c r="E1157" s="13"/>
      <c r="F1157" s="13"/>
      <c r="G1157" s="2"/>
      <c r="H1157" s="2"/>
      <c r="I1157" s="2"/>
      <c r="J1157" s="2"/>
      <c r="K1157" s="13"/>
      <c r="L1157" s="14"/>
      <c r="M1157" s="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"/>
      <c r="B1158" s="2"/>
      <c r="C1158" s="4"/>
      <c r="D1158" s="2"/>
      <c r="E1158" s="13"/>
      <c r="F1158" s="13"/>
      <c r="G1158" s="2"/>
      <c r="H1158" s="2"/>
      <c r="I1158" s="2"/>
      <c r="J1158" s="2"/>
      <c r="K1158" s="13"/>
      <c r="L1158" s="14"/>
      <c r="M1158" s="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"/>
      <c r="B1159" s="2"/>
      <c r="C1159" s="4"/>
      <c r="D1159" s="2"/>
      <c r="E1159" s="13"/>
      <c r="F1159" s="13"/>
      <c r="G1159" s="2"/>
      <c r="H1159" s="2"/>
      <c r="I1159" s="2"/>
      <c r="J1159" s="2"/>
      <c r="K1159" s="13"/>
      <c r="L1159" s="14"/>
      <c r="M1159" s="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"/>
      <c r="B1160" s="2"/>
      <c r="C1160" s="4"/>
      <c r="D1160" s="2"/>
      <c r="E1160" s="13"/>
      <c r="F1160" s="13"/>
      <c r="G1160" s="2"/>
      <c r="H1160" s="2"/>
      <c r="I1160" s="2"/>
      <c r="J1160" s="2"/>
      <c r="K1160" s="13"/>
      <c r="L1160" s="14"/>
      <c r="M1160" s="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"/>
      <c r="B1161" s="2"/>
      <c r="C1161" s="4"/>
      <c r="D1161" s="2"/>
      <c r="E1161" s="13"/>
      <c r="F1161" s="13"/>
      <c r="G1161" s="2"/>
      <c r="H1161" s="2"/>
      <c r="I1161" s="2"/>
      <c r="J1161" s="2"/>
      <c r="K1161" s="13"/>
      <c r="L1161" s="14"/>
      <c r="M1161" s="1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1"/>
      <c r="B1162" s="2"/>
      <c r="C1162" s="4"/>
      <c r="D1162" s="2"/>
      <c r="E1162" s="13"/>
      <c r="F1162" s="13"/>
      <c r="G1162" s="2"/>
      <c r="H1162" s="2"/>
      <c r="I1162" s="2"/>
      <c r="J1162" s="2"/>
      <c r="K1162" s="13"/>
      <c r="L1162" s="14"/>
      <c r="M1162" s="1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1"/>
      <c r="B1163" s="2"/>
      <c r="C1163" s="4"/>
      <c r="D1163" s="2"/>
      <c r="E1163" s="13"/>
      <c r="F1163" s="13"/>
      <c r="G1163" s="2"/>
      <c r="H1163" s="2"/>
      <c r="I1163" s="2"/>
      <c r="J1163" s="2"/>
      <c r="K1163" s="13"/>
      <c r="L1163" s="14"/>
      <c r="M1163" s="1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"/>
      <c r="B1164" s="2"/>
      <c r="C1164" s="4"/>
      <c r="D1164" s="2"/>
      <c r="E1164" s="13"/>
      <c r="F1164" s="13"/>
      <c r="G1164" s="2"/>
      <c r="H1164" s="2"/>
      <c r="I1164" s="2"/>
      <c r="J1164" s="2"/>
      <c r="K1164" s="13"/>
      <c r="L1164" s="14"/>
      <c r="M1164" s="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"/>
      <c r="B1165" s="2"/>
      <c r="C1165" s="4"/>
      <c r="D1165" s="2"/>
      <c r="E1165" s="13"/>
      <c r="F1165" s="13"/>
      <c r="G1165" s="2"/>
      <c r="H1165" s="2"/>
      <c r="I1165" s="2"/>
      <c r="J1165" s="2"/>
      <c r="K1165" s="13"/>
      <c r="L1165" s="14"/>
      <c r="M1165" s="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"/>
      <c r="B1166" s="2"/>
      <c r="C1166" s="4"/>
      <c r="D1166" s="2"/>
      <c r="E1166" s="13"/>
      <c r="F1166" s="13"/>
      <c r="G1166" s="2"/>
      <c r="H1166" s="2"/>
      <c r="I1166" s="2"/>
      <c r="J1166" s="2"/>
      <c r="K1166" s="13"/>
      <c r="L1166" s="14"/>
      <c r="M1166" s="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"/>
      <c r="B1167" s="2"/>
      <c r="C1167" s="4"/>
      <c r="D1167" s="2"/>
      <c r="E1167" s="13"/>
      <c r="F1167" s="13"/>
      <c r="G1167" s="2"/>
      <c r="H1167" s="2"/>
      <c r="I1167" s="2"/>
      <c r="J1167" s="2"/>
      <c r="K1167" s="13"/>
      <c r="L1167" s="14"/>
      <c r="M1167" s="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"/>
      <c r="B1168" s="2"/>
      <c r="C1168" s="4"/>
      <c r="D1168" s="2"/>
      <c r="E1168" s="13"/>
      <c r="F1168" s="13"/>
      <c r="G1168" s="2"/>
      <c r="H1168" s="2"/>
      <c r="I1168" s="2"/>
      <c r="J1168" s="2"/>
      <c r="K1168" s="13"/>
      <c r="L1168" s="14"/>
      <c r="M1168" s="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1"/>
      <c r="B1169" s="2"/>
      <c r="C1169" s="4"/>
      <c r="D1169" s="2"/>
      <c r="E1169" s="13"/>
      <c r="F1169" s="13"/>
      <c r="G1169" s="2"/>
      <c r="H1169" s="2"/>
      <c r="I1169" s="2"/>
      <c r="J1169" s="2"/>
      <c r="K1169" s="13"/>
      <c r="L1169" s="14"/>
      <c r="M1169" s="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1"/>
      <c r="B1170" s="2"/>
      <c r="C1170" s="4"/>
      <c r="D1170" s="2"/>
      <c r="E1170" s="13"/>
      <c r="F1170" s="13"/>
      <c r="G1170" s="2"/>
      <c r="H1170" s="2"/>
      <c r="I1170" s="2"/>
      <c r="J1170" s="2"/>
      <c r="K1170" s="13"/>
      <c r="L1170" s="14"/>
      <c r="M1170" s="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"/>
      <c r="B1171" s="2"/>
      <c r="C1171" s="4"/>
      <c r="D1171" s="2"/>
      <c r="E1171" s="13"/>
      <c r="F1171" s="13"/>
      <c r="G1171" s="2"/>
      <c r="H1171" s="2"/>
      <c r="I1171" s="2"/>
      <c r="J1171" s="2"/>
      <c r="K1171" s="13"/>
      <c r="L1171" s="14"/>
      <c r="M1171" s="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"/>
      <c r="B1172" s="2"/>
      <c r="C1172" s="4"/>
      <c r="D1172" s="2"/>
      <c r="E1172" s="13"/>
      <c r="F1172" s="13"/>
      <c r="G1172" s="2"/>
      <c r="H1172" s="2"/>
      <c r="I1172" s="2"/>
      <c r="J1172" s="2"/>
      <c r="K1172" s="13"/>
      <c r="L1172" s="14"/>
      <c r="M1172" s="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"/>
      <c r="B1173" s="2"/>
      <c r="C1173" s="4"/>
      <c r="D1173" s="2"/>
      <c r="E1173" s="13"/>
      <c r="F1173" s="13"/>
      <c r="G1173" s="2"/>
      <c r="H1173" s="2"/>
      <c r="I1173" s="2"/>
      <c r="J1173" s="2"/>
      <c r="K1173" s="13"/>
      <c r="L1173" s="14"/>
      <c r="M1173" s="1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"/>
      <c r="B1174" s="2"/>
      <c r="C1174" s="4"/>
      <c r="D1174" s="2"/>
      <c r="E1174" s="13"/>
      <c r="F1174" s="13"/>
      <c r="G1174" s="2"/>
      <c r="H1174" s="2"/>
      <c r="I1174" s="2"/>
      <c r="J1174" s="2"/>
      <c r="K1174" s="13"/>
      <c r="L1174" s="14"/>
      <c r="M1174" s="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"/>
      <c r="B1175" s="2"/>
      <c r="C1175" s="4"/>
      <c r="D1175" s="2"/>
      <c r="E1175" s="13"/>
      <c r="F1175" s="13"/>
      <c r="G1175" s="2"/>
      <c r="H1175" s="2"/>
      <c r="I1175" s="2"/>
      <c r="J1175" s="2"/>
      <c r="K1175" s="13"/>
      <c r="L1175" s="14"/>
      <c r="M1175" s="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"/>
      <c r="B1176" s="2"/>
      <c r="C1176" s="4"/>
      <c r="D1176" s="2"/>
      <c r="E1176" s="13"/>
      <c r="F1176" s="13"/>
      <c r="G1176" s="2"/>
      <c r="H1176" s="2"/>
      <c r="I1176" s="2"/>
      <c r="J1176" s="2"/>
      <c r="K1176" s="13"/>
      <c r="L1176" s="14"/>
      <c r="M1176" s="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">
      <c r="A1177" s="1"/>
      <c r="B1177" s="2"/>
      <c r="C1177" s="4"/>
      <c r="D1177" s="2"/>
      <c r="E1177" s="13"/>
      <c r="F1177" s="13"/>
      <c r="G1177" s="2"/>
      <c r="H1177" s="2"/>
      <c r="I1177" s="2"/>
      <c r="J1177" s="2"/>
      <c r="K1177" s="13"/>
      <c r="L1177" s="14"/>
      <c r="M1177" s="1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"/>
      <c r="B1178" s="2"/>
      <c r="C1178" s="4"/>
      <c r="D1178" s="2"/>
      <c r="E1178" s="13"/>
      <c r="F1178" s="13"/>
      <c r="G1178" s="2"/>
      <c r="H1178" s="2"/>
      <c r="I1178" s="2"/>
      <c r="J1178" s="2"/>
      <c r="K1178" s="13"/>
      <c r="L1178" s="14"/>
      <c r="M1178" s="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"/>
      <c r="B1179" s="2"/>
      <c r="C1179" s="4"/>
      <c r="D1179" s="2"/>
      <c r="E1179" s="13"/>
      <c r="F1179" s="13"/>
      <c r="G1179" s="2"/>
      <c r="H1179" s="2"/>
      <c r="I1179" s="2"/>
      <c r="J1179" s="2"/>
      <c r="K1179" s="13"/>
      <c r="L1179" s="14"/>
      <c r="M1179" s="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"/>
      <c r="B1180" s="2"/>
      <c r="C1180" s="4"/>
      <c r="D1180" s="2"/>
      <c r="E1180" s="13"/>
      <c r="F1180" s="13"/>
      <c r="G1180" s="2"/>
      <c r="H1180" s="2"/>
      <c r="I1180" s="2"/>
      <c r="J1180" s="2"/>
      <c r="K1180" s="13"/>
      <c r="L1180" s="14"/>
      <c r="M1180" s="1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"/>
      <c r="B1181" s="2"/>
      <c r="C1181" s="4"/>
      <c r="D1181" s="2"/>
      <c r="E1181" s="13"/>
      <c r="F1181" s="13"/>
      <c r="G1181" s="2"/>
      <c r="H1181" s="2"/>
      <c r="I1181" s="2"/>
      <c r="J1181" s="2"/>
      <c r="K1181" s="13"/>
      <c r="L1181" s="14"/>
      <c r="M1181" s="1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"/>
      <c r="B1182" s="2"/>
      <c r="C1182" s="4"/>
      <c r="D1182" s="2"/>
      <c r="E1182" s="13"/>
      <c r="F1182" s="13"/>
      <c r="G1182" s="2"/>
      <c r="H1182" s="2"/>
      <c r="I1182" s="2"/>
      <c r="J1182" s="2"/>
      <c r="K1182" s="13"/>
      <c r="L1182" s="14"/>
      <c r="M1182" s="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"/>
      <c r="B1183" s="2"/>
      <c r="C1183" s="4"/>
      <c r="D1183" s="2"/>
      <c r="E1183" s="13"/>
      <c r="F1183" s="13"/>
      <c r="G1183" s="2"/>
      <c r="H1183" s="2"/>
      <c r="I1183" s="2"/>
      <c r="J1183" s="2"/>
      <c r="K1183" s="13"/>
      <c r="L1183" s="14"/>
      <c r="M1183" s="1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"/>
      <c r="B1184" s="2"/>
      <c r="C1184" s="4"/>
      <c r="D1184" s="2"/>
      <c r="E1184" s="13"/>
      <c r="F1184" s="13"/>
      <c r="G1184" s="2"/>
      <c r="H1184" s="2"/>
      <c r="I1184" s="2"/>
      <c r="J1184" s="2"/>
      <c r="K1184" s="13"/>
      <c r="L1184" s="14"/>
      <c r="M1184" s="1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"/>
      <c r="B1185" s="2"/>
      <c r="C1185" s="4"/>
      <c r="D1185" s="2"/>
      <c r="E1185" s="13"/>
      <c r="F1185" s="13"/>
      <c r="G1185" s="2"/>
      <c r="H1185" s="2"/>
      <c r="I1185" s="2"/>
      <c r="J1185" s="2"/>
      <c r="K1185" s="13"/>
      <c r="L1185" s="14"/>
      <c r="M1185" s="1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"/>
      <c r="B1186" s="2"/>
      <c r="C1186" s="4"/>
      <c r="D1186" s="2"/>
      <c r="E1186" s="13"/>
      <c r="F1186" s="13"/>
      <c r="G1186" s="2"/>
      <c r="H1186" s="2"/>
      <c r="I1186" s="2"/>
      <c r="J1186" s="2"/>
      <c r="K1186" s="13"/>
      <c r="L1186" s="14"/>
      <c r="M1186" s="1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"/>
      <c r="B1187" s="2"/>
      <c r="C1187" s="4"/>
      <c r="D1187" s="2"/>
      <c r="E1187" s="13"/>
      <c r="F1187" s="13"/>
      <c r="G1187" s="2"/>
      <c r="H1187" s="2"/>
      <c r="I1187" s="2"/>
      <c r="J1187" s="2"/>
      <c r="K1187" s="13"/>
      <c r="L1187" s="14"/>
      <c r="M1187" s="1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"/>
      <c r="B1188" s="2"/>
      <c r="C1188" s="4"/>
      <c r="D1188" s="2"/>
      <c r="E1188" s="13"/>
      <c r="F1188" s="13"/>
      <c r="G1188" s="2"/>
      <c r="H1188" s="2"/>
      <c r="I1188" s="2"/>
      <c r="J1188" s="2"/>
      <c r="K1188" s="13"/>
      <c r="L1188" s="14"/>
      <c r="M1188" s="1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"/>
      <c r="B1189" s="2"/>
      <c r="C1189" s="4"/>
      <c r="D1189" s="2"/>
      <c r="E1189" s="13"/>
      <c r="F1189" s="13"/>
      <c r="G1189" s="2"/>
      <c r="H1189" s="2"/>
      <c r="I1189" s="2"/>
      <c r="J1189" s="2"/>
      <c r="K1189" s="13"/>
      <c r="L1189" s="14"/>
      <c r="M1189" s="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"/>
      <c r="B1190" s="2"/>
      <c r="C1190" s="4"/>
      <c r="D1190" s="2"/>
      <c r="E1190" s="13"/>
      <c r="F1190" s="13"/>
      <c r="G1190" s="2"/>
      <c r="H1190" s="2"/>
      <c r="I1190" s="2"/>
      <c r="J1190" s="2"/>
      <c r="K1190" s="13"/>
      <c r="L1190" s="14"/>
      <c r="M1190" s="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"/>
      <c r="B1191" s="2"/>
      <c r="C1191" s="4"/>
      <c r="D1191" s="2"/>
      <c r="E1191" s="13"/>
      <c r="F1191" s="13"/>
      <c r="G1191" s="2"/>
      <c r="H1191" s="2"/>
      <c r="I1191" s="2"/>
      <c r="J1191" s="2"/>
      <c r="K1191" s="13"/>
      <c r="L1191" s="14"/>
      <c r="M1191" s="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"/>
      <c r="B1192" s="2"/>
      <c r="C1192" s="4"/>
      <c r="D1192" s="2"/>
      <c r="E1192" s="13"/>
      <c r="F1192" s="13"/>
      <c r="G1192" s="2"/>
      <c r="H1192" s="2"/>
      <c r="I1192" s="2"/>
      <c r="J1192" s="2"/>
      <c r="K1192" s="13"/>
      <c r="L1192" s="14"/>
      <c r="M1192" s="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"/>
      <c r="B1193" s="2"/>
      <c r="C1193" s="4"/>
      <c r="D1193" s="2"/>
      <c r="E1193" s="13"/>
      <c r="F1193" s="13"/>
      <c r="G1193" s="2"/>
      <c r="H1193" s="2"/>
      <c r="I1193" s="2"/>
      <c r="J1193" s="2"/>
      <c r="K1193" s="13"/>
      <c r="L1193" s="14"/>
      <c r="M1193" s="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"/>
      <c r="B1194" s="2"/>
      <c r="C1194" s="4"/>
      <c r="D1194" s="2"/>
      <c r="E1194" s="13"/>
      <c r="F1194" s="13"/>
      <c r="G1194" s="2"/>
      <c r="H1194" s="2"/>
      <c r="I1194" s="2"/>
      <c r="J1194" s="2"/>
      <c r="K1194" s="13"/>
      <c r="L1194" s="14"/>
      <c r="M1194" s="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"/>
      <c r="B1195" s="2"/>
      <c r="C1195" s="4"/>
      <c r="D1195" s="2"/>
      <c r="E1195" s="13"/>
      <c r="F1195" s="13"/>
      <c r="G1195" s="2"/>
      <c r="H1195" s="2"/>
      <c r="I1195" s="2"/>
      <c r="J1195" s="2"/>
      <c r="K1195" s="13"/>
      <c r="L1195" s="14"/>
      <c r="M1195" s="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"/>
      <c r="B1196" s="2"/>
      <c r="C1196" s="4"/>
      <c r="D1196" s="2"/>
      <c r="E1196" s="13"/>
      <c r="F1196" s="13"/>
      <c r="G1196" s="2"/>
      <c r="H1196" s="2"/>
      <c r="I1196" s="2"/>
      <c r="J1196" s="2"/>
      <c r="K1196" s="13"/>
      <c r="L1196" s="14"/>
      <c r="M1196" s="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"/>
      <c r="B1197" s="2"/>
      <c r="C1197" s="4"/>
      <c r="D1197" s="2"/>
      <c r="E1197" s="13"/>
      <c r="F1197" s="13"/>
      <c r="G1197" s="2"/>
      <c r="H1197" s="2"/>
      <c r="I1197" s="2"/>
      <c r="J1197" s="2"/>
      <c r="K1197" s="13"/>
      <c r="L1197" s="14"/>
      <c r="M1197" s="1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"/>
      <c r="B1198" s="2"/>
      <c r="C1198" s="4"/>
      <c r="D1198" s="2"/>
      <c r="E1198" s="13"/>
      <c r="F1198" s="13"/>
      <c r="G1198" s="2"/>
      <c r="H1198" s="2"/>
      <c r="I1198" s="2"/>
      <c r="J1198" s="2"/>
      <c r="K1198" s="13"/>
      <c r="L1198" s="14"/>
      <c r="M1198" s="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"/>
      <c r="B1199" s="2"/>
      <c r="C1199" s="4"/>
      <c r="D1199" s="2"/>
      <c r="E1199" s="13"/>
      <c r="F1199" s="13"/>
      <c r="G1199" s="2"/>
      <c r="H1199" s="2"/>
      <c r="I1199" s="2"/>
      <c r="J1199" s="2"/>
      <c r="K1199" s="13"/>
      <c r="L1199" s="14"/>
      <c r="M1199" s="1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"/>
      <c r="B1200" s="2"/>
      <c r="C1200" s="4"/>
      <c r="D1200" s="2"/>
      <c r="E1200" s="13"/>
      <c r="F1200" s="13"/>
      <c r="G1200" s="2"/>
      <c r="H1200" s="2"/>
      <c r="I1200" s="2"/>
      <c r="J1200" s="2"/>
      <c r="K1200" s="13"/>
      <c r="L1200" s="14"/>
      <c r="M1200" s="1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"/>
      <c r="B1201" s="2"/>
      <c r="C1201" s="4"/>
      <c r="D1201" s="2"/>
      <c r="E1201" s="13"/>
      <c r="F1201" s="13"/>
      <c r="G1201" s="2"/>
      <c r="H1201" s="2"/>
      <c r="I1201" s="2"/>
      <c r="J1201" s="2"/>
      <c r="K1201" s="13"/>
      <c r="L1201" s="14"/>
      <c r="M1201" s="1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"/>
      <c r="B1202" s="2"/>
      <c r="C1202" s="4"/>
      <c r="D1202" s="2"/>
      <c r="E1202" s="13"/>
      <c r="F1202" s="13"/>
      <c r="G1202" s="2"/>
      <c r="H1202" s="2"/>
      <c r="I1202" s="2"/>
      <c r="J1202" s="2"/>
      <c r="K1202" s="13"/>
      <c r="L1202" s="14"/>
      <c r="M1202" s="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"/>
      <c r="B1203" s="2"/>
      <c r="C1203" s="4"/>
      <c r="D1203" s="2"/>
      <c r="E1203" s="13"/>
      <c r="F1203" s="13"/>
      <c r="G1203" s="2"/>
      <c r="H1203" s="2"/>
      <c r="I1203" s="2"/>
      <c r="J1203" s="2"/>
      <c r="K1203" s="13"/>
      <c r="L1203" s="14"/>
      <c r="M1203" s="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"/>
      <c r="B1204" s="2"/>
      <c r="C1204" s="4"/>
      <c r="D1204" s="2"/>
      <c r="E1204" s="13"/>
      <c r="F1204" s="13"/>
      <c r="G1204" s="2"/>
      <c r="H1204" s="2"/>
      <c r="I1204" s="2"/>
      <c r="J1204" s="2"/>
      <c r="K1204" s="13"/>
      <c r="L1204" s="14"/>
      <c r="M1204" s="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"/>
      <c r="B1205" s="2"/>
      <c r="C1205" s="4"/>
      <c r="D1205" s="2"/>
      <c r="E1205" s="13"/>
      <c r="F1205" s="13"/>
      <c r="G1205" s="2"/>
      <c r="H1205" s="2"/>
      <c r="I1205" s="2"/>
      <c r="J1205" s="2"/>
      <c r="K1205" s="13"/>
      <c r="L1205" s="14"/>
      <c r="M1205" s="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"/>
      <c r="B1206" s="2"/>
      <c r="C1206" s="4"/>
      <c r="D1206" s="2"/>
      <c r="E1206" s="13"/>
      <c r="F1206" s="13"/>
      <c r="G1206" s="2"/>
      <c r="H1206" s="2"/>
      <c r="I1206" s="2"/>
      <c r="J1206" s="2"/>
      <c r="K1206" s="13"/>
      <c r="L1206" s="14"/>
      <c r="M1206" s="1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"/>
      <c r="B1207" s="2"/>
      <c r="C1207" s="4"/>
      <c r="D1207" s="2"/>
      <c r="E1207" s="13"/>
      <c r="F1207" s="13"/>
      <c r="G1207" s="2"/>
      <c r="H1207" s="2"/>
      <c r="I1207" s="2"/>
      <c r="J1207" s="2"/>
      <c r="K1207" s="13"/>
      <c r="L1207" s="14"/>
      <c r="M1207" s="1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"/>
      <c r="B1208" s="2"/>
      <c r="C1208" s="4"/>
      <c r="D1208" s="2"/>
      <c r="E1208" s="13"/>
      <c r="F1208" s="13"/>
      <c r="G1208" s="2"/>
      <c r="H1208" s="2"/>
      <c r="I1208" s="2"/>
      <c r="J1208" s="2"/>
      <c r="K1208" s="13"/>
      <c r="L1208" s="14"/>
      <c r="M1208" s="1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"/>
      <c r="B1209" s="2"/>
      <c r="C1209" s="4"/>
      <c r="D1209" s="2"/>
      <c r="E1209" s="13"/>
      <c r="F1209" s="13"/>
      <c r="G1209" s="2"/>
      <c r="H1209" s="2"/>
      <c r="I1209" s="2"/>
      <c r="J1209" s="2"/>
      <c r="K1209" s="13"/>
      <c r="L1209" s="14"/>
      <c r="M1209" s="1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"/>
      <c r="B1210" s="2"/>
      <c r="C1210" s="4"/>
      <c r="D1210" s="2"/>
      <c r="E1210" s="13"/>
      <c r="F1210" s="13"/>
      <c r="G1210" s="2"/>
      <c r="H1210" s="2"/>
      <c r="I1210" s="2"/>
      <c r="J1210" s="2"/>
      <c r="K1210" s="13"/>
      <c r="L1210" s="14"/>
      <c r="M1210" s="1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"/>
      <c r="B1211" s="2"/>
      <c r="C1211" s="4"/>
      <c r="D1211" s="2"/>
      <c r="E1211" s="13"/>
      <c r="F1211" s="13"/>
      <c r="G1211" s="2"/>
      <c r="H1211" s="2"/>
      <c r="I1211" s="2"/>
      <c r="J1211" s="2"/>
      <c r="K1211" s="13"/>
      <c r="L1211" s="14"/>
      <c r="M1211" s="1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"/>
      <c r="B1212" s="2"/>
      <c r="C1212" s="4"/>
      <c r="D1212" s="2"/>
      <c r="E1212" s="13"/>
      <c r="F1212" s="13"/>
      <c r="G1212" s="2"/>
      <c r="H1212" s="2"/>
      <c r="I1212" s="2"/>
      <c r="J1212" s="2"/>
      <c r="K1212" s="13"/>
      <c r="L1212" s="14"/>
      <c r="M1212" s="1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">
      <c r="A1213" s="1"/>
      <c r="B1213" s="2"/>
      <c r="C1213" s="4"/>
      <c r="D1213" s="2"/>
      <c r="E1213" s="13"/>
      <c r="F1213" s="13"/>
      <c r="G1213" s="2"/>
      <c r="H1213" s="2"/>
      <c r="I1213" s="2"/>
      <c r="J1213" s="2"/>
      <c r="K1213" s="13"/>
      <c r="L1213" s="14"/>
      <c r="M1213" s="1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"/>
      <c r="B1214" s="2"/>
      <c r="C1214" s="4"/>
      <c r="D1214" s="2"/>
      <c r="E1214" s="13"/>
      <c r="F1214" s="13"/>
      <c r="G1214" s="2"/>
      <c r="H1214" s="2"/>
      <c r="I1214" s="2"/>
      <c r="J1214" s="2"/>
      <c r="K1214" s="13"/>
      <c r="L1214" s="14"/>
      <c r="M1214" s="1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"/>
      <c r="B1215" s="2"/>
      <c r="C1215" s="4"/>
      <c r="D1215" s="2"/>
      <c r="E1215" s="13"/>
      <c r="F1215" s="13"/>
      <c r="G1215" s="2"/>
      <c r="H1215" s="2"/>
      <c r="I1215" s="2"/>
      <c r="J1215" s="2"/>
      <c r="K1215" s="13"/>
      <c r="L1215" s="14"/>
      <c r="M1215" s="1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"/>
      <c r="B1216" s="2"/>
      <c r="C1216" s="4"/>
      <c r="D1216" s="2"/>
      <c r="E1216" s="13"/>
      <c r="F1216" s="13"/>
      <c r="G1216" s="2"/>
      <c r="H1216" s="2"/>
      <c r="I1216" s="2"/>
      <c r="J1216" s="2"/>
      <c r="K1216" s="13"/>
      <c r="L1216" s="14"/>
      <c r="M1216" s="1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"/>
      <c r="B1217" s="2"/>
      <c r="C1217" s="4"/>
      <c r="D1217" s="2"/>
      <c r="E1217" s="13"/>
      <c r="F1217" s="13"/>
      <c r="G1217" s="2"/>
      <c r="H1217" s="2"/>
      <c r="I1217" s="2"/>
      <c r="J1217" s="2"/>
      <c r="K1217" s="13"/>
      <c r="L1217" s="14"/>
      <c r="M1217" s="1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"/>
      <c r="B1218" s="2"/>
      <c r="C1218" s="4"/>
      <c r="D1218" s="2"/>
      <c r="E1218" s="13"/>
      <c r="F1218" s="13"/>
      <c r="G1218" s="2"/>
      <c r="H1218" s="2"/>
      <c r="I1218" s="2"/>
      <c r="J1218" s="2"/>
      <c r="K1218" s="13"/>
      <c r="L1218" s="14"/>
      <c r="M1218" s="1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"/>
      <c r="B1219" s="2"/>
      <c r="C1219" s="4"/>
      <c r="D1219" s="2"/>
      <c r="E1219" s="13"/>
      <c r="F1219" s="13"/>
      <c r="G1219" s="2"/>
      <c r="H1219" s="2"/>
      <c r="I1219" s="2"/>
      <c r="J1219" s="2"/>
      <c r="K1219" s="13"/>
      <c r="L1219" s="14"/>
      <c r="M1219" s="1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"/>
      <c r="B1220" s="2"/>
      <c r="C1220" s="4"/>
      <c r="D1220" s="2"/>
      <c r="E1220" s="13"/>
      <c r="F1220" s="13"/>
      <c r="G1220" s="2"/>
      <c r="H1220" s="2"/>
      <c r="I1220" s="2"/>
      <c r="J1220" s="2"/>
      <c r="K1220" s="13"/>
      <c r="L1220" s="14"/>
      <c r="M1220" s="1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"/>
      <c r="B1221" s="2"/>
      <c r="C1221" s="4"/>
      <c r="D1221" s="2"/>
      <c r="E1221" s="13"/>
      <c r="F1221" s="13"/>
      <c r="G1221" s="2"/>
      <c r="H1221" s="2"/>
      <c r="I1221" s="2"/>
      <c r="J1221" s="2"/>
      <c r="K1221" s="13"/>
      <c r="L1221" s="14"/>
      <c r="M1221" s="1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"/>
      <c r="B1222" s="2"/>
      <c r="C1222" s="4"/>
      <c r="D1222" s="2"/>
      <c r="E1222" s="13"/>
      <c r="F1222" s="13"/>
      <c r="G1222" s="2"/>
      <c r="H1222" s="2"/>
      <c r="I1222" s="2"/>
      <c r="J1222" s="2"/>
      <c r="K1222" s="13"/>
      <c r="L1222" s="14"/>
      <c r="M1222" s="1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"/>
      <c r="B1223" s="2"/>
      <c r="C1223" s="4"/>
      <c r="D1223" s="2"/>
      <c r="E1223" s="13"/>
      <c r="F1223" s="13"/>
      <c r="G1223" s="2"/>
      <c r="H1223" s="2"/>
      <c r="I1223" s="2"/>
      <c r="J1223" s="2"/>
      <c r="K1223" s="13"/>
      <c r="L1223" s="14"/>
      <c r="M1223" s="1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"/>
      <c r="B1224" s="2"/>
      <c r="C1224" s="4"/>
      <c r="D1224" s="2"/>
      <c r="E1224" s="13"/>
      <c r="F1224" s="13"/>
      <c r="G1224" s="2"/>
      <c r="H1224" s="2"/>
      <c r="I1224" s="2"/>
      <c r="J1224" s="2"/>
      <c r="K1224" s="13"/>
      <c r="L1224" s="14"/>
      <c r="M1224" s="1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">
      <c r="A1225" s="1"/>
      <c r="B1225" s="2"/>
      <c r="C1225" s="4"/>
      <c r="D1225" s="2"/>
      <c r="E1225" s="13"/>
      <c r="F1225" s="13"/>
      <c r="G1225" s="2"/>
      <c r="H1225" s="2"/>
      <c r="I1225" s="2"/>
      <c r="J1225" s="2"/>
      <c r="K1225" s="13"/>
      <c r="L1225" s="14"/>
      <c r="M1225" s="1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"/>
      <c r="B1226" s="2"/>
      <c r="C1226" s="4"/>
      <c r="D1226" s="2"/>
      <c r="E1226" s="13"/>
      <c r="F1226" s="13"/>
      <c r="G1226" s="2"/>
      <c r="H1226" s="2"/>
      <c r="I1226" s="2"/>
      <c r="J1226" s="2"/>
      <c r="K1226" s="13"/>
      <c r="L1226" s="14"/>
      <c r="M1226" s="1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"/>
      <c r="B1227" s="2"/>
      <c r="C1227" s="4"/>
      <c r="D1227" s="2"/>
      <c r="E1227" s="13"/>
      <c r="F1227" s="13"/>
      <c r="G1227" s="2"/>
      <c r="H1227" s="2"/>
      <c r="I1227" s="2"/>
      <c r="J1227" s="2"/>
      <c r="K1227" s="13"/>
      <c r="L1227" s="14"/>
      <c r="M1227" s="1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"/>
      <c r="B1228" s="2"/>
      <c r="C1228" s="4"/>
      <c r="D1228" s="2"/>
      <c r="E1228" s="13"/>
      <c r="F1228" s="13"/>
      <c r="G1228" s="2"/>
      <c r="H1228" s="2"/>
      <c r="I1228" s="2"/>
      <c r="J1228" s="2"/>
      <c r="K1228" s="13"/>
      <c r="L1228" s="14"/>
      <c r="M1228" s="1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"/>
      <c r="B1229" s="2"/>
      <c r="C1229" s="4"/>
      <c r="D1229" s="2"/>
      <c r="E1229" s="13"/>
      <c r="F1229" s="13"/>
      <c r="G1229" s="2"/>
      <c r="H1229" s="2"/>
      <c r="I1229" s="2"/>
      <c r="J1229" s="2"/>
      <c r="K1229" s="13"/>
      <c r="L1229" s="14"/>
      <c r="M1229" s="1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"/>
      <c r="B1230" s="2"/>
      <c r="C1230" s="4"/>
      <c r="D1230" s="2"/>
      <c r="E1230" s="13"/>
      <c r="F1230" s="13"/>
      <c r="G1230" s="2"/>
      <c r="H1230" s="2"/>
      <c r="I1230" s="2"/>
      <c r="J1230" s="2"/>
      <c r="K1230" s="13"/>
      <c r="L1230" s="14"/>
      <c r="M1230" s="1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"/>
      <c r="B1231" s="2"/>
      <c r="C1231" s="4"/>
      <c r="D1231" s="2"/>
      <c r="E1231" s="13"/>
      <c r="F1231" s="13"/>
      <c r="G1231" s="2"/>
      <c r="H1231" s="2"/>
      <c r="I1231" s="2"/>
      <c r="J1231" s="2"/>
      <c r="K1231" s="13"/>
      <c r="L1231" s="14"/>
      <c r="M1231" s="1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"/>
      <c r="B1232" s="2"/>
      <c r="C1232" s="4"/>
      <c r="D1232" s="2"/>
      <c r="E1232" s="13"/>
      <c r="F1232" s="13"/>
      <c r="G1232" s="2"/>
      <c r="H1232" s="2"/>
      <c r="I1232" s="2"/>
      <c r="J1232" s="2"/>
      <c r="K1232" s="13"/>
      <c r="L1232" s="14"/>
      <c r="M1232" s="1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"/>
      <c r="B1233" s="2"/>
      <c r="C1233" s="4"/>
      <c r="D1233" s="2"/>
      <c r="E1233" s="13"/>
      <c r="F1233" s="13"/>
      <c r="G1233" s="2"/>
      <c r="H1233" s="2"/>
      <c r="I1233" s="2"/>
      <c r="J1233" s="2"/>
      <c r="K1233" s="13"/>
      <c r="L1233" s="14"/>
      <c r="M1233" s="1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"/>
      <c r="B1234" s="2"/>
      <c r="C1234" s="4"/>
      <c r="D1234" s="2"/>
      <c r="E1234" s="13"/>
      <c r="F1234" s="13"/>
      <c r="G1234" s="2"/>
      <c r="H1234" s="2"/>
      <c r="I1234" s="2"/>
      <c r="J1234" s="2"/>
      <c r="K1234" s="13"/>
      <c r="L1234" s="14"/>
      <c r="M1234" s="1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"/>
      <c r="B1235" s="2"/>
      <c r="C1235" s="4"/>
      <c r="D1235" s="2"/>
      <c r="E1235" s="13"/>
      <c r="F1235" s="13"/>
      <c r="G1235" s="2"/>
      <c r="H1235" s="2"/>
      <c r="I1235" s="2"/>
      <c r="J1235" s="2"/>
      <c r="K1235" s="13"/>
      <c r="L1235" s="14"/>
      <c r="M1235" s="1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"/>
      <c r="B1236" s="2"/>
      <c r="C1236" s="4"/>
      <c r="D1236" s="2"/>
      <c r="E1236" s="13"/>
      <c r="F1236" s="13"/>
      <c r="G1236" s="2"/>
      <c r="H1236" s="2"/>
      <c r="I1236" s="2"/>
      <c r="J1236" s="2"/>
      <c r="K1236" s="13"/>
      <c r="L1236" s="14"/>
      <c r="M1236" s="1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"/>
      <c r="B1237" s="2"/>
      <c r="C1237" s="4"/>
      <c r="D1237" s="2"/>
      <c r="E1237" s="13"/>
      <c r="F1237" s="13"/>
      <c r="G1237" s="2"/>
      <c r="H1237" s="2"/>
      <c r="I1237" s="2"/>
      <c r="J1237" s="2"/>
      <c r="K1237" s="13"/>
      <c r="L1237" s="14"/>
      <c r="M1237" s="1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"/>
      <c r="B1238" s="2"/>
      <c r="C1238" s="4"/>
      <c r="D1238" s="2"/>
      <c r="E1238" s="13"/>
      <c r="F1238" s="13"/>
      <c r="G1238" s="2"/>
      <c r="H1238" s="2"/>
      <c r="I1238" s="2"/>
      <c r="J1238" s="2"/>
      <c r="K1238" s="13"/>
      <c r="L1238" s="14"/>
      <c r="M1238" s="1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"/>
      <c r="B1239" s="2"/>
      <c r="C1239" s="4"/>
      <c r="D1239" s="2"/>
      <c r="E1239" s="13"/>
      <c r="F1239" s="13"/>
      <c r="G1239" s="2"/>
      <c r="H1239" s="2"/>
      <c r="I1239" s="2"/>
      <c r="J1239" s="2"/>
      <c r="K1239" s="13"/>
      <c r="L1239" s="14"/>
      <c r="M1239" s="1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"/>
      <c r="B1240" s="2"/>
      <c r="C1240" s="4"/>
      <c r="D1240" s="2"/>
      <c r="E1240" s="13"/>
      <c r="F1240" s="13"/>
      <c r="G1240" s="2"/>
      <c r="H1240" s="2"/>
      <c r="I1240" s="2"/>
      <c r="J1240" s="2"/>
      <c r="K1240" s="13"/>
      <c r="L1240" s="14"/>
      <c r="M1240" s="1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"/>
      <c r="B1241" s="2"/>
      <c r="C1241" s="4"/>
      <c r="D1241" s="2"/>
      <c r="E1241" s="13"/>
      <c r="F1241" s="13"/>
      <c r="G1241" s="2"/>
      <c r="H1241" s="2"/>
      <c r="I1241" s="2"/>
      <c r="J1241" s="2"/>
      <c r="K1241" s="13"/>
      <c r="L1241" s="14"/>
      <c r="M1241" s="1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"/>
      <c r="B1242" s="2"/>
      <c r="C1242" s="4"/>
      <c r="D1242" s="2"/>
      <c r="E1242" s="13"/>
      <c r="F1242" s="13"/>
      <c r="G1242" s="2"/>
      <c r="H1242" s="2"/>
      <c r="I1242" s="2"/>
      <c r="J1242" s="2"/>
      <c r="K1242" s="13"/>
      <c r="L1242" s="14"/>
      <c r="M1242" s="1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"/>
      <c r="B1243" s="2"/>
      <c r="C1243" s="4"/>
      <c r="D1243" s="2"/>
      <c r="E1243" s="13"/>
      <c r="F1243" s="13"/>
      <c r="G1243" s="2"/>
      <c r="H1243" s="2"/>
      <c r="I1243" s="2"/>
      <c r="J1243" s="2"/>
      <c r="K1243" s="13"/>
      <c r="L1243" s="14"/>
      <c r="M1243" s="1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"/>
      <c r="B1244" s="2"/>
      <c r="C1244" s="4"/>
      <c r="D1244" s="2"/>
      <c r="E1244" s="13"/>
      <c r="F1244" s="13"/>
      <c r="G1244" s="2"/>
      <c r="H1244" s="2"/>
      <c r="I1244" s="2"/>
      <c r="J1244" s="2"/>
      <c r="K1244" s="13"/>
      <c r="L1244" s="14"/>
      <c r="M1244" s="1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"/>
      <c r="B1245" s="2"/>
      <c r="C1245" s="4"/>
      <c r="D1245" s="2"/>
      <c r="E1245" s="13"/>
      <c r="F1245" s="13"/>
      <c r="G1245" s="2"/>
      <c r="H1245" s="2"/>
      <c r="I1245" s="2"/>
      <c r="J1245" s="2"/>
      <c r="K1245" s="13"/>
      <c r="L1245" s="14"/>
      <c r="M1245" s="1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"/>
      <c r="B1246" s="2"/>
      <c r="C1246" s="4"/>
      <c r="D1246" s="2"/>
      <c r="E1246" s="13"/>
      <c r="F1246" s="13"/>
      <c r="G1246" s="2"/>
      <c r="H1246" s="2"/>
      <c r="I1246" s="2"/>
      <c r="J1246" s="2"/>
      <c r="K1246" s="13"/>
      <c r="L1246" s="14"/>
      <c r="M1246" s="1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"/>
      <c r="B1247" s="2"/>
      <c r="C1247" s="4"/>
      <c r="D1247" s="2"/>
      <c r="E1247" s="13"/>
      <c r="F1247" s="13"/>
      <c r="G1247" s="2"/>
      <c r="H1247" s="2"/>
      <c r="I1247" s="2"/>
      <c r="J1247" s="2"/>
      <c r="K1247" s="13"/>
      <c r="L1247" s="14"/>
      <c r="M1247" s="1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"/>
      <c r="B1248" s="2"/>
      <c r="C1248" s="4"/>
      <c r="D1248" s="2"/>
      <c r="E1248" s="13"/>
      <c r="F1248" s="13"/>
      <c r="G1248" s="2"/>
      <c r="H1248" s="2"/>
      <c r="I1248" s="2"/>
      <c r="J1248" s="2"/>
      <c r="K1248" s="13"/>
      <c r="L1248" s="14"/>
      <c r="M1248" s="1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"/>
      <c r="B1249" s="2"/>
      <c r="C1249" s="4"/>
      <c r="D1249" s="2"/>
      <c r="E1249" s="13"/>
      <c r="F1249" s="13"/>
      <c r="G1249" s="2"/>
      <c r="H1249" s="2"/>
      <c r="I1249" s="2"/>
      <c r="J1249" s="2"/>
      <c r="K1249" s="13"/>
      <c r="L1249" s="14"/>
      <c r="M1249" s="1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"/>
      <c r="B1250" s="2"/>
      <c r="C1250" s="4"/>
      <c r="D1250" s="2"/>
      <c r="E1250" s="13"/>
      <c r="F1250" s="13"/>
      <c r="G1250" s="2"/>
      <c r="H1250" s="2"/>
      <c r="I1250" s="2"/>
      <c r="J1250" s="2"/>
      <c r="K1250" s="13"/>
      <c r="L1250" s="14"/>
      <c r="M1250" s="1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"/>
      <c r="B1251" s="2"/>
      <c r="C1251" s="4"/>
      <c r="D1251" s="2"/>
      <c r="E1251" s="13"/>
      <c r="F1251" s="13"/>
      <c r="G1251" s="2"/>
      <c r="H1251" s="2"/>
      <c r="I1251" s="2"/>
      <c r="J1251" s="2"/>
      <c r="K1251" s="13"/>
      <c r="L1251" s="14"/>
      <c r="M1251" s="1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">
      <c r="A1252" s="1"/>
      <c r="B1252" s="2"/>
      <c r="C1252" s="4"/>
      <c r="D1252" s="2"/>
      <c r="E1252" s="13"/>
      <c r="F1252" s="13"/>
      <c r="G1252" s="2"/>
      <c r="H1252" s="2"/>
      <c r="I1252" s="2"/>
      <c r="J1252" s="2"/>
      <c r="K1252" s="13"/>
      <c r="L1252" s="14"/>
      <c r="M1252" s="1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"/>
      <c r="B1253" s="2"/>
      <c r="C1253" s="4"/>
      <c r="D1253" s="2"/>
      <c r="E1253" s="13"/>
      <c r="F1253" s="13"/>
      <c r="G1253" s="2"/>
      <c r="H1253" s="2"/>
      <c r="I1253" s="2"/>
      <c r="J1253" s="2"/>
      <c r="K1253" s="13"/>
      <c r="L1253" s="14"/>
      <c r="M1253" s="1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"/>
      <c r="B1254" s="2"/>
      <c r="C1254" s="4"/>
      <c r="D1254" s="2"/>
      <c r="E1254" s="13"/>
      <c r="F1254" s="13"/>
      <c r="G1254" s="2"/>
      <c r="H1254" s="2"/>
      <c r="I1254" s="2"/>
      <c r="J1254" s="2"/>
      <c r="K1254" s="13"/>
      <c r="L1254" s="14"/>
      <c r="M1254" s="1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"/>
      <c r="B1255" s="2"/>
      <c r="C1255" s="4"/>
      <c r="D1255" s="2"/>
      <c r="E1255" s="13"/>
      <c r="F1255" s="13"/>
      <c r="G1255" s="2"/>
      <c r="H1255" s="2"/>
      <c r="I1255" s="2"/>
      <c r="J1255" s="2"/>
      <c r="K1255" s="13"/>
      <c r="L1255" s="14"/>
      <c r="M1255" s="1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"/>
      <c r="B1256" s="2"/>
      <c r="C1256" s="4"/>
      <c r="D1256" s="2"/>
      <c r="E1256" s="13"/>
      <c r="F1256" s="13"/>
      <c r="G1256" s="2"/>
      <c r="H1256" s="2"/>
      <c r="I1256" s="2"/>
      <c r="J1256" s="2"/>
      <c r="K1256" s="13"/>
      <c r="L1256" s="14"/>
      <c r="M1256" s="1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"/>
      <c r="B1257" s="2"/>
      <c r="C1257" s="4"/>
      <c r="D1257" s="2"/>
      <c r="E1257" s="13"/>
      <c r="F1257" s="13"/>
      <c r="G1257" s="2"/>
      <c r="H1257" s="2"/>
      <c r="I1257" s="2"/>
      <c r="J1257" s="2"/>
      <c r="K1257" s="13"/>
      <c r="L1257" s="14"/>
      <c r="M1257" s="1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"/>
      <c r="B1258" s="2"/>
      <c r="C1258" s="4"/>
      <c r="D1258" s="2"/>
      <c r="E1258" s="13"/>
      <c r="F1258" s="13"/>
      <c r="G1258" s="2"/>
      <c r="H1258" s="2"/>
      <c r="I1258" s="2"/>
      <c r="J1258" s="2"/>
      <c r="K1258" s="13"/>
      <c r="L1258" s="14"/>
      <c r="M1258" s="1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"/>
      <c r="B1259" s="2"/>
      <c r="C1259" s="4"/>
      <c r="D1259" s="2"/>
      <c r="E1259" s="13"/>
      <c r="F1259" s="13"/>
      <c r="G1259" s="2"/>
      <c r="H1259" s="2"/>
      <c r="I1259" s="2"/>
      <c r="J1259" s="2"/>
      <c r="K1259" s="13"/>
      <c r="L1259" s="14"/>
      <c r="M1259" s="1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"/>
      <c r="B1260" s="2"/>
      <c r="C1260" s="4"/>
      <c r="D1260" s="2"/>
      <c r="E1260" s="13"/>
      <c r="F1260" s="13"/>
      <c r="G1260" s="2"/>
      <c r="H1260" s="2"/>
      <c r="I1260" s="2"/>
      <c r="J1260" s="2"/>
      <c r="K1260" s="13"/>
      <c r="L1260" s="14"/>
      <c r="M1260" s="1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"/>
      <c r="B1261" s="2"/>
      <c r="C1261" s="4"/>
      <c r="D1261" s="2"/>
      <c r="E1261" s="13"/>
      <c r="F1261" s="13"/>
      <c r="G1261" s="2"/>
      <c r="H1261" s="2"/>
      <c r="I1261" s="2"/>
      <c r="J1261" s="2"/>
      <c r="K1261" s="13"/>
      <c r="L1261" s="14"/>
      <c r="M1261" s="1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"/>
      <c r="B1262" s="2"/>
      <c r="C1262" s="4"/>
      <c r="D1262" s="2"/>
      <c r="E1262" s="13"/>
      <c r="F1262" s="13"/>
      <c r="G1262" s="2"/>
      <c r="H1262" s="2"/>
      <c r="I1262" s="2"/>
      <c r="J1262" s="2"/>
      <c r="K1262" s="13"/>
      <c r="L1262" s="14"/>
      <c r="M1262" s="1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"/>
      <c r="B1263" s="2"/>
      <c r="C1263" s="4"/>
      <c r="D1263" s="2"/>
      <c r="E1263" s="13"/>
      <c r="F1263" s="13"/>
      <c r="G1263" s="2"/>
      <c r="H1263" s="2"/>
      <c r="I1263" s="2"/>
      <c r="J1263" s="2"/>
      <c r="K1263" s="13"/>
      <c r="L1263" s="14"/>
      <c r="M1263" s="1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"/>
      <c r="B1264" s="2"/>
      <c r="C1264" s="4"/>
      <c r="D1264" s="2"/>
      <c r="E1264" s="13"/>
      <c r="F1264" s="13"/>
      <c r="G1264" s="2"/>
      <c r="H1264" s="2"/>
      <c r="I1264" s="2"/>
      <c r="J1264" s="2"/>
      <c r="K1264" s="13"/>
      <c r="L1264" s="14"/>
      <c r="M1264" s="1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"/>
      <c r="B1265" s="2"/>
      <c r="C1265" s="4"/>
      <c r="D1265" s="2"/>
      <c r="E1265" s="13"/>
      <c r="F1265" s="13"/>
      <c r="G1265" s="2"/>
      <c r="H1265" s="2"/>
      <c r="I1265" s="2"/>
      <c r="J1265" s="2"/>
      <c r="K1265" s="13"/>
      <c r="L1265" s="14"/>
      <c r="M1265" s="1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"/>
      <c r="B1266" s="2"/>
      <c r="C1266" s="4"/>
      <c r="D1266" s="2"/>
      <c r="E1266" s="13"/>
      <c r="F1266" s="13"/>
      <c r="G1266" s="2"/>
      <c r="H1266" s="2"/>
      <c r="I1266" s="2"/>
      <c r="J1266" s="2"/>
      <c r="K1266" s="13"/>
      <c r="L1266" s="14"/>
      <c r="M1266" s="1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"/>
      <c r="B1267" s="2"/>
      <c r="C1267" s="4"/>
      <c r="D1267" s="2"/>
      <c r="E1267" s="13"/>
      <c r="F1267" s="13"/>
      <c r="G1267" s="2"/>
      <c r="H1267" s="2"/>
      <c r="I1267" s="2"/>
      <c r="J1267" s="2"/>
      <c r="K1267" s="13"/>
      <c r="L1267" s="14"/>
      <c r="M1267" s="1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"/>
      <c r="B1268" s="2"/>
      <c r="C1268" s="4"/>
      <c r="D1268" s="2"/>
      <c r="E1268" s="13"/>
      <c r="F1268" s="13"/>
      <c r="G1268" s="2"/>
      <c r="H1268" s="2"/>
      <c r="I1268" s="2"/>
      <c r="J1268" s="2"/>
      <c r="K1268" s="13"/>
      <c r="L1268" s="14"/>
      <c r="M1268" s="1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"/>
      <c r="B1269" s="2"/>
      <c r="C1269" s="4"/>
      <c r="D1269" s="2"/>
      <c r="E1269" s="13"/>
      <c r="F1269" s="13"/>
      <c r="G1269" s="2"/>
      <c r="H1269" s="2"/>
      <c r="I1269" s="2"/>
      <c r="J1269" s="2"/>
      <c r="K1269" s="13"/>
      <c r="L1269" s="14"/>
      <c r="M1269" s="1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"/>
      <c r="B1270" s="2"/>
      <c r="C1270" s="4"/>
      <c r="D1270" s="2"/>
      <c r="E1270" s="13"/>
      <c r="F1270" s="13"/>
      <c r="G1270" s="2"/>
      <c r="H1270" s="2"/>
      <c r="I1270" s="2"/>
      <c r="J1270" s="2"/>
      <c r="K1270" s="13"/>
      <c r="L1270" s="14"/>
      <c r="M1270" s="1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"/>
      <c r="B1271" s="2"/>
      <c r="C1271" s="4"/>
      <c r="D1271" s="2"/>
      <c r="E1271" s="13"/>
      <c r="F1271" s="13"/>
      <c r="G1271" s="2"/>
      <c r="H1271" s="2"/>
      <c r="I1271" s="2"/>
      <c r="J1271" s="2"/>
      <c r="K1271" s="13"/>
      <c r="L1271" s="14"/>
      <c r="M1271" s="1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"/>
      <c r="B1272" s="2"/>
      <c r="C1272" s="4"/>
      <c r="D1272" s="2"/>
      <c r="E1272" s="13"/>
      <c r="F1272" s="13"/>
      <c r="G1272" s="2"/>
      <c r="H1272" s="2"/>
      <c r="I1272" s="2"/>
      <c r="J1272" s="2"/>
      <c r="K1272" s="13"/>
      <c r="L1272" s="14"/>
      <c r="M1272" s="1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"/>
      <c r="B1273" s="2"/>
      <c r="C1273" s="4"/>
      <c r="D1273" s="2"/>
      <c r="E1273" s="13"/>
      <c r="F1273" s="13"/>
      <c r="G1273" s="2"/>
      <c r="H1273" s="2"/>
      <c r="I1273" s="2"/>
      <c r="J1273" s="2"/>
      <c r="K1273" s="13"/>
      <c r="L1273" s="14"/>
      <c r="M1273" s="1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"/>
      <c r="B1274" s="2"/>
      <c r="C1274" s="4"/>
      <c r="D1274" s="2"/>
      <c r="E1274" s="13"/>
      <c r="F1274" s="13"/>
      <c r="G1274" s="2"/>
      <c r="H1274" s="2"/>
      <c r="I1274" s="2"/>
      <c r="J1274" s="2"/>
      <c r="K1274" s="13"/>
      <c r="L1274" s="14"/>
      <c r="M1274" s="1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"/>
      <c r="B1275" s="2"/>
      <c r="C1275" s="4"/>
      <c r="D1275" s="2"/>
      <c r="E1275" s="13"/>
      <c r="F1275" s="13"/>
      <c r="G1275" s="2"/>
      <c r="H1275" s="2"/>
      <c r="I1275" s="2"/>
      <c r="J1275" s="2"/>
      <c r="K1275" s="13"/>
      <c r="L1275" s="14"/>
      <c r="M1275" s="1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"/>
      <c r="B1276" s="2"/>
      <c r="C1276" s="4"/>
      <c r="D1276" s="2"/>
      <c r="E1276" s="13"/>
      <c r="F1276" s="13"/>
      <c r="G1276" s="2"/>
      <c r="H1276" s="2"/>
      <c r="I1276" s="2"/>
      <c r="J1276" s="2"/>
      <c r="K1276" s="13"/>
      <c r="L1276" s="14"/>
      <c r="M1276" s="1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"/>
      <c r="B1277" s="2"/>
      <c r="C1277" s="4"/>
      <c r="D1277" s="2"/>
      <c r="E1277" s="13"/>
      <c r="F1277" s="13"/>
      <c r="G1277" s="2"/>
      <c r="H1277" s="2"/>
      <c r="I1277" s="2"/>
      <c r="J1277" s="2"/>
      <c r="K1277" s="13"/>
      <c r="L1277" s="14"/>
      <c r="M1277" s="1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"/>
      <c r="B1278" s="2"/>
      <c r="C1278" s="4"/>
      <c r="D1278" s="2"/>
      <c r="E1278" s="13"/>
      <c r="F1278" s="13"/>
      <c r="G1278" s="2"/>
      <c r="H1278" s="2"/>
      <c r="I1278" s="2"/>
      <c r="J1278" s="2"/>
      <c r="K1278" s="13"/>
      <c r="L1278" s="14"/>
      <c r="M1278" s="1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"/>
      <c r="B1279" s="2"/>
      <c r="C1279" s="4"/>
      <c r="D1279" s="2"/>
      <c r="E1279" s="13"/>
      <c r="F1279" s="13"/>
      <c r="G1279" s="2"/>
      <c r="H1279" s="2"/>
      <c r="I1279" s="2"/>
      <c r="J1279" s="2"/>
      <c r="K1279" s="13"/>
      <c r="L1279" s="14"/>
      <c r="M1279" s="1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"/>
      <c r="B1280" s="2"/>
      <c r="C1280" s="4"/>
      <c r="D1280" s="2"/>
      <c r="E1280" s="13"/>
      <c r="F1280" s="13"/>
      <c r="G1280" s="2"/>
      <c r="H1280" s="2"/>
      <c r="I1280" s="2"/>
      <c r="J1280" s="2"/>
      <c r="K1280" s="13"/>
      <c r="L1280" s="14"/>
      <c r="M1280" s="1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"/>
      <c r="B1281" s="2"/>
      <c r="C1281" s="4"/>
      <c r="D1281" s="2"/>
      <c r="E1281" s="13"/>
      <c r="F1281" s="13"/>
      <c r="G1281" s="2"/>
      <c r="H1281" s="2"/>
      <c r="I1281" s="2"/>
      <c r="J1281" s="2"/>
      <c r="K1281" s="13"/>
      <c r="L1281" s="14"/>
      <c r="M1281" s="1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"/>
      <c r="B1282" s="2"/>
      <c r="C1282" s="4"/>
      <c r="D1282" s="2"/>
      <c r="E1282" s="13"/>
      <c r="F1282" s="13"/>
      <c r="G1282" s="2"/>
      <c r="H1282" s="2"/>
      <c r="I1282" s="2"/>
      <c r="J1282" s="2"/>
      <c r="K1282" s="13"/>
      <c r="L1282" s="14"/>
      <c r="M1282" s="1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"/>
      <c r="B1283" s="2"/>
      <c r="C1283" s="4"/>
      <c r="D1283" s="2"/>
      <c r="E1283" s="13"/>
      <c r="F1283" s="13"/>
      <c r="G1283" s="2"/>
      <c r="H1283" s="2"/>
      <c r="I1283" s="2"/>
      <c r="J1283" s="2"/>
      <c r="K1283" s="13"/>
      <c r="L1283" s="14"/>
      <c r="M1283" s="1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"/>
      <c r="B1284" s="2"/>
      <c r="C1284" s="4"/>
      <c r="D1284" s="2"/>
      <c r="E1284" s="13"/>
      <c r="F1284" s="13"/>
      <c r="G1284" s="2"/>
      <c r="H1284" s="2"/>
      <c r="I1284" s="2"/>
      <c r="J1284" s="2"/>
      <c r="K1284" s="13"/>
      <c r="L1284" s="14"/>
      <c r="M1284" s="1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"/>
      <c r="B1285" s="2"/>
      <c r="C1285" s="4"/>
      <c r="D1285" s="2"/>
      <c r="E1285" s="13"/>
      <c r="F1285" s="13"/>
      <c r="G1285" s="2"/>
      <c r="H1285" s="2"/>
      <c r="I1285" s="2"/>
      <c r="J1285" s="2"/>
      <c r="K1285" s="13"/>
      <c r="L1285" s="14"/>
      <c r="M1285" s="1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"/>
      <c r="B1286" s="2"/>
      <c r="C1286" s="4"/>
      <c r="D1286" s="2"/>
      <c r="E1286" s="13"/>
      <c r="F1286" s="13"/>
      <c r="G1286" s="2"/>
      <c r="H1286" s="2"/>
      <c r="I1286" s="2"/>
      <c r="J1286" s="2"/>
      <c r="K1286" s="13"/>
      <c r="L1286" s="14"/>
      <c r="M1286" s="1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"/>
      <c r="B1287" s="2"/>
      <c r="C1287" s="4"/>
      <c r="D1287" s="2"/>
      <c r="E1287" s="13"/>
      <c r="F1287" s="13"/>
      <c r="G1287" s="2"/>
      <c r="H1287" s="2"/>
      <c r="I1287" s="2"/>
      <c r="J1287" s="2"/>
      <c r="K1287" s="13"/>
      <c r="L1287" s="14"/>
      <c r="M1287" s="1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"/>
      <c r="B1288" s="2"/>
      <c r="C1288" s="4"/>
      <c r="D1288" s="2"/>
      <c r="E1288" s="13"/>
      <c r="F1288" s="13"/>
      <c r="G1288" s="2"/>
      <c r="H1288" s="2"/>
      <c r="I1288" s="2"/>
      <c r="J1288" s="2"/>
      <c r="K1288" s="13"/>
      <c r="L1288" s="14"/>
      <c r="M1288" s="1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"/>
      <c r="B1289" s="2"/>
      <c r="C1289" s="4"/>
      <c r="D1289" s="2"/>
      <c r="E1289" s="13"/>
      <c r="F1289" s="13"/>
      <c r="G1289" s="2"/>
      <c r="H1289" s="2"/>
      <c r="I1289" s="2"/>
      <c r="J1289" s="2"/>
      <c r="K1289" s="13"/>
      <c r="L1289" s="14"/>
      <c r="M1289" s="1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"/>
      <c r="B1290" s="2"/>
      <c r="C1290" s="4"/>
      <c r="D1290" s="2"/>
      <c r="E1290" s="13"/>
      <c r="F1290" s="13"/>
      <c r="G1290" s="2"/>
      <c r="H1290" s="2"/>
      <c r="I1290" s="2"/>
      <c r="J1290" s="2"/>
      <c r="K1290" s="13"/>
      <c r="L1290" s="14"/>
      <c r="M1290" s="1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"/>
      <c r="B1291" s="2"/>
      <c r="C1291" s="4"/>
      <c r="D1291" s="2"/>
      <c r="E1291" s="13"/>
      <c r="F1291" s="13"/>
      <c r="G1291" s="2"/>
      <c r="H1291" s="2"/>
      <c r="I1291" s="2"/>
      <c r="J1291" s="2"/>
      <c r="K1291" s="13"/>
      <c r="L1291" s="14"/>
      <c r="M1291" s="1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"/>
      <c r="B1292" s="2"/>
      <c r="C1292" s="4"/>
      <c r="D1292" s="2"/>
      <c r="E1292" s="13"/>
      <c r="F1292" s="13"/>
      <c r="G1292" s="2"/>
      <c r="H1292" s="2"/>
      <c r="I1292" s="2"/>
      <c r="J1292" s="2"/>
      <c r="K1292" s="13"/>
      <c r="L1292" s="14"/>
      <c r="M1292" s="1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"/>
      <c r="B1293" s="2"/>
      <c r="C1293" s="4"/>
      <c r="D1293" s="2"/>
      <c r="E1293" s="13"/>
      <c r="F1293" s="13"/>
      <c r="G1293" s="2"/>
      <c r="H1293" s="2"/>
      <c r="I1293" s="2"/>
      <c r="J1293" s="2"/>
      <c r="K1293" s="13"/>
      <c r="L1293" s="14"/>
      <c r="M1293" s="1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"/>
      <c r="B1294" s="2"/>
      <c r="C1294" s="4"/>
      <c r="D1294" s="2"/>
      <c r="E1294" s="13"/>
      <c r="F1294" s="13"/>
      <c r="G1294" s="2"/>
      <c r="H1294" s="2"/>
      <c r="I1294" s="2"/>
      <c r="J1294" s="2"/>
      <c r="K1294" s="13"/>
      <c r="L1294" s="14"/>
      <c r="M1294" s="1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"/>
      <c r="B1295" s="2"/>
      <c r="C1295" s="4"/>
      <c r="D1295" s="2"/>
      <c r="E1295" s="13"/>
      <c r="F1295" s="13"/>
      <c r="G1295" s="2"/>
      <c r="H1295" s="2"/>
      <c r="I1295" s="2"/>
      <c r="J1295" s="2"/>
      <c r="K1295" s="13"/>
      <c r="L1295" s="14"/>
      <c r="M1295" s="1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"/>
      <c r="B1296" s="2"/>
      <c r="C1296" s="4"/>
      <c r="D1296" s="2"/>
      <c r="E1296" s="13"/>
      <c r="F1296" s="13"/>
      <c r="G1296" s="2"/>
      <c r="H1296" s="2"/>
      <c r="I1296" s="2"/>
      <c r="J1296" s="2"/>
      <c r="K1296" s="13"/>
      <c r="L1296" s="14"/>
      <c r="M1296" s="1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"/>
      <c r="B1297" s="2"/>
      <c r="C1297" s="4"/>
      <c r="D1297" s="2"/>
      <c r="E1297" s="13"/>
      <c r="F1297" s="13"/>
      <c r="G1297" s="2"/>
      <c r="H1297" s="2"/>
      <c r="I1297" s="2"/>
      <c r="J1297" s="2"/>
      <c r="K1297" s="13"/>
      <c r="L1297" s="14"/>
      <c r="M1297" s="1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"/>
      <c r="B1298" s="2"/>
      <c r="C1298" s="4"/>
      <c r="D1298" s="2"/>
      <c r="E1298" s="13"/>
      <c r="F1298" s="13"/>
      <c r="G1298" s="2"/>
      <c r="H1298" s="2"/>
      <c r="I1298" s="2"/>
      <c r="J1298" s="2"/>
      <c r="K1298" s="13"/>
      <c r="L1298" s="14"/>
      <c r="M1298" s="1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"/>
      <c r="B1299" s="2"/>
      <c r="C1299" s="4"/>
      <c r="D1299" s="2"/>
      <c r="E1299" s="13"/>
      <c r="F1299" s="13"/>
      <c r="G1299" s="2"/>
      <c r="H1299" s="2"/>
      <c r="I1299" s="2"/>
      <c r="J1299" s="2"/>
      <c r="K1299" s="13"/>
      <c r="L1299" s="14"/>
      <c r="M1299" s="1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"/>
      <c r="B1300" s="2"/>
      <c r="C1300" s="4"/>
      <c r="D1300" s="2"/>
      <c r="E1300" s="13"/>
      <c r="F1300" s="13"/>
      <c r="G1300" s="2"/>
      <c r="H1300" s="2"/>
      <c r="I1300" s="2"/>
      <c r="J1300" s="2"/>
      <c r="K1300" s="13"/>
      <c r="L1300" s="14"/>
      <c r="M1300" s="1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"/>
      <c r="B1301" s="2"/>
      <c r="C1301" s="4"/>
      <c r="D1301" s="2"/>
      <c r="E1301" s="13"/>
      <c r="F1301" s="13"/>
      <c r="G1301" s="2"/>
      <c r="H1301" s="2"/>
      <c r="I1301" s="2"/>
      <c r="J1301" s="2"/>
      <c r="K1301" s="13"/>
      <c r="L1301" s="14"/>
      <c r="M1301" s="1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">
      <c r="A1302" s="1"/>
      <c r="B1302" s="2"/>
      <c r="C1302" s="4"/>
      <c r="D1302" s="2"/>
      <c r="E1302" s="13"/>
      <c r="F1302" s="13"/>
      <c r="G1302" s="2"/>
      <c r="H1302" s="2"/>
      <c r="I1302" s="2"/>
      <c r="J1302" s="2"/>
      <c r="K1302" s="13"/>
      <c r="L1302" s="14"/>
      <c r="M1302" s="1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"/>
      <c r="B1303" s="2"/>
      <c r="C1303" s="4"/>
      <c r="D1303" s="2"/>
      <c r="E1303" s="13"/>
      <c r="F1303" s="13"/>
      <c r="G1303" s="2"/>
      <c r="H1303" s="2"/>
      <c r="I1303" s="2"/>
      <c r="J1303" s="2"/>
      <c r="K1303" s="13"/>
      <c r="L1303" s="14"/>
      <c r="M1303" s="1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"/>
      <c r="B1304" s="2"/>
      <c r="C1304" s="4"/>
      <c r="D1304" s="2"/>
      <c r="E1304" s="13"/>
      <c r="F1304" s="13"/>
      <c r="G1304" s="2"/>
      <c r="H1304" s="2"/>
      <c r="I1304" s="2"/>
      <c r="J1304" s="2"/>
      <c r="K1304" s="13"/>
      <c r="L1304" s="14"/>
      <c r="M1304" s="1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"/>
      <c r="B1305" s="2"/>
      <c r="C1305" s="4"/>
      <c r="D1305" s="2"/>
      <c r="E1305" s="13"/>
      <c r="F1305" s="13"/>
      <c r="G1305" s="2"/>
      <c r="H1305" s="2"/>
      <c r="I1305" s="2"/>
      <c r="J1305" s="2"/>
      <c r="K1305" s="13"/>
      <c r="L1305" s="14"/>
      <c r="M1305" s="1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"/>
      <c r="B1306" s="2"/>
      <c r="C1306" s="4"/>
      <c r="D1306" s="2"/>
      <c r="E1306" s="13"/>
      <c r="F1306" s="13"/>
      <c r="G1306" s="2"/>
      <c r="H1306" s="2"/>
      <c r="I1306" s="2"/>
      <c r="J1306" s="2"/>
      <c r="K1306" s="13"/>
      <c r="L1306" s="14"/>
      <c r="M1306" s="1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1"/>
      <c r="B1307" s="2"/>
      <c r="C1307" s="4"/>
      <c r="D1307" s="2"/>
      <c r="E1307" s="13"/>
      <c r="F1307" s="13"/>
      <c r="G1307" s="2"/>
      <c r="H1307" s="2"/>
      <c r="I1307" s="2"/>
      <c r="J1307" s="2"/>
      <c r="K1307" s="13"/>
      <c r="L1307" s="14"/>
      <c r="M1307" s="1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1"/>
      <c r="B1308" s="2"/>
      <c r="C1308" s="4"/>
      <c r="D1308" s="2"/>
      <c r="E1308" s="13"/>
      <c r="F1308" s="13"/>
      <c r="G1308" s="2"/>
      <c r="H1308" s="2"/>
      <c r="I1308" s="2"/>
      <c r="J1308" s="2"/>
      <c r="K1308" s="13"/>
      <c r="L1308" s="14"/>
      <c r="M1308" s="1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1"/>
      <c r="B1309" s="2"/>
      <c r="C1309" s="4"/>
      <c r="D1309" s="2"/>
      <c r="E1309" s="13"/>
      <c r="F1309" s="13"/>
      <c r="G1309" s="2"/>
      <c r="H1309" s="2"/>
      <c r="I1309" s="2"/>
      <c r="J1309" s="2"/>
      <c r="K1309" s="13"/>
      <c r="L1309" s="14"/>
      <c r="M1309" s="1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1"/>
      <c r="B1310" s="2"/>
      <c r="C1310" s="4"/>
      <c r="D1310" s="2"/>
      <c r="E1310" s="13"/>
      <c r="F1310" s="13"/>
      <c r="G1310" s="2"/>
      <c r="H1310" s="2"/>
      <c r="I1310" s="2"/>
      <c r="J1310" s="2"/>
      <c r="K1310" s="13"/>
      <c r="L1310" s="14"/>
      <c r="M1310" s="1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1"/>
      <c r="B1311" s="2"/>
      <c r="C1311" s="4"/>
      <c r="D1311" s="2"/>
      <c r="E1311" s="13"/>
      <c r="F1311" s="13"/>
      <c r="G1311" s="2"/>
      <c r="H1311" s="2"/>
      <c r="I1311" s="2"/>
      <c r="J1311" s="2"/>
      <c r="K1311" s="13"/>
      <c r="L1311" s="14"/>
      <c r="M1311" s="1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1"/>
      <c r="B1312" s="2"/>
      <c r="C1312" s="4"/>
      <c r="D1312" s="2"/>
      <c r="E1312" s="13"/>
      <c r="F1312" s="13"/>
      <c r="G1312" s="2"/>
      <c r="H1312" s="2"/>
      <c r="I1312" s="2"/>
      <c r="J1312" s="2"/>
      <c r="K1312" s="13"/>
      <c r="L1312" s="14"/>
      <c r="M1312" s="1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1"/>
      <c r="B1313" s="2"/>
      <c r="C1313" s="4"/>
      <c r="D1313" s="2"/>
      <c r="E1313" s="13"/>
      <c r="F1313" s="13"/>
      <c r="G1313" s="2"/>
      <c r="H1313" s="2"/>
      <c r="I1313" s="2"/>
      <c r="J1313" s="2"/>
      <c r="K1313" s="13"/>
      <c r="L1313" s="14"/>
      <c r="M1313" s="1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1"/>
      <c r="B1314" s="2"/>
      <c r="C1314" s="4"/>
      <c r="D1314" s="2"/>
      <c r="E1314" s="13"/>
      <c r="F1314" s="13"/>
      <c r="G1314" s="2"/>
      <c r="H1314" s="2"/>
      <c r="I1314" s="2"/>
      <c r="J1314" s="2"/>
      <c r="K1314" s="13"/>
      <c r="L1314" s="14"/>
      <c r="M1314" s="1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1"/>
      <c r="B1315" s="2"/>
      <c r="C1315" s="4"/>
      <c r="D1315" s="2"/>
      <c r="E1315" s="13"/>
      <c r="F1315" s="13"/>
      <c r="G1315" s="2"/>
      <c r="H1315" s="2"/>
      <c r="I1315" s="2"/>
      <c r="J1315" s="2"/>
      <c r="K1315" s="13"/>
      <c r="L1315" s="14"/>
      <c r="M1315" s="1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1"/>
      <c r="B1316" s="2"/>
      <c r="C1316" s="4"/>
      <c r="D1316" s="2"/>
      <c r="E1316" s="13"/>
      <c r="F1316" s="13"/>
      <c r="G1316" s="2"/>
      <c r="H1316" s="2"/>
      <c r="I1316" s="2"/>
      <c r="J1316" s="2"/>
      <c r="K1316" s="13"/>
      <c r="L1316" s="14"/>
      <c r="M1316" s="1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1"/>
      <c r="B1317" s="2"/>
      <c r="C1317" s="4"/>
      <c r="D1317" s="2"/>
      <c r="E1317" s="13"/>
      <c r="F1317" s="13"/>
      <c r="G1317" s="2"/>
      <c r="H1317" s="2"/>
      <c r="I1317" s="2"/>
      <c r="J1317" s="2"/>
      <c r="K1317" s="13"/>
      <c r="L1317" s="14"/>
      <c r="M1317" s="1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1"/>
      <c r="B1318" s="2"/>
      <c r="C1318" s="4"/>
      <c r="D1318" s="2"/>
      <c r="E1318" s="13"/>
      <c r="F1318" s="13"/>
      <c r="G1318" s="2"/>
      <c r="H1318" s="2"/>
      <c r="I1318" s="2"/>
      <c r="J1318" s="2"/>
      <c r="K1318" s="13"/>
      <c r="L1318" s="14"/>
      <c r="M1318" s="1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1"/>
      <c r="B1319" s="2"/>
      <c r="C1319" s="4"/>
      <c r="D1319" s="2"/>
      <c r="E1319" s="13"/>
      <c r="F1319" s="13"/>
      <c r="G1319" s="2"/>
      <c r="H1319" s="2"/>
      <c r="I1319" s="2"/>
      <c r="J1319" s="2"/>
      <c r="K1319" s="13"/>
      <c r="L1319" s="14"/>
      <c r="M1319" s="1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1"/>
      <c r="B1320" s="2"/>
      <c r="C1320" s="4"/>
      <c r="D1320" s="2"/>
      <c r="E1320" s="13"/>
      <c r="F1320" s="13"/>
      <c r="G1320" s="2"/>
      <c r="H1320" s="2"/>
      <c r="I1320" s="2"/>
      <c r="J1320" s="2"/>
      <c r="K1320" s="13"/>
      <c r="L1320" s="14"/>
      <c r="M1320" s="1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1"/>
      <c r="B1321" s="2"/>
      <c r="C1321" s="4"/>
      <c r="D1321" s="2"/>
      <c r="E1321" s="13"/>
      <c r="F1321" s="13"/>
      <c r="G1321" s="2"/>
      <c r="H1321" s="2"/>
      <c r="I1321" s="2"/>
      <c r="J1321" s="2"/>
      <c r="K1321" s="13"/>
      <c r="L1321" s="14"/>
      <c r="M1321" s="1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1"/>
      <c r="B1322" s="2"/>
      <c r="C1322" s="4"/>
      <c r="D1322" s="2"/>
      <c r="E1322" s="13"/>
      <c r="F1322" s="13"/>
      <c r="G1322" s="2"/>
      <c r="H1322" s="2"/>
      <c r="I1322" s="2"/>
      <c r="J1322" s="2"/>
      <c r="K1322" s="13"/>
      <c r="L1322" s="14"/>
      <c r="M1322" s="1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1"/>
      <c r="B1323" s="2"/>
      <c r="C1323" s="4"/>
      <c r="D1323" s="2"/>
      <c r="E1323" s="13"/>
      <c r="F1323" s="13"/>
      <c r="G1323" s="2"/>
      <c r="H1323" s="2"/>
      <c r="I1323" s="2"/>
      <c r="J1323" s="2"/>
      <c r="K1323" s="13"/>
      <c r="L1323" s="14"/>
      <c r="M1323" s="1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1"/>
      <c r="B1324" s="2"/>
      <c r="C1324" s="4"/>
      <c r="D1324" s="2"/>
      <c r="E1324" s="13"/>
      <c r="F1324" s="13"/>
      <c r="G1324" s="2"/>
      <c r="H1324" s="2"/>
      <c r="I1324" s="2"/>
      <c r="J1324" s="2"/>
      <c r="K1324" s="13"/>
      <c r="L1324" s="14"/>
      <c r="M1324" s="1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1"/>
      <c r="B1325" s="2"/>
      <c r="C1325" s="4"/>
      <c r="D1325" s="2"/>
      <c r="E1325" s="13"/>
      <c r="F1325" s="13"/>
      <c r="G1325" s="2"/>
      <c r="H1325" s="2"/>
      <c r="I1325" s="2"/>
      <c r="J1325" s="2"/>
      <c r="K1325" s="13"/>
      <c r="L1325" s="14"/>
      <c r="M1325" s="1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 x14ac:dyDescent="0.2">
      <c r="A1326" s="1"/>
      <c r="B1326" s="2"/>
      <c r="C1326" s="4"/>
      <c r="D1326" s="2"/>
      <c r="E1326" s="13"/>
      <c r="F1326" s="13"/>
      <c r="G1326" s="2"/>
      <c r="H1326" s="2"/>
      <c r="I1326" s="2"/>
      <c r="J1326" s="2"/>
      <c r="K1326" s="13"/>
      <c r="L1326" s="14"/>
      <c r="M1326" s="1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1"/>
      <c r="B1327" s="2"/>
      <c r="C1327" s="4"/>
      <c r="D1327" s="2"/>
      <c r="E1327" s="13"/>
      <c r="F1327" s="13"/>
      <c r="G1327" s="2"/>
      <c r="H1327" s="2"/>
      <c r="I1327" s="2"/>
      <c r="J1327" s="2"/>
      <c r="K1327" s="13"/>
      <c r="L1327" s="14"/>
      <c r="M1327" s="1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1"/>
      <c r="B1328" s="2"/>
      <c r="C1328" s="4"/>
      <c r="D1328" s="2"/>
      <c r="E1328" s="13"/>
      <c r="F1328" s="13"/>
      <c r="G1328" s="2"/>
      <c r="H1328" s="2"/>
      <c r="I1328" s="2"/>
      <c r="J1328" s="2"/>
      <c r="K1328" s="13"/>
      <c r="L1328" s="14"/>
      <c r="M1328" s="1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1"/>
      <c r="B1329" s="2"/>
      <c r="C1329" s="4"/>
      <c r="D1329" s="2"/>
      <c r="E1329" s="13"/>
      <c r="F1329" s="13"/>
      <c r="G1329" s="2"/>
      <c r="H1329" s="2"/>
      <c r="I1329" s="2"/>
      <c r="J1329" s="2"/>
      <c r="K1329" s="13"/>
      <c r="L1329" s="14"/>
      <c r="M1329" s="1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1"/>
      <c r="B1330" s="2"/>
      <c r="C1330" s="4"/>
      <c r="D1330" s="2"/>
      <c r="E1330" s="13"/>
      <c r="F1330" s="13"/>
      <c r="G1330" s="2"/>
      <c r="H1330" s="2"/>
      <c r="I1330" s="2"/>
      <c r="J1330" s="2"/>
      <c r="K1330" s="13"/>
      <c r="L1330" s="14"/>
      <c r="M1330" s="1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1"/>
      <c r="B1331" s="2"/>
      <c r="C1331" s="4"/>
      <c r="D1331" s="2"/>
      <c r="E1331" s="13"/>
      <c r="F1331" s="13"/>
      <c r="G1331" s="2"/>
      <c r="H1331" s="2"/>
      <c r="I1331" s="2"/>
      <c r="J1331" s="2"/>
      <c r="K1331" s="13"/>
      <c r="L1331" s="14"/>
      <c r="M1331" s="1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1"/>
      <c r="B1332" s="2"/>
      <c r="C1332" s="4"/>
      <c r="D1332" s="2"/>
      <c r="E1332" s="13"/>
      <c r="F1332" s="13"/>
      <c r="G1332" s="2"/>
      <c r="H1332" s="2"/>
      <c r="I1332" s="2"/>
      <c r="J1332" s="2"/>
      <c r="K1332" s="13"/>
      <c r="L1332" s="14"/>
      <c r="M1332" s="1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1"/>
      <c r="B1333" s="2"/>
      <c r="C1333" s="4"/>
      <c r="D1333" s="2"/>
      <c r="E1333" s="13"/>
      <c r="F1333" s="13"/>
      <c r="G1333" s="2"/>
      <c r="H1333" s="2"/>
      <c r="I1333" s="2"/>
      <c r="J1333" s="2"/>
      <c r="K1333" s="13"/>
      <c r="L1333" s="14"/>
      <c r="M1333" s="1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1"/>
      <c r="B1334" s="2"/>
      <c r="C1334" s="4"/>
      <c r="D1334" s="2"/>
      <c r="E1334" s="13"/>
      <c r="F1334" s="13"/>
      <c r="G1334" s="2"/>
      <c r="H1334" s="2"/>
      <c r="I1334" s="2"/>
      <c r="J1334" s="2"/>
      <c r="K1334" s="13"/>
      <c r="L1334" s="14"/>
      <c r="M1334" s="1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1"/>
      <c r="B1335" s="2"/>
      <c r="C1335" s="4"/>
      <c r="D1335" s="2"/>
      <c r="E1335" s="13"/>
      <c r="F1335" s="13"/>
      <c r="G1335" s="2"/>
      <c r="H1335" s="2"/>
      <c r="I1335" s="2"/>
      <c r="J1335" s="2"/>
      <c r="K1335" s="13"/>
      <c r="L1335" s="14"/>
      <c r="M1335" s="1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1"/>
      <c r="B1336" s="2"/>
      <c r="C1336" s="4"/>
      <c r="D1336" s="2"/>
      <c r="E1336" s="13"/>
      <c r="F1336" s="13"/>
      <c r="G1336" s="2"/>
      <c r="H1336" s="2"/>
      <c r="I1336" s="2"/>
      <c r="J1336" s="2"/>
      <c r="K1336" s="13"/>
      <c r="L1336" s="14"/>
      <c r="M1336" s="1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1"/>
      <c r="B1337" s="2"/>
      <c r="C1337" s="4"/>
      <c r="D1337" s="2"/>
      <c r="E1337" s="13"/>
      <c r="F1337" s="13"/>
      <c r="G1337" s="2"/>
      <c r="H1337" s="2"/>
      <c r="I1337" s="2"/>
      <c r="J1337" s="2"/>
      <c r="K1337" s="13"/>
      <c r="L1337" s="14"/>
      <c r="M1337" s="1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1"/>
      <c r="B1338" s="2"/>
      <c r="C1338" s="4"/>
      <c r="D1338" s="2"/>
      <c r="E1338" s="13"/>
      <c r="F1338" s="13"/>
      <c r="G1338" s="2"/>
      <c r="H1338" s="2"/>
      <c r="I1338" s="2"/>
      <c r="J1338" s="2"/>
      <c r="K1338" s="13"/>
      <c r="L1338" s="14"/>
      <c r="M1338" s="1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1"/>
      <c r="B1339" s="2"/>
      <c r="C1339" s="4"/>
      <c r="D1339" s="2"/>
      <c r="E1339" s="13"/>
      <c r="F1339" s="13"/>
      <c r="G1339" s="2"/>
      <c r="H1339" s="2"/>
      <c r="I1339" s="2"/>
      <c r="J1339" s="2"/>
      <c r="K1339" s="13"/>
      <c r="L1339" s="14"/>
      <c r="M1339" s="1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1"/>
      <c r="B1340" s="2"/>
      <c r="C1340" s="4"/>
      <c r="D1340" s="2"/>
      <c r="E1340" s="13"/>
      <c r="F1340" s="13"/>
      <c r="G1340" s="2"/>
      <c r="H1340" s="2"/>
      <c r="I1340" s="2"/>
      <c r="J1340" s="2"/>
      <c r="K1340" s="13"/>
      <c r="L1340" s="14"/>
      <c r="M1340" s="1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1"/>
      <c r="B1341" s="2"/>
      <c r="C1341" s="4"/>
      <c r="D1341" s="2"/>
      <c r="E1341" s="13"/>
      <c r="F1341" s="13"/>
      <c r="G1341" s="2"/>
      <c r="H1341" s="2"/>
      <c r="I1341" s="2"/>
      <c r="J1341" s="2"/>
      <c r="K1341" s="13"/>
      <c r="L1341" s="14"/>
      <c r="M1341" s="1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1"/>
      <c r="B1342" s="2"/>
      <c r="C1342" s="4"/>
      <c r="D1342" s="2"/>
      <c r="E1342" s="13"/>
      <c r="F1342" s="13"/>
      <c r="G1342" s="2"/>
      <c r="H1342" s="2"/>
      <c r="I1342" s="2"/>
      <c r="J1342" s="2"/>
      <c r="K1342" s="13"/>
      <c r="L1342" s="14"/>
      <c r="M1342" s="1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1"/>
      <c r="B1343" s="2"/>
      <c r="C1343" s="4"/>
      <c r="D1343" s="2"/>
      <c r="E1343" s="13"/>
      <c r="F1343" s="13"/>
      <c r="G1343" s="2"/>
      <c r="H1343" s="2"/>
      <c r="I1343" s="2"/>
      <c r="J1343" s="2"/>
      <c r="K1343" s="13"/>
      <c r="L1343" s="14"/>
      <c r="M1343" s="1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1"/>
      <c r="B1344" s="2"/>
      <c r="C1344" s="4"/>
      <c r="D1344" s="2"/>
      <c r="E1344" s="13"/>
      <c r="F1344" s="13"/>
      <c r="G1344" s="2"/>
      <c r="H1344" s="2"/>
      <c r="I1344" s="2"/>
      <c r="J1344" s="2"/>
      <c r="K1344" s="13"/>
      <c r="L1344" s="14"/>
      <c r="M1344" s="1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1"/>
      <c r="B1345" s="2"/>
      <c r="C1345" s="4"/>
      <c r="D1345" s="2"/>
      <c r="E1345" s="13"/>
      <c r="F1345" s="13"/>
      <c r="G1345" s="2"/>
      <c r="H1345" s="2"/>
      <c r="I1345" s="2"/>
      <c r="J1345" s="2"/>
      <c r="K1345" s="13"/>
      <c r="L1345" s="14"/>
      <c r="M1345" s="1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1"/>
      <c r="B1346" s="2"/>
      <c r="C1346" s="4"/>
      <c r="D1346" s="2"/>
      <c r="E1346" s="13"/>
      <c r="F1346" s="13"/>
      <c r="G1346" s="2"/>
      <c r="H1346" s="2"/>
      <c r="I1346" s="2"/>
      <c r="J1346" s="2"/>
      <c r="K1346" s="13"/>
      <c r="L1346" s="14"/>
      <c r="M1346" s="1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1"/>
      <c r="B1347" s="2"/>
      <c r="C1347" s="4"/>
      <c r="D1347" s="2"/>
      <c r="E1347" s="13"/>
      <c r="F1347" s="13"/>
      <c r="G1347" s="2"/>
      <c r="H1347" s="2"/>
      <c r="I1347" s="2"/>
      <c r="J1347" s="2"/>
      <c r="K1347" s="13"/>
      <c r="L1347" s="14"/>
      <c r="M1347" s="1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1"/>
      <c r="B1348" s="2"/>
      <c r="C1348" s="4"/>
      <c r="D1348" s="2"/>
      <c r="E1348" s="13"/>
      <c r="F1348" s="13"/>
      <c r="G1348" s="2"/>
      <c r="H1348" s="2"/>
      <c r="I1348" s="2"/>
      <c r="J1348" s="2"/>
      <c r="K1348" s="13"/>
      <c r="L1348" s="14"/>
      <c r="M1348" s="1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1"/>
      <c r="B1349" s="2"/>
      <c r="C1349" s="4"/>
      <c r="D1349" s="2"/>
      <c r="E1349" s="13"/>
      <c r="F1349" s="13"/>
      <c r="G1349" s="2"/>
      <c r="H1349" s="2"/>
      <c r="I1349" s="2"/>
      <c r="J1349" s="2"/>
      <c r="K1349" s="13"/>
      <c r="L1349" s="14"/>
      <c r="M1349" s="1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 x14ac:dyDescent="0.2">
      <c r="A1350" s="1"/>
      <c r="B1350" s="2"/>
      <c r="C1350" s="4"/>
      <c r="D1350" s="2"/>
      <c r="E1350" s="13"/>
      <c r="F1350" s="13"/>
      <c r="G1350" s="2"/>
      <c r="H1350" s="2"/>
      <c r="I1350" s="2"/>
      <c r="J1350" s="2"/>
      <c r="K1350" s="13"/>
      <c r="L1350" s="14"/>
      <c r="M1350" s="1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1"/>
      <c r="B1351" s="2"/>
      <c r="C1351" s="4"/>
      <c r="D1351" s="2"/>
      <c r="E1351" s="13"/>
      <c r="F1351" s="13"/>
      <c r="G1351" s="2"/>
      <c r="H1351" s="2"/>
      <c r="I1351" s="2"/>
      <c r="J1351" s="2"/>
      <c r="K1351" s="13"/>
      <c r="L1351" s="14"/>
      <c r="M1351" s="1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1"/>
      <c r="B1352" s="2"/>
      <c r="C1352" s="4"/>
      <c r="D1352" s="2"/>
      <c r="E1352" s="13"/>
      <c r="F1352" s="13"/>
      <c r="G1352" s="2"/>
      <c r="H1352" s="2"/>
      <c r="I1352" s="2"/>
      <c r="J1352" s="2"/>
      <c r="K1352" s="13"/>
      <c r="L1352" s="14"/>
      <c r="M1352" s="1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1"/>
      <c r="B1353" s="2"/>
      <c r="C1353" s="4"/>
      <c r="D1353" s="2"/>
      <c r="E1353" s="13"/>
      <c r="F1353" s="13"/>
      <c r="G1353" s="2"/>
      <c r="H1353" s="2"/>
      <c r="I1353" s="2"/>
      <c r="J1353" s="2"/>
      <c r="K1353" s="13"/>
      <c r="L1353" s="14"/>
      <c r="M1353" s="1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1"/>
      <c r="B1354" s="2"/>
      <c r="C1354" s="4"/>
      <c r="D1354" s="2"/>
      <c r="E1354" s="13"/>
      <c r="F1354" s="13"/>
      <c r="G1354" s="2"/>
      <c r="H1354" s="2"/>
      <c r="I1354" s="2"/>
      <c r="J1354" s="2"/>
      <c r="K1354" s="13"/>
      <c r="L1354" s="14"/>
      <c r="M1354" s="1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1"/>
      <c r="B1355" s="2"/>
      <c r="C1355" s="4"/>
      <c r="D1355" s="2"/>
      <c r="E1355" s="13"/>
      <c r="F1355" s="13"/>
      <c r="G1355" s="2"/>
      <c r="H1355" s="2"/>
      <c r="I1355" s="2"/>
      <c r="J1355" s="2"/>
      <c r="K1355" s="13"/>
      <c r="L1355" s="14"/>
      <c r="M1355" s="1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1"/>
      <c r="B1356" s="2"/>
      <c r="C1356" s="4"/>
      <c r="D1356" s="2"/>
      <c r="E1356" s="13"/>
      <c r="F1356" s="13"/>
      <c r="G1356" s="2"/>
      <c r="H1356" s="2"/>
      <c r="I1356" s="2"/>
      <c r="J1356" s="2"/>
      <c r="K1356" s="13"/>
      <c r="L1356" s="14"/>
      <c r="M1356" s="1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1"/>
      <c r="B1357" s="2"/>
      <c r="C1357" s="4"/>
      <c r="D1357" s="2"/>
      <c r="E1357" s="13"/>
      <c r="F1357" s="13"/>
      <c r="G1357" s="2"/>
      <c r="H1357" s="2"/>
      <c r="I1357" s="2"/>
      <c r="J1357" s="2"/>
      <c r="K1357" s="13"/>
      <c r="L1357" s="14"/>
      <c r="M1357" s="1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1"/>
      <c r="B1358" s="2"/>
      <c r="C1358" s="4"/>
      <c r="D1358" s="2"/>
      <c r="E1358" s="13"/>
      <c r="F1358" s="13"/>
      <c r="G1358" s="2"/>
      <c r="H1358" s="2"/>
      <c r="I1358" s="2"/>
      <c r="J1358" s="2"/>
      <c r="K1358" s="13"/>
      <c r="L1358" s="14"/>
      <c r="M1358" s="1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</sheetData>
  <mergeCells count="13">
    <mergeCell ref="A368:B368"/>
    <mergeCell ref="A3:C3"/>
    <mergeCell ref="I3:K3"/>
    <mergeCell ref="A43:C43"/>
    <mergeCell ref="A44:C44"/>
    <mergeCell ref="I44:K44"/>
    <mergeCell ref="A86:C86"/>
    <mergeCell ref="I86:K86"/>
    <mergeCell ref="A126:C126"/>
    <mergeCell ref="I126:K126"/>
    <mergeCell ref="A221:C221"/>
    <mergeCell ref="A242:C242"/>
    <mergeCell ref="A278:C278"/>
  </mergeCells>
  <conditionalFormatting sqref="L1:L1358">
    <cfRule type="cellIs" dxfId="19" priority="2" operator="greaterThanOrEqual">
      <formula>"30%"</formula>
    </cfRule>
    <cfRule type="cellIs" dxfId="18" priority="3" operator="between">
      <formula>"25%"</formula>
      <formula>"30%"</formula>
    </cfRule>
    <cfRule type="cellIs" dxfId="17" priority="4" operator="lessThan">
      <formula>"25%"</formula>
    </cfRule>
  </conditionalFormatting>
  <conditionalFormatting sqref="L221:L237 L332:L355 L361:L368">
    <cfRule type="cellIs" dxfId="16" priority="1" operator="greaterThanOrEqual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AB01-EB5B-5341-A4F3-711DD29497FE}">
  <sheetPr>
    <outlinePr summaryBelow="0" summaryRight="0"/>
  </sheetPr>
  <dimension ref="A1:Z1143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88" t="s">
        <v>59</v>
      </c>
      <c r="B3" s="89"/>
      <c r="C3" s="89"/>
      <c r="D3" s="2"/>
      <c r="E3" s="7" t="s">
        <v>179</v>
      </c>
      <c r="F3" s="8">
        <v>46141</v>
      </c>
      <c r="G3" s="7" t="s">
        <v>106</v>
      </c>
      <c r="H3" s="2"/>
      <c r="I3" s="91" t="s">
        <v>2</v>
      </c>
      <c r="J3" s="89"/>
      <c r="K3" s="89"/>
      <c r="L3" s="3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7"/>
      <c r="H5" s="2"/>
      <c r="I5" s="10" t="s">
        <v>9</v>
      </c>
      <c r="J5" s="10" t="s">
        <v>7</v>
      </c>
      <c r="K5" s="10" t="s">
        <v>10</v>
      </c>
      <c r="L5" s="3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12">
        <v>5</v>
      </c>
      <c r="B6" s="10" t="s">
        <v>17</v>
      </c>
      <c r="C6" s="11" t="s">
        <v>39</v>
      </c>
      <c r="D6" s="13">
        <v>1800</v>
      </c>
      <c r="E6" s="13">
        <f t="shared" ref="E6:E20" si="0">A6*D6</f>
        <v>9000</v>
      </c>
      <c r="F6" s="13">
        <f t="shared" ref="F6:F20" si="1">E6*1.105</f>
        <v>9945</v>
      </c>
      <c r="G6" s="2"/>
      <c r="H6" s="2"/>
      <c r="I6" s="13">
        <f>17600/15</f>
        <v>1173.3333333333333</v>
      </c>
      <c r="J6" s="13">
        <f t="shared" ref="J6:J20" si="2">I6*A6</f>
        <v>5866.6666666666661</v>
      </c>
      <c r="K6" s="13">
        <f t="shared" ref="K6:K20" si="3">F6-J6</f>
        <v>4078.3333333333339</v>
      </c>
      <c r="L6" s="14">
        <f t="shared" ref="L6:L20" si="4">IFERROR(K6/E6, 0)</f>
        <v>0.45314814814814819</v>
      </c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12">
        <v>3</v>
      </c>
      <c r="B7" s="10" t="s">
        <v>17</v>
      </c>
      <c r="C7" s="11" t="s">
        <v>43</v>
      </c>
      <c r="D7" s="13">
        <v>4500</v>
      </c>
      <c r="E7" s="13">
        <f t="shared" si="0"/>
        <v>13500</v>
      </c>
      <c r="F7" s="13">
        <f t="shared" si="1"/>
        <v>14917.5</v>
      </c>
      <c r="G7" s="2"/>
      <c r="H7" s="2"/>
      <c r="I7" s="13">
        <v>3000</v>
      </c>
      <c r="J7" s="13">
        <f t="shared" si="2"/>
        <v>9000</v>
      </c>
      <c r="K7" s="13">
        <f t="shared" si="3"/>
        <v>5917.5</v>
      </c>
      <c r="L7" s="14">
        <f t="shared" si="4"/>
        <v>0.43833333333333335</v>
      </c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12">
        <v>10</v>
      </c>
      <c r="B8" s="10" t="s">
        <v>21</v>
      </c>
      <c r="C8" s="11" t="s">
        <v>46</v>
      </c>
      <c r="D8" s="13">
        <v>850</v>
      </c>
      <c r="E8" s="13">
        <f t="shared" si="0"/>
        <v>8500</v>
      </c>
      <c r="F8" s="13">
        <f t="shared" si="1"/>
        <v>9392.5</v>
      </c>
      <c r="G8" s="7"/>
      <c r="H8" s="2"/>
      <c r="I8" s="13">
        <f>16000/24</f>
        <v>666.66666666666663</v>
      </c>
      <c r="J8" s="13">
        <f t="shared" si="2"/>
        <v>6666.6666666666661</v>
      </c>
      <c r="K8" s="13">
        <f t="shared" si="3"/>
        <v>2725.8333333333339</v>
      </c>
      <c r="L8" s="14">
        <f t="shared" si="4"/>
        <v>0.32068627450980397</v>
      </c>
      <c r="M8" s="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2">
        <v>2</v>
      </c>
      <c r="B9" s="10" t="s">
        <v>4</v>
      </c>
      <c r="C9" s="11" t="s">
        <v>14</v>
      </c>
      <c r="D9" s="13">
        <v>3200</v>
      </c>
      <c r="E9" s="13">
        <f t="shared" si="0"/>
        <v>6400</v>
      </c>
      <c r="F9" s="13">
        <f t="shared" si="1"/>
        <v>7072</v>
      </c>
      <c r="G9" s="2"/>
      <c r="H9" s="2"/>
      <c r="I9" s="13">
        <f>22000/8</f>
        <v>2750</v>
      </c>
      <c r="J9" s="13">
        <f t="shared" si="2"/>
        <v>5500</v>
      </c>
      <c r="K9" s="13">
        <f t="shared" si="3"/>
        <v>1572</v>
      </c>
      <c r="L9" s="14">
        <f t="shared" si="4"/>
        <v>0.24562500000000001</v>
      </c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12">
        <v>5</v>
      </c>
      <c r="B10" s="10" t="s">
        <v>15</v>
      </c>
      <c r="C10" s="11" t="s">
        <v>27</v>
      </c>
      <c r="D10" s="13">
        <v>25000</v>
      </c>
      <c r="E10" s="13">
        <f t="shared" si="0"/>
        <v>125000</v>
      </c>
      <c r="F10" s="13">
        <f t="shared" si="1"/>
        <v>138125</v>
      </c>
      <c r="G10" s="7"/>
      <c r="H10" s="2"/>
      <c r="I10" s="13">
        <v>20000</v>
      </c>
      <c r="J10" s="13">
        <f t="shared" si="2"/>
        <v>100000</v>
      </c>
      <c r="K10" s="13">
        <f t="shared" si="3"/>
        <v>38125</v>
      </c>
      <c r="L10" s="14">
        <f t="shared" si="4"/>
        <v>0.30499999999999999</v>
      </c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2">
        <v>1</v>
      </c>
      <c r="B11" s="10" t="s">
        <v>15</v>
      </c>
      <c r="C11" s="11" t="s">
        <v>40</v>
      </c>
      <c r="D11" s="13">
        <v>12000</v>
      </c>
      <c r="E11" s="13">
        <f t="shared" si="0"/>
        <v>12000</v>
      </c>
      <c r="F11" s="13">
        <f t="shared" si="1"/>
        <v>13260</v>
      </c>
      <c r="G11" s="7"/>
      <c r="H11" s="2"/>
      <c r="I11" s="13">
        <v>8000</v>
      </c>
      <c r="J11" s="13">
        <f t="shared" si="2"/>
        <v>8000</v>
      </c>
      <c r="K11" s="13">
        <f t="shared" si="3"/>
        <v>5260</v>
      </c>
      <c r="L11" s="14">
        <f t="shared" si="4"/>
        <v>0.43833333333333335</v>
      </c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12">
        <v>1</v>
      </c>
      <c r="B12" s="10" t="s">
        <v>15</v>
      </c>
      <c r="C12" s="11" t="s">
        <v>129</v>
      </c>
      <c r="D12" s="13">
        <v>16000</v>
      </c>
      <c r="E12" s="13">
        <f t="shared" si="0"/>
        <v>16000</v>
      </c>
      <c r="F12" s="13">
        <f t="shared" si="1"/>
        <v>17680</v>
      </c>
      <c r="G12" s="7"/>
      <c r="H12" s="2"/>
      <c r="I12" s="13">
        <v>13000</v>
      </c>
      <c r="J12" s="13">
        <f t="shared" si="2"/>
        <v>13000</v>
      </c>
      <c r="K12" s="13">
        <f t="shared" si="3"/>
        <v>4680</v>
      </c>
      <c r="L12" s="14">
        <f t="shared" si="4"/>
        <v>0.29249999999999998</v>
      </c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12">
        <v>1.5</v>
      </c>
      <c r="B13" s="10" t="s">
        <v>17</v>
      </c>
      <c r="C13" s="11" t="s">
        <v>34</v>
      </c>
      <c r="D13" s="13">
        <v>4000</v>
      </c>
      <c r="E13" s="13">
        <f t="shared" si="0"/>
        <v>6000</v>
      </c>
      <c r="F13" s="13">
        <f t="shared" si="1"/>
        <v>6630</v>
      </c>
      <c r="G13" s="7"/>
      <c r="H13" s="2"/>
      <c r="I13" s="13">
        <v>3000</v>
      </c>
      <c r="J13" s="13">
        <f t="shared" si="2"/>
        <v>4500</v>
      </c>
      <c r="K13" s="13">
        <f t="shared" si="3"/>
        <v>2130</v>
      </c>
      <c r="L13" s="14">
        <f t="shared" si="4"/>
        <v>0.35499999999999998</v>
      </c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2">
        <v>1</v>
      </c>
      <c r="B14" s="10" t="s">
        <v>17</v>
      </c>
      <c r="C14" s="11" t="s">
        <v>35</v>
      </c>
      <c r="D14" s="13">
        <v>2500</v>
      </c>
      <c r="E14" s="13">
        <f t="shared" si="0"/>
        <v>2500</v>
      </c>
      <c r="F14" s="13">
        <f t="shared" si="1"/>
        <v>2762.5</v>
      </c>
      <c r="G14" s="7"/>
      <c r="H14" s="2"/>
      <c r="I14" s="13">
        <f>14000/9</f>
        <v>1555.5555555555557</v>
      </c>
      <c r="J14" s="13">
        <f t="shared" si="2"/>
        <v>1555.5555555555557</v>
      </c>
      <c r="K14" s="13">
        <f t="shared" si="3"/>
        <v>1206.9444444444443</v>
      </c>
      <c r="L14" s="14">
        <f t="shared" si="4"/>
        <v>0.48277777777777775</v>
      </c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2">
        <v>3.5</v>
      </c>
      <c r="B15" s="10" t="s">
        <v>17</v>
      </c>
      <c r="C15" s="11" t="s">
        <v>82</v>
      </c>
      <c r="D15" s="13">
        <v>3300</v>
      </c>
      <c r="E15" s="13">
        <f t="shared" si="0"/>
        <v>11550</v>
      </c>
      <c r="F15" s="13">
        <f t="shared" si="1"/>
        <v>12762.75</v>
      </c>
      <c r="G15" s="7"/>
      <c r="I15" s="13">
        <f>40000/14</f>
        <v>2857.1428571428573</v>
      </c>
      <c r="J15" s="13">
        <f t="shared" si="2"/>
        <v>10000</v>
      </c>
      <c r="K15" s="13">
        <f t="shared" si="3"/>
        <v>2762.75</v>
      </c>
      <c r="L15" s="14">
        <f t="shared" si="4"/>
        <v>0.23919913419913419</v>
      </c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2">
        <v>1</v>
      </c>
      <c r="B16" s="10" t="s">
        <v>17</v>
      </c>
      <c r="C16" s="11" t="s">
        <v>99</v>
      </c>
      <c r="D16" s="13">
        <v>1500</v>
      </c>
      <c r="E16" s="13">
        <f t="shared" si="0"/>
        <v>1500</v>
      </c>
      <c r="F16" s="13">
        <f t="shared" si="1"/>
        <v>1657.5</v>
      </c>
      <c r="G16" s="7"/>
      <c r="I16" s="13">
        <f>7000/7</f>
        <v>1000</v>
      </c>
      <c r="J16" s="13">
        <f t="shared" si="2"/>
        <v>1000</v>
      </c>
      <c r="K16" s="13">
        <f t="shared" si="3"/>
        <v>657.5</v>
      </c>
      <c r="L16" s="14">
        <f t="shared" si="4"/>
        <v>0.43833333333333335</v>
      </c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2">
        <v>1</v>
      </c>
      <c r="B17" s="10" t="s">
        <v>23</v>
      </c>
      <c r="C17" s="11" t="s">
        <v>26</v>
      </c>
      <c r="D17" s="13">
        <v>19000</v>
      </c>
      <c r="E17" s="13">
        <f t="shared" si="0"/>
        <v>19000</v>
      </c>
      <c r="F17" s="13">
        <f t="shared" si="1"/>
        <v>20995</v>
      </c>
      <c r="G17" s="2"/>
      <c r="H17" s="2"/>
      <c r="I17" s="13">
        <v>14000</v>
      </c>
      <c r="J17" s="13">
        <f t="shared" si="2"/>
        <v>14000</v>
      </c>
      <c r="K17" s="13">
        <f t="shared" si="3"/>
        <v>6995</v>
      </c>
      <c r="L17" s="14">
        <f t="shared" si="4"/>
        <v>0.36815789473684213</v>
      </c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2">
        <v>3</v>
      </c>
      <c r="B18" s="10" t="s">
        <v>17</v>
      </c>
      <c r="C18" s="11" t="s">
        <v>62</v>
      </c>
      <c r="D18" s="13">
        <v>2800</v>
      </c>
      <c r="E18" s="13">
        <f t="shared" si="0"/>
        <v>8400</v>
      </c>
      <c r="F18" s="13">
        <f t="shared" si="1"/>
        <v>9282</v>
      </c>
      <c r="G18" s="2"/>
      <c r="H18" s="2"/>
      <c r="I18" s="13">
        <f>33000/17</f>
        <v>1941.1764705882354</v>
      </c>
      <c r="J18" s="13">
        <f t="shared" si="2"/>
        <v>5823.5294117647063</v>
      </c>
      <c r="K18" s="13">
        <f t="shared" si="3"/>
        <v>3458.4705882352937</v>
      </c>
      <c r="L18" s="14">
        <f t="shared" si="4"/>
        <v>0.4117226890756302</v>
      </c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2">
        <v>4</v>
      </c>
      <c r="B19" s="10" t="s">
        <v>17</v>
      </c>
      <c r="C19" s="11" t="s">
        <v>25</v>
      </c>
      <c r="D19" s="13">
        <v>4500</v>
      </c>
      <c r="E19" s="13">
        <f t="shared" si="0"/>
        <v>18000</v>
      </c>
      <c r="F19" s="13">
        <f t="shared" si="1"/>
        <v>19890</v>
      </c>
      <c r="G19" s="2"/>
      <c r="H19" s="2"/>
      <c r="I19" s="13">
        <f>47000/17</f>
        <v>2764.705882352941</v>
      </c>
      <c r="J19" s="13">
        <f t="shared" si="2"/>
        <v>11058.823529411764</v>
      </c>
      <c r="K19" s="13">
        <f t="shared" si="3"/>
        <v>8831.176470588236</v>
      </c>
      <c r="L19" s="14">
        <f t="shared" si="4"/>
        <v>0.49062091503267979</v>
      </c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2">
        <v>3</v>
      </c>
      <c r="B20" s="10" t="s">
        <v>17</v>
      </c>
      <c r="C20" s="11" t="s">
        <v>24</v>
      </c>
      <c r="D20" s="13">
        <v>3600</v>
      </c>
      <c r="E20" s="13">
        <f t="shared" si="0"/>
        <v>10800</v>
      </c>
      <c r="F20" s="13">
        <f t="shared" si="1"/>
        <v>11934</v>
      </c>
      <c r="G20" s="7"/>
      <c r="H20" s="2"/>
      <c r="I20" s="13">
        <f>50000/17</f>
        <v>2941.1764705882351</v>
      </c>
      <c r="J20" s="13">
        <f t="shared" si="2"/>
        <v>8823.5294117647063</v>
      </c>
      <c r="K20" s="13">
        <f t="shared" si="3"/>
        <v>3110.4705882352937</v>
      </c>
      <c r="L20" s="14">
        <f t="shared" si="4"/>
        <v>0.28800653594771236</v>
      </c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5"/>
      <c r="B21" s="2"/>
      <c r="C21" s="4"/>
      <c r="D21" s="2"/>
      <c r="E21" s="2"/>
      <c r="F21" s="2"/>
      <c r="G21" s="2"/>
      <c r="H21" s="2"/>
      <c r="I21" s="2"/>
      <c r="J21" s="2"/>
      <c r="K21" s="2"/>
      <c r="L21" s="3"/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"/>
      <c r="B22" s="2"/>
      <c r="C22" s="4"/>
      <c r="D22" s="2"/>
      <c r="E22" s="13">
        <f t="shared" ref="E22:F22" si="5">SUM(E6:E20)</f>
        <v>268150</v>
      </c>
      <c r="F22" s="13">
        <f t="shared" si="5"/>
        <v>296305.75</v>
      </c>
      <c r="G22" s="2"/>
      <c r="H22" s="2"/>
      <c r="I22" s="2"/>
      <c r="J22" s="2"/>
      <c r="K22" s="13">
        <f>SUM(K6:K20)</f>
        <v>91510.97875816992</v>
      </c>
      <c r="L22" s="14">
        <f>K22/F22</f>
        <v>0.30883969939216477</v>
      </c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"/>
      <c r="B26" s="1"/>
      <c r="C26" s="1"/>
      <c r="D26" s="1"/>
      <c r="E26" s="1"/>
      <c r="F26" s="8"/>
      <c r="G26" s="1"/>
      <c r="H26" s="1"/>
      <c r="I26" s="1"/>
      <c r="J26" s="1"/>
      <c r="K26" s="1"/>
      <c r="L26" s="20"/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88" t="s">
        <v>66</v>
      </c>
      <c r="B27" s="89"/>
      <c r="C27" s="89"/>
      <c r="D27" s="2"/>
      <c r="E27" s="7" t="s">
        <v>1088</v>
      </c>
      <c r="F27" s="8">
        <v>46141</v>
      </c>
      <c r="G27" s="7" t="s">
        <v>106</v>
      </c>
      <c r="H27" s="2"/>
      <c r="I27" s="91" t="s">
        <v>2</v>
      </c>
      <c r="J27" s="89"/>
      <c r="K27" s="89"/>
      <c r="L27" s="3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"/>
      <c r="B28" s="2"/>
      <c r="C28" s="5"/>
      <c r="D28" s="2"/>
      <c r="E28" s="2"/>
      <c r="F28" s="8"/>
      <c r="G28" s="2"/>
      <c r="H28" s="2"/>
      <c r="I28" s="2"/>
      <c r="J28" s="2"/>
      <c r="K28" s="2"/>
      <c r="L28" s="3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6" t="s">
        <v>3</v>
      </c>
      <c r="B29" s="10" t="s">
        <v>4</v>
      </c>
      <c r="C29" s="11" t="s">
        <v>5</v>
      </c>
      <c r="D29" s="10" t="s">
        <v>6</v>
      </c>
      <c r="E29" s="10" t="s">
        <v>7</v>
      </c>
      <c r="F29" s="10" t="s">
        <v>8</v>
      </c>
      <c r="G29" s="2"/>
      <c r="H29" s="2"/>
      <c r="I29" s="10" t="s">
        <v>9</v>
      </c>
      <c r="J29" s="10" t="s">
        <v>7</v>
      </c>
      <c r="K29" s="10" t="s">
        <v>10</v>
      </c>
      <c r="L29" s="3"/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2">
        <v>2</v>
      </c>
      <c r="B30" s="10" t="s">
        <v>15</v>
      </c>
      <c r="C30" s="11" t="s">
        <v>27</v>
      </c>
      <c r="D30" s="13">
        <v>25000</v>
      </c>
      <c r="E30" s="13">
        <f t="shared" ref="E30:E59" si="6">A30*D30</f>
        <v>50000</v>
      </c>
      <c r="F30" s="13">
        <f t="shared" ref="F30:F58" si="7">E30*1.105</f>
        <v>55250</v>
      </c>
      <c r="G30" s="7"/>
      <c r="H30" s="2"/>
      <c r="I30" s="13">
        <v>20000</v>
      </c>
      <c r="J30" s="13">
        <f t="shared" ref="J30:J59" si="8">I30*A30</f>
        <v>40000</v>
      </c>
      <c r="K30" s="13">
        <f t="shared" ref="K30:K59" si="9">F30-J30</f>
        <v>15250</v>
      </c>
      <c r="L30" s="14">
        <f t="shared" ref="L30:L59" si="10">IFERROR(K30/E30, 0)</f>
        <v>0.30499999999999999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2">
        <v>1</v>
      </c>
      <c r="B31" s="10" t="s">
        <v>15</v>
      </c>
      <c r="C31" s="11" t="s">
        <v>48</v>
      </c>
      <c r="D31" s="13">
        <v>13000</v>
      </c>
      <c r="E31" s="13">
        <f t="shared" si="6"/>
        <v>13000</v>
      </c>
      <c r="F31" s="13">
        <f t="shared" si="7"/>
        <v>14365</v>
      </c>
      <c r="G31" s="7"/>
      <c r="H31" s="2"/>
      <c r="I31" s="13">
        <v>8000</v>
      </c>
      <c r="J31" s="13">
        <f t="shared" si="8"/>
        <v>8000</v>
      </c>
      <c r="K31" s="13">
        <f t="shared" si="9"/>
        <v>6365</v>
      </c>
      <c r="L31" s="14">
        <f t="shared" si="10"/>
        <v>0.48961538461538462</v>
      </c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2">
        <v>3</v>
      </c>
      <c r="B32" s="10" t="s">
        <v>17</v>
      </c>
      <c r="C32" s="11" t="s">
        <v>56</v>
      </c>
      <c r="D32" s="13">
        <v>1200</v>
      </c>
      <c r="E32" s="13">
        <f t="shared" si="6"/>
        <v>3600</v>
      </c>
      <c r="F32" s="13">
        <f t="shared" si="7"/>
        <v>3978</v>
      </c>
      <c r="G32" s="2"/>
      <c r="H32" s="2"/>
      <c r="I32" s="13">
        <f>10000/15</f>
        <v>666.66666666666663</v>
      </c>
      <c r="J32" s="13">
        <f t="shared" si="8"/>
        <v>2000</v>
      </c>
      <c r="K32" s="13">
        <f t="shared" si="9"/>
        <v>1978</v>
      </c>
      <c r="L32" s="82">
        <f t="shared" si="10"/>
        <v>0.5494444444444444</v>
      </c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2">
        <v>3</v>
      </c>
      <c r="B33" s="10" t="s">
        <v>17</v>
      </c>
      <c r="C33" s="11" t="s">
        <v>18</v>
      </c>
      <c r="D33" s="13">
        <v>1600</v>
      </c>
      <c r="E33" s="13">
        <f t="shared" si="6"/>
        <v>4800</v>
      </c>
      <c r="F33" s="13">
        <f t="shared" si="7"/>
        <v>5304</v>
      </c>
      <c r="G33" s="2"/>
      <c r="H33" s="2"/>
      <c r="I33" s="13">
        <v>1500</v>
      </c>
      <c r="J33" s="13">
        <f t="shared" si="8"/>
        <v>4500</v>
      </c>
      <c r="K33" s="13">
        <f t="shared" si="9"/>
        <v>804</v>
      </c>
      <c r="L33" s="82">
        <f t="shared" si="10"/>
        <v>0.16750000000000001</v>
      </c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2">
        <v>3</v>
      </c>
      <c r="B34" s="10" t="s">
        <v>21</v>
      </c>
      <c r="C34" s="11" t="s">
        <v>22</v>
      </c>
      <c r="D34" s="13">
        <v>1500</v>
      </c>
      <c r="E34" s="13">
        <f t="shared" si="6"/>
        <v>4500</v>
      </c>
      <c r="F34" s="13">
        <f t="shared" si="7"/>
        <v>4972.5</v>
      </c>
      <c r="G34" s="2"/>
      <c r="H34" s="2"/>
      <c r="I34" s="13">
        <v>1500</v>
      </c>
      <c r="J34" s="13">
        <f t="shared" si="8"/>
        <v>4500</v>
      </c>
      <c r="K34" s="13">
        <f t="shared" si="9"/>
        <v>472.5</v>
      </c>
      <c r="L34" s="82">
        <f t="shared" si="10"/>
        <v>0.105</v>
      </c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2">
        <v>1.5</v>
      </c>
      <c r="B35" s="10" t="s">
        <v>17</v>
      </c>
      <c r="C35" s="11" t="s">
        <v>38</v>
      </c>
      <c r="D35" s="13">
        <v>1800</v>
      </c>
      <c r="E35" s="13">
        <f t="shared" si="6"/>
        <v>2700</v>
      </c>
      <c r="F35" s="13">
        <f t="shared" si="7"/>
        <v>2983.5</v>
      </c>
      <c r="G35" s="2"/>
      <c r="H35" s="2"/>
      <c r="I35" s="13">
        <v>1250</v>
      </c>
      <c r="J35" s="13">
        <f t="shared" si="8"/>
        <v>1875</v>
      </c>
      <c r="K35" s="13">
        <f t="shared" si="9"/>
        <v>1108.5</v>
      </c>
      <c r="L35" s="82">
        <f t="shared" si="10"/>
        <v>0.41055555555555556</v>
      </c>
      <c r="M35" s="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2">
        <v>2.2000000000000002</v>
      </c>
      <c r="B36" s="10" t="s">
        <v>17</v>
      </c>
      <c r="C36" s="11" t="s">
        <v>36</v>
      </c>
      <c r="D36" s="13">
        <v>1800</v>
      </c>
      <c r="E36" s="13">
        <f t="shared" si="6"/>
        <v>3960.0000000000005</v>
      </c>
      <c r="F36" s="13">
        <f t="shared" si="7"/>
        <v>4375.8</v>
      </c>
      <c r="G36" s="2"/>
      <c r="H36" s="2"/>
      <c r="I36" s="13">
        <v>800</v>
      </c>
      <c r="J36" s="13">
        <f t="shared" si="8"/>
        <v>1760.0000000000002</v>
      </c>
      <c r="K36" s="13">
        <f t="shared" si="9"/>
        <v>2615.8000000000002</v>
      </c>
      <c r="L36" s="82">
        <f t="shared" si="10"/>
        <v>0.66055555555555556</v>
      </c>
      <c r="M36" s="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2">
        <v>1</v>
      </c>
      <c r="B37" s="10" t="s">
        <v>15</v>
      </c>
      <c r="C37" s="11" t="s">
        <v>40</v>
      </c>
      <c r="D37" s="13">
        <v>12000</v>
      </c>
      <c r="E37" s="13">
        <f t="shared" si="6"/>
        <v>12000</v>
      </c>
      <c r="F37" s="13">
        <f t="shared" si="7"/>
        <v>13260</v>
      </c>
      <c r="G37" s="2"/>
      <c r="H37" s="2"/>
      <c r="I37" s="13">
        <v>8000</v>
      </c>
      <c r="J37" s="13">
        <f t="shared" si="8"/>
        <v>8000</v>
      </c>
      <c r="K37" s="13">
        <f t="shared" si="9"/>
        <v>5260</v>
      </c>
      <c r="L37" s="82">
        <f t="shared" si="10"/>
        <v>0.43833333333333335</v>
      </c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2">
        <v>0.5</v>
      </c>
      <c r="B38" s="10" t="s">
        <v>17</v>
      </c>
      <c r="C38" s="11" t="s">
        <v>34</v>
      </c>
      <c r="D38" s="13">
        <v>4000</v>
      </c>
      <c r="E38" s="13">
        <f t="shared" si="6"/>
        <v>2000</v>
      </c>
      <c r="F38" s="13">
        <f t="shared" si="7"/>
        <v>2210</v>
      </c>
      <c r="G38" s="2"/>
      <c r="H38" s="2"/>
      <c r="I38" s="17">
        <v>3000</v>
      </c>
      <c r="J38" s="13">
        <f t="shared" si="8"/>
        <v>1500</v>
      </c>
      <c r="K38" s="13">
        <f t="shared" si="9"/>
        <v>710</v>
      </c>
      <c r="L38" s="82">
        <f t="shared" si="10"/>
        <v>0.35499999999999998</v>
      </c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2">
        <v>1</v>
      </c>
      <c r="B39" s="10" t="s">
        <v>21</v>
      </c>
      <c r="C39" s="11" t="s">
        <v>51</v>
      </c>
      <c r="D39" s="13">
        <v>1000</v>
      </c>
      <c r="E39" s="13">
        <f t="shared" si="6"/>
        <v>1000</v>
      </c>
      <c r="F39" s="13">
        <f t="shared" si="7"/>
        <v>1105</v>
      </c>
      <c r="G39" s="2"/>
      <c r="H39" s="2"/>
      <c r="I39" s="13">
        <v>800</v>
      </c>
      <c r="J39" s="13">
        <f t="shared" si="8"/>
        <v>800</v>
      </c>
      <c r="K39" s="13">
        <f t="shared" si="9"/>
        <v>305</v>
      </c>
      <c r="L39" s="82">
        <f t="shared" si="10"/>
        <v>0.30499999999999999</v>
      </c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2">
        <v>0.5</v>
      </c>
      <c r="B40" s="10" t="s">
        <v>21</v>
      </c>
      <c r="C40" s="11" t="s">
        <v>29</v>
      </c>
      <c r="D40" s="13">
        <v>3000</v>
      </c>
      <c r="E40" s="13">
        <f t="shared" si="6"/>
        <v>1500</v>
      </c>
      <c r="F40" s="13">
        <f t="shared" si="7"/>
        <v>1657.5</v>
      </c>
      <c r="G40" s="2"/>
      <c r="H40" s="2"/>
      <c r="I40" s="13">
        <v>1000</v>
      </c>
      <c r="J40" s="13">
        <f t="shared" si="8"/>
        <v>500</v>
      </c>
      <c r="K40" s="13">
        <f t="shared" si="9"/>
        <v>1157.5</v>
      </c>
      <c r="L40" s="82">
        <f t="shared" si="10"/>
        <v>0.77166666666666661</v>
      </c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2">
        <v>1</v>
      </c>
      <c r="B41" s="10" t="s">
        <v>21</v>
      </c>
      <c r="C41" s="11" t="s">
        <v>133</v>
      </c>
      <c r="D41" s="13">
        <v>2000</v>
      </c>
      <c r="E41" s="13">
        <f t="shared" si="6"/>
        <v>2000</v>
      </c>
      <c r="F41" s="13">
        <f t="shared" si="7"/>
        <v>2210</v>
      </c>
      <c r="G41" s="2"/>
      <c r="H41" s="2"/>
      <c r="I41" s="13">
        <v>1000</v>
      </c>
      <c r="J41" s="13">
        <f t="shared" si="8"/>
        <v>1000</v>
      </c>
      <c r="K41" s="13">
        <f t="shared" si="9"/>
        <v>1210</v>
      </c>
      <c r="L41" s="82">
        <f t="shared" si="10"/>
        <v>0.60499999999999998</v>
      </c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2">
        <v>1</v>
      </c>
      <c r="B42" s="10" t="s">
        <v>17</v>
      </c>
      <c r="C42" s="11" t="s">
        <v>61</v>
      </c>
      <c r="D42" s="13">
        <v>2800</v>
      </c>
      <c r="E42" s="13">
        <f t="shared" si="6"/>
        <v>2800</v>
      </c>
      <c r="F42" s="13">
        <f t="shared" si="7"/>
        <v>3094</v>
      </c>
      <c r="G42" s="2"/>
      <c r="H42" s="2"/>
      <c r="I42" s="13">
        <f>24000/14</f>
        <v>1714.2857142857142</v>
      </c>
      <c r="J42" s="13">
        <f t="shared" si="8"/>
        <v>1714.2857142857142</v>
      </c>
      <c r="K42" s="13">
        <f t="shared" si="9"/>
        <v>1379.7142857142858</v>
      </c>
      <c r="L42" s="82">
        <f t="shared" si="10"/>
        <v>0.49275510204081635</v>
      </c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2">
        <v>0.5</v>
      </c>
      <c r="B43" s="10" t="s">
        <v>17</v>
      </c>
      <c r="C43" s="11" t="s">
        <v>42</v>
      </c>
      <c r="D43" s="13">
        <v>4500</v>
      </c>
      <c r="E43" s="13">
        <f t="shared" si="6"/>
        <v>2250</v>
      </c>
      <c r="F43" s="13">
        <f t="shared" si="7"/>
        <v>2486.25</v>
      </c>
      <c r="G43" s="2"/>
      <c r="H43" s="2"/>
      <c r="I43" s="13">
        <v>3000</v>
      </c>
      <c r="J43" s="13">
        <f t="shared" si="8"/>
        <v>1500</v>
      </c>
      <c r="K43" s="13">
        <f t="shared" si="9"/>
        <v>986.25</v>
      </c>
      <c r="L43" s="33">
        <f t="shared" si="10"/>
        <v>0.43833333333333335</v>
      </c>
      <c r="M43" s="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2">
        <v>12</v>
      </c>
      <c r="B44" s="10" t="s">
        <v>17</v>
      </c>
      <c r="C44" s="11" t="s">
        <v>39</v>
      </c>
      <c r="D44" s="13">
        <v>1800</v>
      </c>
      <c r="E44" s="13">
        <f t="shared" si="6"/>
        <v>21600</v>
      </c>
      <c r="F44" s="13">
        <f t="shared" si="7"/>
        <v>23868</v>
      </c>
      <c r="G44" s="2"/>
      <c r="H44" s="2"/>
      <c r="I44" s="13">
        <f>17600/15</f>
        <v>1173.3333333333333</v>
      </c>
      <c r="J44" s="13">
        <f t="shared" si="8"/>
        <v>14080</v>
      </c>
      <c r="K44" s="13">
        <f t="shared" si="9"/>
        <v>9788</v>
      </c>
      <c r="L44" s="36">
        <f t="shared" si="10"/>
        <v>0.45314814814814813</v>
      </c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2">
        <v>6</v>
      </c>
      <c r="B45" s="10" t="s">
        <v>17</v>
      </c>
      <c r="C45" s="11" t="s">
        <v>43</v>
      </c>
      <c r="D45" s="13">
        <v>4500</v>
      </c>
      <c r="E45" s="13">
        <f t="shared" si="6"/>
        <v>27000</v>
      </c>
      <c r="F45" s="13">
        <f t="shared" si="7"/>
        <v>29835</v>
      </c>
      <c r="G45" s="2"/>
      <c r="H45" s="2"/>
      <c r="I45" s="13">
        <v>3000</v>
      </c>
      <c r="J45" s="13">
        <f t="shared" si="8"/>
        <v>18000</v>
      </c>
      <c r="K45" s="13">
        <f t="shared" si="9"/>
        <v>11835</v>
      </c>
      <c r="L45" s="82">
        <f t="shared" si="10"/>
        <v>0.43833333333333335</v>
      </c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2">
        <v>20</v>
      </c>
      <c r="B46" s="10" t="s">
        <v>21</v>
      </c>
      <c r="C46" s="11" t="s">
        <v>46</v>
      </c>
      <c r="D46" s="13">
        <v>850</v>
      </c>
      <c r="E46" s="13">
        <f t="shared" si="6"/>
        <v>17000</v>
      </c>
      <c r="F46" s="13">
        <f t="shared" si="7"/>
        <v>18785</v>
      </c>
      <c r="G46" s="7"/>
      <c r="H46" s="2"/>
      <c r="I46" s="13">
        <f>16000/24</f>
        <v>666.66666666666663</v>
      </c>
      <c r="J46" s="13">
        <f t="shared" si="8"/>
        <v>13333.333333333332</v>
      </c>
      <c r="K46" s="13">
        <f t="shared" si="9"/>
        <v>5451.6666666666679</v>
      </c>
      <c r="L46" s="14">
        <f t="shared" si="10"/>
        <v>0.32068627450980397</v>
      </c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2">
        <v>1</v>
      </c>
      <c r="B47" s="10" t="s">
        <v>17</v>
      </c>
      <c r="C47" s="11" t="s">
        <v>35</v>
      </c>
      <c r="D47" s="13">
        <v>2500</v>
      </c>
      <c r="E47" s="13">
        <f t="shared" si="6"/>
        <v>2500</v>
      </c>
      <c r="F47" s="13">
        <f t="shared" si="7"/>
        <v>2762.5</v>
      </c>
      <c r="G47" s="7"/>
      <c r="H47" s="2"/>
      <c r="I47" s="13">
        <f>14000/9</f>
        <v>1555.5555555555557</v>
      </c>
      <c r="J47" s="13">
        <f t="shared" si="8"/>
        <v>1555.5555555555557</v>
      </c>
      <c r="K47" s="13">
        <f t="shared" si="9"/>
        <v>1206.9444444444443</v>
      </c>
      <c r="L47" s="14">
        <f t="shared" si="10"/>
        <v>0.48277777777777775</v>
      </c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2">
        <v>3</v>
      </c>
      <c r="B48" s="10" t="s">
        <v>17</v>
      </c>
      <c r="C48" s="11" t="s">
        <v>31</v>
      </c>
      <c r="D48" s="13">
        <v>2800</v>
      </c>
      <c r="E48" s="13">
        <f t="shared" si="6"/>
        <v>8400</v>
      </c>
      <c r="F48" s="13">
        <f t="shared" si="7"/>
        <v>9282</v>
      </c>
      <c r="G48" s="7"/>
      <c r="H48" s="2"/>
      <c r="I48" s="13">
        <f>13500/7</f>
        <v>1928.5714285714287</v>
      </c>
      <c r="J48" s="13">
        <f t="shared" si="8"/>
        <v>5785.7142857142862</v>
      </c>
      <c r="K48" s="13">
        <f t="shared" si="9"/>
        <v>3496.2857142857138</v>
      </c>
      <c r="L48" s="14">
        <f t="shared" si="10"/>
        <v>0.41622448979591831</v>
      </c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2</v>
      </c>
      <c r="B49" s="10" t="s">
        <v>17</v>
      </c>
      <c r="C49" s="11" t="s">
        <v>32</v>
      </c>
      <c r="D49" s="13">
        <v>2400</v>
      </c>
      <c r="E49" s="13">
        <f t="shared" si="6"/>
        <v>4800</v>
      </c>
      <c r="F49" s="13">
        <f t="shared" si="7"/>
        <v>5304</v>
      </c>
      <c r="G49" s="7"/>
      <c r="H49" s="2"/>
      <c r="I49" s="13">
        <f>12000/7</f>
        <v>1714.2857142857142</v>
      </c>
      <c r="J49" s="13">
        <f t="shared" si="8"/>
        <v>3428.5714285714284</v>
      </c>
      <c r="K49" s="13">
        <f t="shared" si="9"/>
        <v>1875.4285714285716</v>
      </c>
      <c r="L49" s="14">
        <f t="shared" si="10"/>
        <v>0.39071428571428574</v>
      </c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2</v>
      </c>
      <c r="B50" s="10" t="s">
        <v>17</v>
      </c>
      <c r="C50" s="11" t="s">
        <v>33</v>
      </c>
      <c r="D50" s="13">
        <v>3000</v>
      </c>
      <c r="E50" s="13">
        <f t="shared" si="6"/>
        <v>6000</v>
      </c>
      <c r="F50" s="13">
        <f t="shared" si="7"/>
        <v>6630</v>
      </c>
      <c r="G50" s="7"/>
      <c r="H50" s="2"/>
      <c r="I50" s="13">
        <f>15000/7</f>
        <v>2142.8571428571427</v>
      </c>
      <c r="J50" s="13">
        <f t="shared" si="8"/>
        <v>4285.7142857142853</v>
      </c>
      <c r="K50" s="13">
        <f t="shared" si="9"/>
        <v>2344.2857142857147</v>
      </c>
      <c r="L50" s="14">
        <f t="shared" si="10"/>
        <v>0.39071428571428579</v>
      </c>
      <c r="M50" s="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1</v>
      </c>
      <c r="B51" s="10" t="s">
        <v>23</v>
      </c>
      <c r="C51" s="11" t="s">
        <v>26</v>
      </c>
      <c r="D51" s="13">
        <v>19000</v>
      </c>
      <c r="E51" s="13">
        <f t="shared" si="6"/>
        <v>19000</v>
      </c>
      <c r="F51" s="13">
        <f t="shared" si="7"/>
        <v>20995</v>
      </c>
      <c r="G51" s="7"/>
      <c r="H51" s="2"/>
      <c r="I51" s="13">
        <v>14000</v>
      </c>
      <c r="J51" s="13">
        <f t="shared" si="8"/>
        <v>14000</v>
      </c>
      <c r="K51" s="13">
        <f t="shared" si="9"/>
        <v>6995</v>
      </c>
      <c r="L51" s="14">
        <f t="shared" si="10"/>
        <v>0.36815789473684213</v>
      </c>
      <c r="M51" s="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8</v>
      </c>
      <c r="B52" s="10" t="s">
        <v>17</v>
      </c>
      <c r="C52" s="11" t="s">
        <v>24</v>
      </c>
      <c r="D52" s="13">
        <v>3600</v>
      </c>
      <c r="E52" s="13">
        <f t="shared" si="6"/>
        <v>28800</v>
      </c>
      <c r="F52" s="13">
        <f t="shared" si="7"/>
        <v>31824</v>
      </c>
      <c r="G52" s="7"/>
      <c r="H52" s="2"/>
      <c r="I52" s="13">
        <f>50000/17</f>
        <v>2941.1764705882351</v>
      </c>
      <c r="J52" s="13">
        <f t="shared" si="8"/>
        <v>23529.411764705881</v>
      </c>
      <c r="K52" s="13">
        <f t="shared" si="9"/>
        <v>8294.5882352941189</v>
      </c>
      <c r="L52" s="14">
        <f t="shared" si="10"/>
        <v>0.28800653594771247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6</v>
      </c>
      <c r="B53" s="10" t="s">
        <v>17</v>
      </c>
      <c r="C53" s="11" t="s">
        <v>25</v>
      </c>
      <c r="D53" s="13">
        <v>4500</v>
      </c>
      <c r="E53" s="13">
        <f t="shared" si="6"/>
        <v>27000</v>
      </c>
      <c r="F53" s="13">
        <f t="shared" si="7"/>
        <v>29835</v>
      </c>
      <c r="G53" s="7"/>
      <c r="H53" s="2"/>
      <c r="I53" s="17">
        <f>47000/17</f>
        <v>2764.705882352941</v>
      </c>
      <c r="J53" s="13">
        <f t="shared" si="8"/>
        <v>16588.235294117647</v>
      </c>
      <c r="K53" s="13">
        <f t="shared" si="9"/>
        <v>13246.764705882353</v>
      </c>
      <c r="L53" s="14">
        <f t="shared" si="10"/>
        <v>0.49062091503267974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3</v>
      </c>
      <c r="B54" s="10" t="s">
        <v>17</v>
      </c>
      <c r="C54" s="11" t="s">
        <v>67</v>
      </c>
      <c r="D54" s="13">
        <v>1300</v>
      </c>
      <c r="E54" s="13">
        <f t="shared" si="6"/>
        <v>3900</v>
      </c>
      <c r="F54" s="13">
        <f t="shared" si="7"/>
        <v>4309.5</v>
      </c>
      <c r="G54" s="7"/>
      <c r="H54" s="2"/>
      <c r="I54" s="13">
        <f>12000/14</f>
        <v>857.14285714285711</v>
      </c>
      <c r="J54" s="13">
        <f t="shared" si="8"/>
        <v>2571.4285714285716</v>
      </c>
      <c r="K54" s="13">
        <f t="shared" si="9"/>
        <v>1738.0714285714284</v>
      </c>
      <c r="L54" s="14">
        <f t="shared" si="10"/>
        <v>0.44565934065934065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3</v>
      </c>
      <c r="B55" s="10" t="s">
        <v>17</v>
      </c>
      <c r="C55" s="11" t="s">
        <v>62</v>
      </c>
      <c r="D55" s="13">
        <v>2800</v>
      </c>
      <c r="E55" s="13">
        <f t="shared" si="6"/>
        <v>8400</v>
      </c>
      <c r="F55" s="13">
        <f t="shared" si="7"/>
        <v>9282</v>
      </c>
      <c r="G55" s="7"/>
      <c r="H55" s="2"/>
      <c r="I55" s="13">
        <f>33000/17</f>
        <v>1941.1764705882354</v>
      </c>
      <c r="J55" s="13">
        <f t="shared" si="8"/>
        <v>5823.5294117647063</v>
      </c>
      <c r="K55" s="13">
        <f t="shared" si="9"/>
        <v>3458.4705882352937</v>
      </c>
      <c r="L55" s="14">
        <f t="shared" si="10"/>
        <v>0.4117226890756302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5</v>
      </c>
      <c r="B56" s="10" t="s">
        <v>17</v>
      </c>
      <c r="C56" s="11" t="s">
        <v>82</v>
      </c>
      <c r="D56" s="13">
        <v>3000</v>
      </c>
      <c r="E56" s="13">
        <f t="shared" si="6"/>
        <v>15000</v>
      </c>
      <c r="F56" s="13">
        <f t="shared" si="7"/>
        <v>16575</v>
      </c>
      <c r="G56" s="7"/>
      <c r="H56" s="2"/>
      <c r="I56" s="13">
        <f>40000/14</f>
        <v>2857.1428571428573</v>
      </c>
      <c r="J56" s="13">
        <f t="shared" si="8"/>
        <v>14285.714285714286</v>
      </c>
      <c r="K56" s="13">
        <f t="shared" si="9"/>
        <v>2289.2857142857138</v>
      </c>
      <c r="L56" s="14">
        <f t="shared" si="10"/>
        <v>0.15261904761904757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2</v>
      </c>
      <c r="B57" s="10" t="s">
        <v>4</v>
      </c>
      <c r="C57" s="11" t="s">
        <v>14</v>
      </c>
      <c r="D57" s="13">
        <v>3200</v>
      </c>
      <c r="E57" s="13">
        <f t="shared" si="6"/>
        <v>6400</v>
      </c>
      <c r="F57" s="13">
        <f t="shared" si="7"/>
        <v>7072</v>
      </c>
      <c r="G57" s="7"/>
      <c r="H57" s="2"/>
      <c r="I57" s="13">
        <f>22000/8</f>
        <v>2750</v>
      </c>
      <c r="J57" s="13">
        <f t="shared" si="8"/>
        <v>5500</v>
      </c>
      <c r="K57" s="13">
        <f t="shared" si="9"/>
        <v>1572</v>
      </c>
      <c r="L57" s="14">
        <f t="shared" si="10"/>
        <v>0.24562500000000001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1</v>
      </c>
      <c r="B58" s="10" t="s">
        <v>4</v>
      </c>
      <c r="C58" s="11" t="s">
        <v>13</v>
      </c>
      <c r="D58" s="13">
        <v>900</v>
      </c>
      <c r="E58" s="13">
        <f t="shared" si="6"/>
        <v>900</v>
      </c>
      <c r="F58" s="13">
        <f t="shared" si="7"/>
        <v>994.5</v>
      </c>
      <c r="G58" s="7"/>
      <c r="H58" s="2"/>
      <c r="I58" s="13">
        <v>540</v>
      </c>
      <c r="J58" s="13">
        <f t="shared" si="8"/>
        <v>540</v>
      </c>
      <c r="K58" s="13">
        <f t="shared" si="9"/>
        <v>454.5</v>
      </c>
      <c r="L58" s="14">
        <f t="shared" si="10"/>
        <v>0.505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0.5</v>
      </c>
      <c r="B59" s="10" t="s">
        <v>23</v>
      </c>
      <c r="C59" s="11" t="s">
        <v>12</v>
      </c>
      <c r="D59" s="13">
        <v>54000</v>
      </c>
      <c r="E59" s="13">
        <f t="shared" si="6"/>
        <v>27000</v>
      </c>
      <c r="F59" s="13">
        <f>E59*1.21</f>
        <v>32670</v>
      </c>
      <c r="G59" s="7"/>
      <c r="H59" s="13"/>
      <c r="I59" s="13">
        <v>50000</v>
      </c>
      <c r="J59" s="13">
        <f t="shared" si="8"/>
        <v>25000</v>
      </c>
      <c r="K59" s="13">
        <f t="shared" si="9"/>
        <v>7670</v>
      </c>
      <c r="L59" s="14">
        <f t="shared" si="10"/>
        <v>0.28407407407407409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"/>
      <c r="B60" s="2"/>
      <c r="C60" s="4"/>
      <c r="D60" s="2"/>
      <c r="E60" s="2"/>
      <c r="F60" s="2"/>
      <c r="G60" s="2"/>
      <c r="H60" s="2"/>
      <c r="I60" s="2"/>
      <c r="J60" s="2"/>
      <c r="K60" s="2"/>
      <c r="L60" s="3"/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"/>
      <c r="B61" s="2"/>
      <c r="C61" s="4"/>
      <c r="D61" s="2"/>
      <c r="E61" s="13">
        <f t="shared" ref="E61:F61" si="11">SUM(E30:E59)</f>
        <v>329810</v>
      </c>
      <c r="F61" s="13">
        <f t="shared" si="11"/>
        <v>367275.05</v>
      </c>
      <c r="G61" s="2"/>
      <c r="H61" s="2"/>
      <c r="I61" s="2"/>
      <c r="J61" s="2"/>
      <c r="K61" s="13">
        <f>SUM(K30:K59)</f>
        <v>121318.55606909428</v>
      </c>
      <c r="L61" s="14">
        <f>K61/F61</f>
        <v>0.33032071214501035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88" t="s">
        <v>68</v>
      </c>
      <c r="B64" s="89"/>
      <c r="C64" s="89"/>
      <c r="D64" s="2"/>
      <c r="E64" s="7" t="s">
        <v>1093</v>
      </c>
      <c r="F64" s="8">
        <v>46134</v>
      </c>
      <c r="G64" s="7" t="s">
        <v>106</v>
      </c>
      <c r="H64" s="2"/>
      <c r="I64" s="91" t="s">
        <v>2</v>
      </c>
      <c r="J64" s="89"/>
      <c r="K64" s="89"/>
      <c r="L64" s="3"/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"/>
      <c r="B65" s="2"/>
      <c r="C65" s="5"/>
      <c r="D65" s="2"/>
      <c r="E65" s="2"/>
      <c r="F65" s="2"/>
      <c r="G65" s="7" t="s">
        <v>37</v>
      </c>
      <c r="H65" s="2"/>
      <c r="I65" s="2"/>
      <c r="J65" s="2"/>
      <c r="K65" s="2"/>
      <c r="L65" s="3"/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6" t="s">
        <v>3</v>
      </c>
      <c r="B66" s="10" t="s">
        <v>4</v>
      </c>
      <c r="C66" s="11" t="s">
        <v>5</v>
      </c>
      <c r="D66" s="10" t="s">
        <v>6</v>
      </c>
      <c r="E66" s="10" t="s">
        <v>7</v>
      </c>
      <c r="F66" s="10" t="s">
        <v>8</v>
      </c>
      <c r="G66" s="2"/>
      <c r="H66" s="2"/>
      <c r="I66" s="10" t="s">
        <v>9</v>
      </c>
      <c r="J66" s="10" t="s">
        <v>7</v>
      </c>
      <c r="K66" s="10" t="s">
        <v>10</v>
      </c>
      <c r="L66" s="3"/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12</v>
      </c>
      <c r="B67" s="10" t="s">
        <v>21</v>
      </c>
      <c r="C67" s="11" t="s">
        <v>46</v>
      </c>
      <c r="D67" s="13">
        <v>850</v>
      </c>
      <c r="E67" s="13">
        <f t="shared" ref="E67:E79" si="12">A67*D67</f>
        <v>10200</v>
      </c>
      <c r="F67" s="13">
        <f t="shared" ref="F67:F78" si="13">E67*1.105</f>
        <v>11271</v>
      </c>
      <c r="G67" s="2"/>
      <c r="H67" s="2"/>
      <c r="I67" s="13">
        <f>16000/24</f>
        <v>666.66666666666663</v>
      </c>
      <c r="J67" s="13">
        <f t="shared" ref="J67:J79" si="14">I67*A67</f>
        <v>8000</v>
      </c>
      <c r="K67" s="13">
        <f t="shared" ref="K67:K79" si="15">F67-J67</f>
        <v>3271</v>
      </c>
      <c r="L67" s="14">
        <f t="shared" ref="L67:L79" si="16">IFERROR(K67/E67, 0)</f>
        <v>0.32068627450980391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5</v>
      </c>
      <c r="B68" s="10" t="s">
        <v>17</v>
      </c>
      <c r="C68" s="11" t="s">
        <v>39</v>
      </c>
      <c r="D68" s="13">
        <v>1800</v>
      </c>
      <c r="E68" s="13">
        <f t="shared" si="12"/>
        <v>9000</v>
      </c>
      <c r="F68" s="13">
        <f t="shared" si="13"/>
        <v>9945</v>
      </c>
      <c r="G68" s="2"/>
      <c r="H68" s="2"/>
      <c r="I68" s="13">
        <f>17600/15</f>
        <v>1173.3333333333333</v>
      </c>
      <c r="J68" s="13">
        <f t="shared" si="14"/>
        <v>5866.6666666666661</v>
      </c>
      <c r="K68" s="13">
        <f t="shared" si="15"/>
        <v>4078.3333333333339</v>
      </c>
      <c r="L68" s="14">
        <f t="shared" si="16"/>
        <v>0.45314814814814819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2">
        <v>1</v>
      </c>
      <c r="B69" s="10" t="s">
        <v>21</v>
      </c>
      <c r="C69" s="11" t="s">
        <v>133</v>
      </c>
      <c r="D69" s="13">
        <v>2000</v>
      </c>
      <c r="E69" s="13">
        <f t="shared" si="12"/>
        <v>2000</v>
      </c>
      <c r="F69" s="13">
        <f t="shared" si="13"/>
        <v>2210</v>
      </c>
      <c r="G69" s="2"/>
      <c r="H69" s="2"/>
      <c r="I69" s="13">
        <v>1000</v>
      </c>
      <c r="J69" s="13">
        <f t="shared" si="14"/>
        <v>1000</v>
      </c>
      <c r="K69" s="13">
        <f t="shared" si="15"/>
        <v>1210</v>
      </c>
      <c r="L69" s="14">
        <f t="shared" si="16"/>
        <v>0.60499999999999998</v>
      </c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2">
        <v>1</v>
      </c>
      <c r="B70" s="10" t="s">
        <v>17</v>
      </c>
      <c r="C70" s="11" t="s">
        <v>88</v>
      </c>
      <c r="D70" s="13">
        <v>1400</v>
      </c>
      <c r="E70" s="13">
        <f t="shared" si="12"/>
        <v>1400</v>
      </c>
      <c r="F70" s="13">
        <f t="shared" si="13"/>
        <v>1547</v>
      </c>
      <c r="G70" s="2"/>
      <c r="H70" s="2"/>
      <c r="I70" s="13">
        <v>1000</v>
      </c>
      <c r="J70" s="13">
        <f t="shared" si="14"/>
        <v>1000</v>
      </c>
      <c r="K70" s="13">
        <f t="shared" si="15"/>
        <v>547</v>
      </c>
      <c r="L70" s="14">
        <f t="shared" si="16"/>
        <v>0.39071428571428574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2">
        <v>0.5</v>
      </c>
      <c r="B71" s="10" t="s">
        <v>17</v>
      </c>
      <c r="C71" s="11" t="s">
        <v>93</v>
      </c>
      <c r="D71" s="13">
        <v>3000</v>
      </c>
      <c r="E71" s="13">
        <f t="shared" si="12"/>
        <v>1500</v>
      </c>
      <c r="F71" s="13">
        <f t="shared" si="13"/>
        <v>1657.5</v>
      </c>
      <c r="G71" s="2"/>
      <c r="H71" s="2"/>
      <c r="I71" s="13">
        <f>10000/7</f>
        <v>1428.5714285714287</v>
      </c>
      <c r="J71" s="13">
        <f t="shared" si="14"/>
        <v>714.28571428571433</v>
      </c>
      <c r="K71" s="13">
        <f t="shared" si="15"/>
        <v>943.21428571428567</v>
      </c>
      <c r="L71" s="14">
        <f t="shared" si="16"/>
        <v>0.62880952380952382</v>
      </c>
      <c r="M71" s="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2">
        <v>2</v>
      </c>
      <c r="B72" s="10" t="s">
        <v>17</v>
      </c>
      <c r="C72" s="11" t="s">
        <v>99</v>
      </c>
      <c r="D72" s="13">
        <v>1500</v>
      </c>
      <c r="E72" s="13">
        <f t="shared" si="12"/>
        <v>3000</v>
      </c>
      <c r="F72" s="13">
        <f t="shared" si="13"/>
        <v>3315</v>
      </c>
      <c r="G72" s="2"/>
      <c r="H72" s="2"/>
      <c r="I72" s="13">
        <v>1000</v>
      </c>
      <c r="J72" s="13">
        <f t="shared" si="14"/>
        <v>2000</v>
      </c>
      <c r="K72" s="13">
        <f t="shared" si="15"/>
        <v>1315</v>
      </c>
      <c r="L72" s="14">
        <f t="shared" si="16"/>
        <v>0.43833333333333335</v>
      </c>
      <c r="M72" s="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2">
        <v>0.5</v>
      </c>
      <c r="B73" s="10" t="s">
        <v>17</v>
      </c>
      <c r="C73" s="11" t="s">
        <v>82</v>
      </c>
      <c r="D73" s="13">
        <v>3000</v>
      </c>
      <c r="E73" s="13">
        <f t="shared" si="12"/>
        <v>1500</v>
      </c>
      <c r="F73" s="13">
        <f t="shared" si="13"/>
        <v>1657.5</v>
      </c>
      <c r="G73" s="2"/>
      <c r="H73" s="2"/>
      <c r="I73" s="13">
        <f>40000/14</f>
        <v>2857.1428571428573</v>
      </c>
      <c r="J73" s="13">
        <f t="shared" si="14"/>
        <v>1428.5714285714287</v>
      </c>
      <c r="K73" s="13">
        <f t="shared" si="15"/>
        <v>228.92857142857133</v>
      </c>
      <c r="L73" s="14">
        <f t="shared" si="16"/>
        <v>0.15261904761904754</v>
      </c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2">
        <v>0.5</v>
      </c>
      <c r="B74" s="10" t="s">
        <v>23</v>
      </c>
      <c r="C74" s="11" t="s">
        <v>24</v>
      </c>
      <c r="D74" s="13">
        <v>60000</v>
      </c>
      <c r="E74" s="13">
        <f t="shared" si="12"/>
        <v>30000</v>
      </c>
      <c r="F74" s="13">
        <f t="shared" si="13"/>
        <v>33150</v>
      </c>
      <c r="G74" s="2"/>
      <c r="H74" s="2"/>
      <c r="I74" s="13">
        <f>50000</f>
        <v>50000</v>
      </c>
      <c r="J74" s="13">
        <f t="shared" si="14"/>
        <v>25000</v>
      </c>
      <c r="K74" s="13">
        <f t="shared" si="15"/>
        <v>8150</v>
      </c>
      <c r="L74" s="14">
        <f t="shared" si="16"/>
        <v>0.27166666666666667</v>
      </c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2">
        <v>0.5</v>
      </c>
      <c r="B75" s="10" t="s">
        <v>23</v>
      </c>
      <c r="C75" s="11" t="s">
        <v>26</v>
      </c>
      <c r="D75" s="13">
        <v>19000</v>
      </c>
      <c r="E75" s="13">
        <f t="shared" si="12"/>
        <v>9500</v>
      </c>
      <c r="F75" s="13">
        <f t="shared" si="13"/>
        <v>10497.5</v>
      </c>
      <c r="G75" s="2"/>
      <c r="H75" s="2"/>
      <c r="I75" s="13">
        <v>14000</v>
      </c>
      <c r="J75" s="13">
        <f t="shared" si="14"/>
        <v>7000</v>
      </c>
      <c r="K75" s="13">
        <f t="shared" si="15"/>
        <v>3497.5</v>
      </c>
      <c r="L75" s="14">
        <f t="shared" si="16"/>
        <v>0.36815789473684213</v>
      </c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3</v>
      </c>
      <c r="B76" s="10" t="s">
        <v>17</v>
      </c>
      <c r="C76" s="11" t="s">
        <v>62</v>
      </c>
      <c r="D76" s="13">
        <v>2800</v>
      </c>
      <c r="E76" s="13">
        <f t="shared" si="12"/>
        <v>8400</v>
      </c>
      <c r="F76" s="13">
        <f t="shared" si="13"/>
        <v>9282</v>
      </c>
      <c r="G76" s="2"/>
      <c r="H76" s="2"/>
      <c r="I76" s="13">
        <f>33000/17</f>
        <v>1941.1764705882354</v>
      </c>
      <c r="J76" s="13">
        <f t="shared" si="14"/>
        <v>5823.5294117647063</v>
      </c>
      <c r="K76" s="13">
        <f t="shared" si="15"/>
        <v>3458.4705882352937</v>
      </c>
      <c r="L76" s="14">
        <f t="shared" si="16"/>
        <v>0.4117226890756302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3</v>
      </c>
      <c r="B77" s="10" t="s">
        <v>17</v>
      </c>
      <c r="C77" s="11" t="s">
        <v>67</v>
      </c>
      <c r="D77" s="13">
        <v>1300</v>
      </c>
      <c r="E77" s="13">
        <f t="shared" si="12"/>
        <v>3900</v>
      </c>
      <c r="F77" s="13">
        <f t="shared" si="13"/>
        <v>4309.5</v>
      </c>
      <c r="G77" s="2"/>
      <c r="H77" s="2"/>
      <c r="I77" s="13">
        <f>12000/14</f>
        <v>857.14285714285711</v>
      </c>
      <c r="J77" s="13">
        <f t="shared" si="14"/>
        <v>2571.4285714285716</v>
      </c>
      <c r="K77" s="13">
        <f t="shared" si="15"/>
        <v>1738.0714285714284</v>
      </c>
      <c r="L77" s="14">
        <f t="shared" si="16"/>
        <v>0.44565934065934065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3</v>
      </c>
      <c r="B78" s="10" t="s">
        <v>17</v>
      </c>
      <c r="C78" s="11" t="s">
        <v>49</v>
      </c>
      <c r="D78" s="13">
        <v>2800</v>
      </c>
      <c r="E78" s="13">
        <f t="shared" si="12"/>
        <v>8400</v>
      </c>
      <c r="F78" s="13">
        <f t="shared" si="13"/>
        <v>9282</v>
      </c>
      <c r="G78" s="2"/>
      <c r="H78" s="2"/>
      <c r="I78" s="13">
        <f>35000/17</f>
        <v>2058.8235294117649</v>
      </c>
      <c r="J78" s="13">
        <f t="shared" si="14"/>
        <v>6176.4705882352946</v>
      </c>
      <c r="K78" s="13">
        <f t="shared" si="15"/>
        <v>3105.5294117647054</v>
      </c>
      <c r="L78" s="14">
        <f t="shared" si="16"/>
        <v>0.36970588235294111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0.5</v>
      </c>
      <c r="B79" s="10" t="s">
        <v>23</v>
      </c>
      <c r="C79" s="11" t="s">
        <v>12</v>
      </c>
      <c r="D79" s="13">
        <v>54000</v>
      </c>
      <c r="E79" s="13">
        <f t="shared" si="12"/>
        <v>27000</v>
      </c>
      <c r="F79" s="13">
        <f>E79*1.21</f>
        <v>32670</v>
      </c>
      <c r="G79" s="2"/>
      <c r="H79" s="2"/>
      <c r="I79" s="13">
        <v>50000</v>
      </c>
      <c r="J79" s="13">
        <f t="shared" si="14"/>
        <v>25000</v>
      </c>
      <c r="K79" s="13">
        <f t="shared" si="15"/>
        <v>7670</v>
      </c>
      <c r="L79" s="14">
        <f t="shared" si="16"/>
        <v>0.28407407407407409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"/>
      <c r="B80" s="2"/>
      <c r="C80" s="4"/>
      <c r="D80" s="2"/>
      <c r="E80" s="2"/>
      <c r="F80" s="2"/>
      <c r="G80" s="2"/>
      <c r="H80" s="2"/>
      <c r="I80" s="2"/>
      <c r="J80" s="2"/>
      <c r="K80" s="2"/>
      <c r="L80" s="3"/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"/>
      <c r="B81" s="2"/>
      <c r="C81" s="4"/>
      <c r="D81" s="2"/>
      <c r="E81" s="13">
        <f t="shared" ref="E81:F81" si="17">SUM(E67:E79)</f>
        <v>115800</v>
      </c>
      <c r="F81" s="13">
        <f t="shared" si="17"/>
        <v>130794</v>
      </c>
      <c r="G81" s="2"/>
      <c r="H81" s="2"/>
      <c r="I81" s="2"/>
      <c r="J81" s="2"/>
      <c r="K81" s="13">
        <f>SUM(K67:K79)</f>
        <v>39213.047619047618</v>
      </c>
      <c r="L81" s="14">
        <f>K81/F81</f>
        <v>0.29980769468819379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0"/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0"/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0"/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6" t="s">
        <v>96</v>
      </c>
      <c r="B85" s="1"/>
      <c r="C85" s="1"/>
      <c r="D85" s="22" t="s">
        <v>60</v>
      </c>
      <c r="E85" s="8">
        <v>46141</v>
      </c>
      <c r="F85" s="24" t="s">
        <v>106</v>
      </c>
      <c r="G85" s="2"/>
      <c r="H85" s="2"/>
      <c r="I85" s="2"/>
      <c r="J85" s="2"/>
      <c r="K85" s="2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2"/>
      <c r="C86" s="4"/>
      <c r="D86" s="2"/>
      <c r="E86" s="2"/>
      <c r="F86" s="2"/>
      <c r="G86" s="2"/>
      <c r="H86" s="2"/>
      <c r="I86" s="2"/>
      <c r="J86" s="2"/>
      <c r="K86" s="2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6" t="s">
        <v>3</v>
      </c>
      <c r="B87" s="10" t="s">
        <v>4</v>
      </c>
      <c r="C87" s="11" t="s">
        <v>5</v>
      </c>
      <c r="D87" s="10" t="s">
        <v>6</v>
      </c>
      <c r="E87" s="10" t="s">
        <v>7</v>
      </c>
      <c r="F87" s="7"/>
      <c r="G87" s="2"/>
      <c r="H87" s="2"/>
      <c r="I87" s="10" t="s">
        <v>6</v>
      </c>
      <c r="J87" s="10" t="s">
        <v>7</v>
      </c>
      <c r="K87" s="10" t="s">
        <v>10</v>
      </c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2">
        <v>2</v>
      </c>
      <c r="B88" s="10" t="s">
        <v>23</v>
      </c>
      <c r="C88" s="11" t="s">
        <v>82</v>
      </c>
      <c r="D88" s="13">
        <v>26000</v>
      </c>
      <c r="E88" s="13">
        <f t="shared" ref="E88:E105" si="18">A88*D88</f>
        <v>52000</v>
      </c>
      <c r="F88" s="2"/>
      <c r="G88" s="2"/>
      <c r="H88" s="2"/>
      <c r="I88" s="13">
        <v>20000</v>
      </c>
      <c r="J88" s="13">
        <f t="shared" ref="J88:J105" si="19">I88*A88</f>
        <v>40000</v>
      </c>
      <c r="K88" s="13">
        <f t="shared" ref="K88:K105" si="20">E88-J88</f>
        <v>12000</v>
      </c>
      <c r="L88" s="14">
        <f t="shared" ref="L88:L105" si="21">K88/E88</f>
        <v>0.23076923076923078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2">
        <v>2</v>
      </c>
      <c r="B89" s="10" t="s">
        <v>23</v>
      </c>
      <c r="C89" s="11" t="s">
        <v>99</v>
      </c>
      <c r="D89" s="13">
        <v>10000</v>
      </c>
      <c r="E89" s="13">
        <f t="shared" si="18"/>
        <v>20000</v>
      </c>
      <c r="F89" s="2"/>
      <c r="G89" s="2"/>
      <c r="H89" s="2"/>
      <c r="I89" s="13">
        <v>7000</v>
      </c>
      <c r="J89" s="13">
        <f t="shared" si="19"/>
        <v>14000</v>
      </c>
      <c r="K89" s="13">
        <f t="shared" si="20"/>
        <v>6000</v>
      </c>
      <c r="L89" s="14">
        <f t="shared" si="21"/>
        <v>0.3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2">
        <v>5</v>
      </c>
      <c r="B90" s="10" t="s">
        <v>21</v>
      </c>
      <c r="C90" s="11" t="s">
        <v>34</v>
      </c>
      <c r="D90" s="13">
        <v>4000</v>
      </c>
      <c r="E90" s="13">
        <f t="shared" si="18"/>
        <v>20000</v>
      </c>
      <c r="F90" s="2"/>
      <c r="G90" s="2"/>
      <c r="H90" s="2"/>
      <c r="I90" s="13">
        <v>3000</v>
      </c>
      <c r="J90" s="13">
        <f t="shared" si="19"/>
        <v>15000</v>
      </c>
      <c r="K90" s="13">
        <f t="shared" si="20"/>
        <v>5000</v>
      </c>
      <c r="L90" s="14">
        <f t="shared" si="21"/>
        <v>0.25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2">
        <v>2</v>
      </c>
      <c r="B91" s="10" t="s">
        <v>21</v>
      </c>
      <c r="C91" s="11" t="s">
        <v>42</v>
      </c>
      <c r="D91" s="13">
        <v>4000</v>
      </c>
      <c r="E91" s="13">
        <f t="shared" si="18"/>
        <v>8000</v>
      </c>
      <c r="F91" s="2"/>
      <c r="G91" s="2"/>
      <c r="H91" s="2"/>
      <c r="I91" s="13">
        <v>3000</v>
      </c>
      <c r="J91" s="13">
        <f t="shared" si="19"/>
        <v>6000</v>
      </c>
      <c r="K91" s="13">
        <f t="shared" si="20"/>
        <v>2000</v>
      </c>
      <c r="L91" s="14">
        <f t="shared" si="21"/>
        <v>0.25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2">
        <v>2</v>
      </c>
      <c r="B92" s="10" t="s">
        <v>15</v>
      </c>
      <c r="C92" s="11" t="s">
        <v>56</v>
      </c>
      <c r="D92" s="13">
        <v>15000</v>
      </c>
      <c r="E92" s="13">
        <f t="shared" si="18"/>
        <v>30000</v>
      </c>
      <c r="F92" s="2"/>
      <c r="G92" s="2"/>
      <c r="H92" s="2"/>
      <c r="I92" s="13">
        <v>10000</v>
      </c>
      <c r="J92" s="13">
        <f t="shared" si="19"/>
        <v>20000</v>
      </c>
      <c r="K92" s="13">
        <f t="shared" si="20"/>
        <v>10000</v>
      </c>
      <c r="L92" s="14">
        <f t="shared" si="21"/>
        <v>0.33333333333333331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2">
        <v>3</v>
      </c>
      <c r="B93" s="10" t="s">
        <v>15</v>
      </c>
      <c r="C93" s="11" t="s">
        <v>1174</v>
      </c>
      <c r="D93" s="13">
        <v>15000</v>
      </c>
      <c r="E93" s="13">
        <f t="shared" si="18"/>
        <v>45000</v>
      </c>
      <c r="F93" s="2"/>
      <c r="G93" s="2"/>
      <c r="H93" s="2"/>
      <c r="I93" s="13">
        <v>12000</v>
      </c>
      <c r="J93" s="13">
        <f t="shared" si="19"/>
        <v>36000</v>
      </c>
      <c r="K93" s="13">
        <f t="shared" si="20"/>
        <v>9000</v>
      </c>
      <c r="L93" s="14">
        <f t="shared" si="21"/>
        <v>0.2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3</v>
      </c>
      <c r="B94" s="10" t="s">
        <v>15</v>
      </c>
      <c r="C94" s="11" t="s">
        <v>48</v>
      </c>
      <c r="D94" s="13">
        <v>12000</v>
      </c>
      <c r="E94" s="13">
        <f t="shared" si="18"/>
        <v>36000</v>
      </c>
      <c r="F94" s="2"/>
      <c r="G94" s="2"/>
      <c r="H94" s="2"/>
      <c r="I94" s="13">
        <v>8000</v>
      </c>
      <c r="J94" s="13">
        <f t="shared" si="19"/>
        <v>24000</v>
      </c>
      <c r="K94" s="13">
        <f t="shared" si="20"/>
        <v>12000</v>
      </c>
      <c r="L94" s="14">
        <f t="shared" si="21"/>
        <v>0.33333333333333331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1</v>
      </c>
      <c r="B95" s="10" t="s">
        <v>15</v>
      </c>
      <c r="C95" s="11" t="s">
        <v>167</v>
      </c>
      <c r="D95" s="13">
        <v>16000</v>
      </c>
      <c r="E95" s="13">
        <f t="shared" si="18"/>
        <v>16000</v>
      </c>
      <c r="F95" s="2"/>
      <c r="G95" s="2"/>
      <c r="H95" s="2"/>
      <c r="I95" s="13">
        <v>10000</v>
      </c>
      <c r="J95" s="13">
        <f t="shared" si="19"/>
        <v>10000</v>
      </c>
      <c r="K95" s="13">
        <f t="shared" si="20"/>
        <v>6000</v>
      </c>
      <c r="L95" s="14">
        <f t="shared" si="21"/>
        <v>0.375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2</v>
      </c>
      <c r="B96" s="10" t="s">
        <v>23</v>
      </c>
      <c r="C96" s="11" t="s">
        <v>130</v>
      </c>
      <c r="D96" s="13">
        <v>12000</v>
      </c>
      <c r="E96" s="13">
        <f t="shared" si="18"/>
        <v>24000</v>
      </c>
      <c r="F96" s="2"/>
      <c r="G96" s="2"/>
      <c r="H96" s="2"/>
      <c r="I96" s="13">
        <v>9000</v>
      </c>
      <c r="J96" s="13">
        <f t="shared" si="19"/>
        <v>18000</v>
      </c>
      <c r="K96" s="13">
        <f t="shared" si="20"/>
        <v>6000</v>
      </c>
      <c r="L96" s="14">
        <f t="shared" si="21"/>
        <v>0.25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1</v>
      </c>
      <c r="B97" s="10" t="s">
        <v>23</v>
      </c>
      <c r="C97" s="11" t="s">
        <v>31</v>
      </c>
      <c r="D97" s="13">
        <v>18000</v>
      </c>
      <c r="E97" s="13">
        <f t="shared" si="18"/>
        <v>18000</v>
      </c>
      <c r="F97" s="2"/>
      <c r="G97" s="2"/>
      <c r="H97" s="2"/>
      <c r="I97" s="13">
        <v>13500</v>
      </c>
      <c r="J97" s="13">
        <f t="shared" si="19"/>
        <v>13500</v>
      </c>
      <c r="K97" s="13">
        <f t="shared" si="20"/>
        <v>4500</v>
      </c>
      <c r="L97" s="14">
        <f t="shared" si="21"/>
        <v>0.25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0.5</v>
      </c>
      <c r="B98" s="10" t="s">
        <v>23</v>
      </c>
      <c r="C98" s="11" t="s">
        <v>78</v>
      </c>
      <c r="D98" s="13">
        <v>42000</v>
      </c>
      <c r="E98" s="13">
        <f t="shared" si="18"/>
        <v>21000</v>
      </c>
      <c r="F98" s="2"/>
      <c r="G98" s="2"/>
      <c r="H98" s="2"/>
      <c r="I98" s="13">
        <v>30000</v>
      </c>
      <c r="J98" s="13">
        <f t="shared" si="19"/>
        <v>15000</v>
      </c>
      <c r="K98" s="13">
        <f t="shared" si="20"/>
        <v>6000</v>
      </c>
      <c r="L98" s="14">
        <f t="shared" si="21"/>
        <v>0.2857142857142857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3</v>
      </c>
      <c r="B99" s="10" t="s">
        <v>21</v>
      </c>
      <c r="C99" s="11" t="s">
        <v>51</v>
      </c>
      <c r="D99" s="13">
        <v>1000</v>
      </c>
      <c r="E99" s="13">
        <f t="shared" si="18"/>
        <v>3000</v>
      </c>
      <c r="F99" s="2"/>
      <c r="G99" s="2"/>
      <c r="H99" s="2"/>
      <c r="I99" s="13">
        <f>7000/12</f>
        <v>583.33333333333337</v>
      </c>
      <c r="J99" s="13">
        <f t="shared" si="19"/>
        <v>1750</v>
      </c>
      <c r="K99" s="13">
        <f t="shared" si="20"/>
        <v>1250</v>
      </c>
      <c r="L99" s="14">
        <f t="shared" si="21"/>
        <v>0.41666666666666669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0.5</v>
      </c>
      <c r="B100" s="10" t="s">
        <v>23</v>
      </c>
      <c r="C100" s="11" t="s">
        <v>39</v>
      </c>
      <c r="D100" s="13">
        <v>26000</v>
      </c>
      <c r="E100" s="13">
        <f t="shared" si="18"/>
        <v>13000</v>
      </c>
      <c r="F100" s="2"/>
      <c r="G100" s="2"/>
      <c r="H100" s="2"/>
      <c r="I100" s="13">
        <v>17600</v>
      </c>
      <c r="J100" s="13">
        <f t="shared" si="19"/>
        <v>8800</v>
      </c>
      <c r="K100" s="13">
        <f t="shared" si="20"/>
        <v>4200</v>
      </c>
      <c r="L100" s="14">
        <f t="shared" si="21"/>
        <v>0.32307692307692309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1</v>
      </c>
      <c r="B101" s="10" t="s">
        <v>15</v>
      </c>
      <c r="C101" s="11" t="s">
        <v>129</v>
      </c>
      <c r="D101" s="13">
        <v>15000</v>
      </c>
      <c r="E101" s="13">
        <f t="shared" si="18"/>
        <v>15000</v>
      </c>
      <c r="F101" s="2"/>
      <c r="G101" s="2"/>
      <c r="H101" s="2"/>
      <c r="I101" s="13">
        <v>11000</v>
      </c>
      <c r="J101" s="13">
        <f t="shared" si="19"/>
        <v>11000</v>
      </c>
      <c r="K101" s="13">
        <f t="shared" si="20"/>
        <v>4000</v>
      </c>
      <c r="L101" s="14">
        <f t="shared" si="21"/>
        <v>0.26666666666666666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1</v>
      </c>
      <c r="B102" s="10" t="s">
        <v>21</v>
      </c>
      <c r="C102" s="11" t="s">
        <v>29</v>
      </c>
      <c r="D102" s="13">
        <v>3000</v>
      </c>
      <c r="E102" s="13">
        <f t="shared" si="18"/>
        <v>3000</v>
      </c>
      <c r="F102" s="2"/>
      <c r="G102" s="2"/>
      <c r="H102" s="2"/>
      <c r="I102" s="13">
        <v>1000</v>
      </c>
      <c r="J102" s="13">
        <f t="shared" si="19"/>
        <v>1000</v>
      </c>
      <c r="K102" s="13">
        <f t="shared" si="20"/>
        <v>2000</v>
      </c>
      <c r="L102" s="14">
        <f t="shared" si="21"/>
        <v>0.66666666666666663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2.7</v>
      </c>
      <c r="B103" s="10" t="s">
        <v>17</v>
      </c>
      <c r="C103" s="11" t="s">
        <v>38</v>
      </c>
      <c r="D103" s="13">
        <v>1800</v>
      </c>
      <c r="E103" s="13">
        <f t="shared" si="18"/>
        <v>4860</v>
      </c>
      <c r="F103" s="2"/>
      <c r="G103" s="2"/>
      <c r="H103" s="2"/>
      <c r="I103" s="13">
        <v>1250</v>
      </c>
      <c r="J103" s="13">
        <f t="shared" si="19"/>
        <v>3375</v>
      </c>
      <c r="K103" s="13">
        <f t="shared" si="20"/>
        <v>1485</v>
      </c>
      <c r="L103" s="14">
        <f t="shared" si="21"/>
        <v>0.30555555555555558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4</v>
      </c>
      <c r="B104" s="10" t="s">
        <v>100</v>
      </c>
      <c r="C104" s="11" t="s">
        <v>55</v>
      </c>
      <c r="D104" s="13">
        <v>5500</v>
      </c>
      <c r="E104" s="13">
        <f t="shared" si="18"/>
        <v>22000</v>
      </c>
      <c r="F104" s="2"/>
      <c r="G104" s="2"/>
      <c r="H104" s="2"/>
      <c r="I104" s="13">
        <v>4000</v>
      </c>
      <c r="J104" s="13">
        <f t="shared" si="19"/>
        <v>16000</v>
      </c>
      <c r="K104" s="13">
        <f t="shared" si="20"/>
        <v>6000</v>
      </c>
      <c r="L104" s="14">
        <f t="shared" si="21"/>
        <v>0.27272727272727271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1</v>
      </c>
      <c r="B105" s="10" t="s">
        <v>100</v>
      </c>
      <c r="C105" s="11" t="s">
        <v>183</v>
      </c>
      <c r="D105" s="13">
        <v>6000</v>
      </c>
      <c r="E105" s="13">
        <f t="shared" si="18"/>
        <v>6000</v>
      </c>
      <c r="F105" s="2"/>
      <c r="G105" s="2"/>
      <c r="H105" s="2"/>
      <c r="I105" s="13">
        <v>4000</v>
      </c>
      <c r="J105" s="13">
        <f t="shared" si="19"/>
        <v>4000</v>
      </c>
      <c r="K105" s="13">
        <f t="shared" si="20"/>
        <v>2000</v>
      </c>
      <c r="L105" s="14">
        <f t="shared" si="21"/>
        <v>0.33333333333333331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"/>
      <c r="B106" s="2"/>
      <c r="C106" s="4"/>
      <c r="D106" s="2"/>
      <c r="E106" s="2"/>
      <c r="F106" s="2"/>
      <c r="G106" s="4"/>
      <c r="H106" s="2"/>
      <c r="I106" s="2"/>
      <c r="J106" s="2"/>
      <c r="K106" s="2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"/>
      <c r="B107" s="2"/>
      <c r="C107" s="4"/>
      <c r="D107" s="2"/>
      <c r="E107" s="13">
        <f>SUM(E88:E105)</f>
        <v>356860</v>
      </c>
      <c r="F107" s="2"/>
      <c r="G107" s="2"/>
      <c r="H107" s="2"/>
      <c r="I107" s="2"/>
      <c r="J107" s="2"/>
      <c r="K107" s="13">
        <f>SUM(K88:K105)</f>
        <v>99435</v>
      </c>
      <c r="L107" s="14">
        <f>K107/E107</f>
        <v>0.27863868183601415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0"/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0"/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0"/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6" t="s">
        <v>75</v>
      </c>
      <c r="B111" s="6"/>
      <c r="C111" s="6"/>
      <c r="D111" s="22" t="s">
        <v>143</v>
      </c>
      <c r="E111" s="8">
        <v>46141</v>
      </c>
      <c r="F111" s="24" t="s">
        <v>106</v>
      </c>
      <c r="G111" s="2"/>
      <c r="H111" s="2"/>
      <c r="I111" s="13"/>
      <c r="J111" s="13"/>
      <c r="K111" s="13"/>
      <c r="L111" s="14"/>
      <c r="M111" s="4"/>
      <c r="N111" s="2"/>
      <c r="O111" s="4"/>
      <c r="P111" s="2"/>
      <c r="Q111" s="2"/>
      <c r="R111" s="4"/>
      <c r="S111" s="2"/>
      <c r="T111" s="2"/>
      <c r="U111" s="1"/>
      <c r="V111" s="2"/>
      <c r="W111" s="2"/>
      <c r="X111" s="2"/>
      <c r="Y111" s="2"/>
      <c r="Z111" s="2"/>
    </row>
    <row r="112" spans="1:26" ht="15.75" customHeight="1" x14ac:dyDescent="0.2">
      <c r="B112" s="2"/>
      <c r="C112" s="4"/>
      <c r="D112" s="2"/>
      <c r="E112" s="2"/>
      <c r="F112" s="2"/>
      <c r="G112" s="2"/>
      <c r="H112" s="2"/>
      <c r="I112" s="13"/>
      <c r="J112" s="13"/>
      <c r="K112" s="13"/>
      <c r="L112" s="14"/>
      <c r="M112" s="4"/>
      <c r="N112" s="2"/>
      <c r="O112" s="4"/>
      <c r="P112" s="2"/>
      <c r="Q112" s="2"/>
      <c r="R112" s="4"/>
      <c r="S112" s="2"/>
      <c r="T112" s="2"/>
      <c r="U112" s="1"/>
      <c r="V112" s="2"/>
      <c r="W112" s="2"/>
      <c r="X112" s="2"/>
      <c r="Y112" s="2"/>
      <c r="Z112" s="2"/>
    </row>
    <row r="113" spans="1:26" ht="15.75" customHeight="1" x14ac:dyDescent="0.2">
      <c r="A113" s="6" t="s">
        <v>3</v>
      </c>
      <c r="B113" s="10" t="s">
        <v>4</v>
      </c>
      <c r="C113" s="11" t="s">
        <v>5</v>
      </c>
      <c r="D113" s="10" t="s">
        <v>6</v>
      </c>
      <c r="E113" s="10" t="s">
        <v>7</v>
      </c>
      <c r="F113" s="10"/>
      <c r="G113" s="2"/>
      <c r="H113" s="2"/>
      <c r="I113" s="10" t="s">
        <v>6</v>
      </c>
      <c r="J113" s="10" t="s">
        <v>7</v>
      </c>
      <c r="K113" s="10" t="s">
        <v>10</v>
      </c>
      <c r="L113" s="14"/>
      <c r="M113" s="4"/>
      <c r="N113" s="2"/>
      <c r="O113" s="4"/>
      <c r="P113" s="2"/>
      <c r="Q113" s="2"/>
      <c r="R113" s="4"/>
      <c r="S113" s="2"/>
      <c r="T113" s="2"/>
      <c r="U113" s="1"/>
      <c r="V113" s="2"/>
      <c r="W113" s="2"/>
      <c r="X113" s="2"/>
      <c r="Y113" s="2"/>
      <c r="Z113" s="2"/>
    </row>
    <row r="114" spans="1:26" ht="15.75" customHeight="1" x14ac:dyDescent="0.2">
      <c r="A114" s="12">
        <v>8</v>
      </c>
      <c r="B114" s="10" t="s">
        <v>21</v>
      </c>
      <c r="C114" s="11" t="s">
        <v>130</v>
      </c>
      <c r="D114" s="13">
        <v>1400</v>
      </c>
      <c r="E114" s="13">
        <f t="shared" ref="E114:E133" si="22">A114*D114</f>
        <v>11200</v>
      </c>
      <c r="F114" s="13"/>
      <c r="G114" s="2"/>
      <c r="H114" s="7"/>
      <c r="I114" s="13">
        <f>1000</f>
        <v>1000</v>
      </c>
      <c r="J114" s="13">
        <f t="shared" ref="J114:J133" si="23">I114*A114</f>
        <v>8000</v>
      </c>
      <c r="K114" s="13">
        <f t="shared" ref="K114:K133" si="24">E114-J114</f>
        <v>3200</v>
      </c>
      <c r="L114" s="14">
        <f t="shared" ref="L114:L133" si="25">K114/E114</f>
        <v>0.2857142857142857</v>
      </c>
      <c r="M114" s="4"/>
      <c r="N114" s="2"/>
      <c r="O114" s="4"/>
      <c r="P114" s="2"/>
      <c r="Q114" s="2"/>
      <c r="R114" s="4"/>
      <c r="S114" s="2"/>
      <c r="T114" s="2"/>
      <c r="U114" s="1"/>
      <c r="V114" s="2"/>
      <c r="W114" s="2"/>
      <c r="X114" s="2"/>
      <c r="Y114" s="2"/>
      <c r="Z114" s="2"/>
    </row>
    <row r="115" spans="1:26" ht="15.75" customHeight="1" x14ac:dyDescent="0.2">
      <c r="A115" s="12">
        <v>1</v>
      </c>
      <c r="B115" s="10" t="s">
        <v>4</v>
      </c>
      <c r="C115" s="11" t="s">
        <v>64</v>
      </c>
      <c r="D115" s="13">
        <v>2500</v>
      </c>
      <c r="E115" s="13">
        <f t="shared" si="22"/>
        <v>2500</v>
      </c>
      <c r="F115" s="13"/>
      <c r="G115" s="2"/>
      <c r="H115" s="7"/>
      <c r="I115" s="13">
        <v>1000</v>
      </c>
      <c r="J115" s="13">
        <f t="shared" si="23"/>
        <v>1000</v>
      </c>
      <c r="K115" s="13">
        <f t="shared" si="24"/>
        <v>1500</v>
      </c>
      <c r="L115" s="14">
        <f t="shared" si="25"/>
        <v>0.6</v>
      </c>
      <c r="M115" s="4"/>
      <c r="N115" s="2"/>
      <c r="O115" s="4"/>
      <c r="P115" s="2"/>
      <c r="Q115" s="2"/>
      <c r="R115" s="4"/>
      <c r="S115" s="2"/>
      <c r="T115" s="2"/>
      <c r="U115" s="1"/>
      <c r="V115" s="2"/>
      <c r="W115" s="2"/>
      <c r="X115" s="2"/>
      <c r="Y115" s="2"/>
      <c r="Z115" s="2"/>
    </row>
    <row r="116" spans="1:26" ht="15.75" customHeight="1" x14ac:dyDescent="0.2">
      <c r="A116" s="12">
        <v>3</v>
      </c>
      <c r="B116" s="10" t="s">
        <v>4</v>
      </c>
      <c r="C116" s="11" t="s">
        <v>13</v>
      </c>
      <c r="D116" s="13">
        <v>900</v>
      </c>
      <c r="E116" s="13">
        <f t="shared" si="22"/>
        <v>2700</v>
      </c>
      <c r="F116" s="13"/>
      <c r="G116" s="2"/>
      <c r="H116" s="7"/>
      <c r="I116" s="13">
        <v>540</v>
      </c>
      <c r="J116" s="13">
        <f t="shared" si="23"/>
        <v>1620</v>
      </c>
      <c r="K116" s="13">
        <f t="shared" si="24"/>
        <v>1080</v>
      </c>
      <c r="L116" s="14">
        <f t="shared" si="25"/>
        <v>0.4</v>
      </c>
      <c r="M116" s="4"/>
      <c r="N116" s="2"/>
      <c r="O116" s="4"/>
      <c r="P116" s="2"/>
      <c r="Q116" s="2"/>
      <c r="R116" s="4"/>
      <c r="S116" s="2"/>
      <c r="T116" s="2"/>
      <c r="U116" s="1"/>
      <c r="V116" s="2"/>
      <c r="W116" s="2"/>
      <c r="X116" s="2"/>
      <c r="Y116" s="2"/>
      <c r="Z116" s="2"/>
    </row>
    <row r="117" spans="1:26" ht="15.75" customHeight="1" x14ac:dyDescent="0.2">
      <c r="A117" s="12">
        <v>5</v>
      </c>
      <c r="B117" s="10" t="s">
        <v>17</v>
      </c>
      <c r="C117" s="11" t="s">
        <v>129</v>
      </c>
      <c r="D117" s="13">
        <v>1800</v>
      </c>
      <c r="E117" s="13">
        <f t="shared" si="22"/>
        <v>9000</v>
      </c>
      <c r="F117" s="2"/>
      <c r="G117" s="2"/>
      <c r="H117" s="2"/>
      <c r="I117" s="2">
        <f>11500/11</f>
        <v>1045.4545454545455</v>
      </c>
      <c r="J117" s="13">
        <f t="shared" si="23"/>
        <v>5227.2727272727279</v>
      </c>
      <c r="K117" s="13">
        <f t="shared" si="24"/>
        <v>3772.7272727272721</v>
      </c>
      <c r="L117" s="82">
        <f t="shared" si="25"/>
        <v>0.41919191919191912</v>
      </c>
      <c r="M117" s="4"/>
      <c r="N117" s="2"/>
      <c r="O117" s="4"/>
      <c r="P117" s="2"/>
      <c r="Q117" s="2"/>
      <c r="R117" s="4"/>
      <c r="S117" s="2"/>
      <c r="T117" s="2"/>
      <c r="U117" s="1"/>
      <c r="V117" s="2"/>
      <c r="W117" s="2"/>
      <c r="X117" s="2"/>
      <c r="Y117" s="2"/>
      <c r="Z117" s="2"/>
    </row>
    <row r="118" spans="1:26" ht="15.75" customHeight="1" x14ac:dyDescent="0.2">
      <c r="A118" s="12">
        <v>2</v>
      </c>
      <c r="B118" s="10" t="s">
        <v>17</v>
      </c>
      <c r="C118" s="11" t="s">
        <v>31</v>
      </c>
      <c r="D118" s="13">
        <v>3000</v>
      </c>
      <c r="E118" s="13">
        <f t="shared" si="22"/>
        <v>6000</v>
      </c>
      <c r="F118" s="2"/>
      <c r="G118" s="2"/>
      <c r="H118" s="2"/>
      <c r="I118" s="2">
        <f>13500/7</f>
        <v>1928.5714285714287</v>
      </c>
      <c r="J118" s="13">
        <f t="shared" si="23"/>
        <v>3857.1428571428573</v>
      </c>
      <c r="K118" s="13">
        <f t="shared" si="24"/>
        <v>2142.8571428571427</v>
      </c>
      <c r="L118" s="82">
        <f t="shared" si="25"/>
        <v>0.3571428571428571</v>
      </c>
      <c r="M118" s="4"/>
      <c r="N118" s="2"/>
      <c r="O118" s="4"/>
      <c r="P118" s="2"/>
      <c r="Q118" s="2"/>
      <c r="R118" s="4"/>
      <c r="S118" s="2"/>
      <c r="T118" s="2"/>
      <c r="U118" s="1"/>
      <c r="V118" s="2"/>
      <c r="W118" s="2"/>
      <c r="X118" s="2"/>
      <c r="Y118" s="2"/>
      <c r="Z118" s="2"/>
    </row>
    <row r="119" spans="1:26" ht="15.75" customHeight="1" x14ac:dyDescent="0.2">
      <c r="A119" s="12">
        <v>1</v>
      </c>
      <c r="B119" s="10" t="s">
        <v>17</v>
      </c>
      <c r="C119" s="11" t="s">
        <v>79</v>
      </c>
      <c r="D119" s="13">
        <v>5000</v>
      </c>
      <c r="E119" s="13">
        <f t="shared" si="22"/>
        <v>5000</v>
      </c>
      <c r="F119" s="2"/>
      <c r="G119" s="2"/>
      <c r="H119" s="2"/>
      <c r="I119" s="13">
        <v>3500</v>
      </c>
      <c r="J119" s="13">
        <f t="shared" si="23"/>
        <v>3500</v>
      </c>
      <c r="K119" s="13">
        <f t="shared" si="24"/>
        <v>1500</v>
      </c>
      <c r="L119" s="82">
        <f t="shared" si="25"/>
        <v>0.3</v>
      </c>
      <c r="M119" s="4"/>
      <c r="N119" s="2"/>
      <c r="O119" s="4"/>
      <c r="P119" s="2"/>
      <c r="Q119" s="2"/>
      <c r="R119" s="4"/>
      <c r="S119" s="2"/>
      <c r="T119" s="2"/>
      <c r="U119" s="1"/>
      <c r="V119" s="2"/>
      <c r="W119" s="2"/>
      <c r="X119" s="2"/>
      <c r="Y119" s="2"/>
      <c r="Z119" s="2"/>
    </row>
    <row r="120" spans="1:26" ht="15.75" customHeight="1" x14ac:dyDescent="0.2">
      <c r="A120" s="12">
        <v>2</v>
      </c>
      <c r="B120" s="10" t="s">
        <v>4</v>
      </c>
      <c r="C120" s="11" t="s">
        <v>65</v>
      </c>
      <c r="D120" s="13">
        <v>800</v>
      </c>
      <c r="E120" s="13">
        <f t="shared" si="22"/>
        <v>1600</v>
      </c>
      <c r="F120" s="2"/>
      <c r="G120" s="2"/>
      <c r="H120" s="2"/>
      <c r="I120" s="7">
        <v>400</v>
      </c>
      <c r="J120" s="13">
        <f t="shared" si="23"/>
        <v>800</v>
      </c>
      <c r="K120" s="13">
        <f t="shared" si="24"/>
        <v>800</v>
      </c>
      <c r="L120" s="82">
        <f t="shared" si="25"/>
        <v>0.5</v>
      </c>
      <c r="M120" s="4"/>
      <c r="N120" s="2"/>
      <c r="O120" s="4"/>
      <c r="P120" s="2"/>
      <c r="Q120" s="2"/>
      <c r="R120" s="4"/>
      <c r="S120" s="2"/>
      <c r="T120" s="2"/>
      <c r="U120" s="1"/>
      <c r="V120" s="2"/>
      <c r="W120" s="2"/>
      <c r="X120" s="2"/>
      <c r="Y120" s="2"/>
      <c r="Z120" s="2"/>
    </row>
    <row r="121" spans="1:26" ht="15.75" customHeight="1" x14ac:dyDescent="0.2">
      <c r="A121" s="12">
        <v>3</v>
      </c>
      <c r="B121" s="10" t="s">
        <v>21</v>
      </c>
      <c r="C121" s="11" t="s">
        <v>46</v>
      </c>
      <c r="D121" s="13">
        <v>850</v>
      </c>
      <c r="E121" s="13">
        <f t="shared" si="22"/>
        <v>2550</v>
      </c>
      <c r="F121" s="2"/>
      <c r="G121" s="2"/>
      <c r="H121" s="2"/>
      <c r="I121" s="2">
        <f>16000/24</f>
        <v>666.66666666666663</v>
      </c>
      <c r="J121" s="13">
        <f t="shared" si="23"/>
        <v>2000</v>
      </c>
      <c r="K121" s="13">
        <f t="shared" si="24"/>
        <v>550</v>
      </c>
      <c r="L121" s="82">
        <f t="shared" si="25"/>
        <v>0.21568627450980393</v>
      </c>
      <c r="M121" s="4"/>
      <c r="N121" s="2"/>
      <c r="O121" s="4"/>
      <c r="P121" s="2"/>
      <c r="Q121" s="2"/>
      <c r="R121" s="4"/>
      <c r="S121" s="2"/>
      <c r="T121" s="2"/>
      <c r="U121" s="1"/>
      <c r="V121" s="2"/>
      <c r="W121" s="2"/>
      <c r="X121" s="2"/>
      <c r="Y121" s="2"/>
      <c r="Z121" s="2"/>
    </row>
    <row r="122" spans="1:26" ht="15.75" customHeight="1" x14ac:dyDescent="0.2">
      <c r="A122" s="12">
        <v>3</v>
      </c>
      <c r="B122" s="10" t="s">
        <v>17</v>
      </c>
      <c r="C122" s="11" t="s">
        <v>81</v>
      </c>
      <c r="D122" s="13">
        <v>1700</v>
      </c>
      <c r="E122" s="13">
        <f t="shared" si="22"/>
        <v>5100</v>
      </c>
      <c r="F122" s="2"/>
      <c r="G122" s="2"/>
      <c r="H122" s="2"/>
      <c r="I122" s="13">
        <f>17600/15</f>
        <v>1173.3333333333333</v>
      </c>
      <c r="J122" s="13">
        <f t="shared" si="23"/>
        <v>3520</v>
      </c>
      <c r="K122" s="13">
        <f t="shared" si="24"/>
        <v>1580</v>
      </c>
      <c r="L122" s="82">
        <f t="shared" si="25"/>
        <v>0.30980392156862746</v>
      </c>
      <c r="M122" s="4"/>
      <c r="N122" s="2"/>
      <c r="O122" s="4"/>
      <c r="P122" s="2"/>
      <c r="Q122" s="2"/>
      <c r="R122" s="4"/>
      <c r="S122" s="2"/>
      <c r="T122" s="2"/>
      <c r="U122" s="1"/>
      <c r="V122" s="2"/>
      <c r="W122" s="2"/>
      <c r="X122" s="2"/>
      <c r="Y122" s="2"/>
      <c r="Z122" s="2"/>
    </row>
    <row r="123" spans="1:26" ht="15.75" customHeight="1" x14ac:dyDescent="0.2">
      <c r="A123" s="12">
        <v>4</v>
      </c>
      <c r="B123" s="10" t="s">
        <v>17</v>
      </c>
      <c r="C123" s="11" t="s">
        <v>82</v>
      </c>
      <c r="D123" s="13">
        <v>3500</v>
      </c>
      <c r="E123" s="13">
        <f t="shared" si="22"/>
        <v>14000</v>
      </c>
      <c r="F123" s="2"/>
      <c r="G123" s="2"/>
      <c r="H123" s="2"/>
      <c r="I123" s="2">
        <f>40000/14</f>
        <v>2857.1428571428573</v>
      </c>
      <c r="J123" s="13">
        <f t="shared" si="23"/>
        <v>11428.571428571429</v>
      </c>
      <c r="K123" s="13">
        <f t="shared" si="24"/>
        <v>2571.4285714285706</v>
      </c>
      <c r="L123" s="82">
        <f t="shared" si="25"/>
        <v>0.18367346938775506</v>
      </c>
      <c r="M123" s="4"/>
      <c r="N123" s="2"/>
      <c r="O123" s="4"/>
      <c r="P123" s="2"/>
      <c r="Q123" s="2"/>
      <c r="R123" s="4"/>
      <c r="S123" s="2"/>
      <c r="T123" s="2"/>
      <c r="U123" s="1"/>
      <c r="V123" s="2"/>
      <c r="W123" s="2"/>
      <c r="X123" s="2"/>
      <c r="Y123" s="2"/>
      <c r="Z123" s="2"/>
    </row>
    <row r="124" spans="1:26" ht="15.75" customHeight="1" x14ac:dyDescent="0.2">
      <c r="A124" s="12">
        <v>2</v>
      </c>
      <c r="B124" s="10" t="s">
        <v>17</v>
      </c>
      <c r="C124" s="11" t="s">
        <v>61</v>
      </c>
      <c r="D124" s="13">
        <v>3100</v>
      </c>
      <c r="E124" s="13">
        <f t="shared" si="22"/>
        <v>6200</v>
      </c>
      <c r="F124" s="2"/>
      <c r="G124" s="2"/>
      <c r="H124" s="2"/>
      <c r="I124" s="13">
        <f>24000/14</f>
        <v>1714.2857142857142</v>
      </c>
      <c r="J124" s="13">
        <f t="shared" si="23"/>
        <v>3428.5714285714284</v>
      </c>
      <c r="K124" s="13">
        <f t="shared" si="24"/>
        <v>2771.4285714285716</v>
      </c>
      <c r="L124" s="82">
        <f t="shared" si="25"/>
        <v>0.44700460829493088</v>
      </c>
      <c r="M124" s="4"/>
      <c r="N124" s="2"/>
      <c r="O124" s="4"/>
      <c r="P124" s="2"/>
      <c r="Q124" s="2"/>
      <c r="R124" s="4"/>
      <c r="S124" s="2"/>
      <c r="T124" s="2"/>
      <c r="U124" s="1"/>
      <c r="V124" s="2"/>
      <c r="W124" s="2"/>
      <c r="X124" s="2"/>
      <c r="Y124" s="2"/>
      <c r="Z124" s="2"/>
    </row>
    <row r="125" spans="1:26" ht="15.75" customHeight="1" x14ac:dyDescent="0.2">
      <c r="A125" s="12">
        <v>1</v>
      </c>
      <c r="B125" s="10" t="s">
        <v>15</v>
      </c>
      <c r="C125" s="11" t="s">
        <v>83</v>
      </c>
      <c r="D125" s="13">
        <v>14000</v>
      </c>
      <c r="E125" s="13">
        <f t="shared" si="22"/>
        <v>14000</v>
      </c>
      <c r="F125" s="2"/>
      <c r="G125" s="2"/>
      <c r="H125" s="2"/>
      <c r="I125" s="13">
        <v>10000</v>
      </c>
      <c r="J125" s="13">
        <f t="shared" si="23"/>
        <v>10000</v>
      </c>
      <c r="K125" s="13">
        <f t="shared" si="24"/>
        <v>4000</v>
      </c>
      <c r="L125" s="82">
        <f t="shared" si="25"/>
        <v>0.2857142857142857</v>
      </c>
      <c r="M125" s="4"/>
      <c r="N125" s="2"/>
      <c r="O125" s="4"/>
      <c r="P125" s="2"/>
      <c r="Q125" s="2"/>
      <c r="R125" s="4"/>
      <c r="S125" s="2"/>
      <c r="T125" s="2"/>
      <c r="U125" s="1"/>
      <c r="V125" s="2"/>
      <c r="W125" s="2"/>
      <c r="X125" s="2"/>
      <c r="Y125" s="2"/>
      <c r="Z125" s="2"/>
    </row>
    <row r="126" spans="1:26" ht="15.75" customHeight="1" x14ac:dyDescent="0.2">
      <c r="A126" s="12">
        <v>1</v>
      </c>
      <c r="B126" s="10" t="s">
        <v>15</v>
      </c>
      <c r="C126" s="11" t="s">
        <v>56</v>
      </c>
      <c r="D126" s="13">
        <v>15000</v>
      </c>
      <c r="E126" s="13">
        <f t="shared" si="22"/>
        <v>15000</v>
      </c>
      <c r="F126" s="13"/>
      <c r="G126" s="2"/>
      <c r="H126" s="7"/>
      <c r="I126" s="13">
        <v>10000</v>
      </c>
      <c r="J126" s="13">
        <f t="shared" si="23"/>
        <v>10000</v>
      </c>
      <c r="K126" s="13">
        <f t="shared" si="24"/>
        <v>5000</v>
      </c>
      <c r="L126" s="14">
        <f t="shared" si="25"/>
        <v>0.33333333333333331</v>
      </c>
      <c r="M126" s="4"/>
      <c r="N126" s="2"/>
      <c r="O126" s="4"/>
      <c r="P126" s="2"/>
      <c r="Q126" s="2"/>
      <c r="R126" s="4"/>
      <c r="S126" s="2"/>
      <c r="T126" s="2"/>
      <c r="U126" s="1"/>
      <c r="V126" s="2"/>
      <c r="W126" s="2"/>
      <c r="X126" s="2"/>
      <c r="Y126" s="2"/>
      <c r="Z126" s="2"/>
    </row>
    <row r="127" spans="1:26" ht="15.75" customHeight="1" x14ac:dyDescent="0.2">
      <c r="A127" s="12">
        <v>1</v>
      </c>
      <c r="B127" s="10" t="s">
        <v>15</v>
      </c>
      <c r="C127" s="11" t="s">
        <v>84</v>
      </c>
      <c r="D127" s="13">
        <v>16000</v>
      </c>
      <c r="E127" s="13">
        <f t="shared" si="22"/>
        <v>16000</v>
      </c>
      <c r="F127" s="13"/>
      <c r="G127" s="2"/>
      <c r="H127" s="7"/>
      <c r="I127" s="13">
        <v>12000</v>
      </c>
      <c r="J127" s="13">
        <f t="shared" si="23"/>
        <v>12000</v>
      </c>
      <c r="K127" s="13">
        <f t="shared" si="24"/>
        <v>4000</v>
      </c>
      <c r="L127" s="14">
        <f t="shared" si="25"/>
        <v>0.25</v>
      </c>
      <c r="M127" s="4"/>
      <c r="N127" s="2"/>
      <c r="O127" s="4"/>
      <c r="P127" s="2"/>
      <c r="Q127" s="2"/>
      <c r="R127" s="4"/>
      <c r="S127" s="2"/>
      <c r="T127" s="2"/>
      <c r="U127" s="1"/>
      <c r="V127" s="2"/>
      <c r="W127" s="2"/>
      <c r="X127" s="2"/>
      <c r="Y127" s="2"/>
      <c r="Z127" s="2"/>
    </row>
    <row r="128" spans="1:26" ht="15.75" customHeight="1" x14ac:dyDescent="0.2">
      <c r="A128" s="12">
        <v>1</v>
      </c>
      <c r="B128" s="10" t="s">
        <v>15</v>
      </c>
      <c r="C128" s="11" t="s">
        <v>40</v>
      </c>
      <c r="D128" s="13">
        <v>12000</v>
      </c>
      <c r="E128" s="13">
        <f t="shared" si="22"/>
        <v>12000</v>
      </c>
      <c r="F128" s="13"/>
      <c r="G128" s="2"/>
      <c r="H128" s="7"/>
      <c r="I128" s="13">
        <v>8000</v>
      </c>
      <c r="J128" s="13">
        <f t="shared" si="23"/>
        <v>8000</v>
      </c>
      <c r="K128" s="13">
        <f t="shared" si="24"/>
        <v>4000</v>
      </c>
      <c r="L128" s="14">
        <f t="shared" si="25"/>
        <v>0.33333333333333331</v>
      </c>
      <c r="M128" s="4"/>
      <c r="N128" s="2"/>
      <c r="O128" s="4"/>
      <c r="P128" s="2"/>
      <c r="Q128" s="2"/>
      <c r="R128" s="4"/>
      <c r="S128" s="2"/>
      <c r="T128" s="2"/>
      <c r="U128" s="1"/>
      <c r="V128" s="2"/>
      <c r="W128" s="2"/>
      <c r="X128" s="2"/>
      <c r="Y128" s="2"/>
      <c r="Z128" s="2"/>
    </row>
    <row r="129" spans="1:26" ht="15.75" customHeight="1" x14ac:dyDescent="0.2">
      <c r="A129" s="12">
        <v>2</v>
      </c>
      <c r="B129" s="10" t="s">
        <v>17</v>
      </c>
      <c r="C129" s="11" t="s">
        <v>88</v>
      </c>
      <c r="D129" s="13">
        <v>1500</v>
      </c>
      <c r="E129" s="13">
        <f t="shared" si="22"/>
        <v>3000</v>
      </c>
      <c r="F129" s="13"/>
      <c r="G129" s="2"/>
      <c r="H129" s="7"/>
      <c r="I129" s="13">
        <v>1000</v>
      </c>
      <c r="J129" s="13">
        <f t="shared" si="23"/>
        <v>2000</v>
      </c>
      <c r="K129" s="13">
        <f t="shared" si="24"/>
        <v>1000</v>
      </c>
      <c r="L129" s="14">
        <f t="shared" si="25"/>
        <v>0.33333333333333331</v>
      </c>
      <c r="M129" s="4"/>
      <c r="N129" s="2"/>
      <c r="O129" s="4"/>
      <c r="P129" s="2"/>
      <c r="Q129" s="2"/>
      <c r="R129" s="4"/>
      <c r="S129" s="2"/>
      <c r="T129" s="2"/>
      <c r="U129" s="1"/>
      <c r="V129" s="2"/>
      <c r="W129" s="2"/>
      <c r="X129" s="2"/>
      <c r="Y129" s="2"/>
      <c r="Z129" s="2"/>
    </row>
    <row r="130" spans="1:26" ht="15.75" customHeight="1" x14ac:dyDescent="0.2">
      <c r="A130" s="12">
        <v>3</v>
      </c>
      <c r="B130" s="10" t="s">
        <v>17</v>
      </c>
      <c r="C130" s="11" t="s">
        <v>67</v>
      </c>
      <c r="D130" s="13">
        <v>1300</v>
      </c>
      <c r="E130" s="13">
        <f t="shared" si="22"/>
        <v>3900</v>
      </c>
      <c r="F130" s="13"/>
      <c r="G130" s="2"/>
      <c r="H130" s="7"/>
      <c r="I130" s="13">
        <f>12000/14</f>
        <v>857.14285714285711</v>
      </c>
      <c r="J130" s="13">
        <f t="shared" si="23"/>
        <v>2571.4285714285716</v>
      </c>
      <c r="K130" s="13">
        <f t="shared" si="24"/>
        <v>1328.5714285714284</v>
      </c>
      <c r="L130" s="14">
        <f t="shared" si="25"/>
        <v>0.34065934065934061</v>
      </c>
      <c r="M130" s="4"/>
      <c r="N130" s="2"/>
      <c r="O130" s="4"/>
      <c r="P130" s="2"/>
      <c r="Q130" s="2"/>
      <c r="R130" s="4"/>
      <c r="S130" s="2"/>
      <c r="T130" s="2"/>
      <c r="U130" s="1"/>
      <c r="V130" s="2"/>
      <c r="W130" s="2"/>
      <c r="X130" s="2"/>
      <c r="Y130" s="2"/>
      <c r="Z130" s="2"/>
    </row>
    <row r="131" spans="1:26" ht="15.75" customHeight="1" x14ac:dyDescent="0.2">
      <c r="A131" s="12">
        <v>4</v>
      </c>
      <c r="B131" s="10" t="s">
        <v>17</v>
      </c>
      <c r="C131" s="11" t="s">
        <v>26</v>
      </c>
      <c r="D131" s="13">
        <v>1400</v>
      </c>
      <c r="E131" s="13">
        <f t="shared" si="22"/>
        <v>5600</v>
      </c>
      <c r="F131" s="13"/>
      <c r="G131" s="2"/>
      <c r="H131" s="7"/>
      <c r="I131" s="13">
        <f>14000/15</f>
        <v>933.33333333333337</v>
      </c>
      <c r="J131" s="13">
        <f t="shared" si="23"/>
        <v>3733.3333333333335</v>
      </c>
      <c r="K131" s="13">
        <f t="shared" si="24"/>
        <v>1866.6666666666665</v>
      </c>
      <c r="L131" s="14">
        <f t="shared" si="25"/>
        <v>0.33333333333333331</v>
      </c>
      <c r="M131" s="4"/>
      <c r="N131" s="2"/>
      <c r="O131" s="4"/>
      <c r="P131" s="2"/>
      <c r="Q131" s="2"/>
      <c r="R131" s="4"/>
      <c r="S131" s="2"/>
      <c r="T131" s="2"/>
      <c r="U131" s="1"/>
      <c r="V131" s="2"/>
      <c r="W131" s="2"/>
      <c r="X131" s="2"/>
      <c r="Y131" s="2"/>
      <c r="Z131" s="2"/>
    </row>
    <row r="132" spans="1:26" ht="15.75" customHeight="1" x14ac:dyDescent="0.2">
      <c r="A132" s="12">
        <v>1</v>
      </c>
      <c r="B132" s="10" t="s">
        <v>1175</v>
      </c>
      <c r="C132" s="11" t="s">
        <v>49</v>
      </c>
      <c r="D132" s="13">
        <v>26000</v>
      </c>
      <c r="E132" s="13">
        <f t="shared" si="22"/>
        <v>26000</v>
      </c>
      <c r="F132" s="13"/>
      <c r="G132" s="2"/>
      <c r="H132" s="7"/>
      <c r="I132" s="13">
        <v>15000</v>
      </c>
      <c r="J132" s="13">
        <f t="shared" si="23"/>
        <v>15000</v>
      </c>
      <c r="K132" s="13">
        <f t="shared" si="24"/>
        <v>11000</v>
      </c>
      <c r="L132" s="14">
        <f t="shared" si="25"/>
        <v>0.42307692307692307</v>
      </c>
      <c r="M132" s="4"/>
      <c r="N132" s="2"/>
      <c r="O132" s="4"/>
      <c r="P132" s="2"/>
      <c r="Q132" s="2"/>
      <c r="R132" s="4"/>
      <c r="S132" s="2"/>
      <c r="T132" s="2"/>
      <c r="U132" s="1"/>
      <c r="V132" s="2"/>
      <c r="W132" s="2"/>
      <c r="X132" s="2"/>
      <c r="Y132" s="2"/>
      <c r="Z132" s="2"/>
    </row>
    <row r="133" spans="1:26" ht="15.75" customHeight="1" x14ac:dyDescent="0.2">
      <c r="A133" s="12">
        <v>1</v>
      </c>
      <c r="B133" s="10" t="s">
        <v>4</v>
      </c>
      <c r="C133" s="11" t="s">
        <v>14</v>
      </c>
      <c r="D133" s="13">
        <v>3300</v>
      </c>
      <c r="E133" s="13">
        <f t="shared" si="22"/>
        <v>3300</v>
      </c>
      <c r="F133" s="13"/>
      <c r="G133" s="2"/>
      <c r="H133" s="7"/>
      <c r="I133" s="13">
        <f>22000/8</f>
        <v>2750</v>
      </c>
      <c r="J133" s="13">
        <f t="shared" si="23"/>
        <v>2750</v>
      </c>
      <c r="K133" s="13">
        <f t="shared" si="24"/>
        <v>550</v>
      </c>
      <c r="L133" s="14">
        <f t="shared" si="25"/>
        <v>0.16666666666666666</v>
      </c>
      <c r="M133" s="4"/>
      <c r="N133" s="2"/>
      <c r="O133" s="4"/>
      <c r="P133" s="2"/>
      <c r="Q133" s="2"/>
      <c r="R133" s="4"/>
      <c r="S133" s="2"/>
      <c r="T133" s="2"/>
      <c r="U133" s="1"/>
      <c r="V133" s="2"/>
      <c r="W133" s="2"/>
      <c r="X133" s="2"/>
      <c r="Y133" s="2"/>
      <c r="Z133" s="2"/>
    </row>
    <row r="134" spans="1:26" ht="15.75" customHeight="1" x14ac:dyDescent="0.2">
      <c r="A134" s="12"/>
      <c r="B134" s="10"/>
      <c r="C134" s="11"/>
      <c r="D134" s="13"/>
      <c r="E134" s="13"/>
      <c r="F134" s="13"/>
      <c r="H134" s="2"/>
      <c r="I134" s="13"/>
      <c r="J134" s="13"/>
      <c r="K134" s="13"/>
      <c r="L134" s="14"/>
      <c r="N134" s="2"/>
      <c r="O134" s="4"/>
      <c r="P134" s="2"/>
      <c r="Q134" s="2"/>
      <c r="R134" s="4"/>
      <c r="S134" s="2"/>
      <c r="T134" s="2"/>
      <c r="U134" s="1"/>
      <c r="V134" s="2"/>
      <c r="W134" s="2"/>
      <c r="X134" s="2"/>
      <c r="Y134" s="2"/>
      <c r="Z134" s="2"/>
    </row>
    <row r="135" spans="1:26" ht="15.75" customHeight="1" x14ac:dyDescent="0.2">
      <c r="A135" s="12"/>
      <c r="B135" s="10"/>
      <c r="C135" s="11"/>
      <c r="D135" s="13"/>
      <c r="E135" s="13">
        <f>SUM(E114:E134)</f>
        <v>164650</v>
      </c>
      <c r="F135" s="13"/>
      <c r="G135" s="2"/>
      <c r="H135" s="2"/>
      <c r="I135" s="13"/>
      <c r="J135" s="13"/>
      <c r="K135" s="13">
        <f>SUM(K114:K133)</f>
        <v>54213.679653679646</v>
      </c>
      <c r="L135" s="14">
        <f>K135/E135</f>
        <v>0.32926619892912024</v>
      </c>
      <c r="M135" s="4"/>
      <c r="N135" s="2"/>
      <c r="O135" s="4"/>
      <c r="P135" s="2"/>
      <c r="Q135" s="2"/>
      <c r="R135" s="4"/>
      <c r="S135" s="2"/>
      <c r="T135" s="2"/>
      <c r="U135" s="1"/>
      <c r="V135" s="2"/>
      <c r="W135" s="2"/>
      <c r="X135" s="2"/>
      <c r="Y135" s="2"/>
      <c r="Z135" s="2"/>
    </row>
    <row r="136" spans="1:26" ht="15.75" customHeight="1" x14ac:dyDescent="0.2">
      <c r="A136" s="12"/>
      <c r="B136" s="10"/>
      <c r="C136" s="11"/>
      <c r="D136" s="13"/>
      <c r="E136" s="13"/>
      <c r="F136" s="13"/>
      <c r="G136" s="2"/>
      <c r="H136" s="2"/>
      <c r="I136" s="13"/>
      <c r="J136" s="13"/>
      <c r="K136" s="13"/>
      <c r="L136" s="14"/>
      <c r="M136" s="4"/>
      <c r="N136" s="2"/>
      <c r="O136" s="4"/>
      <c r="P136" s="2"/>
      <c r="Q136" s="2"/>
      <c r="R136" s="4"/>
      <c r="S136" s="2"/>
      <c r="T136" s="2"/>
      <c r="U136" s="1"/>
      <c r="V136" s="2"/>
      <c r="W136" s="2"/>
      <c r="X136" s="2"/>
      <c r="Y136" s="2"/>
      <c r="Z136" s="2"/>
    </row>
    <row r="137" spans="1:26" ht="15.75" customHeight="1" x14ac:dyDescent="0.2">
      <c r="A137" s="6" t="s">
        <v>169</v>
      </c>
      <c r="B137" s="6"/>
      <c r="C137" s="6"/>
      <c r="D137" s="22" t="s">
        <v>58</v>
      </c>
      <c r="E137" s="8">
        <v>46141</v>
      </c>
      <c r="F137" s="22" t="s">
        <v>106</v>
      </c>
      <c r="G137" s="2"/>
      <c r="H137" s="2"/>
      <c r="I137" s="2"/>
      <c r="J137" s="13"/>
      <c r="K137" s="13"/>
      <c r="L137" s="14"/>
      <c r="M137" s="4"/>
      <c r="N137" s="2"/>
      <c r="O137" s="4"/>
      <c r="P137" s="2"/>
      <c r="Q137" s="2"/>
      <c r="R137" s="4"/>
      <c r="S137" s="2"/>
      <c r="T137" s="2"/>
      <c r="U137" s="1"/>
      <c r="V137" s="2"/>
      <c r="W137" s="2"/>
      <c r="X137" s="2"/>
      <c r="Y137" s="2"/>
      <c r="Z137" s="2"/>
    </row>
    <row r="138" spans="1:26" ht="15.75" customHeight="1" x14ac:dyDescent="0.2">
      <c r="B138" s="2"/>
      <c r="C138" s="4"/>
      <c r="D138" s="2"/>
      <c r="E138" s="2"/>
      <c r="F138" s="2"/>
      <c r="G138" s="2"/>
      <c r="H138" s="2"/>
      <c r="I138" s="2"/>
      <c r="J138" s="13"/>
      <c r="K138" s="13"/>
      <c r="L138" s="14"/>
      <c r="M138" s="4"/>
      <c r="N138" s="2"/>
      <c r="O138" s="4"/>
      <c r="P138" s="2"/>
      <c r="Q138" s="2"/>
      <c r="R138" s="4"/>
      <c r="S138" s="2"/>
      <c r="T138" s="2"/>
      <c r="U138" s="1"/>
      <c r="V138" s="2"/>
      <c r="W138" s="2"/>
      <c r="X138" s="2"/>
      <c r="Y138" s="2"/>
      <c r="Z138" s="2"/>
    </row>
    <row r="139" spans="1:26" ht="15.75" customHeight="1" x14ac:dyDescent="0.2">
      <c r="A139" s="6" t="s">
        <v>3</v>
      </c>
      <c r="B139" s="10" t="s">
        <v>4</v>
      </c>
      <c r="C139" s="11" t="s">
        <v>5</v>
      </c>
      <c r="D139" s="10" t="s">
        <v>6</v>
      </c>
      <c r="E139" s="10" t="s">
        <v>7</v>
      </c>
      <c r="F139" s="10"/>
      <c r="G139" s="2"/>
      <c r="H139" s="2"/>
      <c r="I139" s="10" t="s">
        <v>6</v>
      </c>
      <c r="J139" s="10" t="s">
        <v>7</v>
      </c>
      <c r="K139" s="10" t="s">
        <v>10</v>
      </c>
      <c r="L139" s="14"/>
      <c r="M139" s="4"/>
      <c r="N139" s="2"/>
      <c r="O139" s="4"/>
      <c r="P139" s="2"/>
      <c r="Q139" s="2"/>
      <c r="R139" s="4"/>
      <c r="S139" s="2"/>
      <c r="T139" s="2"/>
      <c r="U139" s="1"/>
      <c r="V139" s="2"/>
      <c r="W139" s="2"/>
      <c r="X139" s="2"/>
      <c r="Y139" s="2"/>
      <c r="Z139" s="2"/>
    </row>
    <row r="140" spans="1:26" ht="15.75" customHeight="1" x14ac:dyDescent="0.2">
      <c r="A140" s="12">
        <v>0.5</v>
      </c>
      <c r="B140" s="10" t="s">
        <v>23</v>
      </c>
      <c r="C140" s="11" t="s">
        <v>74</v>
      </c>
      <c r="D140" s="13">
        <v>55000</v>
      </c>
      <c r="E140" s="13">
        <f t="shared" ref="E140:E143" si="26">A140*D140</f>
        <v>27500</v>
      </c>
      <c r="F140" s="13"/>
      <c r="G140" s="2"/>
      <c r="H140" s="7"/>
      <c r="I140" s="13">
        <f>10600*4</f>
        <v>42400</v>
      </c>
      <c r="J140" s="13">
        <f t="shared" ref="J140:J143" si="27">I140*A140</f>
        <v>21200</v>
      </c>
      <c r="K140" s="13">
        <f t="shared" ref="K140:K143" si="28">E140-J140</f>
        <v>6300</v>
      </c>
      <c r="L140" s="14">
        <f t="shared" ref="L140:L143" si="29">K140/E140</f>
        <v>0.2290909090909091</v>
      </c>
      <c r="M140" s="4"/>
      <c r="N140" s="2"/>
      <c r="O140" s="4"/>
      <c r="P140" s="2"/>
      <c r="Q140" s="2"/>
      <c r="R140" s="4"/>
      <c r="S140" s="2"/>
      <c r="T140" s="2"/>
      <c r="U140" s="1"/>
      <c r="V140" s="2"/>
      <c r="W140" s="2"/>
      <c r="X140" s="2"/>
      <c r="Y140" s="2"/>
      <c r="Z140" s="2"/>
    </row>
    <row r="141" spans="1:26" ht="15.75" customHeight="1" x14ac:dyDescent="0.2">
      <c r="A141" s="12">
        <v>1.5</v>
      </c>
      <c r="B141" s="10" t="s">
        <v>23</v>
      </c>
      <c r="C141" s="11" t="s">
        <v>62</v>
      </c>
      <c r="D141" s="13">
        <v>42000</v>
      </c>
      <c r="E141" s="13">
        <f t="shared" si="26"/>
        <v>63000</v>
      </c>
      <c r="F141" s="13"/>
      <c r="G141" s="2"/>
      <c r="H141" s="7"/>
      <c r="I141" s="13">
        <v>33000</v>
      </c>
      <c r="J141" s="13">
        <f t="shared" si="27"/>
        <v>49500</v>
      </c>
      <c r="K141" s="13">
        <f t="shared" si="28"/>
        <v>13500</v>
      </c>
      <c r="L141" s="14">
        <f t="shared" si="29"/>
        <v>0.21428571428571427</v>
      </c>
      <c r="M141" s="4"/>
      <c r="N141" s="2"/>
      <c r="O141" s="4"/>
      <c r="P141" s="2"/>
      <c r="Q141" s="2"/>
      <c r="R141" s="4"/>
      <c r="S141" s="2"/>
      <c r="T141" s="2"/>
      <c r="U141" s="1"/>
      <c r="V141" s="2"/>
      <c r="W141" s="2"/>
      <c r="X141" s="2"/>
      <c r="Y141" s="2"/>
      <c r="Z141" s="2"/>
    </row>
    <row r="142" spans="1:26" ht="15.75" customHeight="1" x14ac:dyDescent="0.2">
      <c r="A142" s="12">
        <v>4</v>
      </c>
      <c r="B142" s="10" t="s">
        <v>21</v>
      </c>
      <c r="C142" s="11" t="s">
        <v>130</v>
      </c>
      <c r="D142" s="13">
        <v>1300</v>
      </c>
      <c r="E142" s="13">
        <f t="shared" si="26"/>
        <v>5200</v>
      </c>
      <c r="F142" s="13"/>
      <c r="G142" s="2"/>
      <c r="H142" s="7" t="s">
        <v>37</v>
      </c>
      <c r="I142" s="13">
        <v>1000</v>
      </c>
      <c r="J142" s="13">
        <f t="shared" si="27"/>
        <v>4000</v>
      </c>
      <c r="K142" s="13">
        <f t="shared" si="28"/>
        <v>1200</v>
      </c>
      <c r="L142" s="14">
        <f t="shared" si="29"/>
        <v>0.23076923076923078</v>
      </c>
      <c r="M142" s="4"/>
      <c r="N142" s="2"/>
      <c r="O142" s="4"/>
      <c r="P142" s="2"/>
      <c r="Q142" s="2"/>
      <c r="R142" s="4"/>
      <c r="S142" s="2"/>
      <c r="T142" s="2"/>
      <c r="U142" s="1"/>
      <c r="V142" s="2"/>
      <c r="W142" s="2"/>
      <c r="X142" s="2"/>
      <c r="Y142" s="2"/>
      <c r="Z142" s="2"/>
    </row>
    <row r="143" spans="1:26" ht="15.75" customHeight="1" x14ac:dyDescent="0.2">
      <c r="A143" s="12">
        <v>2</v>
      </c>
      <c r="B143" s="10" t="s">
        <v>4</v>
      </c>
      <c r="C143" s="11" t="s">
        <v>14</v>
      </c>
      <c r="D143" s="13">
        <v>3500</v>
      </c>
      <c r="E143" s="13">
        <f t="shared" si="26"/>
        <v>7000</v>
      </c>
      <c r="F143" s="13"/>
      <c r="G143" s="2"/>
      <c r="H143" s="7"/>
      <c r="I143" s="13">
        <f>22000/8</f>
        <v>2750</v>
      </c>
      <c r="J143" s="13">
        <f t="shared" si="27"/>
        <v>5500</v>
      </c>
      <c r="K143" s="13">
        <f t="shared" si="28"/>
        <v>1500</v>
      </c>
      <c r="L143" s="14">
        <f t="shared" si="29"/>
        <v>0.21428571428571427</v>
      </c>
      <c r="M143" s="4"/>
      <c r="N143" s="2"/>
      <c r="O143" s="4"/>
      <c r="P143" s="2"/>
      <c r="Q143" s="2"/>
      <c r="R143" s="4"/>
      <c r="S143" s="2"/>
      <c r="T143" s="2"/>
      <c r="U143" s="1"/>
      <c r="V143" s="2"/>
      <c r="W143" s="2"/>
      <c r="X143" s="2"/>
      <c r="Y143" s="2"/>
      <c r="Z143" s="2"/>
    </row>
    <row r="144" spans="1:26" ht="15.75" customHeight="1" x14ac:dyDescent="0.2">
      <c r="A144" s="12"/>
      <c r="B144" s="10"/>
      <c r="C144" s="11"/>
      <c r="D144" s="13"/>
      <c r="E144" s="13"/>
      <c r="F144" s="13"/>
      <c r="H144" s="2"/>
      <c r="I144" s="2"/>
      <c r="J144" s="13"/>
      <c r="K144" s="13"/>
      <c r="L144" s="14"/>
      <c r="M144" s="4"/>
      <c r="N144" s="2"/>
      <c r="O144" s="4"/>
      <c r="P144" s="2"/>
      <c r="Q144" s="2"/>
      <c r="R144" s="4"/>
      <c r="S144" s="2"/>
      <c r="T144" s="2"/>
      <c r="U144" s="1"/>
      <c r="V144" s="2"/>
      <c r="W144" s="2"/>
      <c r="X144" s="2"/>
      <c r="Y144" s="2"/>
      <c r="Z144" s="2"/>
    </row>
    <row r="145" spans="1:26" ht="15.75" customHeight="1" x14ac:dyDescent="0.2">
      <c r="A145" s="12"/>
      <c r="B145" s="10"/>
      <c r="C145" s="11"/>
      <c r="D145" s="13"/>
      <c r="E145" s="13">
        <f>SUM(E140:E143)</f>
        <v>102700</v>
      </c>
      <c r="F145" s="13"/>
      <c r="G145" s="2"/>
      <c r="H145" s="2"/>
      <c r="I145" s="2"/>
      <c r="J145" s="13"/>
      <c r="K145" s="13">
        <f>SUM(K140:K143)</f>
        <v>22500</v>
      </c>
      <c r="L145" s="14">
        <f>K145/E145</f>
        <v>0.21908471275559882</v>
      </c>
      <c r="M145" s="4"/>
      <c r="N145" s="2"/>
      <c r="O145" s="4"/>
      <c r="P145" s="2"/>
      <c r="Q145" s="2"/>
      <c r="R145" s="4"/>
      <c r="S145" s="2"/>
      <c r="T145" s="2"/>
      <c r="U145" s="1"/>
      <c r="V145" s="2"/>
      <c r="W145" s="2"/>
      <c r="X145" s="2"/>
      <c r="Y145" s="2"/>
      <c r="Z145" s="2"/>
    </row>
    <row r="146" spans="1:26" ht="15.75" customHeight="1" x14ac:dyDescent="0.2">
      <c r="A146" s="12"/>
      <c r="B146" s="10"/>
      <c r="C146" s="11"/>
      <c r="D146" s="13"/>
      <c r="E146" s="13"/>
      <c r="F146" s="13"/>
      <c r="G146" s="2"/>
      <c r="H146" s="2"/>
      <c r="I146" s="13"/>
      <c r="J146" s="13"/>
      <c r="K146" s="13"/>
      <c r="L146" s="14"/>
      <c r="M146" s="4"/>
      <c r="N146" s="2"/>
      <c r="O146" s="4"/>
      <c r="P146" s="2"/>
      <c r="Q146" s="2"/>
      <c r="R146" s="4"/>
      <c r="S146" s="2"/>
      <c r="T146" s="2"/>
      <c r="U146" s="1"/>
      <c r="V146" s="2"/>
      <c r="W146" s="2"/>
      <c r="X146" s="2"/>
      <c r="Y146" s="2"/>
      <c r="Z146" s="2"/>
    </row>
    <row r="147" spans="1:26" ht="15.75" customHeight="1" x14ac:dyDescent="0.2">
      <c r="A147" s="12"/>
      <c r="B147" s="10"/>
      <c r="C147" s="11"/>
      <c r="D147" s="13"/>
      <c r="E147" s="13"/>
      <c r="F147" s="13"/>
      <c r="G147" s="2"/>
      <c r="H147" s="2"/>
      <c r="I147" s="13"/>
      <c r="J147" s="13"/>
      <c r="K147" s="13"/>
      <c r="L147" s="14"/>
      <c r="M147" s="4"/>
      <c r="N147" s="2"/>
      <c r="O147" s="4"/>
      <c r="P147" s="2"/>
      <c r="Q147" s="2"/>
      <c r="R147" s="4"/>
      <c r="S147" s="2"/>
      <c r="T147" s="2"/>
      <c r="U147" s="1"/>
      <c r="V147" s="2"/>
      <c r="W147" s="2"/>
      <c r="X147" s="2"/>
      <c r="Y147" s="2"/>
      <c r="Z147" s="2"/>
    </row>
    <row r="148" spans="1:26" ht="25.5" customHeight="1" x14ac:dyDescent="0.25">
      <c r="A148" s="26" t="s">
        <v>101</v>
      </c>
      <c r="B148" s="27">
        <f>E145+E135+E107+F81+F61+F22</f>
        <v>1418584.8</v>
      </c>
      <c r="C148" s="4"/>
      <c r="D148" s="4"/>
      <c r="E148" s="4"/>
      <c r="F148" s="4"/>
      <c r="G148" s="4"/>
      <c r="H148" s="4"/>
      <c r="I148" s="4"/>
      <c r="J148" s="4"/>
      <c r="K148" s="4"/>
      <c r="L148" s="28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8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7" customHeight="1" x14ac:dyDescent="0.25">
      <c r="A150" s="26" t="s">
        <v>102</v>
      </c>
      <c r="B150" s="27">
        <f>K145+K135+K107+K81+K61+K22</f>
        <v>428191.26209999149</v>
      </c>
      <c r="C150" s="4"/>
      <c r="D150" s="4"/>
      <c r="E150" s="4"/>
      <c r="F150" s="4"/>
      <c r="G150" s="4"/>
      <c r="H150" s="4"/>
      <c r="I150" s="4"/>
      <c r="J150" s="4"/>
      <c r="K150" s="4"/>
      <c r="L150" s="28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8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6.25" customHeight="1" x14ac:dyDescent="0.25">
      <c r="A153" s="26" t="s">
        <v>103</v>
      </c>
      <c r="B153" s="29">
        <f>B150/B148</f>
        <v>0.30184396597227847</v>
      </c>
      <c r="C153" s="4"/>
      <c r="D153" s="4"/>
      <c r="E153" s="4"/>
      <c r="F153" s="4"/>
      <c r="G153" s="4"/>
      <c r="H153" s="4"/>
      <c r="I153" s="4"/>
      <c r="J153" s="4"/>
      <c r="K153" s="4"/>
      <c r="L153" s="28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8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90" t="s">
        <v>104</v>
      </c>
      <c r="B155" s="89"/>
      <c r="C155" s="4"/>
      <c r="D155" s="4"/>
      <c r="E155" s="4"/>
      <c r="F155" s="4"/>
      <c r="G155" s="4"/>
      <c r="H155" s="4"/>
      <c r="I155" s="4"/>
      <c r="J155" s="4"/>
      <c r="K155" s="4"/>
      <c r="L155" s="28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/>
      <c r="B156" s="10"/>
      <c r="C156" s="11"/>
      <c r="D156" s="13"/>
      <c r="E156" s="13"/>
      <c r="F156" s="13"/>
      <c r="G156" s="2"/>
      <c r="H156" s="2"/>
      <c r="I156" s="13"/>
      <c r="J156" s="13"/>
      <c r="K156" s="13"/>
      <c r="L156" s="14"/>
      <c r="M156" s="4"/>
      <c r="N156" s="2"/>
      <c r="O156" s="4"/>
      <c r="P156" s="2"/>
      <c r="Q156" s="2"/>
      <c r="R156" s="4"/>
      <c r="S156" s="2"/>
      <c r="T156" s="2"/>
      <c r="U156" s="1"/>
      <c r="V156" s="2"/>
      <c r="W156" s="2"/>
      <c r="X156" s="2"/>
      <c r="Y156" s="2"/>
      <c r="Z156" s="2"/>
    </row>
    <row r="157" spans="1:26" ht="15.75" customHeight="1" x14ac:dyDescent="0.2">
      <c r="A157" s="12"/>
      <c r="B157" s="10"/>
      <c r="C157" s="11"/>
      <c r="D157" s="13"/>
      <c r="E157" s="13"/>
      <c r="F157" s="13"/>
      <c r="G157" s="2"/>
      <c r="H157" s="2"/>
      <c r="I157" s="13"/>
      <c r="J157" s="13"/>
      <c r="K157" s="13"/>
      <c r="L157" s="14"/>
      <c r="M157" s="4"/>
      <c r="N157" s="2"/>
      <c r="O157" s="4"/>
      <c r="P157" s="2"/>
      <c r="Q157" s="2"/>
      <c r="R157" s="4"/>
      <c r="S157" s="2"/>
      <c r="T157" s="2"/>
      <c r="U157" s="1"/>
      <c r="V157" s="2"/>
      <c r="W157" s="2"/>
      <c r="X157" s="2"/>
      <c r="Y157" s="2"/>
      <c r="Z157" s="2"/>
    </row>
    <row r="158" spans="1:26" ht="15.75" customHeight="1" x14ac:dyDescent="0.2">
      <c r="A158" s="12"/>
      <c r="B158" s="10"/>
      <c r="C158" s="11"/>
      <c r="D158" s="13"/>
      <c r="E158" s="13"/>
      <c r="F158" s="13"/>
      <c r="G158" s="2"/>
      <c r="H158" s="2"/>
      <c r="I158" s="13"/>
      <c r="J158" s="13"/>
      <c r="K158" s="13"/>
      <c r="L158" s="14"/>
      <c r="M158" s="4"/>
      <c r="N158" s="2"/>
      <c r="O158" s="4"/>
      <c r="P158" s="2"/>
      <c r="Q158" s="2"/>
      <c r="R158" s="4"/>
      <c r="S158" s="2"/>
      <c r="T158" s="2"/>
      <c r="U158" s="1"/>
      <c r="V158" s="2"/>
      <c r="W158" s="2"/>
      <c r="X158" s="2"/>
      <c r="Y158" s="2"/>
      <c r="Z158" s="2"/>
    </row>
    <row r="159" spans="1:26" ht="15.75" customHeight="1" x14ac:dyDescent="0.2">
      <c r="A159" s="12"/>
      <c r="B159" s="10"/>
      <c r="C159" s="11"/>
      <c r="D159" s="13"/>
      <c r="E159" s="13"/>
      <c r="F159" s="13"/>
      <c r="G159" s="2"/>
      <c r="H159" s="2"/>
      <c r="I159" s="13"/>
      <c r="J159" s="13"/>
      <c r="K159" s="13"/>
      <c r="L159" s="14"/>
      <c r="M159" s="4"/>
      <c r="N159" s="2"/>
      <c r="O159" s="4"/>
      <c r="P159" s="2"/>
      <c r="Q159" s="2"/>
      <c r="R159" s="4"/>
      <c r="S159" s="2"/>
      <c r="T159" s="2"/>
      <c r="U159" s="1"/>
      <c r="V159" s="2"/>
      <c r="W159" s="2"/>
      <c r="X159" s="2"/>
      <c r="Y159" s="2"/>
      <c r="Z159" s="2"/>
    </row>
    <row r="160" spans="1:26" ht="15.75" customHeight="1" x14ac:dyDescent="0.2">
      <c r="A160" s="12"/>
      <c r="B160" s="10"/>
      <c r="C160" s="11"/>
      <c r="D160" s="13"/>
      <c r="E160" s="13"/>
      <c r="F160" s="13"/>
      <c r="G160" s="2"/>
      <c r="H160" s="2"/>
      <c r="I160" s="13"/>
      <c r="J160" s="13"/>
      <c r="K160" s="13"/>
      <c r="L160" s="14"/>
      <c r="M160" s="4"/>
      <c r="N160" s="2"/>
      <c r="O160" s="4"/>
      <c r="P160" s="2"/>
      <c r="Q160" s="2"/>
      <c r="R160" s="4"/>
      <c r="S160" s="2"/>
      <c r="T160" s="2"/>
      <c r="U160" s="1"/>
      <c r="V160" s="2"/>
      <c r="W160" s="2"/>
      <c r="X160" s="2"/>
      <c r="Y160" s="2"/>
      <c r="Z160" s="2"/>
    </row>
    <row r="161" spans="1:26" ht="15.75" customHeight="1" x14ac:dyDescent="0.2">
      <c r="A161" s="12"/>
      <c r="B161" s="10"/>
      <c r="C161" s="11"/>
      <c r="D161" s="13"/>
      <c r="E161" s="13"/>
      <c r="F161" s="13"/>
      <c r="G161" s="2"/>
      <c r="H161" s="2"/>
      <c r="I161" s="13"/>
      <c r="J161" s="13"/>
      <c r="K161" s="13"/>
      <c r="L161" s="14"/>
      <c r="M161" s="4"/>
      <c r="N161" s="2"/>
      <c r="O161" s="4"/>
      <c r="P161" s="2"/>
      <c r="Q161" s="2"/>
      <c r="R161" s="4"/>
      <c r="S161" s="2"/>
      <c r="T161" s="2"/>
      <c r="U161" s="1"/>
      <c r="V161" s="2"/>
      <c r="W161" s="2"/>
      <c r="X161" s="2"/>
      <c r="Y161" s="2"/>
      <c r="Z161" s="2"/>
    </row>
    <row r="162" spans="1:26" ht="15.75" customHeight="1" x14ac:dyDescent="0.2">
      <c r="A162" s="12"/>
      <c r="B162" s="10"/>
      <c r="C162" s="11"/>
      <c r="D162" s="13"/>
      <c r="E162" s="13"/>
      <c r="F162" s="13"/>
      <c r="G162" s="2"/>
      <c r="H162" s="2"/>
      <c r="I162" s="13"/>
      <c r="J162" s="13"/>
      <c r="K162" s="13"/>
      <c r="L162" s="14"/>
      <c r="M162" s="4"/>
      <c r="N162" s="2"/>
      <c r="O162" s="4"/>
      <c r="P162" s="2"/>
      <c r="Q162" s="2"/>
      <c r="R162" s="4"/>
      <c r="S162" s="2"/>
      <c r="T162" s="2"/>
      <c r="U162" s="1"/>
      <c r="V162" s="2"/>
      <c r="W162" s="2"/>
      <c r="X162" s="2"/>
      <c r="Y162" s="2"/>
      <c r="Z162" s="2"/>
    </row>
    <row r="163" spans="1:26" ht="15.75" customHeight="1" x14ac:dyDescent="0.2">
      <c r="A163" s="12"/>
      <c r="B163" s="10"/>
      <c r="C163" s="11"/>
      <c r="D163" s="13"/>
      <c r="E163" s="13"/>
      <c r="F163" s="13"/>
      <c r="G163" s="2"/>
      <c r="H163" s="2"/>
      <c r="I163" s="13"/>
      <c r="J163" s="13"/>
      <c r="K163" s="13"/>
      <c r="L163" s="14"/>
      <c r="M163" s="4"/>
      <c r="N163" s="2"/>
      <c r="O163" s="4"/>
      <c r="P163" s="2"/>
      <c r="Q163" s="2"/>
      <c r="R163" s="4"/>
      <c r="S163" s="2"/>
      <c r="T163" s="2"/>
      <c r="U163" s="1"/>
      <c r="V163" s="2"/>
      <c r="W163" s="2"/>
      <c r="X163" s="2"/>
      <c r="Y163" s="2"/>
      <c r="Z163" s="2"/>
    </row>
    <row r="164" spans="1:26" ht="15.75" customHeight="1" x14ac:dyDescent="0.2">
      <c r="A164" s="12"/>
      <c r="B164" s="10"/>
      <c r="C164" s="11"/>
      <c r="D164" s="13"/>
      <c r="E164" s="13"/>
      <c r="F164" s="13"/>
      <c r="G164" s="2"/>
      <c r="H164" s="2"/>
      <c r="I164" s="13"/>
      <c r="J164" s="13"/>
      <c r="K164" s="13"/>
      <c r="L164" s="14"/>
      <c r="M164" s="4"/>
      <c r="N164" s="2"/>
      <c r="O164" s="4"/>
      <c r="P164" s="2"/>
      <c r="Q164" s="2"/>
      <c r="R164" s="4"/>
      <c r="S164" s="2"/>
      <c r="T164" s="2"/>
      <c r="U164" s="1"/>
      <c r="V164" s="2"/>
      <c r="W164" s="2"/>
      <c r="X164" s="2"/>
      <c r="Y164" s="2"/>
      <c r="Z164" s="2"/>
    </row>
    <row r="165" spans="1:26" ht="15.75" customHeight="1" x14ac:dyDescent="0.2">
      <c r="A165" s="12"/>
      <c r="B165" s="10"/>
      <c r="C165" s="11"/>
      <c r="D165" s="13"/>
      <c r="E165" s="13"/>
      <c r="F165" s="13"/>
      <c r="G165" s="2"/>
      <c r="H165" s="2"/>
      <c r="I165" s="13"/>
      <c r="J165" s="13"/>
      <c r="K165" s="13"/>
      <c r="L165" s="14"/>
      <c r="M165" s="4"/>
      <c r="N165" s="2"/>
      <c r="O165" s="4"/>
      <c r="P165" s="2"/>
      <c r="Q165" s="2"/>
      <c r="R165" s="4"/>
      <c r="S165" s="2"/>
      <c r="T165" s="2"/>
      <c r="U165" s="1"/>
      <c r="V165" s="2"/>
      <c r="W165" s="2"/>
      <c r="X165" s="2"/>
      <c r="Y165" s="2"/>
      <c r="Z165" s="2"/>
    </row>
    <row r="166" spans="1:26" ht="15.75" customHeight="1" x14ac:dyDescent="0.2">
      <c r="A166" s="12"/>
      <c r="B166" s="10"/>
      <c r="C166" s="11"/>
      <c r="D166" s="13"/>
      <c r="E166" s="13"/>
      <c r="F166" s="13"/>
      <c r="G166" s="2"/>
      <c r="H166" s="2"/>
      <c r="I166" s="13"/>
      <c r="J166" s="13"/>
      <c r="K166" s="13"/>
      <c r="L166" s="14"/>
      <c r="M166" s="4"/>
      <c r="N166" s="2"/>
      <c r="O166" s="4"/>
      <c r="P166" s="2"/>
      <c r="Q166" s="2"/>
      <c r="R166" s="4"/>
      <c r="S166" s="2"/>
      <c r="T166" s="2"/>
      <c r="U166" s="1"/>
      <c r="V166" s="2"/>
      <c r="W166" s="2"/>
      <c r="X166" s="2"/>
      <c r="Y166" s="2"/>
      <c r="Z166" s="2"/>
    </row>
    <row r="167" spans="1:26" ht="15.75" customHeight="1" x14ac:dyDescent="0.2">
      <c r="A167" s="12"/>
      <c r="B167" s="10"/>
      <c r="C167" s="11"/>
      <c r="D167" s="13"/>
      <c r="E167" s="13"/>
      <c r="F167" s="13"/>
      <c r="G167" s="2"/>
      <c r="H167" s="2"/>
      <c r="I167" s="13"/>
      <c r="J167" s="13"/>
      <c r="K167" s="13"/>
      <c r="L167" s="14"/>
      <c r="M167" s="4"/>
      <c r="N167" s="2"/>
      <c r="O167" s="4"/>
      <c r="P167" s="2"/>
      <c r="Q167" s="2"/>
      <c r="R167" s="4"/>
      <c r="S167" s="2"/>
      <c r="T167" s="2"/>
      <c r="U167" s="1"/>
      <c r="V167" s="2"/>
      <c r="W167" s="2"/>
      <c r="X167" s="2"/>
      <c r="Y167" s="2"/>
      <c r="Z167" s="2"/>
    </row>
    <row r="168" spans="1:26" ht="15.75" customHeight="1" x14ac:dyDescent="0.2">
      <c r="A168" s="12"/>
      <c r="B168" s="10"/>
      <c r="C168" s="11"/>
      <c r="D168" s="13"/>
      <c r="E168" s="13"/>
      <c r="F168" s="13"/>
      <c r="G168" s="2"/>
      <c r="H168" s="2"/>
      <c r="I168" s="13"/>
      <c r="J168" s="13"/>
      <c r="K168" s="13"/>
      <c r="L168" s="14"/>
      <c r="M168" s="4"/>
      <c r="N168" s="2"/>
      <c r="O168" s="4"/>
      <c r="P168" s="2"/>
      <c r="Q168" s="2"/>
      <c r="R168" s="4"/>
      <c r="S168" s="2"/>
      <c r="T168" s="2"/>
      <c r="U168" s="1"/>
      <c r="V168" s="2"/>
      <c r="W168" s="2"/>
      <c r="X168" s="2"/>
      <c r="Y168" s="2"/>
      <c r="Z168" s="2"/>
    </row>
    <row r="169" spans="1:26" ht="15.75" customHeight="1" x14ac:dyDescent="0.2">
      <c r="A169" s="12"/>
      <c r="B169" s="10"/>
      <c r="C169" s="11"/>
      <c r="D169" s="13"/>
      <c r="E169" s="13"/>
      <c r="F169" s="13"/>
      <c r="G169" s="2"/>
      <c r="H169" s="2"/>
      <c r="I169" s="13"/>
      <c r="J169" s="13"/>
      <c r="K169" s="13"/>
      <c r="L169" s="14"/>
      <c r="M169" s="4"/>
      <c r="N169" s="2"/>
      <c r="O169" s="4"/>
      <c r="P169" s="2"/>
      <c r="Q169" s="2"/>
      <c r="R169" s="4"/>
      <c r="S169" s="2"/>
      <c r="T169" s="2"/>
      <c r="U169" s="1"/>
      <c r="V169" s="2"/>
      <c r="W169" s="2"/>
      <c r="X169" s="2"/>
      <c r="Y169" s="2"/>
      <c r="Z169" s="2"/>
    </row>
    <row r="170" spans="1:26" ht="15.75" customHeight="1" x14ac:dyDescent="0.2">
      <c r="A170" s="12"/>
      <c r="B170" s="10"/>
      <c r="C170" s="11"/>
      <c r="D170" s="13"/>
      <c r="E170" s="13"/>
      <c r="F170" s="13"/>
      <c r="G170" s="2"/>
      <c r="H170" s="2"/>
      <c r="I170" s="13"/>
      <c r="J170" s="13"/>
      <c r="K170" s="13"/>
      <c r="L170" s="14"/>
      <c r="M170" s="4"/>
      <c r="N170" s="2"/>
      <c r="O170" s="4"/>
      <c r="P170" s="2"/>
      <c r="Q170" s="2"/>
      <c r="R170" s="4"/>
      <c r="S170" s="2"/>
      <c r="T170" s="2"/>
      <c r="U170" s="1"/>
      <c r="V170" s="2"/>
      <c r="W170" s="2"/>
      <c r="X170" s="2"/>
      <c r="Y170" s="2"/>
      <c r="Z170" s="2"/>
    </row>
    <row r="171" spans="1:26" ht="15.75" customHeight="1" x14ac:dyDescent="0.2">
      <c r="A171" s="12"/>
      <c r="B171" s="10"/>
      <c r="C171" s="11"/>
      <c r="D171" s="13"/>
      <c r="E171" s="13"/>
      <c r="F171" s="13"/>
      <c r="G171" s="2"/>
      <c r="H171" s="2"/>
      <c r="I171" s="13"/>
      <c r="J171" s="13"/>
      <c r="K171" s="13"/>
      <c r="L171" s="14"/>
      <c r="M171" s="4"/>
      <c r="N171" s="2"/>
      <c r="O171" s="4"/>
      <c r="P171" s="2"/>
      <c r="Q171" s="2"/>
      <c r="R171" s="4"/>
      <c r="S171" s="2"/>
      <c r="T171" s="2"/>
      <c r="U171" s="1"/>
      <c r="V171" s="2"/>
      <c r="W171" s="2"/>
      <c r="X171" s="2"/>
      <c r="Y171" s="2"/>
      <c r="Z171" s="2"/>
    </row>
    <row r="172" spans="1:26" ht="15.75" customHeight="1" x14ac:dyDescent="0.2">
      <c r="A172" s="12"/>
      <c r="B172" s="10"/>
      <c r="C172" s="11"/>
      <c r="D172" s="13"/>
      <c r="E172" s="13"/>
      <c r="F172" s="13"/>
      <c r="G172" s="2"/>
      <c r="H172" s="2"/>
      <c r="I172" s="13"/>
      <c r="J172" s="13"/>
      <c r="K172" s="13"/>
      <c r="L172" s="14"/>
      <c r="M172" s="4"/>
      <c r="N172" s="2"/>
      <c r="O172" s="4"/>
      <c r="P172" s="2"/>
      <c r="Q172" s="2"/>
      <c r="R172" s="4"/>
      <c r="S172" s="2"/>
      <c r="T172" s="2"/>
      <c r="U172" s="1"/>
      <c r="V172" s="2"/>
      <c r="W172" s="2"/>
      <c r="X172" s="2"/>
      <c r="Y172" s="2"/>
      <c r="Z172" s="2"/>
    </row>
    <row r="173" spans="1:26" ht="15.75" customHeight="1" x14ac:dyDescent="0.2">
      <c r="A173" s="12"/>
      <c r="B173" s="10"/>
      <c r="C173" s="11"/>
      <c r="D173" s="13"/>
      <c r="E173" s="13"/>
      <c r="F173" s="13"/>
      <c r="G173" s="2"/>
      <c r="H173" s="2"/>
      <c r="I173" s="13"/>
      <c r="J173" s="13"/>
      <c r="K173" s="13"/>
      <c r="L173" s="14"/>
      <c r="M173" s="4"/>
      <c r="N173" s="2"/>
      <c r="O173" s="4"/>
      <c r="P173" s="2"/>
      <c r="Q173" s="2"/>
      <c r="R173" s="4"/>
      <c r="S173" s="2"/>
      <c r="T173" s="2"/>
      <c r="U173" s="1"/>
      <c r="V173" s="2"/>
      <c r="W173" s="2"/>
      <c r="X173" s="2"/>
      <c r="Y173" s="2"/>
      <c r="Z173" s="2"/>
    </row>
    <row r="174" spans="1:26" ht="15.75" customHeight="1" x14ac:dyDescent="0.2">
      <c r="A174" s="12"/>
      <c r="B174" s="10"/>
      <c r="C174" s="11"/>
      <c r="D174" s="13"/>
      <c r="E174" s="13"/>
      <c r="F174" s="13"/>
      <c r="G174" s="2"/>
      <c r="H174" s="2"/>
      <c r="I174" s="13"/>
      <c r="J174" s="13"/>
      <c r="K174" s="13"/>
      <c r="L174" s="14"/>
      <c r="M174" s="4"/>
      <c r="N174" s="2"/>
      <c r="O174" s="4"/>
      <c r="P174" s="2"/>
      <c r="Q174" s="2"/>
      <c r="R174" s="4"/>
      <c r="S174" s="2"/>
      <c r="T174" s="2"/>
      <c r="U174" s="1"/>
      <c r="V174" s="2"/>
      <c r="W174" s="2"/>
      <c r="X174" s="2"/>
      <c r="Y174" s="2"/>
      <c r="Z174" s="2"/>
    </row>
    <row r="175" spans="1:26" ht="15.75" customHeight="1" x14ac:dyDescent="0.2">
      <c r="A175" s="12"/>
      <c r="B175" s="10"/>
      <c r="C175" s="11"/>
      <c r="D175" s="13"/>
      <c r="E175" s="13"/>
      <c r="F175" s="13"/>
      <c r="G175" s="2"/>
      <c r="H175" s="2"/>
      <c r="I175" s="13"/>
      <c r="J175" s="13"/>
      <c r="K175" s="13"/>
      <c r="L175" s="14"/>
      <c r="M175" s="4"/>
      <c r="N175" s="2"/>
      <c r="O175" s="4"/>
      <c r="P175" s="2"/>
      <c r="Q175" s="2"/>
      <c r="R175" s="4"/>
      <c r="S175" s="2"/>
      <c r="T175" s="2"/>
      <c r="U175" s="1"/>
      <c r="V175" s="2"/>
      <c r="W175" s="2"/>
      <c r="X175" s="2"/>
      <c r="Y175" s="2"/>
      <c r="Z175" s="2"/>
    </row>
    <row r="176" spans="1:26" ht="15.75" customHeight="1" x14ac:dyDescent="0.2">
      <c r="A176" s="12"/>
      <c r="B176" s="10"/>
      <c r="C176" s="11"/>
      <c r="D176" s="13"/>
      <c r="E176" s="13"/>
      <c r="F176" s="13"/>
      <c r="G176" s="2"/>
      <c r="H176" s="2"/>
      <c r="I176" s="13"/>
      <c r="J176" s="13"/>
      <c r="K176" s="13"/>
      <c r="L176" s="14"/>
      <c r="M176" s="4"/>
      <c r="N176" s="2"/>
      <c r="O176" s="4"/>
      <c r="P176" s="2"/>
      <c r="Q176" s="2"/>
      <c r="R176" s="4"/>
      <c r="S176" s="2"/>
      <c r="T176" s="2"/>
      <c r="U176" s="1"/>
      <c r="V176" s="2"/>
      <c r="W176" s="2"/>
      <c r="X176" s="2"/>
      <c r="Y176" s="2"/>
      <c r="Z176" s="2"/>
    </row>
    <row r="177" spans="1:26" ht="15.75" customHeight="1" x14ac:dyDescent="0.2">
      <c r="A177" s="12"/>
      <c r="B177" s="10"/>
      <c r="C177" s="11"/>
      <c r="D177" s="13"/>
      <c r="E177" s="13"/>
      <c r="F177" s="13"/>
      <c r="G177" s="2"/>
      <c r="H177" s="2"/>
      <c r="I177" s="13"/>
      <c r="J177" s="13"/>
      <c r="K177" s="13"/>
      <c r="L177" s="14"/>
      <c r="M177" s="4"/>
      <c r="N177" s="2"/>
      <c r="O177" s="4"/>
      <c r="P177" s="2"/>
      <c r="Q177" s="2"/>
      <c r="R177" s="4"/>
      <c r="S177" s="2"/>
      <c r="T177" s="2"/>
      <c r="U177" s="1"/>
      <c r="V177" s="2"/>
      <c r="W177" s="2"/>
      <c r="X177" s="2"/>
      <c r="Y177" s="2"/>
      <c r="Z177" s="2"/>
    </row>
    <row r="178" spans="1:26" ht="15.75" customHeight="1" x14ac:dyDescent="0.2">
      <c r="A178" s="12"/>
      <c r="B178" s="10"/>
      <c r="C178" s="11"/>
      <c r="D178" s="13"/>
      <c r="E178" s="13"/>
      <c r="F178" s="13"/>
      <c r="G178" s="2"/>
      <c r="H178" s="2"/>
      <c r="I178" s="13"/>
      <c r="J178" s="13"/>
      <c r="K178" s="13"/>
      <c r="L178" s="14"/>
      <c r="M178" s="4"/>
      <c r="N178" s="2"/>
      <c r="O178" s="4"/>
      <c r="P178" s="2"/>
      <c r="Q178" s="2"/>
      <c r="R178" s="4"/>
      <c r="S178" s="2"/>
      <c r="T178" s="2"/>
      <c r="U178" s="1"/>
      <c r="V178" s="2"/>
      <c r="W178" s="2"/>
      <c r="X178" s="2"/>
      <c r="Y178" s="2"/>
      <c r="Z178" s="2"/>
    </row>
    <row r="179" spans="1:26" ht="15.75" customHeight="1" x14ac:dyDescent="0.2">
      <c r="A179" s="12"/>
      <c r="B179" s="10"/>
      <c r="C179" s="11"/>
      <c r="D179" s="13"/>
      <c r="E179" s="13"/>
      <c r="F179" s="13"/>
      <c r="G179" s="2"/>
      <c r="H179" s="2"/>
      <c r="I179" s="13"/>
      <c r="J179" s="13"/>
      <c r="K179" s="13"/>
      <c r="L179" s="14"/>
      <c r="M179" s="4"/>
      <c r="N179" s="2"/>
      <c r="O179" s="4"/>
      <c r="P179" s="2"/>
      <c r="Q179" s="2"/>
      <c r="R179" s="4"/>
      <c r="S179" s="2"/>
      <c r="T179" s="2"/>
      <c r="U179" s="1"/>
      <c r="V179" s="2"/>
      <c r="W179" s="2"/>
      <c r="X179" s="2"/>
      <c r="Y179" s="2"/>
      <c r="Z179" s="2"/>
    </row>
    <row r="180" spans="1:26" ht="15.75" customHeight="1" x14ac:dyDescent="0.2">
      <c r="A180" s="12"/>
      <c r="B180" s="10"/>
      <c r="C180" s="11"/>
      <c r="D180" s="13"/>
      <c r="E180" s="13"/>
      <c r="F180" s="13"/>
      <c r="G180" s="2"/>
      <c r="H180" s="2"/>
      <c r="I180" s="13"/>
      <c r="J180" s="13"/>
      <c r="K180" s="13"/>
      <c r="L180" s="14"/>
      <c r="M180" s="4"/>
      <c r="N180" s="2"/>
      <c r="O180" s="4"/>
      <c r="P180" s="2"/>
      <c r="Q180" s="2"/>
      <c r="R180" s="4"/>
      <c r="S180" s="2"/>
      <c r="T180" s="2"/>
      <c r="U180" s="1"/>
      <c r="V180" s="2"/>
      <c r="W180" s="2"/>
      <c r="X180" s="2"/>
      <c r="Y180" s="2"/>
      <c r="Z180" s="2"/>
    </row>
    <row r="181" spans="1:26" ht="15.75" customHeight="1" x14ac:dyDescent="0.2">
      <c r="A181" s="12"/>
      <c r="B181" s="10"/>
      <c r="C181" s="11"/>
      <c r="D181" s="13"/>
      <c r="E181" s="13"/>
      <c r="F181" s="13"/>
      <c r="G181" s="2"/>
      <c r="H181" s="2"/>
      <c r="I181" s="13"/>
      <c r="J181" s="13"/>
      <c r="K181" s="13"/>
      <c r="L181" s="14"/>
      <c r="M181" s="4"/>
      <c r="N181" s="2"/>
      <c r="O181" s="4"/>
      <c r="P181" s="2"/>
      <c r="Q181" s="2"/>
      <c r="R181" s="4"/>
      <c r="S181" s="2"/>
      <c r="T181" s="2"/>
      <c r="U181" s="1"/>
      <c r="V181" s="2"/>
      <c r="W181" s="2"/>
      <c r="X181" s="2"/>
      <c r="Y181" s="2"/>
      <c r="Z181" s="2"/>
    </row>
    <row r="182" spans="1:26" ht="15.75" customHeight="1" x14ac:dyDescent="0.2">
      <c r="A182" s="12"/>
      <c r="B182" s="10"/>
      <c r="C182" s="11"/>
      <c r="D182" s="13"/>
      <c r="E182" s="13"/>
      <c r="F182" s="13"/>
      <c r="G182" s="2"/>
      <c r="H182" s="2"/>
      <c r="I182" s="13"/>
      <c r="J182" s="13"/>
      <c r="K182" s="13"/>
      <c r="L182" s="14"/>
      <c r="M182" s="4"/>
      <c r="N182" s="2"/>
      <c r="O182" s="4"/>
      <c r="P182" s="2"/>
      <c r="Q182" s="2"/>
      <c r="R182" s="4"/>
      <c r="S182" s="2"/>
      <c r="T182" s="2"/>
      <c r="U182" s="1"/>
      <c r="V182" s="2"/>
      <c r="W182" s="2"/>
      <c r="X182" s="2"/>
      <c r="Y182" s="2"/>
      <c r="Z182" s="2"/>
    </row>
    <row r="183" spans="1:26" ht="15.75" customHeight="1" x14ac:dyDescent="0.2">
      <c r="A183" s="12"/>
      <c r="B183" s="10"/>
      <c r="C183" s="11"/>
      <c r="D183" s="13"/>
      <c r="E183" s="13"/>
      <c r="F183" s="13"/>
      <c r="G183" s="2"/>
      <c r="H183" s="2"/>
      <c r="I183" s="13"/>
      <c r="J183" s="13"/>
      <c r="K183" s="13"/>
      <c r="L183" s="14"/>
      <c r="M183" s="4"/>
      <c r="N183" s="2"/>
      <c r="O183" s="4"/>
      <c r="P183" s="2"/>
      <c r="Q183" s="2"/>
      <c r="R183" s="4"/>
      <c r="S183" s="2"/>
      <c r="T183" s="2"/>
      <c r="U183" s="1"/>
      <c r="V183" s="2"/>
      <c r="W183" s="2"/>
      <c r="X183" s="2"/>
      <c r="Y183" s="2"/>
      <c r="Z183" s="2"/>
    </row>
    <row r="184" spans="1:26" ht="15.75" customHeight="1" x14ac:dyDescent="0.2">
      <c r="A184" s="12"/>
      <c r="B184" s="10"/>
      <c r="C184" s="11"/>
      <c r="D184" s="13"/>
      <c r="E184" s="13"/>
      <c r="F184" s="13"/>
      <c r="G184" s="2"/>
      <c r="H184" s="2"/>
      <c r="I184" s="13"/>
      <c r="J184" s="13"/>
      <c r="K184" s="13"/>
      <c r="L184" s="14"/>
      <c r="M184" s="4"/>
      <c r="N184" s="2"/>
      <c r="O184" s="4"/>
      <c r="P184" s="2"/>
      <c r="Q184" s="2"/>
      <c r="R184" s="4"/>
      <c r="S184" s="2"/>
      <c r="T184" s="2"/>
      <c r="U184" s="1"/>
      <c r="V184" s="2"/>
      <c r="W184" s="2"/>
      <c r="X184" s="2"/>
      <c r="Y184" s="2"/>
      <c r="Z184" s="2"/>
    </row>
    <row r="185" spans="1:26" ht="15.75" customHeight="1" x14ac:dyDescent="0.2">
      <c r="A185" s="12"/>
      <c r="B185" s="10"/>
      <c r="C185" s="11"/>
      <c r="D185" s="13"/>
      <c r="E185" s="13"/>
      <c r="F185" s="13"/>
      <c r="G185" s="2"/>
      <c r="H185" s="2"/>
      <c r="I185" s="13"/>
      <c r="J185" s="13"/>
      <c r="K185" s="13"/>
      <c r="L185" s="14"/>
      <c r="M185" s="4"/>
      <c r="N185" s="2"/>
      <c r="O185" s="4"/>
      <c r="P185" s="2"/>
      <c r="Q185" s="2"/>
      <c r="R185" s="4"/>
      <c r="S185" s="2"/>
      <c r="T185" s="2"/>
      <c r="U185" s="1"/>
      <c r="V185" s="2"/>
      <c r="W185" s="2"/>
      <c r="X185" s="2"/>
      <c r="Y185" s="2"/>
      <c r="Z185" s="2"/>
    </row>
    <row r="186" spans="1:26" ht="15.75" customHeight="1" x14ac:dyDescent="0.2">
      <c r="A186" s="12"/>
      <c r="B186" s="10"/>
      <c r="C186" s="11"/>
      <c r="D186" s="13"/>
      <c r="E186" s="13"/>
      <c r="F186" s="13"/>
      <c r="G186" s="2"/>
      <c r="H186" s="2"/>
      <c r="I186" s="13"/>
      <c r="J186" s="13"/>
      <c r="K186" s="13"/>
      <c r="L186" s="14"/>
      <c r="M186" s="4"/>
      <c r="N186" s="2"/>
      <c r="O186" s="4"/>
      <c r="P186" s="2"/>
      <c r="Q186" s="2"/>
      <c r="R186" s="4"/>
      <c r="S186" s="2"/>
      <c r="T186" s="2"/>
      <c r="U186" s="1"/>
      <c r="V186" s="2"/>
      <c r="W186" s="2"/>
      <c r="X186" s="2"/>
      <c r="Y186" s="2"/>
      <c r="Z186" s="2"/>
    </row>
    <row r="187" spans="1:26" ht="15.75" customHeight="1" x14ac:dyDescent="0.2">
      <c r="A187" s="12"/>
      <c r="B187" s="10"/>
      <c r="C187" s="11"/>
      <c r="D187" s="13"/>
      <c r="E187" s="13"/>
      <c r="F187" s="13"/>
      <c r="G187" s="2"/>
      <c r="H187" s="2"/>
      <c r="I187" s="13"/>
      <c r="J187" s="13"/>
      <c r="K187" s="13"/>
      <c r="L187" s="14"/>
      <c r="M187" s="4"/>
      <c r="N187" s="2"/>
      <c r="O187" s="4"/>
      <c r="P187" s="2"/>
      <c r="Q187" s="2"/>
      <c r="R187" s="4"/>
      <c r="S187" s="2"/>
      <c r="T187" s="2"/>
      <c r="U187" s="1"/>
      <c r="V187" s="2"/>
      <c r="W187" s="2"/>
      <c r="X187" s="2"/>
      <c r="Y187" s="2"/>
      <c r="Z187" s="2"/>
    </row>
    <row r="188" spans="1:26" ht="15.75" customHeight="1" x14ac:dyDescent="0.2">
      <c r="A188" s="12"/>
      <c r="B188" s="10"/>
      <c r="C188" s="11"/>
      <c r="D188" s="13"/>
      <c r="E188" s="13"/>
      <c r="F188" s="13"/>
      <c r="G188" s="2"/>
      <c r="H188" s="2"/>
      <c r="I188" s="13"/>
      <c r="J188" s="13"/>
      <c r="K188" s="13"/>
      <c r="L188" s="14"/>
      <c r="M188" s="4"/>
      <c r="N188" s="2"/>
      <c r="O188" s="4"/>
      <c r="P188" s="2"/>
      <c r="Q188" s="2"/>
      <c r="R188" s="4"/>
      <c r="S188" s="2"/>
      <c r="T188" s="2"/>
      <c r="U188" s="1"/>
      <c r="V188" s="2"/>
      <c r="W188" s="2"/>
      <c r="X188" s="2"/>
      <c r="Y188" s="2"/>
      <c r="Z188" s="2"/>
    </row>
    <row r="189" spans="1:26" ht="15.75" customHeight="1" x14ac:dyDescent="0.2">
      <c r="A189" s="12"/>
      <c r="B189" s="10"/>
      <c r="C189" s="11"/>
      <c r="D189" s="13"/>
      <c r="E189" s="13"/>
      <c r="F189" s="13"/>
      <c r="G189" s="2"/>
      <c r="H189" s="2"/>
      <c r="I189" s="13"/>
      <c r="J189" s="13"/>
      <c r="K189" s="13"/>
      <c r="L189" s="14"/>
      <c r="M189" s="4"/>
      <c r="N189" s="2"/>
      <c r="O189" s="4"/>
      <c r="P189" s="2"/>
      <c r="Q189" s="2"/>
      <c r="R189" s="4"/>
      <c r="S189" s="2"/>
      <c r="T189" s="2"/>
      <c r="U189" s="1"/>
      <c r="V189" s="2"/>
      <c r="W189" s="2"/>
      <c r="X189" s="2"/>
      <c r="Y189" s="2"/>
      <c r="Z189" s="2"/>
    </row>
    <row r="190" spans="1:26" ht="15.75" customHeight="1" x14ac:dyDescent="0.2">
      <c r="A190" s="12"/>
      <c r="B190" s="10"/>
      <c r="C190" s="11"/>
      <c r="D190" s="13"/>
      <c r="E190" s="13"/>
      <c r="F190" s="13"/>
      <c r="G190" s="2"/>
      <c r="H190" s="2"/>
      <c r="I190" s="13"/>
      <c r="J190" s="13"/>
      <c r="K190" s="13"/>
      <c r="L190" s="14"/>
      <c r="M190" s="4"/>
      <c r="N190" s="2"/>
      <c r="O190" s="4"/>
      <c r="P190" s="2"/>
      <c r="Q190" s="2"/>
      <c r="R190" s="4"/>
      <c r="S190" s="2"/>
      <c r="T190" s="2"/>
      <c r="U190" s="1"/>
      <c r="V190" s="2"/>
      <c r="W190" s="2"/>
      <c r="X190" s="2"/>
      <c r="Y190" s="2"/>
      <c r="Z190" s="2"/>
    </row>
    <row r="191" spans="1:26" ht="15.75" customHeight="1" x14ac:dyDescent="0.2">
      <c r="A191" s="12"/>
      <c r="B191" s="10"/>
      <c r="C191" s="11"/>
      <c r="D191" s="13"/>
      <c r="E191" s="13"/>
      <c r="F191" s="13"/>
      <c r="G191" s="2"/>
      <c r="H191" s="2"/>
      <c r="I191" s="13"/>
      <c r="J191" s="13"/>
      <c r="K191" s="13"/>
      <c r="L191" s="14"/>
      <c r="M191" s="4"/>
      <c r="N191" s="2"/>
      <c r="O191" s="4"/>
      <c r="P191" s="2"/>
      <c r="Q191" s="2"/>
      <c r="R191" s="4"/>
      <c r="S191" s="2"/>
      <c r="T191" s="2"/>
      <c r="U191" s="1"/>
      <c r="V191" s="2"/>
      <c r="W191" s="2"/>
      <c r="X191" s="2"/>
      <c r="Y191" s="2"/>
      <c r="Z191" s="2"/>
    </row>
    <row r="192" spans="1:26" ht="15.75" customHeight="1" x14ac:dyDescent="0.2">
      <c r="A192" s="12"/>
      <c r="B192" s="10"/>
      <c r="C192" s="11"/>
      <c r="D192" s="13"/>
      <c r="E192" s="13"/>
      <c r="F192" s="13"/>
      <c r="G192" s="2"/>
      <c r="H192" s="2"/>
      <c r="I192" s="13"/>
      <c r="J192" s="13"/>
      <c r="K192" s="13"/>
      <c r="L192" s="14"/>
      <c r="M192" s="4"/>
      <c r="N192" s="2"/>
      <c r="O192" s="4"/>
      <c r="P192" s="2"/>
      <c r="Q192" s="2"/>
      <c r="R192" s="4"/>
      <c r="S192" s="2"/>
      <c r="T192" s="2"/>
      <c r="U192" s="1"/>
      <c r="V192" s="2"/>
      <c r="W192" s="2"/>
      <c r="X192" s="2"/>
      <c r="Y192" s="2"/>
      <c r="Z192" s="2"/>
    </row>
    <row r="193" spans="1:26" ht="15.75" customHeight="1" x14ac:dyDescent="0.2">
      <c r="A193" s="12"/>
      <c r="B193" s="10"/>
      <c r="C193" s="11"/>
      <c r="D193" s="13"/>
      <c r="E193" s="13"/>
      <c r="F193" s="13"/>
      <c r="G193" s="2"/>
      <c r="H193" s="2"/>
      <c r="I193" s="13"/>
      <c r="J193" s="13"/>
      <c r="K193" s="13"/>
      <c r="L193" s="14"/>
      <c r="M193" s="4"/>
      <c r="N193" s="2"/>
      <c r="O193" s="4"/>
      <c r="P193" s="2"/>
      <c r="Q193" s="2"/>
      <c r="R193" s="4"/>
      <c r="S193" s="2"/>
      <c r="T193" s="2"/>
      <c r="U193" s="1"/>
      <c r="V193" s="2"/>
      <c r="W193" s="2"/>
      <c r="X193" s="2"/>
      <c r="Y193" s="2"/>
      <c r="Z193" s="2"/>
    </row>
    <row r="194" spans="1:26" ht="15.75" customHeight="1" x14ac:dyDescent="0.2">
      <c r="A194" s="12"/>
      <c r="B194" s="10"/>
      <c r="C194" s="11"/>
      <c r="D194" s="13"/>
      <c r="E194" s="13"/>
      <c r="F194" s="13"/>
      <c r="G194" s="2"/>
      <c r="H194" s="2"/>
      <c r="I194" s="13"/>
      <c r="J194" s="13"/>
      <c r="K194" s="13"/>
      <c r="L194" s="14"/>
      <c r="M194" s="4"/>
      <c r="N194" s="2"/>
      <c r="O194" s="4"/>
      <c r="P194" s="2"/>
      <c r="Q194" s="2"/>
      <c r="R194" s="4"/>
      <c r="S194" s="2"/>
      <c r="T194" s="2"/>
      <c r="U194" s="1"/>
      <c r="V194" s="2"/>
      <c r="W194" s="2"/>
      <c r="X194" s="2"/>
      <c r="Y194" s="2"/>
      <c r="Z194" s="2"/>
    </row>
    <row r="195" spans="1:26" ht="15.75" customHeight="1" x14ac:dyDescent="0.2">
      <c r="A195" s="12"/>
      <c r="B195" s="10"/>
      <c r="C195" s="11"/>
      <c r="D195" s="13"/>
      <c r="E195" s="13"/>
      <c r="F195" s="13"/>
      <c r="G195" s="2"/>
      <c r="H195" s="2"/>
      <c r="I195" s="13"/>
      <c r="J195" s="13"/>
      <c r="K195" s="13"/>
      <c r="L195" s="14"/>
      <c r="M195" s="4"/>
      <c r="N195" s="2"/>
      <c r="O195" s="4"/>
      <c r="P195" s="2"/>
      <c r="Q195" s="2"/>
      <c r="R195" s="4"/>
      <c r="S195" s="2"/>
      <c r="T195" s="2"/>
      <c r="U195" s="1"/>
      <c r="V195" s="2"/>
      <c r="W195" s="2"/>
      <c r="X195" s="2"/>
      <c r="Y195" s="2"/>
      <c r="Z195" s="2"/>
    </row>
    <row r="196" spans="1:26" ht="15.75" customHeight="1" x14ac:dyDescent="0.2">
      <c r="A196" s="12"/>
      <c r="B196" s="10"/>
      <c r="C196" s="11"/>
      <c r="D196" s="13"/>
      <c r="E196" s="13"/>
      <c r="F196" s="13"/>
      <c r="G196" s="2"/>
      <c r="H196" s="2"/>
      <c r="I196" s="13"/>
      <c r="J196" s="13"/>
      <c r="K196" s="13"/>
      <c r="L196" s="14"/>
      <c r="M196" s="4"/>
      <c r="N196" s="2"/>
      <c r="O196" s="4"/>
      <c r="P196" s="2"/>
      <c r="Q196" s="2"/>
      <c r="R196" s="4"/>
      <c r="S196" s="2"/>
      <c r="T196" s="2"/>
      <c r="U196" s="1"/>
      <c r="V196" s="2"/>
      <c r="W196" s="2"/>
      <c r="X196" s="2"/>
      <c r="Y196" s="2"/>
      <c r="Z196" s="2"/>
    </row>
    <row r="197" spans="1:26" ht="15.75" customHeight="1" x14ac:dyDescent="0.2">
      <c r="A197" s="12"/>
      <c r="B197" s="10"/>
      <c r="C197" s="11"/>
      <c r="D197" s="13"/>
      <c r="E197" s="13"/>
      <c r="F197" s="13"/>
      <c r="G197" s="2"/>
      <c r="H197" s="2"/>
      <c r="I197" s="13"/>
      <c r="J197" s="13"/>
      <c r="K197" s="13"/>
      <c r="L197" s="14"/>
      <c r="M197" s="4"/>
      <c r="N197" s="2"/>
      <c r="O197" s="4"/>
      <c r="P197" s="2"/>
      <c r="Q197" s="2"/>
      <c r="R197" s="4"/>
      <c r="S197" s="2"/>
      <c r="T197" s="2"/>
      <c r="U197" s="1"/>
      <c r="V197" s="2"/>
      <c r="W197" s="2"/>
      <c r="X197" s="2"/>
      <c r="Y197" s="2"/>
      <c r="Z197" s="2"/>
    </row>
    <row r="198" spans="1:26" ht="15.75" customHeight="1" x14ac:dyDescent="0.2">
      <c r="A198" s="12"/>
      <c r="B198" s="10"/>
      <c r="C198" s="11"/>
      <c r="D198" s="13"/>
      <c r="E198" s="13"/>
      <c r="F198" s="13"/>
      <c r="G198" s="2"/>
      <c r="H198" s="2"/>
      <c r="I198" s="13"/>
      <c r="J198" s="13"/>
      <c r="K198" s="13"/>
      <c r="L198" s="14"/>
      <c r="M198" s="4"/>
      <c r="N198" s="2"/>
      <c r="O198" s="4"/>
      <c r="P198" s="2"/>
      <c r="Q198" s="2"/>
      <c r="R198" s="4"/>
      <c r="S198" s="2"/>
      <c r="T198" s="2"/>
      <c r="U198" s="1"/>
      <c r="V198" s="2"/>
      <c r="W198" s="2"/>
      <c r="X198" s="2"/>
      <c r="Y198" s="2"/>
      <c r="Z198" s="2"/>
    </row>
    <row r="199" spans="1:26" ht="15.75" customHeight="1" x14ac:dyDescent="0.2">
      <c r="A199" s="12"/>
      <c r="B199" s="10"/>
      <c r="C199" s="11"/>
      <c r="D199" s="13"/>
      <c r="E199" s="13"/>
      <c r="F199" s="13"/>
      <c r="G199" s="2"/>
      <c r="H199" s="2"/>
      <c r="I199" s="13"/>
      <c r="J199" s="13"/>
      <c r="K199" s="13"/>
      <c r="L199" s="14"/>
      <c r="M199" s="4"/>
      <c r="N199" s="2"/>
      <c r="O199" s="4"/>
      <c r="P199" s="2"/>
      <c r="Q199" s="2"/>
      <c r="R199" s="4"/>
      <c r="S199" s="2"/>
      <c r="T199" s="2"/>
      <c r="U199" s="1"/>
      <c r="V199" s="2"/>
      <c r="W199" s="2"/>
      <c r="X199" s="2"/>
      <c r="Y199" s="2"/>
      <c r="Z199" s="2"/>
    </row>
    <row r="200" spans="1:26" ht="15.75" customHeight="1" x14ac:dyDescent="0.2">
      <c r="A200" s="12"/>
      <c r="B200" s="10"/>
      <c r="C200" s="11"/>
      <c r="D200" s="13"/>
      <c r="E200" s="13"/>
      <c r="F200" s="13"/>
      <c r="G200" s="2"/>
      <c r="H200" s="2"/>
      <c r="I200" s="13"/>
      <c r="J200" s="13"/>
      <c r="K200" s="13"/>
      <c r="L200" s="14"/>
      <c r="M200" s="4"/>
      <c r="N200" s="2"/>
      <c r="O200" s="4"/>
      <c r="P200" s="2"/>
      <c r="Q200" s="2"/>
      <c r="R200" s="4"/>
      <c r="S200" s="2"/>
      <c r="T200" s="2"/>
      <c r="U200" s="1"/>
      <c r="V200" s="2"/>
      <c r="W200" s="2"/>
      <c r="X200" s="2"/>
      <c r="Y200" s="2"/>
      <c r="Z200" s="2"/>
    </row>
    <row r="201" spans="1:26" ht="15.75" customHeight="1" x14ac:dyDescent="0.2">
      <c r="A201" s="12"/>
      <c r="B201" s="10"/>
      <c r="C201" s="11"/>
      <c r="D201" s="13"/>
      <c r="E201" s="13"/>
      <c r="F201" s="13"/>
      <c r="G201" s="2"/>
      <c r="H201" s="2"/>
      <c r="I201" s="13"/>
      <c r="J201" s="13"/>
      <c r="K201" s="13"/>
      <c r="L201" s="14"/>
      <c r="M201" s="4"/>
      <c r="N201" s="2"/>
      <c r="O201" s="4"/>
      <c r="P201" s="2"/>
      <c r="Q201" s="2"/>
      <c r="R201" s="4"/>
      <c r="S201" s="2"/>
      <c r="T201" s="2"/>
      <c r="U201" s="1"/>
      <c r="V201" s="2"/>
      <c r="W201" s="2"/>
      <c r="X201" s="2"/>
      <c r="Y201" s="2"/>
      <c r="Z201" s="2"/>
    </row>
    <row r="202" spans="1:26" ht="15.75" customHeight="1" x14ac:dyDescent="0.2">
      <c r="A202" s="12"/>
      <c r="B202" s="10"/>
      <c r="C202" s="11"/>
      <c r="D202" s="13"/>
      <c r="E202" s="13"/>
      <c r="F202" s="13"/>
      <c r="G202" s="2"/>
      <c r="H202" s="2"/>
      <c r="I202" s="13"/>
      <c r="J202" s="13"/>
      <c r="K202" s="13"/>
      <c r="L202" s="14"/>
      <c r="M202" s="4"/>
      <c r="N202" s="2"/>
      <c r="O202" s="4"/>
      <c r="P202" s="2"/>
      <c r="Q202" s="2"/>
      <c r="R202" s="4"/>
      <c r="S202" s="2"/>
      <c r="T202" s="2"/>
      <c r="U202" s="1"/>
      <c r="V202" s="2"/>
      <c r="W202" s="2"/>
      <c r="X202" s="2"/>
      <c r="Y202" s="2"/>
      <c r="Z202" s="2"/>
    </row>
    <row r="203" spans="1:26" ht="15.75" customHeight="1" x14ac:dyDescent="0.2">
      <c r="A203" s="12"/>
      <c r="B203" s="10"/>
      <c r="C203" s="11"/>
      <c r="D203" s="13"/>
      <c r="E203" s="13"/>
      <c r="F203" s="13"/>
      <c r="G203" s="2"/>
      <c r="H203" s="2"/>
      <c r="I203" s="13"/>
      <c r="J203" s="13"/>
      <c r="K203" s="13"/>
      <c r="L203" s="14"/>
      <c r="M203" s="4"/>
      <c r="N203" s="2"/>
      <c r="O203" s="4"/>
      <c r="P203" s="2"/>
      <c r="Q203" s="2"/>
      <c r="R203" s="4"/>
      <c r="S203" s="2"/>
      <c r="T203" s="2"/>
      <c r="U203" s="1"/>
      <c r="V203" s="2"/>
      <c r="W203" s="2"/>
      <c r="X203" s="2"/>
      <c r="Y203" s="2"/>
      <c r="Z203" s="2"/>
    </row>
    <row r="204" spans="1:26" ht="15.75" customHeight="1" x14ac:dyDescent="0.2">
      <c r="A204" s="12"/>
      <c r="B204" s="10"/>
      <c r="C204" s="11"/>
      <c r="D204" s="13"/>
      <c r="E204" s="13"/>
      <c r="F204" s="13"/>
      <c r="G204" s="2"/>
      <c r="H204" s="2"/>
      <c r="I204" s="13"/>
      <c r="J204" s="13"/>
      <c r="K204" s="13"/>
      <c r="L204" s="14"/>
      <c r="M204" s="4"/>
      <c r="N204" s="2"/>
      <c r="O204" s="4"/>
      <c r="P204" s="2"/>
      <c r="Q204" s="2"/>
      <c r="R204" s="4"/>
      <c r="S204" s="2"/>
      <c r="T204" s="2"/>
      <c r="U204" s="1"/>
      <c r="V204" s="2"/>
      <c r="W204" s="2"/>
      <c r="X204" s="2"/>
      <c r="Y204" s="2"/>
      <c r="Z204" s="2"/>
    </row>
    <row r="205" spans="1:26" ht="15.75" customHeight="1" x14ac:dyDescent="0.2">
      <c r="A205" s="12"/>
      <c r="B205" s="10"/>
      <c r="C205" s="11"/>
      <c r="D205" s="13"/>
      <c r="E205" s="13"/>
      <c r="F205" s="13"/>
      <c r="G205" s="2"/>
      <c r="H205" s="2"/>
      <c r="I205" s="13"/>
      <c r="J205" s="13"/>
      <c r="K205" s="13"/>
      <c r="L205" s="14"/>
      <c r="M205" s="4"/>
      <c r="N205" s="2"/>
      <c r="O205" s="4"/>
      <c r="P205" s="2"/>
      <c r="Q205" s="2"/>
      <c r="R205" s="4"/>
      <c r="S205" s="2"/>
      <c r="T205" s="2"/>
      <c r="U205" s="1"/>
      <c r="V205" s="2"/>
      <c r="W205" s="2"/>
      <c r="X205" s="2"/>
      <c r="Y205" s="2"/>
      <c r="Z205" s="2"/>
    </row>
    <row r="206" spans="1:26" ht="15.75" customHeight="1" x14ac:dyDescent="0.2">
      <c r="A206" s="12"/>
      <c r="B206" s="10"/>
      <c r="C206" s="11"/>
      <c r="D206" s="13"/>
      <c r="E206" s="13"/>
      <c r="F206" s="13"/>
      <c r="G206" s="2"/>
      <c r="H206" s="2"/>
      <c r="I206" s="13"/>
      <c r="J206" s="13"/>
      <c r="K206" s="13"/>
      <c r="L206" s="14"/>
      <c r="M206" s="4"/>
      <c r="N206" s="2"/>
      <c r="O206" s="4"/>
      <c r="P206" s="2"/>
      <c r="Q206" s="2"/>
      <c r="R206" s="4"/>
      <c r="S206" s="2"/>
      <c r="T206" s="2"/>
      <c r="U206" s="1"/>
      <c r="V206" s="2"/>
      <c r="W206" s="2"/>
      <c r="X206" s="2"/>
      <c r="Y206" s="2"/>
      <c r="Z206" s="2"/>
    </row>
    <row r="207" spans="1:26" ht="15.75" customHeight="1" x14ac:dyDescent="0.2">
      <c r="A207" s="12"/>
      <c r="B207" s="10"/>
      <c r="C207" s="11"/>
      <c r="D207" s="13"/>
      <c r="E207" s="13"/>
      <c r="F207" s="13"/>
      <c r="G207" s="2"/>
      <c r="H207" s="2"/>
      <c r="I207" s="13"/>
      <c r="J207" s="13"/>
      <c r="K207" s="13"/>
      <c r="L207" s="14"/>
      <c r="M207" s="4"/>
      <c r="N207" s="2"/>
      <c r="O207" s="4"/>
      <c r="P207" s="2"/>
      <c r="Q207" s="2"/>
      <c r="R207" s="4"/>
      <c r="S207" s="2"/>
      <c r="T207" s="2"/>
      <c r="U207" s="1"/>
      <c r="V207" s="2"/>
      <c r="W207" s="2"/>
      <c r="X207" s="2"/>
      <c r="Y207" s="2"/>
      <c r="Z207" s="2"/>
    </row>
    <row r="208" spans="1:26" ht="15.75" customHeight="1" x14ac:dyDescent="0.2">
      <c r="A208" s="12"/>
      <c r="B208" s="10"/>
      <c r="C208" s="11"/>
      <c r="D208" s="13"/>
      <c r="E208" s="13"/>
      <c r="F208" s="13"/>
      <c r="G208" s="2"/>
      <c r="H208" s="2"/>
      <c r="I208" s="13"/>
      <c r="J208" s="13"/>
      <c r="K208" s="13"/>
      <c r="L208" s="14"/>
      <c r="M208" s="4"/>
      <c r="N208" s="2"/>
      <c r="O208" s="4"/>
      <c r="P208" s="2"/>
      <c r="Q208" s="2"/>
      <c r="R208" s="4"/>
      <c r="S208" s="2"/>
      <c r="T208" s="2"/>
      <c r="U208" s="1"/>
      <c r="V208" s="2"/>
      <c r="W208" s="2"/>
      <c r="X208" s="2"/>
      <c r="Y208" s="2"/>
      <c r="Z208" s="2"/>
    </row>
    <row r="209" spans="1:26" ht="15.75" customHeight="1" x14ac:dyDescent="0.2">
      <c r="A209" s="12"/>
      <c r="B209" s="10"/>
      <c r="C209" s="11"/>
      <c r="D209" s="13"/>
      <c r="E209" s="13"/>
      <c r="F209" s="13"/>
      <c r="G209" s="2"/>
      <c r="H209" s="2"/>
      <c r="I209" s="13"/>
      <c r="J209" s="13"/>
      <c r="K209" s="13"/>
      <c r="L209" s="14"/>
      <c r="M209" s="4"/>
      <c r="N209" s="2"/>
      <c r="O209" s="4"/>
      <c r="P209" s="2"/>
      <c r="Q209" s="2"/>
      <c r="R209" s="4"/>
      <c r="S209" s="2"/>
      <c r="T209" s="2"/>
      <c r="U209" s="1"/>
      <c r="V209" s="2"/>
      <c r="W209" s="2"/>
      <c r="X209" s="2"/>
      <c r="Y209" s="2"/>
      <c r="Z209" s="2"/>
    </row>
    <row r="210" spans="1:26" ht="15.75" customHeight="1" x14ac:dyDescent="0.2">
      <c r="A210" s="12"/>
      <c r="B210" s="10"/>
      <c r="C210" s="11"/>
      <c r="D210" s="13"/>
      <c r="E210" s="13"/>
      <c r="F210" s="13"/>
      <c r="G210" s="2"/>
      <c r="H210" s="2"/>
      <c r="I210" s="13"/>
      <c r="J210" s="13"/>
      <c r="K210" s="13"/>
      <c r="L210" s="14"/>
      <c r="M210" s="4"/>
      <c r="N210" s="2"/>
      <c r="O210" s="4"/>
      <c r="P210" s="2"/>
      <c r="Q210" s="2"/>
      <c r="R210" s="4"/>
      <c r="S210" s="2"/>
      <c r="T210" s="2"/>
      <c r="U210" s="1"/>
      <c r="V210" s="2"/>
      <c r="W210" s="2"/>
      <c r="X210" s="2"/>
      <c r="Y210" s="2"/>
      <c r="Z210" s="2"/>
    </row>
    <row r="211" spans="1:26" ht="15.75" customHeight="1" x14ac:dyDescent="0.2">
      <c r="A211" s="12"/>
      <c r="B211" s="10"/>
      <c r="C211" s="11"/>
      <c r="D211" s="13"/>
      <c r="E211" s="13"/>
      <c r="F211" s="13"/>
      <c r="G211" s="2"/>
      <c r="H211" s="2"/>
      <c r="I211" s="13"/>
      <c r="J211" s="13"/>
      <c r="K211" s="13"/>
      <c r="L211" s="14"/>
      <c r="M211" s="4"/>
      <c r="N211" s="2"/>
      <c r="O211" s="4"/>
      <c r="P211" s="2"/>
      <c r="Q211" s="2"/>
      <c r="R211" s="4"/>
      <c r="S211" s="2"/>
      <c r="T211" s="2"/>
      <c r="U211" s="1"/>
      <c r="V211" s="2"/>
      <c r="W211" s="2"/>
      <c r="X211" s="2"/>
      <c r="Y211" s="2"/>
      <c r="Z211" s="2"/>
    </row>
    <row r="212" spans="1:26" ht="15.75" customHeight="1" x14ac:dyDescent="0.2">
      <c r="A212" s="12"/>
      <c r="B212" s="10"/>
      <c r="C212" s="11"/>
      <c r="D212" s="13"/>
      <c r="E212" s="13"/>
      <c r="F212" s="13"/>
      <c r="G212" s="2"/>
      <c r="H212" s="2"/>
      <c r="I212" s="13"/>
      <c r="J212" s="13"/>
      <c r="K212" s="13"/>
      <c r="L212" s="14"/>
      <c r="M212" s="4"/>
      <c r="N212" s="2"/>
      <c r="O212" s="4"/>
      <c r="P212" s="2"/>
      <c r="Q212" s="2"/>
      <c r="R212" s="4"/>
      <c r="S212" s="2"/>
      <c r="T212" s="2"/>
      <c r="U212" s="1"/>
      <c r="V212" s="2"/>
      <c r="W212" s="2"/>
      <c r="X212" s="2"/>
      <c r="Y212" s="2"/>
      <c r="Z212" s="2"/>
    </row>
    <row r="213" spans="1:26" ht="15.75" customHeight="1" x14ac:dyDescent="0.2">
      <c r="A213" s="12"/>
      <c r="B213" s="10"/>
      <c r="C213" s="11"/>
      <c r="D213" s="13"/>
      <c r="E213" s="13"/>
      <c r="F213" s="13"/>
      <c r="G213" s="2"/>
      <c r="H213" s="2"/>
      <c r="I213" s="13"/>
      <c r="J213" s="13"/>
      <c r="K213" s="13"/>
      <c r="L213" s="14"/>
      <c r="M213" s="4"/>
      <c r="N213" s="2"/>
      <c r="O213" s="4"/>
      <c r="P213" s="2"/>
      <c r="Q213" s="2"/>
      <c r="R213" s="4"/>
      <c r="S213" s="2"/>
      <c r="T213" s="2"/>
      <c r="U213" s="1"/>
      <c r="V213" s="2"/>
      <c r="W213" s="2"/>
      <c r="X213" s="2"/>
      <c r="Y213" s="2"/>
      <c r="Z213" s="2"/>
    </row>
    <row r="214" spans="1:26" ht="15.75" customHeight="1" x14ac:dyDescent="0.2">
      <c r="A214" s="12"/>
      <c r="B214" s="10"/>
      <c r="C214" s="11"/>
      <c r="D214" s="13"/>
      <c r="E214" s="13"/>
      <c r="F214" s="13"/>
      <c r="G214" s="2"/>
      <c r="H214" s="2"/>
      <c r="I214" s="13"/>
      <c r="J214" s="13"/>
      <c r="K214" s="13"/>
      <c r="L214" s="14"/>
      <c r="M214" s="4"/>
      <c r="N214" s="2"/>
      <c r="O214" s="4"/>
      <c r="P214" s="2"/>
      <c r="Q214" s="2"/>
      <c r="R214" s="4"/>
      <c r="S214" s="2"/>
      <c r="T214" s="2"/>
      <c r="U214" s="1"/>
      <c r="V214" s="2"/>
      <c r="W214" s="2"/>
      <c r="X214" s="2"/>
      <c r="Y214" s="2"/>
      <c r="Z214" s="2"/>
    </row>
    <row r="215" spans="1:26" ht="15.75" customHeight="1" x14ac:dyDescent="0.2">
      <c r="A215" s="12"/>
      <c r="B215" s="10"/>
      <c r="C215" s="11"/>
      <c r="D215" s="13"/>
      <c r="E215" s="13"/>
      <c r="F215" s="13"/>
      <c r="G215" s="2"/>
      <c r="H215" s="2"/>
      <c r="I215" s="13"/>
      <c r="J215" s="13"/>
      <c r="K215" s="13"/>
      <c r="L215" s="14"/>
      <c r="M215" s="4"/>
      <c r="N215" s="2"/>
      <c r="O215" s="4"/>
      <c r="P215" s="2"/>
      <c r="Q215" s="2"/>
      <c r="R215" s="4"/>
      <c r="S215" s="2"/>
      <c r="T215" s="2"/>
      <c r="U215" s="1"/>
      <c r="V215" s="2"/>
      <c r="W215" s="2"/>
      <c r="X215" s="2"/>
      <c r="Y215" s="2"/>
      <c r="Z215" s="2"/>
    </row>
    <row r="216" spans="1:26" ht="15.75" customHeight="1" x14ac:dyDescent="0.2">
      <c r="A216" s="12"/>
      <c r="B216" s="10"/>
      <c r="C216" s="11"/>
      <c r="D216" s="13"/>
      <c r="E216" s="13"/>
      <c r="F216" s="13"/>
      <c r="G216" s="2"/>
      <c r="H216" s="2"/>
      <c r="I216" s="13"/>
      <c r="J216" s="13"/>
      <c r="K216" s="13"/>
      <c r="L216" s="14"/>
      <c r="M216" s="4"/>
      <c r="N216" s="2"/>
      <c r="O216" s="4"/>
      <c r="P216" s="2"/>
      <c r="Q216" s="2"/>
      <c r="R216" s="4"/>
      <c r="S216" s="2"/>
      <c r="T216" s="2"/>
      <c r="U216" s="1"/>
      <c r="V216" s="2"/>
      <c r="W216" s="2"/>
      <c r="X216" s="2"/>
      <c r="Y216" s="2"/>
      <c r="Z216" s="2"/>
    </row>
    <row r="217" spans="1:26" ht="15.75" customHeight="1" x14ac:dyDescent="0.2">
      <c r="A217" s="12"/>
      <c r="B217" s="10"/>
      <c r="C217" s="11"/>
      <c r="D217" s="13"/>
      <c r="E217" s="13"/>
      <c r="F217" s="13"/>
      <c r="G217" s="2"/>
      <c r="H217" s="2"/>
      <c r="I217" s="13"/>
      <c r="J217" s="13"/>
      <c r="K217" s="13"/>
      <c r="L217" s="14"/>
      <c r="M217" s="4"/>
      <c r="N217" s="2"/>
      <c r="O217" s="4"/>
      <c r="P217" s="2"/>
      <c r="Q217" s="2"/>
      <c r="R217" s="4"/>
      <c r="S217" s="2"/>
      <c r="T217" s="2"/>
      <c r="U217" s="1"/>
      <c r="V217" s="2"/>
      <c r="W217" s="2"/>
      <c r="X217" s="2"/>
      <c r="Y217" s="2"/>
      <c r="Z217" s="2"/>
    </row>
    <row r="218" spans="1:26" ht="15.75" customHeight="1" x14ac:dyDescent="0.2">
      <c r="A218" s="12"/>
      <c r="B218" s="10"/>
      <c r="C218" s="11"/>
      <c r="D218" s="13"/>
      <c r="E218" s="13"/>
      <c r="F218" s="13"/>
      <c r="G218" s="2"/>
      <c r="H218" s="2"/>
      <c r="I218" s="13"/>
      <c r="J218" s="13"/>
      <c r="K218" s="13"/>
      <c r="L218" s="14"/>
      <c r="M218" s="4"/>
      <c r="N218" s="2"/>
      <c r="O218" s="4"/>
      <c r="P218" s="2"/>
      <c r="Q218" s="2"/>
      <c r="R218" s="4"/>
      <c r="S218" s="2"/>
      <c r="T218" s="2"/>
      <c r="U218" s="1"/>
      <c r="V218" s="2"/>
      <c r="W218" s="2"/>
      <c r="X218" s="2"/>
      <c r="Y218" s="2"/>
      <c r="Z218" s="2"/>
    </row>
    <row r="219" spans="1:26" ht="15.75" customHeight="1" x14ac:dyDescent="0.2">
      <c r="A219" s="12"/>
      <c r="B219" s="10"/>
      <c r="C219" s="11"/>
      <c r="D219" s="13"/>
      <c r="E219" s="13"/>
      <c r="F219" s="13"/>
      <c r="G219" s="2"/>
      <c r="H219" s="2"/>
      <c r="I219" s="13"/>
      <c r="J219" s="13"/>
      <c r="K219" s="13"/>
      <c r="L219" s="14"/>
      <c r="M219" s="4"/>
      <c r="N219" s="2"/>
      <c r="O219" s="4"/>
      <c r="P219" s="2"/>
      <c r="Q219" s="2"/>
      <c r="R219" s="4"/>
      <c r="S219" s="2"/>
      <c r="T219" s="2"/>
      <c r="U219" s="1"/>
      <c r="V219" s="2"/>
      <c r="W219" s="2"/>
      <c r="X219" s="2"/>
      <c r="Y219" s="2"/>
      <c r="Z219" s="2"/>
    </row>
    <row r="220" spans="1:26" ht="15.75" customHeight="1" x14ac:dyDescent="0.2">
      <c r="A220" s="12"/>
      <c r="B220" s="10"/>
      <c r="C220" s="11"/>
      <c r="D220" s="13"/>
      <c r="E220" s="13"/>
      <c r="F220" s="13"/>
      <c r="G220" s="2"/>
      <c r="H220" s="2"/>
      <c r="I220" s="13"/>
      <c r="J220" s="13"/>
      <c r="K220" s="13"/>
      <c r="L220" s="14"/>
      <c r="M220" s="4"/>
      <c r="N220" s="2"/>
      <c r="O220" s="4"/>
      <c r="P220" s="2"/>
      <c r="Q220" s="2"/>
      <c r="R220" s="4"/>
      <c r="S220" s="2"/>
      <c r="T220" s="2"/>
      <c r="U220" s="1"/>
      <c r="V220" s="2"/>
      <c r="W220" s="2"/>
      <c r="X220" s="2"/>
      <c r="Y220" s="2"/>
      <c r="Z220" s="2"/>
    </row>
    <row r="221" spans="1:26" ht="15.75" customHeight="1" x14ac:dyDescent="0.2">
      <c r="A221" s="12"/>
      <c r="B221" s="10"/>
      <c r="C221" s="11"/>
      <c r="D221" s="13"/>
      <c r="E221" s="13"/>
      <c r="F221" s="13"/>
      <c r="G221" s="2"/>
      <c r="H221" s="2"/>
      <c r="I221" s="13"/>
      <c r="J221" s="13"/>
      <c r="K221" s="13"/>
      <c r="L221" s="14"/>
      <c r="M221" s="4"/>
      <c r="N221" s="2"/>
      <c r="O221" s="4"/>
      <c r="P221" s="2"/>
      <c r="Q221" s="2"/>
      <c r="R221" s="4"/>
      <c r="S221" s="2"/>
      <c r="T221" s="2"/>
      <c r="U221" s="1"/>
      <c r="V221" s="2"/>
      <c r="W221" s="2"/>
      <c r="X221" s="2"/>
      <c r="Y221" s="2"/>
      <c r="Z221" s="2"/>
    </row>
    <row r="222" spans="1:26" ht="15.75" customHeight="1" x14ac:dyDescent="0.2">
      <c r="A222" s="12"/>
      <c r="B222" s="10"/>
      <c r="C222" s="11"/>
      <c r="D222" s="13"/>
      <c r="E222" s="13"/>
      <c r="F222" s="13"/>
      <c r="G222" s="2"/>
      <c r="H222" s="2"/>
      <c r="I222" s="13"/>
      <c r="J222" s="13"/>
      <c r="K222" s="13"/>
      <c r="L222" s="14"/>
      <c r="M222" s="4"/>
      <c r="N222" s="2"/>
      <c r="O222" s="4"/>
      <c r="P222" s="2"/>
      <c r="Q222" s="2"/>
      <c r="R222" s="4"/>
      <c r="S222" s="2"/>
      <c r="T222" s="2"/>
      <c r="U222" s="1"/>
      <c r="V222" s="2"/>
      <c r="W222" s="2"/>
      <c r="X222" s="2"/>
      <c r="Y222" s="2"/>
      <c r="Z222" s="2"/>
    </row>
    <row r="223" spans="1:26" ht="15.75" customHeight="1" x14ac:dyDescent="0.2">
      <c r="A223" s="12"/>
      <c r="B223" s="10"/>
      <c r="C223" s="11"/>
      <c r="D223" s="13"/>
      <c r="E223" s="13"/>
      <c r="F223" s="13"/>
      <c r="G223" s="2"/>
      <c r="H223" s="2"/>
      <c r="I223" s="13"/>
      <c r="J223" s="13"/>
      <c r="K223" s="13"/>
      <c r="L223" s="14"/>
      <c r="M223" s="4"/>
      <c r="N223" s="2"/>
      <c r="O223" s="4"/>
      <c r="P223" s="2"/>
      <c r="Q223" s="2"/>
      <c r="R223" s="4"/>
      <c r="S223" s="2"/>
      <c r="T223" s="2"/>
      <c r="U223" s="1"/>
      <c r="V223" s="2"/>
      <c r="W223" s="2"/>
      <c r="X223" s="2"/>
      <c r="Y223" s="2"/>
      <c r="Z223" s="2"/>
    </row>
    <row r="224" spans="1:26" ht="15.75" customHeight="1" x14ac:dyDescent="0.2">
      <c r="A224" s="12"/>
      <c r="B224" s="10"/>
      <c r="C224" s="11"/>
      <c r="D224" s="13"/>
      <c r="E224" s="13"/>
      <c r="F224" s="13"/>
      <c r="G224" s="2"/>
      <c r="H224" s="2"/>
      <c r="I224" s="13"/>
      <c r="J224" s="13"/>
      <c r="K224" s="13"/>
      <c r="L224" s="14"/>
      <c r="M224" s="4"/>
      <c r="N224" s="2"/>
      <c r="O224" s="4"/>
      <c r="P224" s="2"/>
      <c r="Q224" s="2"/>
      <c r="R224" s="4"/>
      <c r="S224" s="2"/>
      <c r="T224" s="2"/>
      <c r="U224" s="1"/>
      <c r="V224" s="2"/>
      <c r="W224" s="2"/>
      <c r="X224" s="2"/>
      <c r="Y224" s="2"/>
      <c r="Z224" s="2"/>
    </row>
    <row r="225" spans="1:26" ht="15.75" customHeight="1" x14ac:dyDescent="0.2">
      <c r="A225" s="12"/>
      <c r="B225" s="10"/>
      <c r="C225" s="11"/>
      <c r="D225" s="13"/>
      <c r="E225" s="13"/>
      <c r="F225" s="13"/>
      <c r="G225" s="2"/>
      <c r="H225" s="2"/>
      <c r="I225" s="13"/>
      <c r="J225" s="13"/>
      <c r="K225" s="13"/>
      <c r="L225" s="14"/>
      <c r="M225" s="4"/>
      <c r="N225" s="2"/>
      <c r="O225" s="4"/>
      <c r="P225" s="2"/>
      <c r="Q225" s="2"/>
      <c r="R225" s="4"/>
      <c r="S225" s="2"/>
      <c r="T225" s="2"/>
      <c r="U225" s="1"/>
      <c r="V225" s="2"/>
      <c r="W225" s="2"/>
      <c r="X225" s="2"/>
      <c r="Y225" s="2"/>
      <c r="Z225" s="2"/>
    </row>
    <row r="226" spans="1:26" ht="15.75" customHeight="1" x14ac:dyDescent="0.2">
      <c r="A226" s="12"/>
      <c r="B226" s="10"/>
      <c r="C226" s="11"/>
      <c r="D226" s="13"/>
      <c r="E226" s="13"/>
      <c r="F226" s="13"/>
      <c r="G226" s="2"/>
      <c r="H226" s="2"/>
      <c r="I226" s="13"/>
      <c r="J226" s="13"/>
      <c r="K226" s="13"/>
      <c r="L226" s="14"/>
      <c r="M226" s="4"/>
      <c r="N226" s="2"/>
      <c r="O226" s="4"/>
      <c r="P226" s="2"/>
      <c r="Q226" s="2"/>
      <c r="R226" s="4"/>
      <c r="S226" s="2"/>
      <c r="T226" s="2"/>
      <c r="U226" s="1"/>
      <c r="V226" s="2"/>
      <c r="W226" s="2"/>
      <c r="X226" s="2"/>
      <c r="Y226" s="2"/>
      <c r="Z226" s="2"/>
    </row>
    <row r="227" spans="1:26" ht="15.75" customHeight="1" x14ac:dyDescent="0.2">
      <c r="A227" s="12"/>
      <c r="B227" s="10"/>
      <c r="C227" s="11"/>
      <c r="D227" s="13"/>
      <c r="E227" s="13"/>
      <c r="F227" s="13"/>
      <c r="G227" s="2"/>
      <c r="H227" s="2"/>
      <c r="I227" s="13"/>
      <c r="J227" s="13"/>
      <c r="K227" s="13"/>
      <c r="L227" s="14"/>
      <c r="M227" s="4"/>
      <c r="N227" s="2"/>
      <c r="O227" s="4"/>
      <c r="P227" s="2"/>
      <c r="Q227" s="2"/>
      <c r="R227" s="4"/>
      <c r="S227" s="2"/>
      <c r="T227" s="2"/>
      <c r="U227" s="1"/>
      <c r="V227" s="2"/>
      <c r="W227" s="2"/>
      <c r="X227" s="2"/>
      <c r="Y227" s="2"/>
      <c r="Z227" s="2"/>
    </row>
    <row r="228" spans="1:26" ht="15.75" customHeight="1" x14ac:dyDescent="0.2">
      <c r="A228" s="12"/>
      <c r="B228" s="10"/>
      <c r="C228" s="11"/>
      <c r="D228" s="13"/>
      <c r="E228" s="13"/>
      <c r="F228" s="13"/>
      <c r="G228" s="2"/>
      <c r="H228" s="2"/>
      <c r="I228" s="13"/>
      <c r="J228" s="13"/>
      <c r="K228" s="13"/>
      <c r="L228" s="14"/>
      <c r="M228" s="4"/>
      <c r="N228" s="2"/>
      <c r="O228" s="4"/>
      <c r="P228" s="2"/>
      <c r="Q228" s="2"/>
      <c r="R228" s="4"/>
      <c r="S228" s="2"/>
      <c r="T228" s="2"/>
      <c r="U228" s="1"/>
      <c r="V228" s="2"/>
      <c r="W228" s="2"/>
      <c r="X228" s="2"/>
      <c r="Y228" s="2"/>
      <c r="Z228" s="2"/>
    </row>
    <row r="229" spans="1:26" ht="15.75" customHeight="1" x14ac:dyDescent="0.2">
      <c r="A229" s="12"/>
      <c r="B229" s="10"/>
      <c r="C229" s="11"/>
      <c r="D229" s="13"/>
      <c r="E229" s="13"/>
      <c r="F229" s="13"/>
      <c r="G229" s="2"/>
      <c r="H229" s="2"/>
      <c r="I229" s="13"/>
      <c r="J229" s="13"/>
      <c r="K229" s="13"/>
      <c r="L229" s="14"/>
      <c r="M229" s="4"/>
      <c r="N229" s="2"/>
      <c r="O229" s="4"/>
      <c r="P229" s="2"/>
      <c r="Q229" s="2"/>
      <c r="R229" s="4"/>
      <c r="S229" s="2"/>
      <c r="T229" s="2"/>
      <c r="U229" s="1"/>
      <c r="V229" s="2"/>
      <c r="W229" s="2"/>
      <c r="X229" s="2"/>
      <c r="Y229" s="2"/>
      <c r="Z229" s="2"/>
    </row>
    <row r="230" spans="1:26" ht="15.75" customHeight="1" x14ac:dyDescent="0.2">
      <c r="A230" s="12"/>
      <c r="B230" s="10"/>
      <c r="C230" s="11"/>
      <c r="D230" s="13"/>
      <c r="E230" s="13"/>
      <c r="F230" s="13"/>
      <c r="G230" s="2"/>
      <c r="H230" s="2"/>
      <c r="I230" s="13"/>
      <c r="J230" s="13"/>
      <c r="K230" s="13"/>
      <c r="L230" s="14"/>
      <c r="M230" s="4"/>
      <c r="N230" s="2"/>
      <c r="O230" s="4"/>
      <c r="P230" s="2"/>
      <c r="Q230" s="2"/>
      <c r="R230" s="4"/>
      <c r="S230" s="2"/>
      <c r="T230" s="2"/>
      <c r="U230" s="1"/>
      <c r="V230" s="2"/>
      <c r="W230" s="2"/>
      <c r="X230" s="2"/>
      <c r="Y230" s="2"/>
      <c r="Z230" s="2"/>
    </row>
    <row r="231" spans="1:26" ht="15.75" customHeight="1" x14ac:dyDescent="0.2">
      <c r="A231" s="12"/>
      <c r="B231" s="10"/>
      <c r="C231" s="11"/>
      <c r="D231" s="13"/>
      <c r="E231" s="13"/>
      <c r="F231" s="13"/>
      <c r="G231" s="2"/>
      <c r="H231" s="2"/>
      <c r="I231" s="13"/>
      <c r="J231" s="13"/>
      <c r="K231" s="13"/>
      <c r="L231" s="14"/>
      <c r="M231" s="4"/>
      <c r="N231" s="2"/>
      <c r="O231" s="4"/>
      <c r="P231" s="2"/>
      <c r="Q231" s="2"/>
      <c r="R231" s="4"/>
      <c r="S231" s="2"/>
      <c r="T231" s="2"/>
      <c r="U231" s="1"/>
      <c r="V231" s="2"/>
      <c r="W231" s="2"/>
      <c r="X231" s="2"/>
      <c r="Y231" s="2"/>
      <c r="Z231" s="2"/>
    </row>
    <row r="232" spans="1:26" ht="15.75" customHeight="1" x14ac:dyDescent="0.2">
      <c r="A232" s="12"/>
      <c r="B232" s="10"/>
      <c r="C232" s="11"/>
      <c r="D232" s="13"/>
      <c r="E232" s="13"/>
      <c r="F232" s="13"/>
      <c r="G232" s="2"/>
      <c r="H232" s="2"/>
      <c r="I232" s="13"/>
      <c r="J232" s="13"/>
      <c r="K232" s="13"/>
      <c r="L232" s="14"/>
      <c r="M232" s="4"/>
      <c r="N232" s="2"/>
      <c r="O232" s="4"/>
      <c r="P232" s="2"/>
      <c r="Q232" s="2"/>
      <c r="R232" s="4"/>
      <c r="S232" s="2"/>
      <c r="T232" s="2"/>
      <c r="U232" s="1"/>
      <c r="V232" s="2"/>
      <c r="W232" s="2"/>
      <c r="X232" s="2"/>
      <c r="Y232" s="2"/>
      <c r="Z232" s="2"/>
    </row>
    <row r="233" spans="1:26" ht="15.75" customHeight="1" x14ac:dyDescent="0.2">
      <c r="A233" s="12"/>
      <c r="B233" s="10"/>
      <c r="C233" s="11"/>
      <c r="D233" s="13"/>
      <c r="E233" s="13"/>
      <c r="F233" s="13"/>
      <c r="G233" s="2"/>
      <c r="H233" s="2"/>
      <c r="I233" s="13"/>
      <c r="J233" s="13"/>
      <c r="K233" s="13"/>
      <c r="L233" s="14"/>
      <c r="M233" s="4"/>
      <c r="N233" s="2"/>
      <c r="O233" s="4"/>
      <c r="P233" s="2"/>
      <c r="Q233" s="2"/>
      <c r="R233" s="4"/>
      <c r="S233" s="2"/>
      <c r="T233" s="2"/>
      <c r="U233" s="1"/>
      <c r="V233" s="2"/>
      <c r="W233" s="2"/>
      <c r="X233" s="2"/>
      <c r="Y233" s="2"/>
      <c r="Z233" s="2"/>
    </row>
    <row r="234" spans="1:26" ht="15.75" customHeight="1" x14ac:dyDescent="0.2">
      <c r="A234" s="12"/>
      <c r="B234" s="10"/>
      <c r="C234" s="11"/>
      <c r="D234" s="13"/>
      <c r="E234" s="13"/>
      <c r="F234" s="13"/>
      <c r="G234" s="2"/>
      <c r="H234" s="2"/>
      <c r="I234" s="13"/>
      <c r="J234" s="13"/>
      <c r="K234" s="13"/>
      <c r="L234" s="14"/>
      <c r="M234" s="4"/>
      <c r="N234" s="2"/>
      <c r="O234" s="4"/>
      <c r="P234" s="2"/>
      <c r="Q234" s="2"/>
      <c r="R234" s="4"/>
      <c r="S234" s="2"/>
      <c r="T234" s="2"/>
      <c r="U234" s="1"/>
      <c r="V234" s="2"/>
      <c r="W234" s="2"/>
      <c r="X234" s="2"/>
      <c r="Y234" s="2"/>
      <c r="Z234" s="2"/>
    </row>
    <row r="235" spans="1:26" ht="15.75" customHeight="1" x14ac:dyDescent="0.2">
      <c r="A235" s="12"/>
      <c r="B235" s="10"/>
      <c r="C235" s="11"/>
      <c r="D235" s="13"/>
      <c r="E235" s="13"/>
      <c r="F235" s="13"/>
      <c r="G235" s="2"/>
      <c r="H235" s="2"/>
      <c r="I235" s="13"/>
      <c r="J235" s="13"/>
      <c r="K235" s="13"/>
      <c r="L235" s="14"/>
      <c r="M235" s="4"/>
      <c r="N235" s="2"/>
      <c r="O235" s="4"/>
      <c r="P235" s="2"/>
      <c r="Q235" s="2"/>
      <c r="R235" s="4"/>
      <c r="S235" s="2"/>
      <c r="T235" s="2"/>
      <c r="U235" s="1"/>
      <c r="V235" s="2"/>
      <c r="W235" s="2"/>
      <c r="X235" s="2"/>
      <c r="Y235" s="2"/>
      <c r="Z235" s="2"/>
    </row>
    <row r="236" spans="1:26" ht="15.75" customHeight="1" x14ac:dyDescent="0.2">
      <c r="A236" s="12"/>
      <c r="B236" s="10"/>
      <c r="C236" s="11"/>
      <c r="D236" s="13"/>
      <c r="E236" s="13"/>
      <c r="F236" s="13"/>
      <c r="G236" s="2"/>
      <c r="H236" s="2"/>
      <c r="I236" s="13"/>
      <c r="J236" s="13"/>
      <c r="K236" s="13"/>
      <c r="L236" s="14"/>
      <c r="M236" s="4"/>
      <c r="N236" s="2"/>
      <c r="O236" s="4"/>
      <c r="P236" s="2"/>
      <c r="Q236" s="2"/>
      <c r="R236" s="4"/>
      <c r="S236" s="2"/>
      <c r="T236" s="2"/>
      <c r="U236" s="1"/>
      <c r="V236" s="2"/>
      <c r="W236" s="2"/>
      <c r="X236" s="2"/>
      <c r="Y236" s="2"/>
      <c r="Z236" s="2"/>
    </row>
    <row r="237" spans="1:26" ht="15.75" customHeight="1" x14ac:dyDescent="0.2">
      <c r="A237" s="12"/>
      <c r="B237" s="10"/>
      <c r="C237" s="11"/>
      <c r="D237" s="13"/>
      <c r="E237" s="13"/>
      <c r="F237" s="13"/>
      <c r="G237" s="2"/>
      <c r="H237" s="2"/>
      <c r="I237" s="13"/>
      <c r="J237" s="13"/>
      <c r="K237" s="13"/>
      <c r="L237" s="14"/>
      <c r="M237" s="4"/>
      <c r="N237" s="2"/>
      <c r="O237" s="4"/>
      <c r="P237" s="2"/>
      <c r="Q237" s="2"/>
      <c r="R237" s="4"/>
      <c r="S237" s="2"/>
      <c r="T237" s="2"/>
      <c r="U237" s="1"/>
      <c r="V237" s="2"/>
      <c r="W237" s="2"/>
      <c r="X237" s="2"/>
      <c r="Y237" s="2"/>
      <c r="Z237" s="2"/>
    </row>
    <row r="238" spans="1:26" ht="15.75" customHeight="1" x14ac:dyDescent="0.2">
      <c r="A238" s="12"/>
      <c r="B238" s="10"/>
      <c r="C238" s="11"/>
      <c r="D238" s="13"/>
      <c r="E238" s="13"/>
      <c r="F238" s="13"/>
      <c r="G238" s="2"/>
      <c r="H238" s="2"/>
      <c r="I238" s="13"/>
      <c r="J238" s="13"/>
      <c r="K238" s="13"/>
      <c r="L238" s="14"/>
      <c r="M238" s="4"/>
      <c r="N238" s="2"/>
      <c r="O238" s="4"/>
      <c r="P238" s="2"/>
      <c r="Q238" s="2"/>
      <c r="R238" s="4"/>
      <c r="S238" s="2"/>
      <c r="T238" s="2"/>
      <c r="U238" s="1"/>
      <c r="V238" s="2"/>
      <c r="W238" s="2"/>
      <c r="X238" s="2"/>
      <c r="Y238" s="2"/>
      <c r="Z238" s="2"/>
    </row>
    <row r="239" spans="1:26" ht="15.75" customHeight="1" x14ac:dyDescent="0.2">
      <c r="A239" s="12"/>
      <c r="B239" s="10"/>
      <c r="C239" s="11"/>
      <c r="D239" s="13"/>
      <c r="E239" s="13"/>
      <c r="F239" s="13"/>
      <c r="G239" s="2"/>
      <c r="H239" s="2"/>
      <c r="I239" s="13"/>
      <c r="J239" s="13"/>
      <c r="K239" s="13"/>
      <c r="L239" s="14"/>
      <c r="M239" s="4"/>
      <c r="N239" s="2"/>
      <c r="O239" s="4"/>
      <c r="P239" s="2"/>
      <c r="Q239" s="2"/>
      <c r="R239" s="4"/>
      <c r="S239" s="2"/>
      <c r="T239" s="2"/>
      <c r="U239" s="1"/>
      <c r="V239" s="2"/>
      <c r="W239" s="2"/>
      <c r="X239" s="2"/>
      <c r="Y239" s="2"/>
      <c r="Z239" s="2"/>
    </row>
    <row r="240" spans="1:26" ht="15.75" customHeight="1" x14ac:dyDescent="0.2">
      <c r="A240" s="12"/>
      <c r="B240" s="10"/>
      <c r="C240" s="11"/>
      <c r="D240" s="13"/>
      <c r="E240" s="13"/>
      <c r="F240" s="13"/>
      <c r="G240" s="2"/>
      <c r="H240" s="2"/>
      <c r="I240" s="13"/>
      <c r="J240" s="13"/>
      <c r="K240" s="13"/>
      <c r="L240" s="14"/>
      <c r="M240" s="4"/>
      <c r="N240" s="2"/>
      <c r="O240" s="4"/>
      <c r="P240" s="2"/>
      <c r="Q240" s="2"/>
      <c r="R240" s="4"/>
      <c r="S240" s="2"/>
      <c r="T240" s="2"/>
      <c r="U240" s="1"/>
      <c r="V240" s="2"/>
      <c r="W240" s="2"/>
      <c r="X240" s="2"/>
      <c r="Y240" s="2"/>
      <c r="Z240" s="2"/>
    </row>
    <row r="241" spans="1:26" ht="15.75" customHeight="1" x14ac:dyDescent="0.2">
      <c r="A241" s="12"/>
      <c r="B241" s="10"/>
      <c r="C241" s="11"/>
      <c r="D241" s="13"/>
      <c r="E241" s="13"/>
      <c r="F241" s="13"/>
      <c r="G241" s="2"/>
      <c r="H241" s="2"/>
      <c r="I241" s="13"/>
      <c r="J241" s="13"/>
      <c r="K241" s="13"/>
      <c r="L241" s="14"/>
      <c r="M241" s="4"/>
      <c r="N241" s="2"/>
      <c r="O241" s="4"/>
      <c r="P241" s="2"/>
      <c r="Q241" s="2"/>
      <c r="R241" s="4"/>
      <c r="S241" s="2"/>
      <c r="T241" s="2"/>
      <c r="U241" s="1"/>
      <c r="V241" s="2"/>
      <c r="W241" s="2"/>
      <c r="X241" s="2"/>
      <c r="Y241" s="2"/>
      <c r="Z241" s="2"/>
    </row>
    <row r="242" spans="1:26" ht="15.75" customHeight="1" x14ac:dyDescent="0.2">
      <c r="A242" s="12"/>
      <c r="B242" s="10"/>
      <c r="C242" s="11"/>
      <c r="D242" s="13"/>
      <c r="E242" s="13"/>
      <c r="F242" s="13"/>
      <c r="G242" s="2"/>
      <c r="H242" s="2"/>
      <c r="I242" s="13"/>
      <c r="J242" s="13"/>
      <c r="K242" s="13"/>
      <c r="L242" s="14"/>
      <c r="M242" s="4"/>
      <c r="N242" s="2"/>
      <c r="O242" s="4"/>
      <c r="P242" s="2"/>
      <c r="Q242" s="2"/>
      <c r="R242" s="4"/>
      <c r="S242" s="2"/>
      <c r="T242" s="2"/>
      <c r="U242" s="1"/>
      <c r="V242" s="2"/>
      <c r="W242" s="2"/>
      <c r="X242" s="2"/>
      <c r="Y242" s="2"/>
      <c r="Z242" s="2"/>
    </row>
    <row r="243" spans="1:26" ht="15.75" customHeight="1" x14ac:dyDescent="0.2">
      <c r="A243" s="12"/>
      <c r="B243" s="10"/>
      <c r="C243" s="11"/>
      <c r="D243" s="13"/>
      <c r="E243" s="13"/>
      <c r="F243" s="13"/>
      <c r="G243" s="2"/>
      <c r="H243" s="2"/>
      <c r="I243" s="13"/>
      <c r="J243" s="13"/>
      <c r="K243" s="13"/>
      <c r="L243" s="14"/>
      <c r="M243" s="4"/>
      <c r="N243" s="2"/>
      <c r="O243" s="4"/>
      <c r="P243" s="2"/>
      <c r="Q243" s="2"/>
      <c r="R243" s="4"/>
      <c r="S243" s="2"/>
      <c r="T243" s="2"/>
      <c r="U243" s="1"/>
      <c r="V243" s="2"/>
      <c r="W243" s="2"/>
      <c r="X243" s="2"/>
      <c r="Y243" s="2"/>
      <c r="Z243" s="2"/>
    </row>
    <row r="244" spans="1:26" ht="15.75" customHeight="1" x14ac:dyDescent="0.2">
      <c r="A244" s="12"/>
      <c r="B244" s="10"/>
      <c r="C244" s="11"/>
      <c r="D244" s="13"/>
      <c r="E244" s="13"/>
      <c r="F244" s="13"/>
      <c r="G244" s="2"/>
      <c r="H244" s="2"/>
      <c r="I244" s="13"/>
      <c r="J244" s="13"/>
      <c r="K244" s="13"/>
      <c r="L244" s="14"/>
      <c r="M244" s="4"/>
      <c r="N244" s="2"/>
      <c r="O244" s="4"/>
      <c r="P244" s="2"/>
      <c r="Q244" s="2"/>
      <c r="R244" s="4"/>
      <c r="S244" s="2"/>
      <c r="T244" s="2"/>
      <c r="U244" s="1"/>
      <c r="V244" s="2"/>
      <c r="W244" s="2"/>
      <c r="X244" s="2"/>
      <c r="Y244" s="2"/>
      <c r="Z244" s="2"/>
    </row>
    <row r="245" spans="1:26" ht="15.75" customHeight="1" x14ac:dyDescent="0.2">
      <c r="A245" s="12"/>
      <c r="B245" s="10"/>
      <c r="C245" s="11"/>
      <c r="D245" s="13"/>
      <c r="E245" s="13"/>
      <c r="F245" s="13"/>
      <c r="G245" s="2"/>
      <c r="H245" s="2"/>
      <c r="I245" s="13"/>
      <c r="J245" s="13"/>
      <c r="K245" s="13"/>
      <c r="L245" s="14"/>
      <c r="M245" s="4"/>
      <c r="N245" s="2"/>
      <c r="O245" s="4"/>
      <c r="P245" s="2"/>
      <c r="Q245" s="2"/>
      <c r="R245" s="4"/>
      <c r="S245" s="2"/>
      <c r="T245" s="2"/>
      <c r="U245" s="1"/>
      <c r="V245" s="2"/>
      <c r="W245" s="2"/>
      <c r="X245" s="2"/>
      <c r="Y245" s="2"/>
      <c r="Z245" s="2"/>
    </row>
    <row r="246" spans="1:26" ht="15.75" customHeight="1" x14ac:dyDescent="0.2">
      <c r="A246" s="12"/>
      <c r="B246" s="10"/>
      <c r="C246" s="11"/>
      <c r="D246" s="13"/>
      <c r="E246" s="13"/>
      <c r="F246" s="13"/>
      <c r="G246" s="2"/>
      <c r="H246" s="2"/>
      <c r="I246" s="13"/>
      <c r="J246" s="13"/>
      <c r="K246" s="13"/>
      <c r="L246" s="14"/>
      <c r="M246" s="4"/>
      <c r="N246" s="2"/>
      <c r="O246" s="4"/>
      <c r="P246" s="2"/>
      <c r="Q246" s="2"/>
      <c r="R246" s="4"/>
      <c r="S246" s="2"/>
      <c r="T246" s="2"/>
      <c r="U246" s="1"/>
      <c r="V246" s="2"/>
      <c r="W246" s="2"/>
      <c r="X246" s="2"/>
      <c r="Y246" s="2"/>
      <c r="Z246" s="2"/>
    </row>
    <row r="247" spans="1:26" ht="15.75" customHeight="1" x14ac:dyDescent="0.2">
      <c r="A247" s="12"/>
      <c r="B247" s="10"/>
      <c r="C247" s="11"/>
      <c r="D247" s="13"/>
      <c r="E247" s="13"/>
      <c r="F247" s="13"/>
      <c r="G247" s="2"/>
      <c r="H247" s="2"/>
      <c r="I247" s="13"/>
      <c r="J247" s="13"/>
      <c r="K247" s="13"/>
      <c r="L247" s="14"/>
      <c r="M247" s="4"/>
      <c r="N247" s="2"/>
      <c r="O247" s="4"/>
      <c r="P247" s="2"/>
      <c r="Q247" s="2"/>
      <c r="R247" s="4"/>
      <c r="S247" s="2"/>
      <c r="T247" s="2"/>
      <c r="U247" s="1"/>
      <c r="V247" s="2"/>
      <c r="W247" s="2"/>
      <c r="X247" s="2"/>
      <c r="Y247" s="2"/>
      <c r="Z247" s="2"/>
    </row>
    <row r="248" spans="1:26" ht="15.75" customHeight="1" x14ac:dyDescent="0.2">
      <c r="A248" s="12"/>
      <c r="B248" s="10"/>
      <c r="C248" s="11"/>
      <c r="D248" s="13"/>
      <c r="E248" s="13"/>
      <c r="F248" s="13"/>
      <c r="G248" s="2"/>
      <c r="H248" s="2"/>
      <c r="I248" s="13"/>
      <c r="J248" s="13"/>
      <c r="K248" s="13"/>
      <c r="L248" s="14"/>
      <c r="M248" s="4"/>
      <c r="N248" s="2"/>
      <c r="O248" s="4"/>
      <c r="P248" s="2"/>
      <c r="Q248" s="2"/>
      <c r="R248" s="4"/>
      <c r="S248" s="2"/>
      <c r="T248" s="2"/>
      <c r="U248" s="1"/>
      <c r="V248" s="2"/>
      <c r="W248" s="2"/>
      <c r="X248" s="2"/>
      <c r="Y248" s="2"/>
      <c r="Z248" s="2"/>
    </row>
    <row r="249" spans="1:26" ht="15.75" customHeight="1" x14ac:dyDescent="0.2">
      <c r="A249" s="12"/>
      <c r="B249" s="10"/>
      <c r="C249" s="11"/>
      <c r="D249" s="13"/>
      <c r="E249" s="13"/>
      <c r="F249" s="13"/>
      <c r="G249" s="2"/>
      <c r="H249" s="2"/>
      <c r="I249" s="13"/>
      <c r="J249" s="13"/>
      <c r="K249" s="13"/>
      <c r="L249" s="14"/>
      <c r="M249" s="4"/>
      <c r="N249" s="2"/>
      <c r="O249" s="4"/>
      <c r="P249" s="2"/>
      <c r="Q249" s="2"/>
      <c r="R249" s="4"/>
      <c r="S249" s="2"/>
      <c r="T249" s="2"/>
      <c r="U249" s="1"/>
      <c r="V249" s="2"/>
      <c r="W249" s="2"/>
      <c r="X249" s="2"/>
      <c r="Y249" s="2"/>
      <c r="Z249" s="2"/>
    </row>
    <row r="250" spans="1:26" ht="15.75" customHeight="1" x14ac:dyDescent="0.2">
      <c r="A250" s="12"/>
      <c r="B250" s="10"/>
      <c r="C250" s="11"/>
      <c r="D250" s="13"/>
      <c r="E250" s="13"/>
      <c r="F250" s="13"/>
      <c r="G250" s="2"/>
      <c r="H250" s="2"/>
      <c r="I250" s="13"/>
      <c r="J250" s="13"/>
      <c r="K250" s="13"/>
      <c r="L250" s="14"/>
      <c r="M250" s="4"/>
      <c r="N250" s="2"/>
      <c r="O250" s="4"/>
      <c r="P250" s="2"/>
      <c r="Q250" s="2"/>
      <c r="R250" s="4"/>
      <c r="S250" s="2"/>
      <c r="T250" s="2"/>
      <c r="U250" s="1"/>
      <c r="V250" s="2"/>
      <c r="W250" s="2"/>
      <c r="X250" s="2"/>
      <c r="Y250" s="2"/>
      <c r="Z250" s="2"/>
    </row>
    <row r="251" spans="1:26" ht="15.75" customHeight="1" x14ac:dyDescent="0.2">
      <c r="A251" s="12"/>
      <c r="B251" s="10"/>
      <c r="C251" s="11"/>
      <c r="D251" s="13"/>
      <c r="E251" s="13"/>
      <c r="F251" s="13"/>
      <c r="G251" s="2"/>
      <c r="H251" s="2"/>
      <c r="I251" s="13"/>
      <c r="J251" s="13"/>
      <c r="K251" s="13"/>
      <c r="L251" s="14"/>
      <c r="M251" s="4"/>
      <c r="N251" s="2"/>
      <c r="O251" s="4"/>
      <c r="P251" s="2"/>
      <c r="Q251" s="2"/>
      <c r="R251" s="4"/>
      <c r="S251" s="2"/>
      <c r="T251" s="2"/>
      <c r="U251" s="1"/>
      <c r="V251" s="2"/>
      <c r="W251" s="2"/>
      <c r="X251" s="2"/>
      <c r="Y251" s="2"/>
      <c r="Z251" s="2"/>
    </row>
    <row r="252" spans="1:26" ht="15.75" customHeight="1" x14ac:dyDescent="0.2">
      <c r="A252" s="12"/>
      <c r="B252" s="10"/>
      <c r="C252" s="11"/>
      <c r="D252" s="13"/>
      <c r="E252" s="13"/>
      <c r="F252" s="13"/>
      <c r="G252" s="2"/>
      <c r="H252" s="2"/>
      <c r="I252" s="13"/>
      <c r="J252" s="13"/>
      <c r="K252" s="13"/>
      <c r="L252" s="14"/>
      <c r="M252" s="4"/>
      <c r="N252" s="2"/>
      <c r="O252" s="4"/>
      <c r="P252" s="2"/>
      <c r="Q252" s="2"/>
      <c r="R252" s="4"/>
      <c r="S252" s="2"/>
      <c r="T252" s="2"/>
      <c r="U252" s="1"/>
      <c r="V252" s="2"/>
      <c r="W252" s="2"/>
      <c r="X252" s="2"/>
      <c r="Y252" s="2"/>
      <c r="Z252" s="2"/>
    </row>
    <row r="253" spans="1:26" ht="15.75" customHeight="1" x14ac:dyDescent="0.2">
      <c r="A253" s="12"/>
      <c r="B253" s="10"/>
      <c r="C253" s="11"/>
      <c r="D253" s="13"/>
      <c r="E253" s="13"/>
      <c r="F253" s="13"/>
      <c r="G253" s="2"/>
      <c r="H253" s="2"/>
      <c r="I253" s="13"/>
      <c r="J253" s="13"/>
      <c r="K253" s="13"/>
      <c r="L253" s="14"/>
      <c r="M253" s="4"/>
      <c r="N253" s="2"/>
      <c r="O253" s="4"/>
      <c r="P253" s="2"/>
      <c r="Q253" s="2"/>
      <c r="R253" s="4"/>
      <c r="S253" s="2"/>
      <c r="T253" s="2"/>
      <c r="U253" s="1"/>
      <c r="V253" s="2"/>
      <c r="W253" s="2"/>
      <c r="X253" s="2"/>
      <c r="Y253" s="2"/>
      <c r="Z253" s="2"/>
    </row>
    <row r="254" spans="1:26" ht="15.75" customHeight="1" x14ac:dyDescent="0.2">
      <c r="A254" s="12"/>
      <c r="B254" s="10"/>
      <c r="C254" s="11"/>
      <c r="D254" s="13"/>
      <c r="E254" s="13"/>
      <c r="F254" s="13"/>
      <c r="G254" s="2"/>
      <c r="H254" s="2"/>
      <c r="I254" s="13"/>
      <c r="J254" s="13"/>
      <c r="K254" s="13"/>
      <c r="L254" s="14"/>
      <c r="M254" s="4"/>
      <c r="N254" s="2"/>
      <c r="O254" s="4"/>
      <c r="P254" s="2"/>
      <c r="Q254" s="2"/>
      <c r="R254" s="4"/>
      <c r="S254" s="2"/>
      <c r="T254" s="2"/>
      <c r="U254" s="1"/>
      <c r="V254" s="2"/>
      <c r="W254" s="2"/>
      <c r="X254" s="2"/>
      <c r="Y254" s="2"/>
      <c r="Z254" s="2"/>
    </row>
    <row r="255" spans="1:26" ht="15.75" customHeight="1" x14ac:dyDescent="0.2">
      <c r="A255" s="12"/>
      <c r="B255" s="10"/>
      <c r="C255" s="11"/>
      <c r="D255" s="13"/>
      <c r="E255" s="13"/>
      <c r="F255" s="13"/>
      <c r="G255" s="2"/>
      <c r="H255" s="2"/>
      <c r="I255" s="13"/>
      <c r="J255" s="13"/>
      <c r="K255" s="13"/>
      <c r="L255" s="14"/>
      <c r="M255" s="4"/>
      <c r="N255" s="2"/>
      <c r="O255" s="4"/>
      <c r="P255" s="2"/>
      <c r="Q255" s="2"/>
      <c r="R255" s="4"/>
      <c r="S255" s="2"/>
      <c r="T255" s="2"/>
      <c r="U255" s="1"/>
      <c r="V255" s="2"/>
      <c r="W255" s="2"/>
      <c r="X255" s="2"/>
      <c r="Y255" s="2"/>
      <c r="Z255" s="2"/>
    </row>
    <row r="256" spans="1:26" ht="15.75" customHeight="1" x14ac:dyDescent="0.2">
      <c r="A256" s="12"/>
      <c r="B256" s="10"/>
      <c r="C256" s="11"/>
      <c r="D256" s="13"/>
      <c r="E256" s="13"/>
      <c r="F256" s="13"/>
      <c r="G256" s="2"/>
      <c r="H256" s="2"/>
      <c r="I256" s="13"/>
      <c r="J256" s="13"/>
      <c r="K256" s="13"/>
      <c r="L256" s="14"/>
      <c r="M256" s="4"/>
      <c r="N256" s="2"/>
      <c r="O256" s="4"/>
      <c r="P256" s="2"/>
      <c r="Q256" s="2"/>
      <c r="R256" s="4"/>
      <c r="S256" s="2"/>
      <c r="T256" s="2"/>
      <c r="U256" s="1"/>
      <c r="V256" s="2"/>
      <c r="W256" s="2"/>
      <c r="X256" s="2"/>
      <c r="Y256" s="2"/>
      <c r="Z256" s="2"/>
    </row>
    <row r="257" spans="1:26" ht="15.75" customHeight="1" x14ac:dyDescent="0.2">
      <c r="A257" s="12"/>
      <c r="B257" s="10"/>
      <c r="C257" s="11"/>
      <c r="D257" s="13"/>
      <c r="E257" s="13"/>
      <c r="F257" s="13"/>
      <c r="G257" s="2"/>
      <c r="H257" s="2"/>
      <c r="I257" s="13"/>
      <c r="J257" s="13"/>
      <c r="K257" s="13"/>
      <c r="L257" s="14"/>
      <c r="M257" s="4"/>
      <c r="N257" s="2"/>
      <c r="O257" s="4"/>
      <c r="P257" s="2"/>
      <c r="Q257" s="2"/>
      <c r="R257" s="4"/>
      <c r="S257" s="2"/>
      <c r="T257" s="2"/>
      <c r="U257" s="1"/>
      <c r="V257" s="2"/>
      <c r="W257" s="2"/>
      <c r="X257" s="2"/>
      <c r="Y257" s="2"/>
      <c r="Z257" s="2"/>
    </row>
    <row r="258" spans="1:26" ht="15.75" customHeight="1" x14ac:dyDescent="0.2">
      <c r="A258" s="12"/>
      <c r="B258" s="10"/>
      <c r="C258" s="11"/>
      <c r="D258" s="13"/>
      <c r="E258" s="13"/>
      <c r="F258" s="13"/>
      <c r="G258" s="2"/>
      <c r="H258" s="2"/>
      <c r="I258" s="13"/>
      <c r="J258" s="13"/>
      <c r="K258" s="13"/>
      <c r="L258" s="14"/>
      <c r="M258" s="4"/>
      <c r="N258" s="2"/>
      <c r="O258" s="4"/>
      <c r="P258" s="2"/>
      <c r="Q258" s="2"/>
      <c r="R258" s="4"/>
      <c r="S258" s="2"/>
      <c r="T258" s="2"/>
      <c r="U258" s="1"/>
      <c r="V258" s="2"/>
      <c r="W258" s="2"/>
      <c r="X258" s="2"/>
      <c r="Y258" s="2"/>
      <c r="Z258" s="2"/>
    </row>
    <row r="259" spans="1:26" ht="15.75" customHeight="1" x14ac:dyDescent="0.2">
      <c r="A259" s="12"/>
      <c r="B259" s="10"/>
      <c r="C259" s="11"/>
      <c r="D259" s="13"/>
      <c r="E259" s="13"/>
      <c r="F259" s="13"/>
      <c r="G259" s="2"/>
      <c r="H259" s="2"/>
      <c r="I259" s="13"/>
      <c r="J259" s="13"/>
      <c r="K259" s="13"/>
      <c r="L259" s="14"/>
      <c r="M259" s="4"/>
      <c r="N259" s="2"/>
      <c r="O259" s="4"/>
      <c r="P259" s="2"/>
      <c r="Q259" s="2"/>
      <c r="R259" s="4"/>
      <c r="S259" s="2"/>
      <c r="T259" s="2"/>
      <c r="U259" s="1"/>
      <c r="V259" s="2"/>
      <c r="W259" s="2"/>
      <c r="X259" s="2"/>
      <c r="Y259" s="2"/>
      <c r="Z259" s="2"/>
    </row>
    <row r="260" spans="1:26" ht="15.75" customHeight="1" x14ac:dyDescent="0.2">
      <c r="A260" s="12"/>
      <c r="B260" s="10"/>
      <c r="C260" s="11"/>
      <c r="D260" s="13"/>
      <c r="E260" s="13"/>
      <c r="F260" s="13"/>
      <c r="G260" s="2"/>
      <c r="H260" s="2"/>
      <c r="I260" s="13"/>
      <c r="J260" s="13"/>
      <c r="K260" s="13"/>
      <c r="L260" s="14"/>
      <c r="M260" s="4"/>
      <c r="N260" s="2"/>
      <c r="O260" s="4"/>
      <c r="P260" s="2"/>
      <c r="Q260" s="2"/>
      <c r="R260" s="4"/>
      <c r="S260" s="2"/>
      <c r="T260" s="2"/>
      <c r="U260" s="1"/>
      <c r="V260" s="2"/>
      <c r="W260" s="2"/>
      <c r="X260" s="2"/>
      <c r="Y260" s="2"/>
      <c r="Z260" s="2"/>
    </row>
    <row r="261" spans="1:26" ht="15.75" customHeight="1" x14ac:dyDescent="0.2">
      <c r="A261" s="12"/>
      <c r="B261" s="10"/>
      <c r="C261" s="11"/>
      <c r="D261" s="13"/>
      <c r="E261" s="13"/>
      <c r="F261" s="13"/>
      <c r="G261" s="2"/>
      <c r="H261" s="2"/>
      <c r="I261" s="13"/>
      <c r="J261" s="13"/>
      <c r="K261" s="13"/>
      <c r="L261" s="14"/>
      <c r="M261" s="4"/>
      <c r="N261" s="2"/>
      <c r="O261" s="4"/>
      <c r="P261" s="2"/>
      <c r="Q261" s="2"/>
      <c r="R261" s="4"/>
      <c r="S261" s="2"/>
      <c r="T261" s="2"/>
      <c r="U261" s="1"/>
      <c r="V261" s="2"/>
      <c r="W261" s="2"/>
      <c r="X261" s="2"/>
      <c r="Y261" s="2"/>
      <c r="Z261" s="2"/>
    </row>
    <row r="262" spans="1:26" ht="15.75" customHeight="1" x14ac:dyDescent="0.2">
      <c r="A262" s="12"/>
      <c r="B262" s="10"/>
      <c r="C262" s="11"/>
      <c r="D262" s="13"/>
      <c r="E262" s="13"/>
      <c r="F262" s="13"/>
      <c r="G262" s="2"/>
      <c r="H262" s="2"/>
      <c r="I262" s="13"/>
      <c r="J262" s="13"/>
      <c r="K262" s="13"/>
      <c r="L262" s="14"/>
      <c r="M262" s="4"/>
      <c r="N262" s="2"/>
      <c r="O262" s="4"/>
      <c r="P262" s="2"/>
      <c r="Q262" s="2"/>
      <c r="R262" s="4"/>
      <c r="S262" s="2"/>
      <c r="T262" s="2"/>
      <c r="U262" s="1"/>
      <c r="V262" s="2"/>
      <c r="W262" s="2"/>
      <c r="X262" s="2"/>
      <c r="Y262" s="2"/>
      <c r="Z262" s="2"/>
    </row>
    <row r="263" spans="1:26" ht="15.75" customHeight="1" x14ac:dyDescent="0.2">
      <c r="A263" s="12"/>
      <c r="B263" s="10"/>
      <c r="C263" s="11"/>
      <c r="D263" s="13"/>
      <c r="E263" s="13"/>
      <c r="F263" s="13"/>
      <c r="G263" s="2"/>
      <c r="H263" s="2"/>
      <c r="I263" s="13"/>
      <c r="J263" s="13"/>
      <c r="K263" s="13"/>
      <c r="L263" s="14"/>
      <c r="M263" s="4"/>
      <c r="N263" s="2"/>
      <c r="O263" s="4"/>
      <c r="P263" s="2"/>
      <c r="Q263" s="2"/>
      <c r="R263" s="4"/>
      <c r="S263" s="2"/>
      <c r="T263" s="2"/>
      <c r="U263" s="1"/>
      <c r="V263" s="2"/>
      <c r="W263" s="2"/>
      <c r="X263" s="2"/>
      <c r="Y263" s="2"/>
      <c r="Z263" s="2"/>
    </row>
    <row r="264" spans="1:26" ht="15.75" customHeight="1" x14ac:dyDescent="0.2">
      <c r="A264" s="12"/>
      <c r="B264" s="10"/>
      <c r="C264" s="11"/>
      <c r="D264" s="13"/>
      <c r="E264" s="13"/>
      <c r="F264" s="13"/>
      <c r="G264" s="2"/>
      <c r="H264" s="2"/>
      <c r="I264" s="13"/>
      <c r="J264" s="13"/>
      <c r="K264" s="13"/>
      <c r="L264" s="14"/>
      <c r="M264" s="4"/>
      <c r="N264" s="2"/>
      <c r="O264" s="4"/>
      <c r="P264" s="2"/>
      <c r="Q264" s="2"/>
      <c r="R264" s="4"/>
      <c r="S264" s="2"/>
      <c r="T264" s="2"/>
      <c r="U264" s="1"/>
      <c r="V264" s="2"/>
      <c r="W264" s="2"/>
      <c r="X264" s="2"/>
      <c r="Y264" s="2"/>
      <c r="Z264" s="2"/>
    </row>
    <row r="265" spans="1:26" ht="15.75" customHeight="1" x14ac:dyDescent="0.2">
      <c r="A265" s="12"/>
      <c r="B265" s="10"/>
      <c r="C265" s="11"/>
      <c r="D265" s="13"/>
      <c r="E265" s="13"/>
      <c r="F265" s="13"/>
      <c r="G265" s="2"/>
      <c r="H265" s="2"/>
      <c r="I265" s="13"/>
      <c r="J265" s="13"/>
      <c r="K265" s="13"/>
      <c r="L265" s="14"/>
      <c r="M265" s="4"/>
      <c r="N265" s="2"/>
      <c r="O265" s="4"/>
      <c r="P265" s="2"/>
      <c r="Q265" s="2"/>
      <c r="R265" s="4"/>
      <c r="S265" s="2"/>
      <c r="T265" s="2"/>
      <c r="U265" s="1"/>
      <c r="V265" s="2"/>
      <c r="W265" s="2"/>
      <c r="X265" s="2"/>
      <c r="Y265" s="2"/>
      <c r="Z265" s="2"/>
    </row>
    <row r="266" spans="1:26" ht="15.75" customHeight="1" x14ac:dyDescent="0.2">
      <c r="A266" s="12"/>
      <c r="B266" s="10"/>
      <c r="C266" s="11"/>
      <c r="D266" s="13"/>
      <c r="E266" s="13"/>
      <c r="F266" s="13"/>
      <c r="G266" s="2"/>
      <c r="H266" s="2"/>
      <c r="I266" s="13"/>
      <c r="J266" s="13"/>
      <c r="K266" s="13"/>
      <c r="L266" s="14"/>
      <c r="M266" s="4"/>
      <c r="N266" s="2"/>
      <c r="O266" s="4"/>
      <c r="P266" s="2"/>
      <c r="Q266" s="2"/>
      <c r="R266" s="4"/>
      <c r="S266" s="2"/>
      <c r="T266" s="2"/>
      <c r="U266" s="1"/>
      <c r="V266" s="2"/>
      <c r="W266" s="2"/>
      <c r="X266" s="2"/>
      <c r="Y266" s="2"/>
      <c r="Z266" s="2"/>
    </row>
    <row r="267" spans="1:26" ht="15.75" customHeight="1" x14ac:dyDescent="0.2">
      <c r="A267" s="12"/>
      <c r="B267" s="10"/>
      <c r="C267" s="11"/>
      <c r="D267" s="13"/>
      <c r="E267" s="13"/>
      <c r="F267" s="13"/>
      <c r="G267" s="2"/>
      <c r="H267" s="2"/>
      <c r="I267" s="13"/>
      <c r="J267" s="13"/>
      <c r="K267" s="13"/>
      <c r="L267" s="14"/>
      <c r="M267" s="4"/>
      <c r="N267" s="2"/>
      <c r="O267" s="4"/>
      <c r="P267" s="2"/>
      <c r="Q267" s="2"/>
      <c r="R267" s="4"/>
      <c r="S267" s="2"/>
      <c r="T267" s="2"/>
      <c r="U267" s="1"/>
      <c r="V267" s="2"/>
      <c r="W267" s="2"/>
      <c r="X267" s="2"/>
      <c r="Y267" s="2"/>
      <c r="Z267" s="2"/>
    </row>
    <row r="268" spans="1:26" ht="15.75" customHeight="1" x14ac:dyDescent="0.2">
      <c r="A268" s="12"/>
      <c r="B268" s="10"/>
      <c r="C268" s="11"/>
      <c r="D268" s="13"/>
      <c r="E268" s="13"/>
      <c r="F268" s="13"/>
      <c r="G268" s="2"/>
      <c r="H268" s="2"/>
      <c r="I268" s="13"/>
      <c r="J268" s="13"/>
      <c r="K268" s="13"/>
      <c r="L268" s="14"/>
      <c r="M268" s="4"/>
      <c r="N268" s="2"/>
      <c r="O268" s="4"/>
      <c r="P268" s="2"/>
      <c r="Q268" s="2"/>
      <c r="R268" s="4"/>
      <c r="S268" s="2"/>
      <c r="T268" s="2"/>
      <c r="U268" s="1"/>
      <c r="V268" s="2"/>
      <c r="W268" s="2"/>
      <c r="X268" s="2"/>
      <c r="Y268" s="2"/>
      <c r="Z268" s="2"/>
    </row>
    <row r="269" spans="1:26" ht="15.75" customHeight="1" x14ac:dyDescent="0.2">
      <c r="A269" s="12"/>
      <c r="B269" s="10"/>
      <c r="C269" s="11"/>
      <c r="D269" s="13"/>
      <c r="E269" s="13"/>
      <c r="F269" s="13"/>
      <c r="G269" s="2"/>
      <c r="H269" s="2"/>
      <c r="I269" s="13"/>
      <c r="J269" s="13"/>
      <c r="K269" s="13"/>
      <c r="L269" s="14"/>
      <c r="M269" s="4"/>
      <c r="N269" s="2"/>
      <c r="O269" s="4"/>
      <c r="P269" s="2"/>
      <c r="Q269" s="2"/>
      <c r="R269" s="4"/>
      <c r="S269" s="2"/>
      <c r="T269" s="2"/>
      <c r="U269" s="1"/>
      <c r="V269" s="2"/>
      <c r="W269" s="2"/>
      <c r="X269" s="2"/>
      <c r="Y269" s="2"/>
      <c r="Z269" s="2"/>
    </row>
    <row r="270" spans="1:26" ht="15.75" customHeight="1" x14ac:dyDescent="0.2">
      <c r="A270" s="12"/>
      <c r="B270" s="10"/>
      <c r="C270" s="11"/>
      <c r="D270" s="13"/>
      <c r="E270" s="13"/>
      <c r="F270" s="13"/>
      <c r="G270" s="2"/>
      <c r="H270" s="2"/>
      <c r="I270" s="13"/>
      <c r="J270" s="13"/>
      <c r="K270" s="13"/>
      <c r="L270" s="14"/>
      <c r="M270" s="4"/>
      <c r="N270" s="2"/>
      <c r="O270" s="4"/>
      <c r="P270" s="2"/>
      <c r="Q270" s="2"/>
      <c r="R270" s="4"/>
      <c r="S270" s="2"/>
      <c r="T270" s="2"/>
      <c r="U270" s="1"/>
      <c r="V270" s="2"/>
      <c r="W270" s="2"/>
      <c r="X270" s="2"/>
      <c r="Y270" s="2"/>
      <c r="Z270" s="2"/>
    </row>
    <row r="271" spans="1:26" ht="15.75" customHeight="1" x14ac:dyDescent="0.2">
      <c r="A271" s="12"/>
      <c r="B271" s="10"/>
      <c r="C271" s="11"/>
      <c r="D271" s="13"/>
      <c r="E271" s="13"/>
      <c r="F271" s="13"/>
      <c r="G271" s="2"/>
      <c r="H271" s="2"/>
      <c r="I271" s="13"/>
      <c r="J271" s="13"/>
      <c r="K271" s="13"/>
      <c r="L271" s="14"/>
      <c r="M271" s="4"/>
      <c r="N271" s="2"/>
      <c r="O271" s="4"/>
      <c r="P271" s="2"/>
      <c r="Q271" s="2"/>
      <c r="R271" s="4"/>
      <c r="S271" s="2"/>
      <c r="T271" s="2"/>
      <c r="U271" s="1"/>
      <c r="V271" s="2"/>
      <c r="W271" s="2"/>
      <c r="X271" s="2"/>
      <c r="Y271" s="2"/>
      <c r="Z271" s="2"/>
    </row>
    <row r="272" spans="1:26" ht="15.75" customHeight="1" x14ac:dyDescent="0.2">
      <c r="A272" s="12"/>
      <c r="B272" s="10"/>
      <c r="C272" s="11"/>
      <c r="D272" s="13"/>
      <c r="E272" s="13"/>
      <c r="F272" s="13"/>
      <c r="G272" s="2"/>
      <c r="H272" s="2"/>
      <c r="I272" s="13"/>
      <c r="J272" s="13"/>
      <c r="K272" s="13"/>
      <c r="L272" s="14"/>
      <c r="M272" s="4"/>
      <c r="N272" s="2"/>
      <c r="O272" s="4"/>
      <c r="P272" s="2"/>
      <c r="Q272" s="2"/>
      <c r="R272" s="4"/>
      <c r="S272" s="2"/>
      <c r="T272" s="2"/>
      <c r="U272" s="1"/>
      <c r="V272" s="2"/>
      <c r="W272" s="2"/>
      <c r="X272" s="2"/>
      <c r="Y272" s="2"/>
      <c r="Z272" s="2"/>
    </row>
    <row r="273" spans="1:26" ht="15.75" customHeight="1" x14ac:dyDescent="0.2">
      <c r="A273" s="12"/>
      <c r="B273" s="10"/>
      <c r="C273" s="11"/>
      <c r="D273" s="13"/>
      <c r="E273" s="13"/>
      <c r="F273" s="13"/>
      <c r="G273" s="2"/>
      <c r="H273" s="2"/>
      <c r="I273" s="13"/>
      <c r="J273" s="13"/>
      <c r="K273" s="13"/>
      <c r="L273" s="14"/>
      <c r="M273" s="4"/>
      <c r="N273" s="2"/>
      <c r="O273" s="4"/>
      <c r="P273" s="2"/>
      <c r="Q273" s="2"/>
      <c r="R273" s="4"/>
      <c r="S273" s="2"/>
      <c r="T273" s="2"/>
      <c r="U273" s="1"/>
      <c r="V273" s="2"/>
      <c r="W273" s="2"/>
      <c r="X273" s="2"/>
      <c r="Y273" s="2"/>
      <c r="Z273" s="2"/>
    </row>
    <row r="274" spans="1:26" ht="15.75" customHeight="1" x14ac:dyDescent="0.2">
      <c r="A274" s="12"/>
      <c r="B274" s="10"/>
      <c r="C274" s="11"/>
      <c r="D274" s="13"/>
      <c r="E274" s="13"/>
      <c r="F274" s="13"/>
      <c r="G274" s="2"/>
      <c r="H274" s="2"/>
      <c r="I274" s="13"/>
      <c r="J274" s="13"/>
      <c r="K274" s="13"/>
      <c r="L274" s="14"/>
      <c r="M274" s="4"/>
      <c r="N274" s="2"/>
      <c r="O274" s="4"/>
      <c r="P274" s="2"/>
      <c r="Q274" s="2"/>
      <c r="R274" s="4"/>
      <c r="S274" s="2"/>
      <c r="T274" s="2"/>
      <c r="U274" s="1"/>
      <c r="V274" s="2"/>
      <c r="W274" s="2"/>
      <c r="X274" s="2"/>
      <c r="Y274" s="2"/>
      <c r="Z274" s="2"/>
    </row>
    <row r="275" spans="1:26" ht="15.75" customHeight="1" x14ac:dyDescent="0.2">
      <c r="A275" s="12"/>
      <c r="B275" s="10"/>
      <c r="C275" s="11"/>
      <c r="D275" s="13"/>
      <c r="E275" s="13"/>
      <c r="F275" s="13"/>
      <c r="G275" s="2"/>
      <c r="H275" s="2"/>
      <c r="I275" s="13"/>
      <c r="J275" s="13"/>
      <c r="K275" s="13"/>
      <c r="L275" s="14"/>
      <c r="M275" s="4"/>
      <c r="N275" s="2"/>
      <c r="O275" s="4"/>
      <c r="P275" s="2"/>
      <c r="Q275" s="2"/>
      <c r="R275" s="4"/>
      <c r="S275" s="2"/>
      <c r="T275" s="2"/>
      <c r="U275" s="1"/>
      <c r="V275" s="2"/>
      <c r="W275" s="2"/>
      <c r="X275" s="2"/>
      <c r="Y275" s="2"/>
      <c r="Z275" s="2"/>
    </row>
    <row r="276" spans="1:26" ht="15.75" customHeight="1" x14ac:dyDescent="0.2">
      <c r="A276" s="12"/>
      <c r="B276" s="10"/>
      <c r="C276" s="11"/>
      <c r="D276" s="13"/>
      <c r="E276" s="13"/>
      <c r="F276" s="13"/>
      <c r="G276" s="2"/>
      <c r="H276" s="2"/>
      <c r="I276" s="13"/>
      <c r="J276" s="13"/>
      <c r="K276" s="13"/>
      <c r="L276" s="14"/>
      <c r="M276" s="4"/>
      <c r="N276" s="2"/>
      <c r="O276" s="4"/>
      <c r="P276" s="2"/>
      <c r="Q276" s="2"/>
      <c r="R276" s="4"/>
      <c r="S276" s="2"/>
      <c r="T276" s="2"/>
      <c r="U276" s="1"/>
      <c r="V276" s="2"/>
      <c r="W276" s="2"/>
      <c r="X276" s="2"/>
      <c r="Y276" s="2"/>
      <c r="Z276" s="2"/>
    </row>
    <row r="277" spans="1:26" ht="15.75" customHeight="1" x14ac:dyDescent="0.2">
      <c r="A277" s="12"/>
      <c r="B277" s="10"/>
      <c r="C277" s="11"/>
      <c r="D277" s="13"/>
      <c r="E277" s="13"/>
      <c r="F277" s="13"/>
      <c r="G277" s="2"/>
      <c r="H277" s="2"/>
      <c r="I277" s="13"/>
      <c r="J277" s="13"/>
      <c r="K277" s="13"/>
      <c r="L277" s="14"/>
      <c r="M277" s="4"/>
      <c r="N277" s="2"/>
      <c r="O277" s="4"/>
      <c r="P277" s="2"/>
      <c r="Q277" s="2"/>
      <c r="R277" s="4"/>
      <c r="S277" s="2"/>
      <c r="T277" s="2"/>
      <c r="U277" s="1"/>
      <c r="V277" s="2"/>
      <c r="W277" s="2"/>
      <c r="X277" s="2"/>
      <c r="Y277" s="2"/>
      <c r="Z277" s="2"/>
    </row>
    <row r="278" spans="1:26" ht="15.75" customHeight="1" x14ac:dyDescent="0.2">
      <c r="A278" s="12"/>
      <c r="B278" s="10"/>
      <c r="C278" s="11"/>
      <c r="D278" s="13"/>
      <c r="E278" s="13"/>
      <c r="F278" s="13"/>
      <c r="G278" s="2"/>
      <c r="H278" s="2"/>
      <c r="I278" s="13"/>
      <c r="J278" s="13"/>
      <c r="K278" s="13"/>
      <c r="L278" s="14"/>
      <c r="M278" s="4"/>
      <c r="N278" s="2"/>
      <c r="O278" s="4"/>
      <c r="P278" s="2"/>
      <c r="Q278" s="2"/>
      <c r="R278" s="4"/>
      <c r="S278" s="2"/>
      <c r="T278" s="2"/>
      <c r="U278" s="1"/>
      <c r="V278" s="2"/>
      <c r="W278" s="2"/>
      <c r="X278" s="2"/>
      <c r="Y278" s="2"/>
      <c r="Z278" s="2"/>
    </row>
    <row r="279" spans="1:26" ht="15.75" customHeight="1" x14ac:dyDescent="0.2">
      <c r="A279" s="12"/>
      <c r="B279" s="10"/>
      <c r="C279" s="11"/>
      <c r="D279" s="13"/>
      <c r="E279" s="13"/>
      <c r="F279" s="13"/>
      <c r="G279" s="2"/>
      <c r="H279" s="2"/>
      <c r="I279" s="13"/>
      <c r="J279" s="13"/>
      <c r="K279" s="13"/>
      <c r="L279" s="14"/>
      <c r="M279" s="4"/>
      <c r="N279" s="2"/>
      <c r="O279" s="4"/>
      <c r="P279" s="2"/>
      <c r="Q279" s="2"/>
      <c r="R279" s="4"/>
      <c r="S279" s="2"/>
      <c r="T279" s="2"/>
      <c r="U279" s="1"/>
      <c r="V279" s="2"/>
      <c r="W279" s="2"/>
      <c r="X279" s="2"/>
      <c r="Y279" s="2"/>
      <c r="Z279" s="2"/>
    </row>
    <row r="280" spans="1:26" ht="15.75" customHeight="1" x14ac:dyDescent="0.2">
      <c r="A280" s="12"/>
      <c r="B280" s="10"/>
      <c r="C280" s="11"/>
      <c r="D280" s="13"/>
      <c r="E280" s="13"/>
      <c r="F280" s="13"/>
      <c r="G280" s="2"/>
      <c r="H280" s="2"/>
      <c r="I280" s="13"/>
      <c r="J280" s="13"/>
      <c r="K280" s="13"/>
      <c r="L280" s="14"/>
      <c r="M280" s="4"/>
      <c r="N280" s="2"/>
      <c r="O280" s="4"/>
      <c r="P280" s="2"/>
      <c r="Q280" s="2"/>
      <c r="R280" s="4"/>
      <c r="S280" s="2"/>
      <c r="T280" s="2"/>
      <c r="U280" s="1"/>
      <c r="V280" s="2"/>
      <c r="W280" s="2"/>
      <c r="X280" s="2"/>
      <c r="Y280" s="2"/>
      <c r="Z280" s="2"/>
    </row>
    <row r="281" spans="1:26" ht="15.75" customHeight="1" x14ac:dyDescent="0.2">
      <c r="A281" s="12"/>
      <c r="B281" s="10"/>
      <c r="C281" s="11"/>
      <c r="D281" s="13"/>
      <c r="E281" s="13"/>
      <c r="F281" s="13"/>
      <c r="G281" s="2"/>
      <c r="H281" s="2"/>
      <c r="I281" s="13"/>
      <c r="J281" s="13"/>
      <c r="K281" s="13"/>
      <c r="L281" s="14"/>
      <c r="M281" s="4"/>
      <c r="N281" s="2"/>
      <c r="O281" s="4"/>
      <c r="P281" s="2"/>
      <c r="Q281" s="2"/>
      <c r="R281" s="4"/>
      <c r="S281" s="2"/>
      <c r="T281" s="2"/>
      <c r="U281" s="1"/>
      <c r="V281" s="2"/>
      <c r="W281" s="2"/>
      <c r="X281" s="2"/>
      <c r="Y281" s="2"/>
      <c r="Z281" s="2"/>
    </row>
    <row r="282" spans="1:26" ht="15.75" customHeight="1" x14ac:dyDescent="0.2">
      <c r="A282" s="12"/>
      <c r="B282" s="10"/>
      <c r="C282" s="11"/>
      <c r="D282" s="13"/>
      <c r="E282" s="13"/>
      <c r="F282" s="13"/>
      <c r="G282" s="2"/>
      <c r="H282" s="2"/>
      <c r="I282" s="13"/>
      <c r="J282" s="13"/>
      <c r="K282" s="13"/>
      <c r="L282" s="14"/>
      <c r="M282" s="4"/>
      <c r="N282" s="2"/>
      <c r="O282" s="4"/>
      <c r="P282" s="2"/>
      <c r="Q282" s="2"/>
      <c r="R282" s="4"/>
      <c r="S282" s="2"/>
      <c r="T282" s="2"/>
      <c r="U282" s="1"/>
      <c r="V282" s="2"/>
      <c r="W282" s="2"/>
      <c r="X282" s="2"/>
      <c r="Y282" s="2"/>
      <c r="Z282" s="2"/>
    </row>
    <row r="283" spans="1:26" ht="15.75" customHeight="1" x14ac:dyDescent="0.2">
      <c r="A283" s="12"/>
      <c r="B283" s="10"/>
      <c r="C283" s="11"/>
      <c r="D283" s="13"/>
      <c r="E283" s="13"/>
      <c r="F283" s="13"/>
      <c r="G283" s="2"/>
      <c r="H283" s="2"/>
      <c r="I283" s="13"/>
      <c r="J283" s="13"/>
      <c r="K283" s="13"/>
      <c r="L283" s="14"/>
      <c r="M283" s="4"/>
      <c r="N283" s="2"/>
      <c r="O283" s="4"/>
      <c r="P283" s="2"/>
      <c r="Q283" s="2"/>
      <c r="R283" s="4"/>
      <c r="S283" s="2"/>
      <c r="T283" s="2"/>
      <c r="U283" s="1"/>
      <c r="V283" s="2"/>
      <c r="W283" s="2"/>
      <c r="X283" s="2"/>
      <c r="Y283" s="2"/>
      <c r="Z283" s="2"/>
    </row>
    <row r="284" spans="1:26" ht="15.75" customHeight="1" x14ac:dyDescent="0.2">
      <c r="A284" s="12"/>
      <c r="B284" s="10"/>
      <c r="C284" s="11"/>
      <c r="D284" s="13"/>
      <c r="E284" s="13"/>
      <c r="F284" s="13"/>
      <c r="G284" s="2"/>
      <c r="H284" s="2"/>
      <c r="I284" s="13"/>
      <c r="J284" s="13"/>
      <c r="K284" s="13"/>
      <c r="L284" s="14"/>
      <c r="M284" s="4"/>
      <c r="N284" s="2"/>
      <c r="O284" s="4"/>
      <c r="P284" s="2"/>
      <c r="Q284" s="2"/>
      <c r="R284" s="4"/>
      <c r="S284" s="2"/>
      <c r="T284" s="2"/>
      <c r="U284" s="1"/>
      <c r="V284" s="2"/>
      <c r="W284" s="2"/>
      <c r="X284" s="2"/>
      <c r="Y284" s="2"/>
      <c r="Z284" s="2"/>
    </row>
    <row r="285" spans="1:26" ht="15.75" customHeight="1" x14ac:dyDescent="0.2">
      <c r="A285" s="12"/>
      <c r="B285" s="10"/>
      <c r="C285" s="11"/>
      <c r="D285" s="13"/>
      <c r="E285" s="13"/>
      <c r="F285" s="13"/>
      <c r="G285" s="2"/>
      <c r="H285" s="2"/>
      <c r="I285" s="13"/>
      <c r="J285" s="13"/>
      <c r="K285" s="13"/>
      <c r="L285" s="14"/>
      <c r="M285" s="4"/>
      <c r="N285" s="2"/>
      <c r="O285" s="4"/>
      <c r="P285" s="2"/>
      <c r="Q285" s="2"/>
      <c r="R285" s="4"/>
      <c r="S285" s="2"/>
      <c r="T285" s="2"/>
      <c r="U285" s="1"/>
      <c r="V285" s="2"/>
      <c r="W285" s="2"/>
      <c r="X285" s="2"/>
      <c r="Y285" s="2"/>
      <c r="Z285" s="2"/>
    </row>
    <row r="286" spans="1:26" ht="15.75" customHeight="1" x14ac:dyDescent="0.2">
      <c r="A286" s="12"/>
      <c r="B286" s="10"/>
      <c r="C286" s="11"/>
      <c r="D286" s="13"/>
      <c r="E286" s="13"/>
      <c r="F286" s="13"/>
      <c r="G286" s="2"/>
      <c r="H286" s="2"/>
      <c r="I286" s="13"/>
      <c r="J286" s="13"/>
      <c r="K286" s="13"/>
      <c r="L286" s="14"/>
      <c r="M286" s="4"/>
      <c r="N286" s="2"/>
      <c r="O286" s="4"/>
      <c r="P286" s="2"/>
      <c r="Q286" s="2"/>
      <c r="R286" s="4"/>
      <c r="S286" s="2"/>
      <c r="T286" s="2"/>
      <c r="U286" s="1"/>
      <c r="V286" s="2"/>
      <c r="W286" s="2"/>
      <c r="X286" s="2"/>
      <c r="Y286" s="2"/>
      <c r="Z286" s="2"/>
    </row>
    <row r="287" spans="1:26" ht="15.75" customHeight="1" x14ac:dyDescent="0.2">
      <c r="A287" s="12"/>
      <c r="B287" s="10"/>
      <c r="C287" s="11"/>
      <c r="D287" s="13"/>
      <c r="E287" s="13"/>
      <c r="F287" s="13"/>
      <c r="G287" s="2"/>
      <c r="H287" s="2"/>
      <c r="I287" s="13"/>
      <c r="J287" s="13"/>
      <c r="K287" s="13"/>
      <c r="L287" s="14"/>
      <c r="M287" s="4"/>
      <c r="N287" s="2"/>
      <c r="O287" s="4"/>
      <c r="P287" s="2"/>
      <c r="Q287" s="2"/>
      <c r="R287" s="4"/>
      <c r="S287" s="2"/>
      <c r="T287" s="2"/>
      <c r="U287" s="1"/>
      <c r="V287" s="2"/>
      <c r="W287" s="2"/>
      <c r="X287" s="2"/>
      <c r="Y287" s="2"/>
      <c r="Z287" s="2"/>
    </row>
    <row r="288" spans="1:26" ht="15.75" customHeight="1" x14ac:dyDescent="0.2">
      <c r="A288" s="12"/>
      <c r="B288" s="10"/>
      <c r="C288" s="11"/>
      <c r="D288" s="13"/>
      <c r="E288" s="13"/>
      <c r="F288" s="13"/>
      <c r="G288" s="2"/>
      <c r="H288" s="2"/>
      <c r="I288" s="13"/>
      <c r="J288" s="13"/>
      <c r="K288" s="13"/>
      <c r="L288" s="14"/>
      <c r="M288" s="4"/>
      <c r="N288" s="2"/>
      <c r="O288" s="4"/>
      <c r="P288" s="2"/>
      <c r="Q288" s="2"/>
      <c r="R288" s="4"/>
      <c r="S288" s="2"/>
      <c r="T288" s="2"/>
      <c r="U288" s="1"/>
      <c r="V288" s="2"/>
      <c r="W288" s="2"/>
      <c r="X288" s="2"/>
      <c r="Y288" s="2"/>
      <c r="Z288" s="2"/>
    </row>
    <row r="289" spans="1:26" ht="15.75" customHeight="1" x14ac:dyDescent="0.2">
      <c r="A289" s="12"/>
      <c r="B289" s="10"/>
      <c r="C289" s="11"/>
      <c r="D289" s="13"/>
      <c r="E289" s="13"/>
      <c r="F289" s="13"/>
      <c r="G289" s="2"/>
      <c r="H289" s="2"/>
      <c r="I289" s="13"/>
      <c r="J289" s="13"/>
      <c r="K289" s="13"/>
      <c r="L289" s="14"/>
      <c r="M289" s="4"/>
      <c r="N289" s="2"/>
      <c r="O289" s="4"/>
      <c r="P289" s="2"/>
      <c r="Q289" s="2"/>
      <c r="R289" s="4"/>
      <c r="S289" s="2"/>
      <c r="T289" s="2"/>
      <c r="U289" s="1"/>
      <c r="V289" s="2"/>
      <c r="W289" s="2"/>
      <c r="X289" s="2"/>
      <c r="Y289" s="2"/>
      <c r="Z289" s="2"/>
    </row>
    <row r="290" spans="1:26" ht="15.75" customHeight="1" x14ac:dyDescent="0.2">
      <c r="A290" s="12"/>
      <c r="B290" s="10"/>
      <c r="C290" s="11"/>
      <c r="D290" s="13"/>
      <c r="E290" s="13"/>
      <c r="F290" s="13"/>
      <c r="G290" s="2"/>
      <c r="H290" s="2"/>
      <c r="I290" s="13"/>
      <c r="J290" s="13"/>
      <c r="K290" s="13"/>
      <c r="L290" s="14"/>
      <c r="M290" s="4"/>
      <c r="N290" s="2"/>
      <c r="O290" s="4"/>
      <c r="P290" s="2"/>
      <c r="Q290" s="2"/>
      <c r="R290" s="4"/>
      <c r="S290" s="2"/>
      <c r="T290" s="2"/>
      <c r="U290" s="1"/>
      <c r="V290" s="2"/>
      <c r="W290" s="2"/>
      <c r="X290" s="2"/>
      <c r="Y290" s="2"/>
      <c r="Z290" s="2"/>
    </row>
    <row r="291" spans="1:26" ht="15.75" customHeight="1" x14ac:dyDescent="0.2">
      <c r="A291" s="12"/>
      <c r="B291" s="10"/>
      <c r="C291" s="11"/>
      <c r="D291" s="13"/>
      <c r="E291" s="13"/>
      <c r="F291" s="13"/>
      <c r="G291" s="2"/>
      <c r="H291" s="2"/>
      <c r="I291" s="13"/>
      <c r="J291" s="13"/>
      <c r="K291" s="13"/>
      <c r="L291" s="14"/>
      <c r="M291" s="4"/>
      <c r="N291" s="2"/>
      <c r="O291" s="4"/>
      <c r="P291" s="2"/>
      <c r="Q291" s="2"/>
      <c r="R291" s="4"/>
      <c r="S291" s="2"/>
      <c r="T291" s="2"/>
      <c r="U291" s="1"/>
      <c r="V291" s="2"/>
      <c r="W291" s="2"/>
      <c r="X291" s="2"/>
      <c r="Y291" s="2"/>
      <c r="Z291" s="2"/>
    </row>
    <row r="292" spans="1:26" ht="15.75" customHeight="1" x14ac:dyDescent="0.2">
      <c r="A292" s="12"/>
      <c r="B292" s="10"/>
      <c r="C292" s="11"/>
      <c r="D292" s="13"/>
      <c r="E292" s="13"/>
      <c r="F292" s="13"/>
      <c r="G292" s="2"/>
      <c r="H292" s="2"/>
      <c r="I292" s="13"/>
      <c r="J292" s="13"/>
      <c r="K292" s="13"/>
      <c r="L292" s="14"/>
      <c r="M292" s="4"/>
      <c r="N292" s="2"/>
      <c r="O292" s="4"/>
      <c r="P292" s="2"/>
      <c r="Q292" s="2"/>
      <c r="R292" s="4"/>
      <c r="S292" s="2"/>
      <c r="T292" s="2"/>
      <c r="U292" s="1"/>
      <c r="V292" s="2"/>
      <c r="W292" s="2"/>
      <c r="X292" s="2"/>
      <c r="Y292" s="2"/>
      <c r="Z292" s="2"/>
    </row>
    <row r="293" spans="1:26" ht="15.75" customHeight="1" x14ac:dyDescent="0.2">
      <c r="A293" s="12"/>
      <c r="B293" s="10"/>
      <c r="C293" s="11"/>
      <c r="D293" s="13"/>
      <c r="E293" s="13"/>
      <c r="F293" s="13"/>
      <c r="G293" s="2"/>
      <c r="H293" s="2"/>
      <c r="I293" s="13"/>
      <c r="J293" s="13"/>
      <c r="K293" s="13"/>
      <c r="L293" s="14"/>
      <c r="M293" s="4"/>
      <c r="N293" s="2"/>
      <c r="O293" s="4"/>
      <c r="P293" s="2"/>
      <c r="Q293" s="2"/>
      <c r="R293" s="4"/>
      <c r="S293" s="2"/>
      <c r="T293" s="2"/>
      <c r="U293" s="1"/>
      <c r="V293" s="2"/>
      <c r="W293" s="2"/>
      <c r="X293" s="2"/>
      <c r="Y293" s="2"/>
      <c r="Z293" s="2"/>
    </row>
    <row r="294" spans="1:26" ht="15.75" customHeight="1" x14ac:dyDescent="0.2">
      <c r="A294" s="12"/>
      <c r="B294" s="10"/>
      <c r="C294" s="11"/>
      <c r="D294" s="13"/>
      <c r="E294" s="13"/>
      <c r="F294" s="13"/>
      <c r="G294" s="2"/>
      <c r="H294" s="2"/>
      <c r="I294" s="13"/>
      <c r="J294" s="13"/>
      <c r="K294" s="13"/>
      <c r="L294" s="14"/>
      <c r="M294" s="4"/>
      <c r="N294" s="2"/>
      <c r="O294" s="4"/>
      <c r="P294" s="2"/>
      <c r="Q294" s="2"/>
      <c r="R294" s="4"/>
      <c r="S294" s="2"/>
      <c r="T294" s="2"/>
      <c r="U294" s="1"/>
      <c r="V294" s="2"/>
      <c r="W294" s="2"/>
      <c r="X294" s="2"/>
      <c r="Y294" s="2"/>
      <c r="Z294" s="2"/>
    </row>
    <row r="295" spans="1:26" ht="15.75" customHeight="1" x14ac:dyDescent="0.2">
      <c r="A295" s="12"/>
      <c r="B295" s="10"/>
      <c r="C295" s="11"/>
      <c r="D295" s="13"/>
      <c r="E295" s="13"/>
      <c r="F295" s="13"/>
      <c r="G295" s="2"/>
      <c r="H295" s="2"/>
      <c r="I295" s="13"/>
      <c r="J295" s="13"/>
      <c r="K295" s="13"/>
      <c r="L295" s="14"/>
      <c r="M295" s="4"/>
      <c r="N295" s="2"/>
      <c r="O295" s="4"/>
      <c r="P295" s="2"/>
      <c r="Q295" s="2"/>
      <c r="R295" s="4"/>
      <c r="S295" s="2"/>
      <c r="T295" s="2"/>
      <c r="U295" s="1"/>
      <c r="V295" s="2"/>
      <c r="W295" s="2"/>
      <c r="X295" s="2"/>
      <c r="Y295" s="2"/>
      <c r="Z295" s="2"/>
    </row>
    <row r="296" spans="1:26" ht="15.75" customHeight="1" x14ac:dyDescent="0.2">
      <c r="A296" s="12"/>
      <c r="B296" s="10"/>
      <c r="C296" s="11"/>
      <c r="D296" s="13"/>
      <c r="E296" s="13"/>
      <c r="F296" s="13"/>
      <c r="G296" s="2"/>
      <c r="H296" s="2"/>
      <c r="I296" s="13"/>
      <c r="J296" s="13"/>
      <c r="K296" s="13"/>
      <c r="L296" s="14"/>
      <c r="M296" s="4"/>
      <c r="N296" s="2"/>
      <c r="O296" s="4"/>
      <c r="P296" s="2"/>
      <c r="Q296" s="2"/>
      <c r="R296" s="4"/>
      <c r="S296" s="2"/>
      <c r="T296" s="2"/>
      <c r="U296" s="1"/>
      <c r="V296" s="2"/>
      <c r="W296" s="2"/>
      <c r="X296" s="2"/>
      <c r="Y296" s="2"/>
      <c r="Z296" s="2"/>
    </row>
    <row r="297" spans="1:26" ht="15.75" customHeight="1" x14ac:dyDescent="0.2">
      <c r="A297" s="12"/>
      <c r="B297" s="10"/>
      <c r="C297" s="11"/>
      <c r="D297" s="13"/>
      <c r="E297" s="13"/>
      <c r="F297" s="13"/>
      <c r="G297" s="2"/>
      <c r="H297" s="2"/>
      <c r="I297" s="13"/>
      <c r="J297" s="13"/>
      <c r="K297" s="13"/>
      <c r="L297" s="14"/>
      <c r="M297" s="4"/>
      <c r="N297" s="2"/>
      <c r="O297" s="4"/>
      <c r="P297" s="2"/>
      <c r="Q297" s="2"/>
      <c r="R297" s="4"/>
      <c r="S297" s="2"/>
      <c r="T297" s="2"/>
      <c r="U297" s="1"/>
      <c r="V297" s="2"/>
      <c r="W297" s="2"/>
      <c r="X297" s="2"/>
      <c r="Y297" s="2"/>
      <c r="Z297" s="2"/>
    </row>
    <row r="298" spans="1:26" ht="15.75" customHeight="1" x14ac:dyDescent="0.2">
      <c r="A298" s="12"/>
      <c r="B298" s="10"/>
      <c r="C298" s="11"/>
      <c r="D298" s="13"/>
      <c r="E298" s="13"/>
      <c r="F298" s="13"/>
      <c r="G298" s="2"/>
      <c r="H298" s="2"/>
      <c r="I298" s="13"/>
      <c r="J298" s="13"/>
      <c r="K298" s="13"/>
      <c r="L298" s="14"/>
      <c r="M298" s="4"/>
      <c r="N298" s="2"/>
      <c r="O298" s="4"/>
      <c r="P298" s="2"/>
      <c r="Q298" s="2"/>
      <c r="R298" s="4"/>
      <c r="S298" s="2"/>
      <c r="T298" s="2"/>
      <c r="U298" s="1"/>
      <c r="V298" s="2"/>
      <c r="W298" s="2"/>
      <c r="X298" s="2"/>
      <c r="Y298" s="2"/>
      <c r="Z298" s="2"/>
    </row>
    <row r="299" spans="1:26" ht="15.75" customHeight="1" x14ac:dyDescent="0.2">
      <c r="A299" s="12"/>
      <c r="B299" s="10"/>
      <c r="C299" s="11"/>
      <c r="D299" s="13"/>
      <c r="E299" s="13"/>
      <c r="F299" s="13"/>
      <c r="G299" s="2"/>
      <c r="H299" s="2"/>
      <c r="I299" s="13"/>
      <c r="J299" s="13"/>
      <c r="K299" s="13"/>
      <c r="L299" s="14"/>
      <c r="M299" s="4"/>
      <c r="N299" s="2"/>
      <c r="O299" s="4"/>
      <c r="P299" s="2"/>
      <c r="Q299" s="2"/>
      <c r="R299" s="4"/>
      <c r="S299" s="2"/>
      <c r="T299" s="2"/>
      <c r="U299" s="1"/>
      <c r="V299" s="2"/>
      <c r="W299" s="2"/>
      <c r="X299" s="2"/>
      <c r="Y299" s="2"/>
      <c r="Z299" s="2"/>
    </row>
    <row r="300" spans="1:26" ht="15.75" customHeight="1" x14ac:dyDescent="0.2">
      <c r="A300" s="12"/>
      <c r="B300" s="10"/>
      <c r="C300" s="11"/>
      <c r="D300" s="13"/>
      <c r="E300" s="13"/>
      <c r="F300" s="13"/>
      <c r="G300" s="2"/>
      <c r="H300" s="2"/>
      <c r="I300" s="13"/>
      <c r="J300" s="13"/>
      <c r="K300" s="13"/>
      <c r="L300" s="14"/>
      <c r="M300" s="4"/>
      <c r="N300" s="2"/>
      <c r="O300" s="4"/>
      <c r="P300" s="2"/>
      <c r="Q300" s="2"/>
      <c r="R300" s="4"/>
      <c r="S300" s="2"/>
      <c r="T300" s="2"/>
      <c r="U300" s="1"/>
      <c r="V300" s="2"/>
      <c r="W300" s="2"/>
      <c r="X300" s="2"/>
      <c r="Y300" s="2"/>
      <c r="Z300" s="2"/>
    </row>
    <row r="301" spans="1:26" ht="15.75" customHeight="1" x14ac:dyDescent="0.2">
      <c r="A301" s="12"/>
      <c r="B301" s="10"/>
      <c r="C301" s="11"/>
      <c r="D301" s="13"/>
      <c r="E301" s="13"/>
      <c r="F301" s="13"/>
      <c r="G301" s="2"/>
      <c r="H301" s="2"/>
      <c r="I301" s="13"/>
      <c r="J301" s="13"/>
      <c r="K301" s="13"/>
      <c r="L301" s="14"/>
      <c r="M301" s="4"/>
      <c r="N301" s="2"/>
      <c r="O301" s="4"/>
      <c r="P301" s="2"/>
      <c r="Q301" s="2"/>
      <c r="R301" s="4"/>
      <c r="S301" s="2"/>
      <c r="T301" s="2"/>
      <c r="U301" s="1"/>
      <c r="V301" s="2"/>
      <c r="W301" s="2"/>
      <c r="X301" s="2"/>
      <c r="Y301" s="2"/>
      <c r="Z301" s="2"/>
    </row>
    <row r="302" spans="1:26" ht="15.75" customHeight="1" x14ac:dyDescent="0.2">
      <c r="A302" s="12"/>
      <c r="B302" s="10"/>
      <c r="C302" s="11"/>
      <c r="D302" s="13"/>
      <c r="E302" s="13"/>
      <c r="F302" s="13"/>
      <c r="G302" s="2"/>
      <c r="H302" s="2"/>
      <c r="I302" s="13"/>
      <c r="J302" s="13"/>
      <c r="K302" s="13"/>
      <c r="L302" s="14"/>
      <c r="M302" s="4"/>
      <c r="N302" s="2"/>
      <c r="O302" s="4"/>
      <c r="P302" s="2"/>
      <c r="Q302" s="2"/>
      <c r="R302" s="4"/>
      <c r="S302" s="2"/>
      <c r="T302" s="2"/>
      <c r="U302" s="1"/>
      <c r="V302" s="2"/>
      <c r="W302" s="2"/>
      <c r="X302" s="2"/>
      <c r="Y302" s="2"/>
      <c r="Z302" s="2"/>
    </row>
    <row r="303" spans="1:26" ht="15.75" customHeight="1" x14ac:dyDescent="0.2">
      <c r="A303" s="12"/>
      <c r="B303" s="10"/>
      <c r="C303" s="11"/>
      <c r="D303" s="13"/>
      <c r="E303" s="13"/>
      <c r="F303" s="13"/>
      <c r="G303" s="2"/>
      <c r="H303" s="2"/>
      <c r="I303" s="13"/>
      <c r="J303" s="13"/>
      <c r="K303" s="13"/>
      <c r="L303" s="14"/>
      <c r="M303" s="4"/>
      <c r="N303" s="2"/>
      <c r="O303" s="4"/>
      <c r="P303" s="2"/>
      <c r="Q303" s="2"/>
      <c r="R303" s="4"/>
      <c r="S303" s="2"/>
      <c r="T303" s="2"/>
      <c r="U303" s="1"/>
      <c r="V303" s="2"/>
      <c r="W303" s="2"/>
      <c r="X303" s="2"/>
      <c r="Y303" s="2"/>
      <c r="Z303" s="2"/>
    </row>
    <row r="304" spans="1:26" ht="15.75" customHeight="1" x14ac:dyDescent="0.2">
      <c r="A304" s="12"/>
      <c r="B304" s="10"/>
      <c r="C304" s="11"/>
      <c r="D304" s="13"/>
      <c r="E304" s="13"/>
      <c r="F304" s="13"/>
      <c r="G304" s="2"/>
      <c r="H304" s="2"/>
      <c r="I304" s="13"/>
      <c r="J304" s="13"/>
      <c r="K304" s="13"/>
      <c r="L304" s="14"/>
      <c r="M304" s="4"/>
      <c r="N304" s="2"/>
      <c r="O304" s="4"/>
      <c r="P304" s="2"/>
      <c r="Q304" s="2"/>
      <c r="R304" s="4"/>
      <c r="S304" s="2"/>
      <c r="T304" s="2"/>
      <c r="U304" s="1"/>
      <c r="V304" s="2"/>
      <c r="W304" s="2"/>
      <c r="X304" s="2"/>
      <c r="Y304" s="2"/>
      <c r="Z304" s="2"/>
    </row>
    <row r="305" spans="1:26" ht="15.75" customHeight="1" x14ac:dyDescent="0.2">
      <c r="A305" s="12"/>
      <c r="B305" s="10"/>
      <c r="C305" s="11"/>
      <c r="D305" s="13"/>
      <c r="E305" s="13"/>
      <c r="F305" s="13"/>
      <c r="G305" s="2"/>
      <c r="H305" s="2"/>
      <c r="I305" s="13"/>
      <c r="J305" s="13"/>
      <c r="K305" s="13"/>
      <c r="L305" s="14"/>
      <c r="M305" s="4"/>
      <c r="N305" s="2"/>
      <c r="O305" s="4"/>
      <c r="P305" s="2"/>
      <c r="Q305" s="2"/>
      <c r="R305" s="4"/>
      <c r="S305" s="2"/>
      <c r="T305" s="2"/>
      <c r="U305" s="1"/>
      <c r="V305" s="2"/>
      <c r="W305" s="2"/>
      <c r="X305" s="2"/>
      <c r="Y305" s="2"/>
      <c r="Z305" s="2"/>
    </row>
    <row r="306" spans="1:26" ht="15.75" customHeight="1" x14ac:dyDescent="0.2">
      <c r="A306" s="12"/>
      <c r="B306" s="10"/>
      <c r="C306" s="11"/>
      <c r="D306" s="13"/>
      <c r="E306" s="13"/>
      <c r="F306" s="13"/>
      <c r="G306" s="2"/>
      <c r="H306" s="2"/>
      <c r="I306" s="13"/>
      <c r="J306" s="13"/>
      <c r="K306" s="13"/>
      <c r="L306" s="14"/>
      <c r="M306" s="4"/>
      <c r="N306" s="2"/>
      <c r="O306" s="4"/>
      <c r="P306" s="2"/>
      <c r="Q306" s="2"/>
      <c r="R306" s="4"/>
      <c r="S306" s="2"/>
      <c r="T306" s="2"/>
      <c r="U306" s="1"/>
      <c r="V306" s="2"/>
      <c r="W306" s="2"/>
      <c r="X306" s="2"/>
      <c r="Y306" s="2"/>
      <c r="Z306" s="2"/>
    </row>
    <row r="307" spans="1:26" ht="15.75" customHeight="1" x14ac:dyDescent="0.2">
      <c r="A307" s="12"/>
      <c r="B307" s="10"/>
      <c r="C307" s="11"/>
      <c r="D307" s="13"/>
      <c r="E307" s="13"/>
      <c r="F307" s="13"/>
      <c r="G307" s="2"/>
      <c r="H307" s="2"/>
      <c r="I307" s="13"/>
      <c r="J307" s="13"/>
      <c r="K307" s="13"/>
      <c r="L307" s="14"/>
      <c r="M307" s="4"/>
      <c r="N307" s="2"/>
      <c r="O307" s="4"/>
      <c r="P307" s="2"/>
      <c r="Q307" s="2"/>
      <c r="R307" s="4"/>
      <c r="S307" s="2"/>
      <c r="T307" s="2"/>
      <c r="U307" s="1"/>
      <c r="V307" s="2"/>
      <c r="W307" s="2"/>
      <c r="X307" s="2"/>
      <c r="Y307" s="2"/>
      <c r="Z307" s="2"/>
    </row>
    <row r="308" spans="1:26" ht="15.75" customHeight="1" x14ac:dyDescent="0.2">
      <c r="A308" s="12"/>
      <c r="B308" s="10"/>
      <c r="C308" s="11"/>
      <c r="D308" s="13"/>
      <c r="E308" s="13"/>
      <c r="F308" s="13"/>
      <c r="G308" s="2"/>
      <c r="H308" s="2"/>
      <c r="I308" s="13"/>
      <c r="J308" s="13"/>
      <c r="K308" s="13"/>
      <c r="L308" s="14"/>
      <c r="M308" s="4"/>
      <c r="N308" s="2"/>
      <c r="O308" s="4"/>
      <c r="P308" s="2"/>
      <c r="Q308" s="2"/>
      <c r="R308" s="4"/>
      <c r="S308" s="2"/>
      <c r="T308" s="2"/>
      <c r="U308" s="1"/>
      <c r="V308" s="2"/>
      <c r="W308" s="2"/>
      <c r="X308" s="2"/>
      <c r="Y308" s="2"/>
      <c r="Z308" s="2"/>
    </row>
    <row r="309" spans="1:26" ht="15.75" customHeight="1" x14ac:dyDescent="0.2">
      <c r="A309" s="12"/>
      <c r="B309" s="10"/>
      <c r="C309" s="11"/>
      <c r="D309" s="13"/>
      <c r="E309" s="13"/>
      <c r="F309" s="13"/>
      <c r="G309" s="2"/>
      <c r="H309" s="2"/>
      <c r="I309" s="13"/>
      <c r="J309" s="13"/>
      <c r="K309" s="13"/>
      <c r="L309" s="14"/>
      <c r="M309" s="4"/>
      <c r="N309" s="2"/>
      <c r="O309" s="4"/>
      <c r="P309" s="2"/>
      <c r="Q309" s="2"/>
      <c r="R309" s="4"/>
      <c r="S309" s="2"/>
      <c r="T309" s="2"/>
      <c r="U309" s="1"/>
      <c r="V309" s="2"/>
      <c r="W309" s="2"/>
      <c r="X309" s="2"/>
      <c r="Y309" s="2"/>
      <c r="Z309" s="2"/>
    </row>
    <row r="310" spans="1:26" ht="15.75" customHeight="1" x14ac:dyDescent="0.2">
      <c r="A310" s="12"/>
      <c r="B310" s="10"/>
      <c r="C310" s="11"/>
      <c r="D310" s="13"/>
      <c r="E310" s="13"/>
      <c r="F310" s="13"/>
      <c r="G310" s="2"/>
      <c r="H310" s="2"/>
      <c r="I310" s="13"/>
      <c r="J310" s="13"/>
      <c r="K310" s="13"/>
      <c r="L310" s="14"/>
      <c r="M310" s="4"/>
      <c r="N310" s="2"/>
      <c r="O310" s="4"/>
      <c r="P310" s="2"/>
      <c r="Q310" s="2"/>
      <c r="R310" s="4"/>
      <c r="S310" s="2"/>
      <c r="T310" s="2"/>
      <c r="U310" s="1"/>
      <c r="V310" s="2"/>
      <c r="W310" s="2"/>
      <c r="X310" s="2"/>
      <c r="Y310" s="2"/>
      <c r="Z310" s="2"/>
    </row>
    <row r="311" spans="1:26" ht="15.75" customHeight="1" x14ac:dyDescent="0.2">
      <c r="A311" s="12"/>
      <c r="B311" s="10"/>
      <c r="C311" s="11"/>
      <c r="D311" s="13"/>
      <c r="E311" s="13"/>
      <c r="F311" s="13"/>
      <c r="G311" s="2"/>
      <c r="H311" s="2"/>
      <c r="I311" s="13"/>
      <c r="J311" s="13"/>
      <c r="K311" s="13"/>
      <c r="L311" s="14"/>
      <c r="M311" s="4"/>
      <c r="N311" s="2"/>
      <c r="O311" s="4"/>
      <c r="P311" s="2"/>
      <c r="Q311" s="2"/>
      <c r="R311" s="4"/>
      <c r="S311" s="2"/>
      <c r="T311" s="2"/>
      <c r="U311" s="1"/>
      <c r="V311" s="2"/>
      <c r="W311" s="2"/>
      <c r="X311" s="2"/>
      <c r="Y311" s="2"/>
      <c r="Z311" s="2"/>
    </row>
    <row r="312" spans="1:26" ht="15.75" customHeight="1" x14ac:dyDescent="0.2">
      <c r="A312" s="12"/>
      <c r="B312" s="10"/>
      <c r="C312" s="11"/>
      <c r="D312" s="13"/>
      <c r="E312" s="13"/>
      <c r="F312" s="13"/>
      <c r="G312" s="2"/>
      <c r="H312" s="2"/>
      <c r="I312" s="13"/>
      <c r="J312" s="13"/>
      <c r="K312" s="13"/>
      <c r="L312" s="14"/>
      <c r="M312" s="4"/>
      <c r="N312" s="2"/>
      <c r="O312" s="4"/>
      <c r="P312" s="2"/>
      <c r="Q312" s="2"/>
      <c r="R312" s="4"/>
      <c r="S312" s="2"/>
      <c r="T312" s="2"/>
      <c r="U312" s="1"/>
      <c r="V312" s="2"/>
      <c r="W312" s="2"/>
      <c r="X312" s="2"/>
      <c r="Y312" s="2"/>
      <c r="Z312" s="2"/>
    </row>
    <row r="313" spans="1:26" ht="15.75" customHeight="1" x14ac:dyDescent="0.2">
      <c r="A313" s="12"/>
      <c r="B313" s="10"/>
      <c r="C313" s="11"/>
      <c r="D313" s="13"/>
      <c r="E313" s="13"/>
      <c r="F313" s="13"/>
      <c r="G313" s="2"/>
      <c r="H313" s="2"/>
      <c r="I313" s="13"/>
      <c r="J313" s="13"/>
      <c r="K313" s="13"/>
      <c r="L313" s="14"/>
      <c r="M313" s="4"/>
      <c r="N313" s="2"/>
      <c r="O313" s="4"/>
      <c r="P313" s="2"/>
      <c r="Q313" s="2"/>
      <c r="R313" s="4"/>
      <c r="S313" s="2"/>
      <c r="T313" s="2"/>
      <c r="U313" s="1"/>
      <c r="V313" s="2"/>
      <c r="W313" s="2"/>
      <c r="X313" s="2"/>
      <c r="Y313" s="2"/>
      <c r="Z313" s="2"/>
    </row>
    <row r="314" spans="1:26" ht="15.75" customHeight="1" x14ac:dyDescent="0.2">
      <c r="A314" s="12"/>
      <c r="B314" s="10"/>
      <c r="C314" s="11"/>
      <c r="D314" s="13"/>
      <c r="E314" s="13"/>
      <c r="F314" s="13"/>
      <c r="G314" s="2"/>
      <c r="H314" s="2"/>
      <c r="I314" s="13"/>
      <c r="J314" s="13"/>
      <c r="K314" s="13"/>
      <c r="L314" s="14"/>
      <c r="M314" s="4"/>
      <c r="N314" s="2"/>
      <c r="O314" s="4"/>
      <c r="P314" s="2"/>
      <c r="Q314" s="2"/>
      <c r="R314" s="4"/>
      <c r="S314" s="2"/>
      <c r="T314" s="2"/>
      <c r="U314" s="1"/>
      <c r="V314" s="2"/>
      <c r="W314" s="2"/>
      <c r="X314" s="2"/>
      <c r="Y314" s="2"/>
      <c r="Z314" s="2"/>
    </row>
    <row r="315" spans="1:26" ht="15.75" customHeight="1" x14ac:dyDescent="0.2">
      <c r="A315" s="12"/>
      <c r="B315" s="10"/>
      <c r="C315" s="11"/>
      <c r="D315" s="13"/>
      <c r="E315" s="13"/>
      <c r="F315" s="13"/>
      <c r="G315" s="2"/>
      <c r="H315" s="2"/>
      <c r="I315" s="13"/>
      <c r="J315" s="13"/>
      <c r="K315" s="13"/>
      <c r="L315" s="14"/>
      <c r="M315" s="4"/>
      <c r="N315" s="2"/>
      <c r="O315" s="4"/>
      <c r="P315" s="2"/>
      <c r="Q315" s="2"/>
      <c r="R315" s="4"/>
      <c r="S315" s="2"/>
      <c r="T315" s="2"/>
      <c r="U315" s="1"/>
      <c r="V315" s="2"/>
      <c r="W315" s="2"/>
      <c r="X315" s="2"/>
      <c r="Y315" s="2"/>
      <c r="Z315" s="2"/>
    </row>
    <row r="316" spans="1:26" ht="15.75" customHeight="1" x14ac:dyDescent="0.2">
      <c r="A316" s="12"/>
      <c r="B316" s="10"/>
      <c r="C316" s="11"/>
      <c r="D316" s="13"/>
      <c r="E316" s="13"/>
      <c r="F316" s="13"/>
      <c r="G316" s="2"/>
      <c r="H316" s="2"/>
      <c r="I316" s="13"/>
      <c r="J316" s="13"/>
      <c r="K316" s="13"/>
      <c r="L316" s="14"/>
      <c r="M316" s="4"/>
      <c r="N316" s="2"/>
      <c r="O316" s="4"/>
      <c r="P316" s="2"/>
      <c r="Q316" s="2"/>
      <c r="R316" s="4"/>
      <c r="S316" s="2"/>
      <c r="T316" s="2"/>
      <c r="U316" s="1"/>
      <c r="V316" s="2"/>
      <c r="W316" s="2"/>
      <c r="X316" s="2"/>
      <c r="Y316" s="2"/>
      <c r="Z316" s="2"/>
    </row>
    <row r="317" spans="1:26" ht="15.75" customHeight="1" x14ac:dyDescent="0.2">
      <c r="A317" s="12"/>
      <c r="B317" s="10"/>
      <c r="C317" s="11"/>
      <c r="D317" s="13"/>
      <c r="E317" s="13"/>
      <c r="F317" s="13"/>
      <c r="G317" s="2"/>
      <c r="H317" s="2"/>
      <c r="I317" s="13"/>
      <c r="J317" s="13"/>
      <c r="K317" s="13"/>
      <c r="L317" s="14"/>
      <c r="M317" s="4"/>
      <c r="N317" s="2"/>
      <c r="O317" s="4"/>
      <c r="P317" s="2"/>
      <c r="Q317" s="2"/>
      <c r="R317" s="4"/>
      <c r="S317" s="2"/>
      <c r="T317" s="2"/>
      <c r="U317" s="1"/>
      <c r="V317" s="2"/>
      <c r="W317" s="2"/>
      <c r="X317" s="2"/>
      <c r="Y317" s="2"/>
      <c r="Z317" s="2"/>
    </row>
    <row r="318" spans="1:26" ht="15.75" customHeight="1" x14ac:dyDescent="0.2">
      <c r="A318" s="12"/>
      <c r="B318" s="10"/>
      <c r="C318" s="11"/>
      <c r="D318" s="13"/>
      <c r="E318" s="13"/>
      <c r="F318" s="13"/>
      <c r="G318" s="2"/>
      <c r="H318" s="2"/>
      <c r="I318" s="13"/>
      <c r="J318" s="13"/>
      <c r="K318" s="13"/>
      <c r="L318" s="14"/>
      <c r="M318" s="4"/>
      <c r="N318" s="2"/>
      <c r="O318" s="4"/>
      <c r="P318" s="2"/>
      <c r="Q318" s="2"/>
      <c r="R318" s="4"/>
      <c r="S318" s="2"/>
      <c r="T318" s="2"/>
      <c r="U318" s="1"/>
      <c r="V318" s="2"/>
      <c r="W318" s="2"/>
      <c r="X318" s="2"/>
      <c r="Y318" s="2"/>
      <c r="Z318" s="2"/>
    </row>
    <row r="319" spans="1:26" ht="15.75" customHeight="1" x14ac:dyDescent="0.2">
      <c r="A319" s="12"/>
      <c r="B319" s="10"/>
      <c r="C319" s="11"/>
      <c r="D319" s="13"/>
      <c r="E319" s="13"/>
      <c r="F319" s="13"/>
      <c r="G319" s="2"/>
      <c r="H319" s="2"/>
      <c r="I319" s="13"/>
      <c r="J319" s="13"/>
      <c r="K319" s="13"/>
      <c r="L319" s="14"/>
      <c r="M319" s="4"/>
      <c r="N319" s="2"/>
      <c r="O319" s="4"/>
      <c r="P319" s="2"/>
      <c r="Q319" s="2"/>
      <c r="R319" s="4"/>
      <c r="S319" s="2"/>
      <c r="T319" s="2"/>
      <c r="U319" s="1"/>
      <c r="V319" s="2"/>
      <c r="W319" s="2"/>
      <c r="X319" s="2"/>
      <c r="Y319" s="2"/>
      <c r="Z319" s="2"/>
    </row>
    <row r="320" spans="1:26" ht="15.75" customHeight="1" x14ac:dyDescent="0.2">
      <c r="A320" s="12"/>
      <c r="B320" s="10"/>
      <c r="C320" s="11"/>
      <c r="D320" s="13"/>
      <c r="E320" s="13"/>
      <c r="F320" s="13"/>
      <c r="G320" s="2"/>
      <c r="H320" s="2"/>
      <c r="I320" s="13"/>
      <c r="J320" s="13"/>
      <c r="K320" s="13"/>
      <c r="L320" s="14"/>
      <c r="M320" s="4"/>
      <c r="N320" s="2"/>
      <c r="O320" s="4"/>
      <c r="P320" s="2"/>
      <c r="Q320" s="2"/>
      <c r="R320" s="4"/>
      <c r="S320" s="2"/>
      <c r="T320" s="2"/>
      <c r="U320" s="1"/>
      <c r="V320" s="2"/>
      <c r="W320" s="2"/>
      <c r="X320" s="2"/>
      <c r="Y320" s="2"/>
      <c r="Z320" s="2"/>
    </row>
    <row r="321" spans="1:26" ht="15.75" customHeight="1" x14ac:dyDescent="0.2">
      <c r="A321" s="12"/>
      <c r="B321" s="10"/>
      <c r="C321" s="11"/>
      <c r="D321" s="13"/>
      <c r="E321" s="13"/>
      <c r="F321" s="13"/>
      <c r="G321" s="2"/>
      <c r="H321" s="2"/>
      <c r="I321" s="13"/>
      <c r="J321" s="13"/>
      <c r="K321" s="13"/>
      <c r="L321" s="14"/>
      <c r="M321" s="4"/>
      <c r="N321" s="2"/>
      <c r="O321" s="4"/>
      <c r="P321" s="2"/>
      <c r="Q321" s="2"/>
      <c r="R321" s="4"/>
      <c r="S321" s="2"/>
      <c r="T321" s="2"/>
      <c r="U321" s="1"/>
      <c r="V321" s="2"/>
      <c r="W321" s="2"/>
      <c r="X321" s="2"/>
      <c r="Y321" s="2"/>
      <c r="Z321" s="2"/>
    </row>
    <row r="322" spans="1:26" ht="15.75" customHeight="1" x14ac:dyDescent="0.2">
      <c r="A322" s="12"/>
      <c r="B322" s="10"/>
      <c r="C322" s="11"/>
      <c r="D322" s="13"/>
      <c r="E322" s="13"/>
      <c r="F322" s="13"/>
      <c r="G322" s="2"/>
      <c r="H322" s="2"/>
      <c r="I322" s="13"/>
      <c r="J322" s="13"/>
      <c r="K322" s="13"/>
      <c r="L322" s="14"/>
      <c r="M322" s="4"/>
      <c r="N322" s="2"/>
      <c r="O322" s="4"/>
      <c r="P322" s="2"/>
      <c r="Q322" s="2"/>
      <c r="R322" s="4"/>
      <c r="S322" s="2"/>
      <c r="T322" s="2"/>
      <c r="U322" s="1"/>
      <c r="V322" s="2"/>
      <c r="W322" s="2"/>
      <c r="X322" s="2"/>
      <c r="Y322" s="2"/>
      <c r="Z322" s="2"/>
    </row>
    <row r="323" spans="1:26" ht="15.75" customHeight="1" x14ac:dyDescent="0.2">
      <c r="A323" s="12"/>
      <c r="B323" s="10"/>
      <c r="C323" s="11"/>
      <c r="D323" s="13"/>
      <c r="E323" s="13"/>
      <c r="F323" s="13"/>
      <c r="G323" s="2"/>
      <c r="H323" s="2"/>
      <c r="I323" s="13"/>
      <c r="J323" s="13"/>
      <c r="K323" s="13"/>
      <c r="L323" s="14"/>
      <c r="M323" s="4"/>
      <c r="N323" s="2"/>
      <c r="O323" s="4"/>
      <c r="P323" s="2"/>
      <c r="Q323" s="2"/>
      <c r="R323" s="4"/>
      <c r="S323" s="2"/>
      <c r="T323" s="2"/>
      <c r="U323" s="1"/>
      <c r="V323" s="2"/>
      <c r="W323" s="2"/>
      <c r="X323" s="2"/>
      <c r="Y323" s="2"/>
      <c r="Z323" s="2"/>
    </row>
    <row r="324" spans="1:26" ht="15.75" customHeight="1" x14ac:dyDescent="0.2">
      <c r="A324" s="12"/>
      <c r="B324" s="10"/>
      <c r="C324" s="11"/>
      <c r="D324" s="13"/>
      <c r="E324" s="13"/>
      <c r="F324" s="13"/>
      <c r="G324" s="2"/>
      <c r="H324" s="2"/>
      <c r="I324" s="13"/>
      <c r="J324" s="13"/>
      <c r="K324" s="13"/>
      <c r="L324" s="14"/>
      <c r="M324" s="4"/>
      <c r="N324" s="2"/>
      <c r="O324" s="4"/>
      <c r="P324" s="2"/>
      <c r="Q324" s="2"/>
      <c r="R324" s="4"/>
      <c r="S324" s="2"/>
      <c r="T324" s="2"/>
      <c r="U324" s="1"/>
      <c r="V324" s="2"/>
      <c r="W324" s="2"/>
      <c r="X324" s="2"/>
      <c r="Y324" s="2"/>
      <c r="Z324" s="2"/>
    </row>
    <row r="325" spans="1:26" ht="15.75" customHeight="1" x14ac:dyDescent="0.2">
      <c r="A325" s="12"/>
      <c r="B325" s="10"/>
      <c r="C325" s="11"/>
      <c r="D325" s="13"/>
      <c r="E325" s="13"/>
      <c r="F325" s="13"/>
      <c r="G325" s="2"/>
      <c r="H325" s="2"/>
      <c r="I325" s="13"/>
      <c r="J325" s="13"/>
      <c r="K325" s="13"/>
      <c r="L325" s="14"/>
      <c r="M325" s="4"/>
      <c r="N325" s="2"/>
      <c r="O325" s="4"/>
      <c r="P325" s="2"/>
      <c r="Q325" s="2"/>
      <c r="R325" s="4"/>
      <c r="S325" s="2"/>
      <c r="T325" s="2"/>
      <c r="U325" s="1"/>
      <c r="V325" s="2"/>
      <c r="W325" s="2"/>
      <c r="X325" s="2"/>
      <c r="Y325" s="2"/>
      <c r="Z325" s="2"/>
    </row>
    <row r="326" spans="1:26" ht="15.75" customHeight="1" x14ac:dyDescent="0.2">
      <c r="A326" s="12"/>
      <c r="B326" s="10"/>
      <c r="C326" s="11"/>
      <c r="D326" s="13"/>
      <c r="E326" s="13"/>
      <c r="F326" s="13"/>
      <c r="G326" s="2"/>
      <c r="H326" s="2"/>
      <c r="I326" s="13"/>
      <c r="J326" s="13"/>
      <c r="K326" s="13"/>
      <c r="L326" s="14"/>
      <c r="M326" s="4"/>
      <c r="N326" s="2"/>
      <c r="O326" s="4"/>
      <c r="P326" s="2"/>
      <c r="Q326" s="2"/>
      <c r="R326" s="4"/>
      <c r="S326" s="2"/>
      <c r="T326" s="2"/>
      <c r="U326" s="1"/>
      <c r="V326" s="2"/>
      <c r="W326" s="2"/>
      <c r="X326" s="2"/>
      <c r="Y326" s="2"/>
      <c r="Z326" s="2"/>
    </row>
    <row r="327" spans="1:26" ht="15.75" customHeight="1" x14ac:dyDescent="0.2">
      <c r="A327" s="12"/>
      <c r="B327" s="10"/>
      <c r="C327" s="11"/>
      <c r="D327" s="13"/>
      <c r="E327" s="13"/>
      <c r="F327" s="13"/>
      <c r="G327" s="2"/>
      <c r="H327" s="2"/>
      <c r="I327" s="13"/>
      <c r="J327" s="13"/>
      <c r="K327" s="13"/>
      <c r="L327" s="14"/>
      <c r="M327" s="4"/>
      <c r="N327" s="2"/>
      <c r="O327" s="4"/>
      <c r="P327" s="2"/>
      <c r="Q327" s="2"/>
      <c r="R327" s="4"/>
      <c r="S327" s="2"/>
      <c r="T327" s="2"/>
      <c r="U327" s="1"/>
      <c r="V327" s="2"/>
      <c r="W327" s="2"/>
      <c r="X327" s="2"/>
      <c r="Y327" s="2"/>
      <c r="Z327" s="2"/>
    </row>
    <row r="328" spans="1:26" ht="15.75" customHeight="1" x14ac:dyDescent="0.2">
      <c r="A328" s="12"/>
      <c r="B328" s="10"/>
      <c r="C328" s="11"/>
      <c r="D328" s="13"/>
      <c r="E328" s="13"/>
      <c r="F328" s="13"/>
      <c r="G328" s="2"/>
      <c r="H328" s="2"/>
      <c r="I328" s="13"/>
      <c r="J328" s="13"/>
      <c r="K328" s="13"/>
      <c r="L328" s="14"/>
      <c r="M328" s="4"/>
      <c r="N328" s="2"/>
      <c r="O328" s="4"/>
      <c r="P328" s="2"/>
      <c r="Q328" s="2"/>
      <c r="R328" s="4"/>
      <c r="S328" s="2"/>
      <c r="T328" s="2"/>
      <c r="U328" s="1"/>
      <c r="V328" s="2"/>
      <c r="W328" s="2"/>
      <c r="X328" s="2"/>
      <c r="Y328" s="2"/>
      <c r="Z328" s="2"/>
    </row>
    <row r="329" spans="1:26" ht="15.75" customHeight="1" x14ac:dyDescent="0.2">
      <c r="A329" s="12"/>
      <c r="B329" s="10"/>
      <c r="C329" s="11"/>
      <c r="D329" s="13"/>
      <c r="E329" s="13"/>
      <c r="F329" s="13"/>
      <c r="G329" s="2"/>
      <c r="H329" s="2"/>
      <c r="I329" s="13"/>
      <c r="J329" s="13"/>
      <c r="K329" s="13"/>
      <c r="L329" s="14"/>
      <c r="M329" s="4"/>
      <c r="N329" s="2"/>
      <c r="O329" s="4"/>
      <c r="P329" s="2"/>
      <c r="Q329" s="2"/>
      <c r="R329" s="4"/>
      <c r="S329" s="2"/>
      <c r="T329" s="2"/>
      <c r="U329" s="1"/>
      <c r="V329" s="2"/>
      <c r="W329" s="2"/>
      <c r="X329" s="2"/>
      <c r="Y329" s="2"/>
      <c r="Z329" s="2"/>
    </row>
    <row r="330" spans="1:26" ht="15.75" customHeight="1" x14ac:dyDescent="0.2">
      <c r="A330" s="12"/>
      <c r="B330" s="10"/>
      <c r="C330" s="11"/>
      <c r="D330" s="13"/>
      <c r="E330" s="13"/>
      <c r="F330" s="13"/>
      <c r="G330" s="2"/>
      <c r="H330" s="2"/>
      <c r="I330" s="13"/>
      <c r="J330" s="13"/>
      <c r="K330" s="13"/>
      <c r="L330" s="14"/>
      <c r="M330" s="4"/>
      <c r="N330" s="2"/>
      <c r="O330" s="4"/>
      <c r="P330" s="2"/>
      <c r="Q330" s="2"/>
      <c r="R330" s="4"/>
      <c r="S330" s="2"/>
      <c r="T330" s="2"/>
      <c r="U330" s="1"/>
      <c r="V330" s="2"/>
      <c r="W330" s="2"/>
      <c r="X330" s="2"/>
      <c r="Y330" s="2"/>
      <c r="Z330" s="2"/>
    </row>
    <row r="331" spans="1:26" ht="15.75" customHeight="1" x14ac:dyDescent="0.2">
      <c r="A331" s="12"/>
      <c r="B331" s="10"/>
      <c r="C331" s="11"/>
      <c r="D331" s="13"/>
      <c r="E331" s="13"/>
      <c r="F331" s="13"/>
      <c r="G331" s="2"/>
      <c r="H331" s="2"/>
      <c r="I331" s="13"/>
      <c r="J331" s="13"/>
      <c r="K331" s="13"/>
      <c r="L331" s="14"/>
      <c r="M331" s="4"/>
      <c r="N331" s="2"/>
      <c r="O331" s="4"/>
      <c r="P331" s="2"/>
      <c r="Q331" s="2"/>
      <c r="R331" s="4"/>
      <c r="S331" s="2"/>
      <c r="T331" s="2"/>
      <c r="U331" s="1"/>
      <c r="V331" s="2"/>
      <c r="W331" s="2"/>
      <c r="X331" s="2"/>
      <c r="Y331" s="2"/>
      <c r="Z331" s="2"/>
    </row>
    <row r="332" spans="1:26" ht="15.75" customHeight="1" x14ac:dyDescent="0.2">
      <c r="A332" s="12"/>
      <c r="B332" s="10"/>
      <c r="C332" s="11"/>
      <c r="D332" s="13"/>
      <c r="E332" s="13"/>
      <c r="F332" s="13"/>
      <c r="G332" s="2"/>
      <c r="H332" s="2"/>
      <c r="I332" s="13"/>
      <c r="J332" s="13"/>
      <c r="K332" s="13"/>
      <c r="L332" s="14"/>
      <c r="M332" s="4"/>
      <c r="N332" s="2"/>
      <c r="O332" s="4"/>
      <c r="P332" s="2"/>
      <c r="Q332" s="2"/>
      <c r="R332" s="4"/>
      <c r="S332" s="2"/>
      <c r="T332" s="2"/>
      <c r="U332" s="1"/>
      <c r="V332" s="2"/>
      <c r="W332" s="2"/>
      <c r="X332" s="2"/>
      <c r="Y332" s="2"/>
      <c r="Z332" s="2"/>
    </row>
    <row r="333" spans="1:26" ht="15.75" customHeight="1" x14ac:dyDescent="0.2">
      <c r="A333" s="12"/>
      <c r="B333" s="10"/>
      <c r="C333" s="11"/>
      <c r="D333" s="13"/>
      <c r="E333" s="13"/>
      <c r="F333" s="13"/>
      <c r="G333" s="2"/>
      <c r="H333" s="2"/>
      <c r="I333" s="13"/>
      <c r="J333" s="13"/>
      <c r="K333" s="13"/>
      <c r="L333" s="14"/>
      <c r="M333" s="4"/>
      <c r="N333" s="2"/>
      <c r="O333" s="4"/>
      <c r="P333" s="2"/>
      <c r="Q333" s="2"/>
      <c r="R333" s="4"/>
      <c r="S333" s="2"/>
      <c r="T333" s="2"/>
      <c r="U333" s="1"/>
      <c r="V333" s="2"/>
      <c r="W333" s="2"/>
      <c r="X333" s="2"/>
      <c r="Y333" s="2"/>
      <c r="Z333" s="2"/>
    </row>
    <row r="334" spans="1:26" ht="15.75" customHeight="1" x14ac:dyDescent="0.2">
      <c r="A334" s="12"/>
      <c r="B334" s="10"/>
      <c r="C334" s="11"/>
      <c r="D334" s="13"/>
      <c r="E334" s="13"/>
      <c r="F334" s="13"/>
      <c r="G334" s="2"/>
      <c r="H334" s="2"/>
      <c r="I334" s="13"/>
      <c r="J334" s="13"/>
      <c r="K334" s="13"/>
      <c r="L334" s="14"/>
      <c r="M334" s="4"/>
      <c r="N334" s="2"/>
      <c r="O334" s="4"/>
      <c r="P334" s="2"/>
      <c r="Q334" s="2"/>
      <c r="R334" s="4"/>
      <c r="S334" s="2"/>
      <c r="T334" s="2"/>
      <c r="U334" s="1"/>
      <c r="V334" s="2"/>
      <c r="W334" s="2"/>
      <c r="X334" s="2"/>
      <c r="Y334" s="2"/>
      <c r="Z334" s="2"/>
    </row>
    <row r="335" spans="1:26" ht="15.75" customHeight="1" x14ac:dyDescent="0.2">
      <c r="A335" s="12"/>
      <c r="B335" s="10"/>
      <c r="C335" s="11"/>
      <c r="D335" s="13"/>
      <c r="E335" s="13"/>
      <c r="F335" s="13"/>
      <c r="G335" s="2"/>
      <c r="H335" s="2"/>
      <c r="I335" s="13"/>
      <c r="J335" s="13"/>
      <c r="K335" s="13"/>
      <c r="L335" s="14"/>
      <c r="M335" s="4"/>
      <c r="N335" s="2"/>
      <c r="O335" s="4"/>
      <c r="P335" s="2"/>
      <c r="Q335" s="2"/>
      <c r="R335" s="4"/>
      <c r="S335" s="2"/>
      <c r="T335" s="2"/>
      <c r="U335" s="1"/>
      <c r="V335" s="2"/>
      <c r="W335" s="2"/>
      <c r="X335" s="2"/>
      <c r="Y335" s="2"/>
      <c r="Z335" s="2"/>
    </row>
    <row r="336" spans="1:26" ht="15.75" customHeight="1" x14ac:dyDescent="0.2">
      <c r="A336" s="12"/>
      <c r="B336" s="10"/>
      <c r="C336" s="11"/>
      <c r="D336" s="13"/>
      <c r="E336" s="13"/>
      <c r="F336" s="13"/>
      <c r="G336" s="2"/>
      <c r="H336" s="2"/>
      <c r="I336" s="13"/>
      <c r="J336" s="13"/>
      <c r="K336" s="13"/>
      <c r="L336" s="14"/>
      <c r="M336" s="4"/>
      <c r="N336" s="2"/>
      <c r="O336" s="4"/>
      <c r="P336" s="2"/>
      <c r="Q336" s="2"/>
      <c r="R336" s="4"/>
      <c r="S336" s="2"/>
      <c r="T336" s="2"/>
      <c r="U336" s="1"/>
      <c r="V336" s="2"/>
      <c r="W336" s="2"/>
      <c r="X336" s="2"/>
      <c r="Y336" s="2"/>
      <c r="Z336" s="2"/>
    </row>
    <row r="337" spans="1:26" ht="15.75" customHeight="1" x14ac:dyDescent="0.2">
      <c r="A337" s="12"/>
      <c r="B337" s="10"/>
      <c r="C337" s="11"/>
      <c r="D337" s="13"/>
      <c r="E337" s="13"/>
      <c r="F337" s="13"/>
      <c r="G337" s="2"/>
      <c r="H337" s="2"/>
      <c r="I337" s="13"/>
      <c r="J337" s="13"/>
      <c r="K337" s="13"/>
      <c r="L337" s="14"/>
      <c r="M337" s="4"/>
      <c r="N337" s="2"/>
      <c r="O337" s="4"/>
      <c r="P337" s="2"/>
      <c r="Q337" s="2"/>
      <c r="R337" s="4"/>
      <c r="S337" s="2"/>
      <c r="T337" s="2"/>
      <c r="U337" s="1"/>
      <c r="V337" s="2"/>
      <c r="W337" s="2"/>
      <c r="X337" s="2"/>
      <c r="Y337" s="2"/>
      <c r="Z337" s="2"/>
    </row>
    <row r="338" spans="1:26" ht="15.75" customHeight="1" x14ac:dyDescent="0.2">
      <c r="A338" s="12"/>
      <c r="B338" s="10"/>
      <c r="C338" s="11"/>
      <c r="D338" s="13"/>
      <c r="E338" s="13"/>
      <c r="F338" s="13"/>
      <c r="G338" s="2"/>
      <c r="H338" s="2"/>
      <c r="I338" s="13"/>
      <c r="J338" s="13"/>
      <c r="K338" s="13"/>
      <c r="L338" s="14"/>
      <c r="M338" s="4"/>
      <c r="N338" s="2"/>
      <c r="O338" s="4"/>
      <c r="P338" s="2"/>
      <c r="Q338" s="2"/>
      <c r="R338" s="4"/>
      <c r="S338" s="2"/>
      <c r="T338" s="2"/>
      <c r="U338" s="1"/>
      <c r="V338" s="2"/>
      <c r="W338" s="2"/>
      <c r="X338" s="2"/>
      <c r="Y338" s="2"/>
      <c r="Z338" s="2"/>
    </row>
    <row r="339" spans="1:26" ht="15.75" customHeight="1" x14ac:dyDescent="0.2">
      <c r="A339" s="12"/>
      <c r="B339" s="10"/>
      <c r="C339" s="11"/>
      <c r="D339" s="13"/>
      <c r="E339" s="13"/>
      <c r="F339" s="13"/>
      <c r="G339" s="2"/>
      <c r="H339" s="2"/>
      <c r="I339" s="13"/>
      <c r="J339" s="13"/>
      <c r="K339" s="13"/>
      <c r="L339" s="14"/>
      <c r="M339" s="4"/>
      <c r="N339" s="2"/>
      <c r="O339" s="4"/>
      <c r="P339" s="2"/>
      <c r="Q339" s="2"/>
      <c r="R339" s="4"/>
      <c r="S339" s="2"/>
      <c r="T339" s="2"/>
      <c r="U339" s="1"/>
      <c r="V339" s="2"/>
      <c r="W339" s="2"/>
      <c r="X339" s="2"/>
      <c r="Y339" s="2"/>
      <c r="Z339" s="2"/>
    </row>
    <row r="340" spans="1:26" ht="15.75" customHeight="1" x14ac:dyDescent="0.2">
      <c r="A340" s="12"/>
      <c r="B340" s="10"/>
      <c r="C340" s="11"/>
      <c r="D340" s="13"/>
      <c r="E340" s="13"/>
      <c r="F340" s="13"/>
      <c r="G340" s="2"/>
      <c r="H340" s="2"/>
      <c r="I340" s="13"/>
      <c r="J340" s="13"/>
      <c r="K340" s="13"/>
      <c r="L340" s="14"/>
      <c r="M340" s="4"/>
      <c r="N340" s="2"/>
      <c r="O340" s="4"/>
      <c r="P340" s="2"/>
      <c r="Q340" s="2"/>
      <c r="R340" s="4"/>
      <c r="S340" s="2"/>
      <c r="T340" s="2"/>
      <c r="U340" s="1"/>
      <c r="V340" s="2"/>
      <c r="W340" s="2"/>
      <c r="X340" s="2"/>
      <c r="Y340" s="2"/>
      <c r="Z340" s="2"/>
    </row>
    <row r="341" spans="1:26" ht="15.75" customHeight="1" x14ac:dyDescent="0.2">
      <c r="A341" s="12"/>
      <c r="B341" s="10"/>
      <c r="C341" s="11"/>
      <c r="D341" s="13"/>
      <c r="E341" s="13"/>
      <c r="F341" s="13"/>
      <c r="G341" s="2"/>
      <c r="H341" s="2"/>
      <c r="I341" s="13"/>
      <c r="J341" s="13"/>
      <c r="K341" s="13"/>
      <c r="L341" s="14"/>
      <c r="M341" s="4"/>
      <c r="N341" s="2"/>
      <c r="O341" s="4"/>
      <c r="P341" s="2"/>
      <c r="Q341" s="2"/>
      <c r="R341" s="4"/>
      <c r="S341" s="2"/>
      <c r="T341" s="2"/>
      <c r="U341" s="1"/>
      <c r="V341" s="2"/>
      <c r="W341" s="2"/>
      <c r="X341" s="2"/>
      <c r="Y341" s="2"/>
      <c r="Z341" s="2"/>
    </row>
    <row r="342" spans="1:26" ht="15.75" customHeight="1" x14ac:dyDescent="0.2">
      <c r="A342" s="12"/>
      <c r="B342" s="10"/>
      <c r="C342" s="11"/>
      <c r="D342" s="13"/>
      <c r="E342" s="13"/>
      <c r="F342" s="13"/>
      <c r="G342" s="2"/>
      <c r="H342" s="2"/>
      <c r="I342" s="13"/>
      <c r="J342" s="13"/>
      <c r="K342" s="13"/>
      <c r="L342" s="14"/>
      <c r="M342" s="4"/>
      <c r="N342" s="2"/>
      <c r="O342" s="4"/>
      <c r="P342" s="2"/>
      <c r="Q342" s="2"/>
      <c r="R342" s="4"/>
      <c r="S342" s="2"/>
      <c r="T342" s="2"/>
      <c r="U342" s="1"/>
      <c r="V342" s="2"/>
      <c r="W342" s="2"/>
      <c r="X342" s="2"/>
      <c r="Y342" s="2"/>
      <c r="Z342" s="2"/>
    </row>
    <row r="343" spans="1:26" ht="15.75" customHeight="1" x14ac:dyDescent="0.2">
      <c r="A343" s="12"/>
      <c r="B343" s="10"/>
      <c r="C343" s="11"/>
      <c r="D343" s="13"/>
      <c r="E343" s="13"/>
      <c r="F343" s="13"/>
      <c r="G343" s="2"/>
      <c r="H343" s="2"/>
      <c r="I343" s="13"/>
      <c r="J343" s="13"/>
      <c r="K343" s="13"/>
      <c r="L343" s="14"/>
      <c r="M343" s="4"/>
      <c r="N343" s="2"/>
      <c r="O343" s="4"/>
      <c r="P343" s="2"/>
      <c r="Q343" s="2"/>
      <c r="R343" s="4"/>
      <c r="S343" s="2"/>
      <c r="T343" s="2"/>
      <c r="U343" s="1"/>
      <c r="V343" s="2"/>
      <c r="W343" s="2"/>
      <c r="X343" s="2"/>
      <c r="Y343" s="2"/>
      <c r="Z343" s="2"/>
    </row>
    <row r="344" spans="1:26" ht="15.75" customHeight="1" x14ac:dyDescent="0.2">
      <c r="A344" s="12"/>
      <c r="B344" s="10"/>
      <c r="C344" s="11"/>
      <c r="D344" s="13"/>
      <c r="E344" s="13"/>
      <c r="F344" s="13"/>
      <c r="G344" s="2"/>
      <c r="H344" s="2"/>
      <c r="I344" s="13"/>
      <c r="J344" s="13"/>
      <c r="K344" s="13"/>
      <c r="L344" s="14"/>
      <c r="M344" s="4"/>
      <c r="N344" s="2"/>
      <c r="O344" s="4"/>
      <c r="P344" s="2"/>
      <c r="Q344" s="2"/>
      <c r="R344" s="4"/>
      <c r="S344" s="2"/>
      <c r="T344" s="2"/>
      <c r="U344" s="1"/>
      <c r="V344" s="2"/>
      <c r="W344" s="2"/>
      <c r="X344" s="2"/>
      <c r="Y344" s="2"/>
      <c r="Z344" s="2"/>
    </row>
    <row r="345" spans="1:26" ht="15.75" customHeight="1" x14ac:dyDescent="0.2">
      <c r="A345" s="12"/>
      <c r="B345" s="10"/>
      <c r="C345" s="11"/>
      <c r="D345" s="13"/>
      <c r="E345" s="13"/>
      <c r="F345" s="13"/>
      <c r="G345" s="2"/>
      <c r="H345" s="2"/>
      <c r="I345" s="13"/>
      <c r="J345" s="13"/>
      <c r="K345" s="13"/>
      <c r="L345" s="14"/>
      <c r="M345" s="4"/>
      <c r="N345" s="2"/>
      <c r="O345" s="4"/>
      <c r="P345" s="2"/>
      <c r="Q345" s="2"/>
      <c r="R345" s="4"/>
      <c r="S345" s="2"/>
      <c r="T345" s="2"/>
      <c r="U345" s="1"/>
      <c r="V345" s="2"/>
      <c r="W345" s="2"/>
      <c r="X345" s="2"/>
      <c r="Y345" s="2"/>
      <c r="Z345" s="2"/>
    </row>
    <row r="346" spans="1:26" ht="15.75" customHeight="1" x14ac:dyDescent="0.2">
      <c r="A346" s="12"/>
      <c r="B346" s="10"/>
      <c r="C346" s="11"/>
      <c r="D346" s="13"/>
      <c r="E346" s="13"/>
      <c r="F346" s="13"/>
      <c r="G346" s="2"/>
      <c r="H346" s="2"/>
      <c r="I346" s="13"/>
      <c r="J346" s="13"/>
      <c r="K346" s="13"/>
      <c r="L346" s="14"/>
      <c r="M346" s="4"/>
      <c r="N346" s="2"/>
      <c r="O346" s="4"/>
      <c r="P346" s="2"/>
      <c r="Q346" s="2"/>
      <c r="R346" s="4"/>
      <c r="S346" s="2"/>
      <c r="T346" s="2"/>
      <c r="U346" s="1"/>
      <c r="V346" s="2"/>
      <c r="W346" s="2"/>
      <c r="X346" s="2"/>
      <c r="Y346" s="2"/>
      <c r="Z346" s="2"/>
    </row>
    <row r="347" spans="1:26" ht="15.75" customHeight="1" x14ac:dyDescent="0.2">
      <c r="A347" s="12"/>
      <c r="B347" s="10"/>
      <c r="C347" s="11"/>
      <c r="D347" s="13"/>
      <c r="E347" s="13"/>
      <c r="F347" s="13"/>
      <c r="G347" s="2"/>
      <c r="H347" s="2"/>
      <c r="I347" s="13"/>
      <c r="J347" s="13"/>
      <c r="K347" s="13"/>
      <c r="L347" s="14"/>
      <c r="M347" s="4"/>
      <c r="N347" s="2"/>
      <c r="O347" s="4"/>
      <c r="P347" s="2"/>
      <c r="Q347" s="2"/>
      <c r="R347" s="4"/>
      <c r="S347" s="2"/>
      <c r="T347" s="2"/>
      <c r="U347" s="1"/>
      <c r="V347" s="2"/>
      <c r="W347" s="2"/>
      <c r="X347" s="2"/>
      <c r="Y347" s="2"/>
      <c r="Z347" s="2"/>
    </row>
    <row r="348" spans="1:26" ht="15.75" customHeight="1" x14ac:dyDescent="0.2">
      <c r="A348" s="12"/>
      <c r="B348" s="10"/>
      <c r="C348" s="11"/>
      <c r="D348" s="13"/>
      <c r="E348" s="13"/>
      <c r="F348" s="13"/>
      <c r="G348" s="2"/>
      <c r="H348" s="2"/>
      <c r="I348" s="13"/>
      <c r="J348" s="13"/>
      <c r="K348" s="13"/>
      <c r="L348" s="14"/>
      <c r="M348" s="4"/>
      <c r="N348" s="2"/>
      <c r="O348" s="4"/>
      <c r="P348" s="2"/>
      <c r="Q348" s="2"/>
      <c r="R348" s="4"/>
      <c r="S348" s="2"/>
      <c r="T348" s="2"/>
      <c r="U348" s="1"/>
      <c r="V348" s="2"/>
      <c r="W348" s="2"/>
      <c r="X348" s="2"/>
      <c r="Y348" s="2"/>
      <c r="Z348" s="2"/>
    </row>
    <row r="349" spans="1:26" ht="15.75" customHeight="1" x14ac:dyDescent="0.2">
      <c r="A349" s="12"/>
      <c r="B349" s="10"/>
      <c r="C349" s="11"/>
      <c r="D349" s="13"/>
      <c r="E349" s="13"/>
      <c r="F349" s="13"/>
      <c r="G349" s="2"/>
      <c r="H349" s="2"/>
      <c r="I349" s="13"/>
      <c r="J349" s="13"/>
      <c r="K349" s="13"/>
      <c r="L349" s="14"/>
      <c r="M349" s="4"/>
      <c r="N349" s="2"/>
      <c r="O349" s="4"/>
      <c r="P349" s="2"/>
      <c r="Q349" s="2"/>
      <c r="R349" s="4"/>
      <c r="S349" s="2"/>
      <c r="T349" s="2"/>
      <c r="U349" s="1"/>
      <c r="V349" s="2"/>
      <c r="W349" s="2"/>
      <c r="X349" s="2"/>
      <c r="Y349" s="2"/>
      <c r="Z349" s="2"/>
    </row>
    <row r="350" spans="1:26" ht="15.75" customHeight="1" x14ac:dyDescent="0.2">
      <c r="A350" s="12"/>
      <c r="B350" s="10"/>
      <c r="C350" s="11"/>
      <c r="D350" s="13"/>
      <c r="E350" s="13"/>
      <c r="F350" s="13"/>
      <c r="G350" s="2"/>
      <c r="H350" s="2"/>
      <c r="I350" s="13"/>
      <c r="J350" s="13"/>
      <c r="K350" s="13"/>
      <c r="L350" s="14"/>
      <c r="M350" s="4"/>
      <c r="N350" s="2"/>
      <c r="O350" s="4"/>
      <c r="P350" s="2"/>
      <c r="Q350" s="2"/>
      <c r="R350" s="4"/>
      <c r="S350" s="2"/>
      <c r="T350" s="2"/>
      <c r="U350" s="1"/>
      <c r="V350" s="2"/>
      <c r="W350" s="2"/>
      <c r="X350" s="2"/>
      <c r="Y350" s="2"/>
      <c r="Z350" s="2"/>
    </row>
    <row r="351" spans="1:26" ht="15.75" customHeight="1" x14ac:dyDescent="0.2">
      <c r="A351" s="12"/>
      <c r="B351" s="10"/>
      <c r="C351" s="11"/>
      <c r="D351" s="13"/>
      <c r="E351" s="13"/>
      <c r="F351" s="13"/>
      <c r="G351" s="2"/>
      <c r="H351" s="2"/>
      <c r="I351" s="13"/>
      <c r="J351" s="13"/>
      <c r="K351" s="13"/>
      <c r="L351" s="14"/>
      <c r="M351" s="4"/>
      <c r="N351" s="2"/>
      <c r="O351" s="4"/>
      <c r="P351" s="2"/>
      <c r="Q351" s="2"/>
      <c r="R351" s="4"/>
      <c r="S351" s="2"/>
      <c r="T351" s="2"/>
      <c r="U351" s="1"/>
      <c r="V351" s="2"/>
      <c r="W351" s="2"/>
      <c r="X351" s="2"/>
      <c r="Y351" s="2"/>
      <c r="Z351" s="2"/>
    </row>
    <row r="352" spans="1:26" ht="15.75" customHeight="1" x14ac:dyDescent="0.2">
      <c r="A352" s="12"/>
      <c r="B352" s="10"/>
      <c r="C352" s="11"/>
      <c r="D352" s="13"/>
      <c r="E352" s="13"/>
      <c r="F352" s="13"/>
      <c r="G352" s="2"/>
      <c r="H352" s="2"/>
      <c r="I352" s="13"/>
      <c r="J352" s="13"/>
      <c r="K352" s="13"/>
      <c r="L352" s="14"/>
      <c r="M352" s="4"/>
      <c r="N352" s="2"/>
      <c r="O352" s="4"/>
      <c r="P352" s="2"/>
      <c r="Q352" s="2"/>
      <c r="R352" s="4"/>
      <c r="S352" s="2"/>
      <c r="T352" s="2"/>
      <c r="U352" s="1"/>
      <c r="V352" s="2"/>
      <c r="W352" s="2"/>
      <c r="X352" s="2"/>
      <c r="Y352" s="2"/>
      <c r="Z352" s="2"/>
    </row>
    <row r="353" spans="1:26" ht="15.75" customHeight="1" x14ac:dyDescent="0.2">
      <c r="A353" s="12"/>
      <c r="B353" s="10"/>
      <c r="C353" s="11"/>
      <c r="D353" s="13"/>
      <c r="E353" s="13"/>
      <c r="F353" s="13"/>
      <c r="G353" s="2"/>
      <c r="H353" s="2"/>
      <c r="I353" s="13"/>
      <c r="J353" s="13"/>
      <c r="K353" s="13"/>
      <c r="L353" s="14"/>
      <c r="M353" s="4"/>
      <c r="N353" s="2"/>
      <c r="O353" s="4"/>
      <c r="P353" s="2"/>
      <c r="Q353" s="2"/>
      <c r="R353" s="4"/>
      <c r="S353" s="2"/>
      <c r="T353" s="2"/>
      <c r="U353" s="1"/>
      <c r="V353" s="2"/>
      <c r="W353" s="2"/>
      <c r="X353" s="2"/>
      <c r="Y353" s="2"/>
      <c r="Z353" s="2"/>
    </row>
    <row r="354" spans="1:26" ht="15.75" customHeight="1" x14ac:dyDescent="0.2">
      <c r="A354" s="12"/>
      <c r="B354" s="10"/>
      <c r="C354" s="11"/>
      <c r="D354" s="13"/>
      <c r="E354" s="13"/>
      <c r="F354" s="13"/>
      <c r="G354" s="2"/>
      <c r="H354" s="2"/>
      <c r="I354" s="13"/>
      <c r="J354" s="13"/>
      <c r="K354" s="13"/>
      <c r="L354" s="14"/>
      <c r="M354" s="4"/>
      <c r="N354" s="2"/>
      <c r="O354" s="4"/>
      <c r="P354" s="2"/>
      <c r="Q354" s="2"/>
      <c r="R354" s="4"/>
      <c r="S354" s="2"/>
      <c r="T354" s="2"/>
      <c r="U354" s="1"/>
      <c r="V354" s="2"/>
      <c r="W354" s="2"/>
      <c r="X354" s="2"/>
      <c r="Y354" s="2"/>
      <c r="Z354" s="2"/>
    </row>
    <row r="355" spans="1:26" ht="15.75" customHeight="1" x14ac:dyDescent="0.2">
      <c r="A355" s="12"/>
      <c r="B355" s="10"/>
      <c r="C355" s="11"/>
      <c r="D355" s="13"/>
      <c r="E355" s="13"/>
      <c r="F355" s="13"/>
      <c r="G355" s="2"/>
      <c r="H355" s="2"/>
      <c r="I355" s="13"/>
      <c r="J355" s="13"/>
      <c r="K355" s="13"/>
      <c r="L355" s="14"/>
      <c r="M355" s="4"/>
      <c r="N355" s="2"/>
      <c r="O355" s="4"/>
      <c r="P355" s="2"/>
      <c r="Q355" s="2"/>
      <c r="R355" s="4"/>
      <c r="S355" s="2"/>
      <c r="T355" s="2"/>
      <c r="U355" s="1"/>
      <c r="V355" s="2"/>
      <c r="W355" s="2"/>
      <c r="X355" s="2"/>
      <c r="Y355" s="2"/>
      <c r="Z355" s="2"/>
    </row>
    <row r="356" spans="1:26" ht="15.75" customHeight="1" x14ac:dyDescent="0.2">
      <c r="A356" s="12"/>
      <c r="B356" s="10"/>
      <c r="C356" s="11"/>
      <c r="D356" s="13"/>
      <c r="E356" s="13"/>
      <c r="F356" s="13"/>
      <c r="G356" s="2"/>
      <c r="H356" s="2"/>
      <c r="I356" s="13"/>
      <c r="J356" s="13"/>
      <c r="K356" s="13"/>
      <c r="L356" s="14"/>
      <c r="M356" s="4"/>
      <c r="N356" s="2"/>
      <c r="O356" s="4"/>
      <c r="P356" s="2"/>
      <c r="Q356" s="2"/>
      <c r="R356" s="4"/>
      <c r="S356" s="2"/>
      <c r="T356" s="2"/>
      <c r="U356" s="1"/>
      <c r="V356" s="2"/>
      <c r="W356" s="2"/>
      <c r="X356" s="2"/>
      <c r="Y356" s="2"/>
      <c r="Z356" s="2"/>
    </row>
    <row r="357" spans="1:26" ht="15.75" customHeight="1" x14ac:dyDescent="0.2">
      <c r="A357" s="12"/>
      <c r="B357" s="10"/>
      <c r="C357" s="11"/>
      <c r="D357" s="13"/>
      <c r="E357" s="13"/>
      <c r="F357" s="13"/>
      <c r="G357" s="2"/>
      <c r="H357" s="2"/>
      <c r="I357" s="13"/>
      <c r="J357" s="13"/>
      <c r="K357" s="13"/>
      <c r="L357" s="14"/>
      <c r="M357" s="4"/>
      <c r="N357" s="2"/>
      <c r="O357" s="4"/>
      <c r="P357" s="2"/>
      <c r="Q357" s="2"/>
      <c r="R357" s="4"/>
      <c r="S357" s="2"/>
      <c r="T357" s="2"/>
      <c r="U357" s="1"/>
      <c r="V357" s="2"/>
      <c r="W357" s="2"/>
      <c r="X357" s="2"/>
      <c r="Y357" s="2"/>
      <c r="Z357" s="2"/>
    </row>
    <row r="358" spans="1:26" ht="15.75" customHeight="1" x14ac:dyDescent="0.2">
      <c r="A358" s="12"/>
      <c r="B358" s="10"/>
      <c r="C358" s="11"/>
      <c r="D358" s="13"/>
      <c r="E358" s="13"/>
      <c r="F358" s="13"/>
      <c r="G358" s="2"/>
      <c r="H358" s="2"/>
      <c r="I358" s="13"/>
      <c r="J358" s="13"/>
      <c r="K358" s="13"/>
      <c r="L358" s="14"/>
      <c r="M358" s="4"/>
      <c r="N358" s="2"/>
      <c r="O358" s="4"/>
      <c r="P358" s="2"/>
      <c r="Q358" s="2"/>
      <c r="R358" s="4"/>
      <c r="S358" s="2"/>
      <c r="T358" s="2"/>
      <c r="U358" s="1"/>
      <c r="V358" s="2"/>
      <c r="W358" s="2"/>
      <c r="X358" s="2"/>
      <c r="Y358" s="2"/>
      <c r="Z358" s="2"/>
    </row>
    <row r="359" spans="1:26" ht="15.75" customHeight="1" x14ac:dyDescent="0.2">
      <c r="A359" s="12"/>
      <c r="B359" s="10"/>
      <c r="C359" s="11"/>
      <c r="D359" s="13"/>
      <c r="E359" s="13"/>
      <c r="F359" s="13"/>
      <c r="G359" s="2"/>
      <c r="H359" s="2"/>
      <c r="I359" s="13"/>
      <c r="J359" s="13"/>
      <c r="K359" s="13"/>
      <c r="L359" s="14"/>
      <c r="M359" s="4"/>
      <c r="N359" s="2"/>
      <c r="O359" s="4"/>
      <c r="P359" s="2"/>
      <c r="Q359" s="2"/>
      <c r="R359" s="4"/>
      <c r="S359" s="2"/>
      <c r="T359" s="2"/>
      <c r="U359" s="1"/>
      <c r="V359" s="2"/>
      <c r="W359" s="2"/>
      <c r="X359" s="2"/>
      <c r="Y359" s="2"/>
      <c r="Z359" s="2"/>
    </row>
    <row r="360" spans="1:26" ht="15.75" customHeight="1" x14ac:dyDescent="0.2">
      <c r="A360" s="12"/>
      <c r="B360" s="10"/>
      <c r="C360" s="11"/>
      <c r="D360" s="13"/>
      <c r="E360" s="13"/>
      <c r="F360" s="13"/>
      <c r="G360" s="2"/>
      <c r="H360" s="2"/>
      <c r="I360" s="13"/>
      <c r="J360" s="13"/>
      <c r="K360" s="13"/>
      <c r="L360" s="14"/>
      <c r="M360" s="4"/>
      <c r="N360" s="2"/>
      <c r="O360" s="4"/>
      <c r="P360" s="2"/>
      <c r="Q360" s="2"/>
      <c r="R360" s="4"/>
      <c r="S360" s="2"/>
      <c r="T360" s="2"/>
      <c r="U360" s="1"/>
      <c r="V360" s="2"/>
      <c r="W360" s="2"/>
      <c r="X360" s="2"/>
      <c r="Y360" s="2"/>
      <c r="Z360" s="2"/>
    </row>
    <row r="361" spans="1:26" ht="15.75" customHeight="1" x14ac:dyDescent="0.2">
      <c r="A361" s="12"/>
      <c r="B361" s="10"/>
      <c r="C361" s="11"/>
      <c r="D361" s="13"/>
      <c r="E361" s="13"/>
      <c r="F361" s="13"/>
      <c r="G361" s="2"/>
      <c r="H361" s="2"/>
      <c r="I361" s="13"/>
      <c r="J361" s="13"/>
      <c r="K361" s="13"/>
      <c r="L361" s="14"/>
      <c r="M361" s="4"/>
      <c r="N361" s="2"/>
      <c r="O361" s="4"/>
      <c r="P361" s="2"/>
      <c r="Q361" s="2"/>
      <c r="R361" s="4"/>
      <c r="S361" s="2"/>
      <c r="T361" s="2"/>
      <c r="U361" s="1"/>
      <c r="V361" s="2"/>
      <c r="W361" s="2"/>
      <c r="X361" s="2"/>
      <c r="Y361" s="2"/>
      <c r="Z361" s="2"/>
    </row>
    <row r="362" spans="1:26" ht="15.75" customHeight="1" x14ac:dyDescent="0.2">
      <c r="A362" s="12"/>
      <c r="B362" s="10"/>
      <c r="C362" s="11"/>
      <c r="D362" s="13"/>
      <c r="E362" s="13"/>
      <c r="F362" s="13"/>
      <c r="G362" s="2"/>
      <c r="H362" s="2"/>
      <c r="I362" s="13"/>
      <c r="J362" s="13"/>
      <c r="K362" s="13"/>
      <c r="L362" s="14"/>
      <c r="M362" s="4"/>
      <c r="N362" s="2"/>
      <c r="O362" s="4"/>
      <c r="P362" s="2"/>
      <c r="Q362" s="2"/>
      <c r="R362" s="4"/>
      <c r="S362" s="2"/>
      <c r="T362" s="2"/>
      <c r="U362" s="1"/>
      <c r="V362" s="2"/>
      <c r="W362" s="2"/>
      <c r="X362" s="2"/>
      <c r="Y362" s="2"/>
      <c r="Z362" s="2"/>
    </row>
    <row r="363" spans="1:26" ht="15.75" customHeight="1" x14ac:dyDescent="0.2">
      <c r="A363" s="12"/>
      <c r="B363" s="10"/>
      <c r="C363" s="11"/>
      <c r="D363" s="13"/>
      <c r="E363" s="13"/>
      <c r="F363" s="13"/>
      <c r="G363" s="2"/>
      <c r="H363" s="2"/>
      <c r="I363" s="13"/>
      <c r="J363" s="13"/>
      <c r="K363" s="13"/>
      <c r="L363" s="14"/>
      <c r="M363" s="4"/>
      <c r="N363" s="2"/>
      <c r="O363" s="4"/>
      <c r="P363" s="2"/>
      <c r="Q363" s="2"/>
      <c r="R363" s="4"/>
      <c r="S363" s="2"/>
      <c r="T363" s="2"/>
      <c r="U363" s="1"/>
      <c r="V363" s="2"/>
      <c r="W363" s="2"/>
      <c r="X363" s="2"/>
      <c r="Y363" s="2"/>
      <c r="Z363" s="2"/>
    </row>
    <row r="364" spans="1:26" ht="15.75" customHeight="1" x14ac:dyDescent="0.2">
      <c r="A364" s="12"/>
      <c r="B364" s="10"/>
      <c r="C364" s="11"/>
      <c r="D364" s="13"/>
      <c r="E364" s="13"/>
      <c r="F364" s="13"/>
      <c r="G364" s="2"/>
      <c r="H364" s="2"/>
      <c r="I364" s="13"/>
      <c r="J364" s="13"/>
      <c r="K364" s="13"/>
      <c r="L364" s="14"/>
      <c r="M364" s="4"/>
      <c r="N364" s="2"/>
      <c r="O364" s="4"/>
      <c r="P364" s="2"/>
      <c r="Q364" s="2"/>
      <c r="R364" s="4"/>
      <c r="S364" s="2"/>
      <c r="T364" s="2"/>
      <c r="U364" s="1"/>
      <c r="V364" s="2"/>
      <c r="W364" s="2"/>
      <c r="X364" s="2"/>
      <c r="Y364" s="2"/>
      <c r="Z364" s="2"/>
    </row>
    <row r="365" spans="1:26" ht="15.75" customHeight="1" x14ac:dyDescent="0.2">
      <c r="A365" s="12"/>
      <c r="B365" s="10"/>
      <c r="C365" s="11"/>
      <c r="D365" s="13"/>
      <c r="E365" s="13"/>
      <c r="F365" s="13"/>
      <c r="G365" s="2"/>
      <c r="H365" s="2"/>
      <c r="I365" s="13"/>
      <c r="J365" s="13"/>
      <c r="K365" s="13"/>
      <c r="L365" s="14"/>
      <c r="M365" s="4"/>
      <c r="N365" s="2"/>
      <c r="O365" s="4"/>
      <c r="P365" s="2"/>
      <c r="Q365" s="2"/>
      <c r="R365" s="4"/>
      <c r="S365" s="2"/>
      <c r="T365" s="2"/>
      <c r="U365" s="1"/>
      <c r="V365" s="2"/>
      <c r="W365" s="2"/>
      <c r="X365" s="2"/>
      <c r="Y365" s="2"/>
      <c r="Z365" s="2"/>
    </row>
    <row r="366" spans="1:26" ht="15.75" customHeight="1" x14ac:dyDescent="0.2">
      <c r="A366" s="12"/>
      <c r="B366" s="10"/>
      <c r="C366" s="11"/>
      <c r="D366" s="13"/>
      <c r="E366" s="13"/>
      <c r="F366" s="13"/>
      <c r="G366" s="2"/>
      <c r="H366" s="2"/>
      <c r="I366" s="13"/>
      <c r="J366" s="13"/>
      <c r="K366" s="13"/>
      <c r="L366" s="14"/>
      <c r="M366" s="4"/>
      <c r="N366" s="2"/>
      <c r="O366" s="4"/>
      <c r="P366" s="2"/>
      <c r="Q366" s="2"/>
      <c r="R366" s="4"/>
      <c r="S366" s="2"/>
      <c r="T366" s="2"/>
      <c r="U366" s="1"/>
      <c r="V366" s="2"/>
      <c r="W366" s="2"/>
      <c r="X366" s="2"/>
      <c r="Y366" s="2"/>
      <c r="Z366" s="2"/>
    </row>
    <row r="367" spans="1:26" ht="15.75" customHeight="1" x14ac:dyDescent="0.2">
      <c r="A367" s="12"/>
      <c r="B367" s="10"/>
      <c r="C367" s="11"/>
      <c r="D367" s="13"/>
      <c r="E367" s="13"/>
      <c r="F367" s="13"/>
      <c r="G367" s="2"/>
      <c r="H367" s="2"/>
      <c r="I367" s="13"/>
      <c r="J367" s="13"/>
      <c r="K367" s="13"/>
      <c r="L367" s="14"/>
      <c r="M367" s="4"/>
      <c r="N367" s="2"/>
      <c r="O367" s="4"/>
      <c r="P367" s="2"/>
      <c r="Q367" s="2"/>
      <c r="R367" s="4"/>
      <c r="S367" s="2"/>
      <c r="T367" s="2"/>
      <c r="U367" s="1"/>
      <c r="V367" s="2"/>
      <c r="W367" s="2"/>
      <c r="X367" s="2"/>
      <c r="Y367" s="2"/>
      <c r="Z367" s="2"/>
    </row>
    <row r="368" spans="1:26" ht="15.75" customHeight="1" x14ac:dyDescent="0.2">
      <c r="A368" s="12"/>
      <c r="B368" s="10"/>
      <c r="C368" s="11"/>
      <c r="D368" s="13"/>
      <c r="E368" s="13"/>
      <c r="F368" s="13"/>
      <c r="G368" s="2"/>
      <c r="H368" s="2"/>
      <c r="I368" s="13"/>
      <c r="J368" s="13"/>
      <c r="K368" s="13"/>
      <c r="L368" s="14"/>
      <c r="M368" s="4"/>
      <c r="N368" s="2"/>
      <c r="O368" s="4"/>
      <c r="P368" s="2"/>
      <c r="Q368" s="2"/>
      <c r="R368" s="4"/>
      <c r="S368" s="2"/>
      <c r="T368" s="2"/>
      <c r="U368" s="1"/>
      <c r="V368" s="2"/>
      <c r="W368" s="2"/>
      <c r="X368" s="2"/>
      <c r="Y368" s="2"/>
      <c r="Z368" s="2"/>
    </row>
    <row r="369" spans="1:26" ht="15.75" customHeight="1" x14ac:dyDescent="0.2">
      <c r="A369" s="12"/>
      <c r="B369" s="10"/>
      <c r="C369" s="11"/>
      <c r="D369" s="13"/>
      <c r="E369" s="13"/>
      <c r="F369" s="13"/>
      <c r="G369" s="2"/>
      <c r="H369" s="2"/>
      <c r="I369" s="13"/>
      <c r="J369" s="13"/>
      <c r="K369" s="13"/>
      <c r="L369" s="14"/>
      <c r="M369" s="4"/>
      <c r="N369" s="2"/>
      <c r="O369" s="4"/>
      <c r="P369" s="2"/>
      <c r="Q369" s="2"/>
      <c r="R369" s="4"/>
      <c r="S369" s="2"/>
      <c r="T369" s="2"/>
      <c r="U369" s="1"/>
      <c r="V369" s="2"/>
      <c r="W369" s="2"/>
      <c r="X369" s="2"/>
      <c r="Y369" s="2"/>
      <c r="Z369" s="2"/>
    </row>
    <row r="370" spans="1:26" ht="15.75" customHeight="1" x14ac:dyDescent="0.2">
      <c r="A370" s="12"/>
      <c r="B370" s="10"/>
      <c r="C370" s="11"/>
      <c r="D370" s="13"/>
      <c r="E370" s="13"/>
      <c r="F370" s="13"/>
      <c r="G370" s="2"/>
      <c r="H370" s="2"/>
      <c r="I370" s="13"/>
      <c r="J370" s="13"/>
      <c r="K370" s="13"/>
      <c r="L370" s="14"/>
      <c r="M370" s="4"/>
      <c r="N370" s="2"/>
      <c r="O370" s="4"/>
      <c r="P370" s="2"/>
      <c r="Q370" s="2"/>
      <c r="R370" s="4"/>
      <c r="S370" s="2"/>
      <c r="T370" s="2"/>
      <c r="U370" s="1"/>
      <c r="V370" s="2"/>
      <c r="W370" s="2"/>
      <c r="X370" s="2"/>
      <c r="Y370" s="2"/>
      <c r="Z370" s="2"/>
    </row>
    <row r="371" spans="1:26" ht="15.75" customHeight="1" x14ac:dyDescent="0.2">
      <c r="A371" s="12"/>
      <c r="B371" s="10"/>
      <c r="C371" s="11"/>
      <c r="D371" s="13"/>
      <c r="E371" s="13"/>
      <c r="F371" s="13"/>
      <c r="G371" s="2"/>
      <c r="H371" s="2"/>
      <c r="I371" s="13"/>
      <c r="J371" s="13"/>
      <c r="K371" s="13"/>
      <c r="L371" s="14"/>
      <c r="M371" s="4"/>
      <c r="N371" s="2"/>
      <c r="O371" s="4"/>
      <c r="P371" s="2"/>
      <c r="Q371" s="2"/>
      <c r="R371" s="4"/>
      <c r="S371" s="2"/>
      <c r="T371" s="2"/>
      <c r="U371" s="1"/>
      <c r="V371" s="2"/>
      <c r="W371" s="2"/>
      <c r="X371" s="2"/>
      <c r="Y371" s="2"/>
      <c r="Z371" s="2"/>
    </row>
    <row r="372" spans="1:26" ht="15.75" customHeight="1" x14ac:dyDescent="0.2">
      <c r="A372" s="12"/>
      <c r="B372" s="10"/>
      <c r="C372" s="11"/>
      <c r="D372" s="13"/>
      <c r="E372" s="13"/>
      <c r="F372" s="13"/>
      <c r="G372" s="2"/>
      <c r="H372" s="2"/>
      <c r="I372" s="13"/>
      <c r="J372" s="13"/>
      <c r="K372" s="13"/>
      <c r="L372" s="14"/>
      <c r="M372" s="4"/>
      <c r="N372" s="2"/>
      <c r="O372" s="4"/>
      <c r="P372" s="2"/>
      <c r="Q372" s="2"/>
      <c r="R372" s="4"/>
      <c r="S372" s="2"/>
      <c r="T372" s="2"/>
      <c r="U372" s="1"/>
      <c r="V372" s="2"/>
      <c r="W372" s="2"/>
      <c r="X372" s="2"/>
      <c r="Y372" s="2"/>
      <c r="Z372" s="2"/>
    </row>
    <row r="373" spans="1:26" ht="15.75" customHeight="1" x14ac:dyDescent="0.2">
      <c r="A373" s="12"/>
      <c r="B373" s="10"/>
      <c r="C373" s="11"/>
      <c r="D373" s="13"/>
      <c r="E373" s="13"/>
      <c r="F373" s="13"/>
      <c r="G373" s="2"/>
      <c r="H373" s="2"/>
      <c r="I373" s="13"/>
      <c r="J373" s="13"/>
      <c r="K373" s="13"/>
      <c r="L373" s="14"/>
      <c r="M373" s="4"/>
      <c r="N373" s="2"/>
      <c r="O373" s="4"/>
      <c r="P373" s="2"/>
      <c r="Q373" s="2"/>
      <c r="R373" s="4"/>
      <c r="S373" s="2"/>
      <c r="T373" s="2"/>
      <c r="U373" s="1"/>
      <c r="V373" s="2"/>
      <c r="W373" s="2"/>
      <c r="X373" s="2"/>
      <c r="Y373" s="2"/>
      <c r="Z373" s="2"/>
    </row>
    <row r="374" spans="1:26" ht="15.75" customHeight="1" x14ac:dyDescent="0.2">
      <c r="A374" s="12"/>
      <c r="B374" s="10"/>
      <c r="C374" s="11"/>
      <c r="D374" s="13"/>
      <c r="E374" s="13"/>
      <c r="F374" s="13"/>
      <c r="G374" s="2"/>
      <c r="H374" s="2"/>
      <c r="I374" s="13"/>
      <c r="J374" s="13"/>
      <c r="K374" s="13"/>
      <c r="L374" s="14"/>
      <c r="M374" s="4"/>
      <c r="N374" s="2"/>
      <c r="O374" s="4"/>
      <c r="P374" s="2"/>
      <c r="Q374" s="2"/>
      <c r="R374" s="4"/>
      <c r="S374" s="2"/>
      <c r="T374" s="2"/>
      <c r="U374" s="1"/>
      <c r="V374" s="2"/>
      <c r="W374" s="2"/>
      <c r="X374" s="2"/>
      <c r="Y374" s="2"/>
      <c r="Z374" s="2"/>
    </row>
    <row r="375" spans="1:26" ht="15.75" customHeight="1" x14ac:dyDescent="0.2">
      <c r="A375" s="12"/>
      <c r="B375" s="10"/>
      <c r="C375" s="11"/>
      <c r="D375" s="13"/>
      <c r="E375" s="13"/>
      <c r="F375" s="13"/>
      <c r="G375" s="2"/>
      <c r="H375" s="2"/>
      <c r="I375" s="13"/>
      <c r="J375" s="13"/>
      <c r="K375" s="13"/>
      <c r="L375" s="14"/>
      <c r="M375" s="4"/>
      <c r="N375" s="2"/>
      <c r="O375" s="4"/>
      <c r="P375" s="2"/>
      <c r="Q375" s="2"/>
      <c r="R375" s="4"/>
      <c r="S375" s="2"/>
      <c r="T375" s="2"/>
      <c r="U375" s="1"/>
      <c r="V375" s="2"/>
      <c r="W375" s="2"/>
      <c r="X375" s="2"/>
      <c r="Y375" s="2"/>
      <c r="Z375" s="2"/>
    </row>
    <row r="376" spans="1:26" ht="15.75" customHeight="1" x14ac:dyDescent="0.2">
      <c r="A376" s="12"/>
      <c r="B376" s="10"/>
      <c r="C376" s="11"/>
      <c r="D376" s="13"/>
      <c r="E376" s="13"/>
      <c r="F376" s="13"/>
      <c r="G376" s="2"/>
      <c r="H376" s="2"/>
      <c r="I376" s="13"/>
      <c r="J376" s="13"/>
      <c r="K376" s="13"/>
      <c r="L376" s="14"/>
      <c r="M376" s="4"/>
      <c r="N376" s="2"/>
      <c r="O376" s="4"/>
      <c r="P376" s="2"/>
      <c r="Q376" s="2"/>
      <c r="R376" s="4"/>
      <c r="S376" s="2"/>
      <c r="T376" s="2"/>
      <c r="U376" s="1"/>
      <c r="V376" s="2"/>
      <c r="W376" s="2"/>
      <c r="X376" s="2"/>
      <c r="Y376" s="2"/>
      <c r="Z376" s="2"/>
    </row>
    <row r="377" spans="1:26" ht="15.75" customHeight="1" x14ac:dyDescent="0.2">
      <c r="A377" s="12"/>
      <c r="B377" s="10"/>
      <c r="C377" s="11"/>
      <c r="D377" s="13"/>
      <c r="E377" s="13"/>
      <c r="F377" s="13"/>
      <c r="G377" s="2"/>
      <c r="H377" s="2"/>
      <c r="I377" s="13"/>
      <c r="J377" s="13"/>
      <c r="K377" s="13"/>
      <c r="L377" s="14"/>
      <c r="M377" s="4"/>
      <c r="N377" s="2"/>
      <c r="O377" s="4"/>
      <c r="P377" s="2"/>
      <c r="Q377" s="2"/>
      <c r="R377" s="4"/>
      <c r="S377" s="2"/>
      <c r="T377" s="2"/>
      <c r="U377" s="1"/>
      <c r="V377" s="2"/>
      <c r="W377" s="2"/>
      <c r="X377" s="2"/>
      <c r="Y377" s="2"/>
      <c r="Z377" s="2"/>
    </row>
    <row r="378" spans="1:26" ht="15.75" customHeight="1" x14ac:dyDescent="0.2">
      <c r="A378" s="12"/>
      <c r="B378" s="10"/>
      <c r="C378" s="11"/>
      <c r="D378" s="13"/>
      <c r="E378" s="13"/>
      <c r="F378" s="13"/>
      <c r="G378" s="2"/>
      <c r="H378" s="2"/>
      <c r="I378" s="13"/>
      <c r="J378" s="13"/>
      <c r="K378" s="13"/>
      <c r="L378" s="14"/>
      <c r="M378" s="4"/>
      <c r="N378" s="2"/>
      <c r="O378" s="4"/>
      <c r="P378" s="2"/>
      <c r="Q378" s="2"/>
      <c r="R378" s="4"/>
      <c r="S378" s="2"/>
      <c r="T378" s="2"/>
      <c r="U378" s="1"/>
      <c r="V378" s="2"/>
      <c r="W378" s="2"/>
      <c r="X378" s="2"/>
      <c r="Y378" s="2"/>
      <c r="Z378" s="2"/>
    </row>
    <row r="379" spans="1:26" ht="15.75" customHeight="1" x14ac:dyDescent="0.2">
      <c r="A379" s="12"/>
      <c r="B379" s="10"/>
      <c r="C379" s="11"/>
      <c r="D379" s="13"/>
      <c r="E379" s="13"/>
      <c r="F379" s="13"/>
      <c r="G379" s="2"/>
      <c r="H379" s="2"/>
      <c r="I379" s="13"/>
      <c r="J379" s="13"/>
      <c r="K379" s="13"/>
      <c r="L379" s="14"/>
      <c r="M379" s="4"/>
      <c r="N379" s="2"/>
      <c r="O379" s="4"/>
      <c r="P379" s="2"/>
      <c r="Q379" s="2"/>
      <c r="R379" s="4"/>
      <c r="S379" s="2"/>
      <c r="T379" s="2"/>
      <c r="U379" s="1"/>
      <c r="V379" s="2"/>
      <c r="W379" s="2"/>
      <c r="X379" s="2"/>
      <c r="Y379" s="2"/>
      <c r="Z379" s="2"/>
    </row>
    <row r="380" spans="1:26" ht="15.75" customHeight="1" x14ac:dyDescent="0.2">
      <c r="A380" s="12"/>
      <c r="B380" s="10"/>
      <c r="C380" s="11"/>
      <c r="D380" s="13"/>
      <c r="E380" s="13"/>
      <c r="F380" s="13"/>
      <c r="G380" s="2"/>
      <c r="H380" s="2"/>
      <c r="I380" s="13"/>
      <c r="J380" s="13"/>
      <c r="K380" s="13"/>
      <c r="L380" s="14"/>
      <c r="M380" s="4"/>
      <c r="N380" s="2"/>
      <c r="O380" s="4"/>
      <c r="P380" s="2"/>
      <c r="Q380" s="2"/>
      <c r="R380" s="4"/>
      <c r="S380" s="2"/>
      <c r="T380" s="2"/>
      <c r="U380" s="1"/>
      <c r="V380" s="2"/>
      <c r="W380" s="2"/>
      <c r="X380" s="2"/>
      <c r="Y380" s="2"/>
      <c r="Z380" s="2"/>
    </row>
    <row r="381" spans="1:26" ht="15.75" customHeight="1" x14ac:dyDescent="0.2">
      <c r="A381" s="12"/>
      <c r="B381" s="10"/>
      <c r="C381" s="11"/>
      <c r="D381" s="13"/>
      <c r="E381" s="13"/>
      <c r="F381" s="13"/>
      <c r="G381" s="2"/>
      <c r="H381" s="2"/>
      <c r="I381" s="13"/>
      <c r="J381" s="13"/>
      <c r="K381" s="13"/>
      <c r="L381" s="14"/>
      <c r="M381" s="4"/>
      <c r="N381" s="2"/>
      <c r="O381" s="4"/>
      <c r="P381" s="2"/>
      <c r="Q381" s="2"/>
      <c r="R381" s="4"/>
      <c r="S381" s="2"/>
      <c r="T381" s="2"/>
      <c r="U381" s="1"/>
      <c r="V381" s="2"/>
      <c r="W381" s="2"/>
      <c r="X381" s="2"/>
      <c r="Y381" s="2"/>
      <c r="Z381" s="2"/>
    </row>
    <row r="382" spans="1:26" ht="15.75" customHeight="1" x14ac:dyDescent="0.2">
      <c r="A382" s="12"/>
      <c r="B382" s="10"/>
      <c r="C382" s="11"/>
      <c r="D382" s="13"/>
      <c r="E382" s="13"/>
      <c r="F382" s="13"/>
      <c r="G382" s="2"/>
      <c r="H382" s="2"/>
      <c r="I382" s="13"/>
      <c r="J382" s="13"/>
      <c r="K382" s="13"/>
      <c r="L382" s="14"/>
      <c r="M382" s="4"/>
      <c r="N382" s="2"/>
      <c r="O382" s="4"/>
      <c r="P382" s="2"/>
      <c r="Q382" s="2"/>
      <c r="R382" s="4"/>
      <c r="S382" s="2"/>
      <c r="T382" s="2"/>
      <c r="U382" s="1"/>
      <c r="V382" s="2"/>
      <c r="W382" s="2"/>
      <c r="X382" s="2"/>
      <c r="Y382" s="2"/>
      <c r="Z382" s="2"/>
    </row>
    <row r="383" spans="1:26" ht="15.75" customHeight="1" x14ac:dyDescent="0.2">
      <c r="A383" s="12"/>
      <c r="B383" s="10"/>
      <c r="C383" s="11"/>
      <c r="D383" s="13"/>
      <c r="E383" s="13"/>
      <c r="F383" s="13"/>
      <c r="G383" s="2"/>
      <c r="H383" s="2"/>
      <c r="I383" s="13"/>
      <c r="J383" s="13"/>
      <c r="K383" s="13"/>
      <c r="L383" s="14"/>
      <c r="M383" s="4"/>
      <c r="N383" s="2"/>
      <c r="O383" s="4"/>
      <c r="P383" s="2"/>
      <c r="Q383" s="2"/>
      <c r="R383" s="4"/>
      <c r="S383" s="2"/>
      <c r="T383" s="2"/>
      <c r="U383" s="1"/>
      <c r="V383" s="2"/>
      <c r="W383" s="2"/>
      <c r="X383" s="2"/>
      <c r="Y383" s="2"/>
      <c r="Z383" s="2"/>
    </row>
    <row r="384" spans="1:26" ht="15.75" customHeight="1" x14ac:dyDescent="0.2">
      <c r="A384" s="12"/>
      <c r="B384" s="10"/>
      <c r="C384" s="11"/>
      <c r="D384" s="13"/>
      <c r="E384" s="13"/>
      <c r="F384" s="13"/>
      <c r="G384" s="2"/>
      <c r="H384" s="2"/>
      <c r="I384" s="13"/>
      <c r="J384" s="13"/>
      <c r="K384" s="13"/>
      <c r="L384" s="14"/>
      <c r="M384" s="4"/>
      <c r="N384" s="2"/>
      <c r="O384" s="4"/>
      <c r="P384" s="2"/>
      <c r="Q384" s="2"/>
      <c r="R384" s="4"/>
      <c r="S384" s="2"/>
      <c r="T384" s="2"/>
      <c r="U384" s="1"/>
      <c r="V384" s="2"/>
      <c r="W384" s="2"/>
      <c r="X384" s="2"/>
      <c r="Y384" s="2"/>
      <c r="Z384" s="2"/>
    </row>
    <row r="385" spans="1:26" ht="15.75" customHeight="1" x14ac:dyDescent="0.2">
      <c r="A385" s="12"/>
      <c r="B385" s="10"/>
      <c r="C385" s="11"/>
      <c r="D385" s="13"/>
      <c r="E385" s="13"/>
      <c r="F385" s="13"/>
      <c r="G385" s="2"/>
      <c r="H385" s="2"/>
      <c r="I385" s="13"/>
      <c r="J385" s="13"/>
      <c r="K385" s="13"/>
      <c r="L385" s="14"/>
      <c r="M385" s="4"/>
      <c r="N385" s="2"/>
      <c r="O385" s="4"/>
      <c r="P385" s="2"/>
      <c r="Q385" s="2"/>
      <c r="R385" s="4"/>
      <c r="S385" s="2"/>
      <c r="T385" s="2"/>
      <c r="U385" s="1"/>
      <c r="V385" s="2"/>
      <c r="W385" s="2"/>
      <c r="X385" s="2"/>
      <c r="Y385" s="2"/>
      <c r="Z385" s="2"/>
    </row>
    <row r="386" spans="1:26" ht="15.75" customHeight="1" x14ac:dyDescent="0.2">
      <c r="A386" s="12"/>
      <c r="B386" s="10"/>
      <c r="C386" s="11"/>
      <c r="D386" s="13"/>
      <c r="E386" s="13"/>
      <c r="F386" s="13"/>
      <c r="G386" s="2"/>
      <c r="H386" s="2"/>
      <c r="I386" s="13"/>
      <c r="J386" s="13"/>
      <c r="K386" s="13"/>
      <c r="L386" s="14"/>
      <c r="M386" s="4"/>
      <c r="N386" s="2"/>
      <c r="O386" s="4"/>
      <c r="P386" s="2"/>
      <c r="Q386" s="2"/>
      <c r="R386" s="4"/>
      <c r="S386" s="2"/>
      <c r="T386" s="2"/>
      <c r="U386" s="1"/>
      <c r="V386" s="2"/>
      <c r="W386" s="2"/>
      <c r="X386" s="2"/>
      <c r="Y386" s="2"/>
      <c r="Z386" s="2"/>
    </row>
    <row r="387" spans="1:26" ht="15.75" customHeight="1" x14ac:dyDescent="0.2">
      <c r="A387" s="12"/>
      <c r="B387" s="10"/>
      <c r="C387" s="11"/>
      <c r="D387" s="13"/>
      <c r="E387" s="13"/>
      <c r="F387" s="13"/>
      <c r="G387" s="2"/>
      <c r="H387" s="2"/>
      <c r="I387" s="13"/>
      <c r="J387" s="13"/>
      <c r="K387" s="13"/>
      <c r="L387" s="14"/>
      <c r="M387" s="4"/>
      <c r="N387" s="2"/>
      <c r="O387" s="4"/>
      <c r="P387" s="2"/>
      <c r="Q387" s="2"/>
      <c r="R387" s="4"/>
      <c r="S387" s="2"/>
      <c r="T387" s="2"/>
      <c r="U387" s="1"/>
      <c r="V387" s="2"/>
      <c r="W387" s="2"/>
      <c r="X387" s="2"/>
      <c r="Y387" s="2"/>
      <c r="Z387" s="2"/>
    </row>
    <row r="388" spans="1:26" ht="15.75" customHeight="1" x14ac:dyDescent="0.2">
      <c r="A388" s="12"/>
      <c r="B388" s="10"/>
      <c r="C388" s="11"/>
      <c r="D388" s="13"/>
      <c r="E388" s="13"/>
      <c r="F388" s="13"/>
      <c r="G388" s="2"/>
      <c r="H388" s="2"/>
      <c r="I388" s="13"/>
      <c r="J388" s="13"/>
      <c r="K388" s="13"/>
      <c r="L388" s="14"/>
      <c r="M388" s="4"/>
      <c r="N388" s="2"/>
      <c r="O388" s="4"/>
      <c r="P388" s="2"/>
      <c r="Q388" s="2"/>
      <c r="R388" s="4"/>
      <c r="S388" s="2"/>
      <c r="T388" s="2"/>
      <c r="U388" s="1"/>
      <c r="V388" s="2"/>
      <c r="W388" s="2"/>
      <c r="X388" s="2"/>
      <c r="Y388" s="2"/>
      <c r="Z388" s="2"/>
    </row>
    <row r="389" spans="1:26" ht="15.75" customHeight="1" x14ac:dyDescent="0.2">
      <c r="A389" s="12"/>
      <c r="B389" s="10"/>
      <c r="C389" s="11"/>
      <c r="D389" s="13"/>
      <c r="E389" s="13"/>
      <c r="F389" s="13"/>
      <c r="G389" s="2"/>
      <c r="H389" s="2"/>
      <c r="I389" s="13"/>
      <c r="J389" s="13"/>
      <c r="K389" s="13"/>
      <c r="L389" s="14"/>
      <c r="M389" s="4"/>
      <c r="N389" s="2"/>
      <c r="O389" s="4"/>
      <c r="P389" s="2"/>
      <c r="Q389" s="2"/>
      <c r="R389" s="4"/>
      <c r="S389" s="2"/>
      <c r="T389" s="2"/>
      <c r="U389" s="1"/>
      <c r="V389" s="2"/>
      <c r="W389" s="2"/>
      <c r="X389" s="2"/>
      <c r="Y389" s="2"/>
      <c r="Z389" s="2"/>
    </row>
    <row r="390" spans="1:26" ht="15.75" customHeight="1" x14ac:dyDescent="0.2">
      <c r="A390" s="12"/>
      <c r="B390" s="10"/>
      <c r="C390" s="11"/>
      <c r="D390" s="13"/>
      <c r="E390" s="13"/>
      <c r="F390" s="13"/>
      <c r="G390" s="2"/>
      <c r="H390" s="2"/>
      <c r="I390" s="13"/>
      <c r="J390" s="13"/>
      <c r="K390" s="13"/>
      <c r="L390" s="14"/>
      <c r="M390" s="4"/>
      <c r="N390" s="2"/>
      <c r="O390" s="4"/>
      <c r="P390" s="2"/>
      <c r="Q390" s="2"/>
      <c r="R390" s="4"/>
      <c r="S390" s="2"/>
      <c r="T390" s="2"/>
      <c r="U390" s="1"/>
      <c r="V390" s="2"/>
      <c r="W390" s="2"/>
      <c r="X390" s="2"/>
      <c r="Y390" s="2"/>
      <c r="Z390" s="2"/>
    </row>
    <row r="391" spans="1:26" ht="15.75" customHeight="1" x14ac:dyDescent="0.2">
      <c r="A391" s="12"/>
      <c r="B391" s="10"/>
      <c r="C391" s="11"/>
      <c r="D391" s="13"/>
      <c r="E391" s="13"/>
      <c r="F391" s="13"/>
      <c r="G391" s="2"/>
      <c r="H391" s="2"/>
      <c r="I391" s="13"/>
      <c r="J391" s="13"/>
      <c r="K391" s="13"/>
      <c r="L391" s="14"/>
      <c r="M391" s="4"/>
      <c r="N391" s="2"/>
      <c r="O391" s="4"/>
      <c r="P391" s="2"/>
      <c r="Q391" s="2"/>
      <c r="R391" s="4"/>
      <c r="S391" s="2"/>
      <c r="T391" s="2"/>
      <c r="U391" s="1"/>
      <c r="V391" s="2"/>
      <c r="W391" s="2"/>
      <c r="X391" s="2"/>
      <c r="Y391" s="2"/>
      <c r="Z391" s="2"/>
    </row>
    <row r="392" spans="1:26" ht="15.75" customHeight="1" x14ac:dyDescent="0.2">
      <c r="A392" s="12"/>
      <c r="B392" s="10"/>
      <c r="C392" s="11"/>
      <c r="D392" s="13"/>
      <c r="E392" s="13"/>
      <c r="F392" s="13"/>
      <c r="G392" s="2"/>
      <c r="H392" s="2"/>
      <c r="I392" s="13"/>
      <c r="J392" s="13"/>
      <c r="K392" s="13"/>
      <c r="L392" s="14"/>
      <c r="M392" s="4"/>
      <c r="N392" s="2"/>
      <c r="O392" s="4"/>
      <c r="P392" s="2"/>
      <c r="Q392" s="2"/>
      <c r="R392" s="4"/>
      <c r="S392" s="2"/>
      <c r="T392" s="2"/>
      <c r="U392" s="1"/>
      <c r="V392" s="2"/>
      <c r="W392" s="2"/>
      <c r="X392" s="2"/>
      <c r="Y392" s="2"/>
      <c r="Z392" s="2"/>
    </row>
    <row r="393" spans="1:26" ht="15.75" customHeight="1" x14ac:dyDescent="0.2">
      <c r="A393" s="12"/>
      <c r="B393" s="10"/>
      <c r="C393" s="11"/>
      <c r="D393" s="13"/>
      <c r="E393" s="13"/>
      <c r="F393" s="13"/>
      <c r="G393" s="2"/>
      <c r="H393" s="2"/>
      <c r="I393" s="13"/>
      <c r="J393" s="13"/>
      <c r="K393" s="13"/>
      <c r="L393" s="14"/>
      <c r="M393" s="4"/>
      <c r="N393" s="2"/>
      <c r="O393" s="4"/>
      <c r="P393" s="2"/>
      <c r="Q393" s="2"/>
      <c r="R393" s="4"/>
      <c r="S393" s="2"/>
      <c r="T393" s="2"/>
      <c r="U393" s="1"/>
      <c r="V393" s="2"/>
      <c r="W393" s="2"/>
      <c r="X393" s="2"/>
      <c r="Y393" s="2"/>
      <c r="Z393" s="2"/>
    </row>
    <row r="394" spans="1:26" ht="15.75" customHeight="1" x14ac:dyDescent="0.2">
      <c r="A394" s="12"/>
      <c r="B394" s="10"/>
      <c r="C394" s="11"/>
      <c r="D394" s="13"/>
      <c r="E394" s="13"/>
      <c r="F394" s="13"/>
      <c r="G394" s="2"/>
      <c r="H394" s="2"/>
      <c r="I394" s="13"/>
      <c r="J394" s="13"/>
      <c r="K394" s="13"/>
      <c r="L394" s="14"/>
      <c r="M394" s="4"/>
      <c r="N394" s="2"/>
      <c r="O394" s="4"/>
      <c r="P394" s="2"/>
      <c r="Q394" s="2"/>
      <c r="R394" s="4"/>
      <c r="S394" s="2"/>
      <c r="T394" s="2"/>
      <c r="U394" s="1"/>
      <c r="V394" s="2"/>
      <c r="W394" s="2"/>
      <c r="X394" s="2"/>
      <c r="Y394" s="2"/>
      <c r="Z394" s="2"/>
    </row>
    <row r="395" spans="1:26" ht="15.75" customHeight="1" x14ac:dyDescent="0.2">
      <c r="A395" s="12"/>
      <c r="B395" s="10"/>
      <c r="C395" s="11"/>
      <c r="D395" s="13"/>
      <c r="E395" s="13"/>
      <c r="F395" s="13"/>
      <c r="G395" s="2"/>
      <c r="H395" s="2"/>
      <c r="I395" s="13"/>
      <c r="J395" s="13"/>
      <c r="K395" s="13"/>
      <c r="L395" s="14"/>
      <c r="M395" s="4"/>
      <c r="N395" s="2"/>
      <c r="O395" s="4"/>
      <c r="P395" s="2"/>
      <c r="Q395" s="2"/>
      <c r="R395" s="4"/>
      <c r="S395" s="2"/>
      <c r="T395" s="2"/>
      <c r="U395" s="1"/>
      <c r="V395" s="2"/>
      <c r="W395" s="2"/>
      <c r="X395" s="2"/>
      <c r="Y395" s="2"/>
      <c r="Z395" s="2"/>
    </row>
    <row r="396" spans="1:26" ht="15.75" customHeight="1" x14ac:dyDescent="0.2">
      <c r="A396" s="12"/>
      <c r="B396" s="10"/>
      <c r="C396" s="11"/>
      <c r="D396" s="13"/>
      <c r="E396" s="13"/>
      <c r="F396" s="13"/>
      <c r="G396" s="2"/>
      <c r="H396" s="2"/>
      <c r="I396" s="13"/>
      <c r="J396" s="13"/>
      <c r="K396" s="13"/>
      <c r="L396" s="14"/>
      <c r="M396" s="4"/>
      <c r="N396" s="2"/>
      <c r="O396" s="4"/>
      <c r="P396" s="2"/>
      <c r="Q396" s="2"/>
      <c r="R396" s="4"/>
      <c r="S396" s="2"/>
      <c r="T396" s="2"/>
      <c r="U396" s="1"/>
      <c r="V396" s="2"/>
      <c r="W396" s="2"/>
      <c r="X396" s="2"/>
      <c r="Y396" s="2"/>
      <c r="Z396" s="2"/>
    </row>
    <row r="397" spans="1:26" ht="15.75" customHeight="1" x14ac:dyDescent="0.2">
      <c r="A397" s="12"/>
      <c r="B397" s="10"/>
      <c r="C397" s="11"/>
      <c r="D397" s="13"/>
      <c r="E397" s="13"/>
      <c r="F397" s="13"/>
      <c r="G397" s="2"/>
      <c r="H397" s="2"/>
      <c r="I397" s="13"/>
      <c r="J397" s="13"/>
      <c r="K397" s="13"/>
      <c r="L397" s="14"/>
      <c r="M397" s="4"/>
      <c r="N397" s="2"/>
      <c r="O397" s="4"/>
      <c r="P397" s="2"/>
      <c r="Q397" s="2"/>
      <c r="R397" s="4"/>
      <c r="S397" s="2"/>
      <c r="T397" s="2"/>
      <c r="U397" s="1"/>
      <c r="V397" s="2"/>
      <c r="W397" s="2"/>
      <c r="X397" s="2"/>
      <c r="Y397" s="2"/>
      <c r="Z397" s="2"/>
    </row>
    <row r="398" spans="1:26" ht="15.75" customHeight="1" x14ac:dyDescent="0.2">
      <c r="A398" s="12"/>
      <c r="B398" s="10"/>
      <c r="C398" s="11"/>
      <c r="D398" s="13"/>
      <c r="E398" s="13"/>
      <c r="F398" s="13"/>
      <c r="G398" s="2"/>
      <c r="H398" s="2"/>
      <c r="I398" s="13"/>
      <c r="J398" s="13"/>
      <c r="K398" s="13"/>
      <c r="L398" s="14"/>
      <c r="M398" s="4"/>
      <c r="N398" s="2"/>
      <c r="O398" s="4"/>
      <c r="P398" s="2"/>
      <c r="Q398" s="2"/>
      <c r="R398" s="4"/>
      <c r="S398" s="2"/>
      <c r="T398" s="2"/>
      <c r="U398" s="1"/>
      <c r="V398" s="2"/>
      <c r="W398" s="2"/>
      <c r="X398" s="2"/>
      <c r="Y398" s="2"/>
      <c r="Z398" s="2"/>
    </row>
    <row r="399" spans="1:26" ht="15.75" customHeight="1" x14ac:dyDescent="0.2">
      <c r="A399" s="12"/>
      <c r="B399" s="10"/>
      <c r="C399" s="11"/>
      <c r="D399" s="13"/>
      <c r="E399" s="13"/>
      <c r="F399" s="13"/>
      <c r="G399" s="2"/>
      <c r="H399" s="2"/>
      <c r="I399" s="13"/>
      <c r="J399" s="13"/>
      <c r="K399" s="13"/>
      <c r="L399" s="14"/>
      <c r="M399" s="4"/>
      <c r="N399" s="2"/>
      <c r="O399" s="4"/>
      <c r="P399" s="2"/>
      <c r="Q399" s="2"/>
      <c r="R399" s="4"/>
      <c r="S399" s="2"/>
      <c r="T399" s="2"/>
      <c r="U399" s="1"/>
      <c r="V399" s="2"/>
      <c r="W399" s="2"/>
      <c r="X399" s="2"/>
      <c r="Y399" s="2"/>
      <c r="Z399" s="2"/>
    </row>
    <row r="400" spans="1:26" ht="15.75" customHeight="1" x14ac:dyDescent="0.2">
      <c r="A400" s="12"/>
      <c r="B400" s="10"/>
      <c r="C400" s="11"/>
      <c r="D400" s="13"/>
      <c r="E400" s="13"/>
      <c r="F400" s="13"/>
      <c r="G400" s="2"/>
      <c r="H400" s="2"/>
      <c r="I400" s="13"/>
      <c r="J400" s="13"/>
      <c r="K400" s="13"/>
      <c r="L400" s="14"/>
      <c r="M400" s="4"/>
      <c r="N400" s="2"/>
      <c r="O400" s="4"/>
      <c r="P400" s="2"/>
      <c r="Q400" s="2"/>
      <c r="R400" s="4"/>
      <c r="S400" s="2"/>
      <c r="T400" s="2"/>
      <c r="U400" s="1"/>
      <c r="V400" s="2"/>
      <c r="W400" s="2"/>
      <c r="X400" s="2"/>
      <c r="Y400" s="2"/>
      <c r="Z400" s="2"/>
    </row>
    <row r="401" spans="1:26" ht="15.75" customHeight="1" x14ac:dyDescent="0.2">
      <c r="A401" s="12"/>
      <c r="B401" s="10"/>
      <c r="C401" s="11"/>
      <c r="D401" s="13"/>
      <c r="E401" s="13"/>
      <c r="F401" s="13"/>
      <c r="G401" s="2"/>
      <c r="H401" s="2"/>
      <c r="I401" s="13"/>
      <c r="J401" s="13"/>
      <c r="K401" s="13"/>
      <c r="L401" s="14"/>
      <c r="M401" s="4"/>
      <c r="N401" s="2"/>
      <c r="O401" s="4"/>
      <c r="P401" s="2"/>
      <c r="Q401" s="2"/>
      <c r="R401" s="4"/>
      <c r="S401" s="2"/>
      <c r="T401" s="2"/>
      <c r="U401" s="1"/>
      <c r="V401" s="2"/>
      <c r="W401" s="2"/>
      <c r="X401" s="2"/>
      <c r="Y401" s="2"/>
      <c r="Z401" s="2"/>
    </row>
    <row r="402" spans="1:26" ht="15.75" customHeight="1" x14ac:dyDescent="0.2">
      <c r="A402" s="12"/>
      <c r="B402" s="10"/>
      <c r="C402" s="11"/>
      <c r="D402" s="13"/>
      <c r="E402" s="13"/>
      <c r="F402" s="13"/>
      <c r="G402" s="2"/>
      <c r="H402" s="2"/>
      <c r="I402" s="13"/>
      <c r="J402" s="13"/>
      <c r="K402" s="13"/>
      <c r="L402" s="14"/>
      <c r="M402" s="4"/>
      <c r="N402" s="2"/>
      <c r="O402" s="4"/>
      <c r="P402" s="2"/>
      <c r="Q402" s="2"/>
      <c r="R402" s="4"/>
      <c r="S402" s="2"/>
      <c r="T402" s="2"/>
      <c r="U402" s="1"/>
      <c r="V402" s="2"/>
      <c r="W402" s="2"/>
      <c r="X402" s="2"/>
      <c r="Y402" s="2"/>
      <c r="Z402" s="2"/>
    </row>
    <row r="403" spans="1:26" ht="15.75" customHeight="1" x14ac:dyDescent="0.2">
      <c r="A403" s="12"/>
      <c r="B403" s="10"/>
      <c r="C403" s="11"/>
      <c r="D403" s="13"/>
      <c r="E403" s="13"/>
      <c r="F403" s="13"/>
      <c r="G403" s="2"/>
      <c r="H403" s="2"/>
      <c r="I403" s="13"/>
      <c r="J403" s="13"/>
      <c r="K403" s="13"/>
      <c r="L403" s="14"/>
      <c r="M403" s="4"/>
      <c r="N403" s="2"/>
      <c r="O403" s="4"/>
      <c r="P403" s="2"/>
      <c r="Q403" s="2"/>
      <c r="R403" s="4"/>
      <c r="S403" s="2"/>
      <c r="T403" s="2"/>
      <c r="U403" s="1"/>
      <c r="V403" s="2"/>
      <c r="W403" s="2"/>
      <c r="X403" s="2"/>
      <c r="Y403" s="2"/>
      <c r="Z403" s="2"/>
    </row>
    <row r="404" spans="1:26" ht="15.75" customHeight="1" x14ac:dyDescent="0.2">
      <c r="A404" s="12"/>
      <c r="B404" s="10"/>
      <c r="C404" s="11"/>
      <c r="D404" s="13"/>
      <c r="E404" s="13"/>
      <c r="F404" s="13"/>
      <c r="G404" s="2"/>
      <c r="H404" s="2"/>
      <c r="I404" s="13"/>
      <c r="J404" s="13"/>
      <c r="K404" s="13"/>
      <c r="L404" s="14"/>
      <c r="M404" s="4"/>
      <c r="N404" s="2"/>
      <c r="O404" s="4"/>
      <c r="P404" s="2"/>
      <c r="Q404" s="2"/>
      <c r="R404" s="4"/>
      <c r="S404" s="2"/>
      <c r="T404" s="2"/>
      <c r="U404" s="1"/>
      <c r="V404" s="2"/>
      <c r="W404" s="2"/>
      <c r="X404" s="2"/>
      <c r="Y404" s="2"/>
      <c r="Z404" s="2"/>
    </row>
    <row r="405" spans="1:26" ht="15.75" customHeight="1" x14ac:dyDescent="0.2">
      <c r="A405" s="12"/>
      <c r="B405" s="10"/>
      <c r="C405" s="11"/>
      <c r="D405" s="13"/>
      <c r="E405" s="13"/>
      <c r="F405" s="13"/>
      <c r="G405" s="2"/>
      <c r="H405" s="2"/>
      <c r="I405" s="13"/>
      <c r="J405" s="13"/>
      <c r="K405" s="13"/>
      <c r="L405" s="14"/>
      <c r="M405" s="4"/>
      <c r="N405" s="2"/>
      <c r="O405" s="4"/>
      <c r="P405" s="2"/>
      <c r="Q405" s="2"/>
      <c r="R405" s="4"/>
      <c r="S405" s="2"/>
      <c r="T405" s="2"/>
      <c r="U405" s="1"/>
      <c r="V405" s="2"/>
      <c r="W405" s="2"/>
      <c r="X405" s="2"/>
      <c r="Y405" s="2"/>
      <c r="Z405" s="2"/>
    </row>
    <row r="406" spans="1:26" ht="15.75" customHeight="1" x14ac:dyDescent="0.2">
      <c r="A406" s="12"/>
      <c r="B406" s="10"/>
      <c r="C406" s="11"/>
      <c r="D406" s="13"/>
      <c r="E406" s="13"/>
      <c r="F406" s="13"/>
      <c r="G406" s="2"/>
      <c r="H406" s="2"/>
      <c r="I406" s="13"/>
      <c r="J406" s="13"/>
      <c r="K406" s="13"/>
      <c r="L406" s="14"/>
      <c r="M406" s="4"/>
      <c r="N406" s="2"/>
      <c r="O406" s="4"/>
      <c r="P406" s="2"/>
      <c r="Q406" s="2"/>
      <c r="R406" s="4"/>
      <c r="S406" s="2"/>
      <c r="T406" s="2"/>
      <c r="U406" s="1"/>
      <c r="V406" s="2"/>
      <c r="W406" s="2"/>
      <c r="X406" s="2"/>
      <c r="Y406" s="2"/>
      <c r="Z406" s="2"/>
    </row>
    <row r="407" spans="1:26" ht="15.75" customHeight="1" x14ac:dyDescent="0.2">
      <c r="A407" s="12"/>
      <c r="B407" s="10"/>
      <c r="C407" s="11"/>
      <c r="D407" s="13"/>
      <c r="E407" s="13"/>
      <c r="F407" s="13"/>
      <c r="G407" s="2"/>
      <c r="H407" s="2"/>
      <c r="I407" s="13"/>
      <c r="J407" s="13"/>
      <c r="K407" s="13"/>
      <c r="L407" s="14"/>
      <c r="M407" s="4"/>
      <c r="N407" s="2"/>
      <c r="O407" s="4"/>
      <c r="P407" s="2"/>
      <c r="Q407" s="2"/>
      <c r="R407" s="4"/>
      <c r="S407" s="2"/>
      <c r="T407" s="2"/>
      <c r="U407" s="1"/>
      <c r="V407" s="2"/>
      <c r="W407" s="2"/>
      <c r="X407" s="2"/>
      <c r="Y407" s="2"/>
      <c r="Z407" s="2"/>
    </row>
    <row r="408" spans="1:26" ht="15.75" customHeight="1" x14ac:dyDescent="0.2">
      <c r="A408" s="12"/>
      <c r="B408" s="10"/>
      <c r="C408" s="11"/>
      <c r="D408" s="13"/>
      <c r="E408" s="13"/>
      <c r="F408" s="13"/>
      <c r="G408" s="2"/>
      <c r="H408" s="2"/>
      <c r="I408" s="13"/>
      <c r="J408" s="13"/>
      <c r="K408" s="13"/>
      <c r="L408" s="14"/>
      <c r="M408" s="4"/>
      <c r="N408" s="2"/>
      <c r="O408" s="4"/>
      <c r="P408" s="2"/>
      <c r="Q408" s="2"/>
      <c r="R408" s="4"/>
      <c r="S408" s="2"/>
      <c r="T408" s="2"/>
      <c r="U408" s="1"/>
      <c r="V408" s="2"/>
      <c r="W408" s="2"/>
      <c r="X408" s="2"/>
      <c r="Y408" s="2"/>
      <c r="Z408" s="2"/>
    </row>
    <row r="409" spans="1:26" ht="15.75" customHeight="1" x14ac:dyDescent="0.2">
      <c r="A409" s="12"/>
      <c r="B409" s="10"/>
      <c r="C409" s="11"/>
      <c r="D409" s="13"/>
      <c r="E409" s="13"/>
      <c r="F409" s="13"/>
      <c r="G409" s="2"/>
      <c r="H409" s="2"/>
      <c r="I409" s="13"/>
      <c r="J409" s="13"/>
      <c r="K409" s="13"/>
      <c r="L409" s="14"/>
      <c r="M409" s="4"/>
      <c r="N409" s="2"/>
      <c r="O409" s="4"/>
      <c r="P409" s="2"/>
      <c r="Q409" s="2"/>
      <c r="R409" s="4"/>
      <c r="S409" s="2"/>
      <c r="T409" s="2"/>
      <c r="U409" s="1"/>
      <c r="V409" s="2"/>
      <c r="W409" s="2"/>
      <c r="X409" s="2"/>
      <c r="Y409" s="2"/>
      <c r="Z409" s="2"/>
    </row>
    <row r="410" spans="1:26" ht="15.75" customHeight="1" x14ac:dyDescent="0.2">
      <c r="A410" s="12"/>
      <c r="B410" s="10"/>
      <c r="C410" s="11"/>
      <c r="D410" s="13"/>
      <c r="E410" s="13"/>
      <c r="F410" s="13"/>
      <c r="G410" s="2"/>
      <c r="H410" s="2"/>
      <c r="I410" s="13"/>
      <c r="J410" s="13"/>
      <c r="K410" s="13"/>
      <c r="L410" s="14"/>
      <c r="M410" s="4"/>
      <c r="N410" s="2"/>
      <c r="O410" s="4"/>
      <c r="P410" s="2"/>
      <c r="Q410" s="2"/>
      <c r="R410" s="4"/>
      <c r="S410" s="2"/>
      <c r="T410" s="2"/>
      <c r="U410" s="1"/>
      <c r="V410" s="2"/>
      <c r="W410" s="2"/>
      <c r="X410" s="2"/>
      <c r="Y410" s="2"/>
      <c r="Z410" s="2"/>
    </row>
    <row r="411" spans="1:26" ht="15.75" customHeight="1" x14ac:dyDescent="0.2">
      <c r="A411" s="12"/>
      <c r="B411" s="10"/>
      <c r="C411" s="11"/>
      <c r="D411" s="13"/>
      <c r="E411" s="13"/>
      <c r="F411" s="13"/>
      <c r="G411" s="2"/>
      <c r="H411" s="2"/>
      <c r="I411" s="13"/>
      <c r="J411" s="13"/>
      <c r="K411" s="13"/>
      <c r="L411" s="14"/>
      <c r="M411" s="4"/>
      <c r="N411" s="2"/>
      <c r="O411" s="4"/>
      <c r="P411" s="2"/>
      <c r="Q411" s="2"/>
      <c r="R411" s="4"/>
      <c r="S411" s="2"/>
      <c r="T411" s="2"/>
      <c r="U411" s="1"/>
      <c r="V411" s="2"/>
      <c r="W411" s="2"/>
      <c r="X411" s="2"/>
      <c r="Y411" s="2"/>
      <c r="Z411" s="2"/>
    </row>
    <row r="412" spans="1:26" ht="15.75" customHeight="1" x14ac:dyDescent="0.2">
      <c r="A412" s="12"/>
      <c r="B412" s="10"/>
      <c r="C412" s="11"/>
      <c r="D412" s="13"/>
      <c r="E412" s="13"/>
      <c r="F412" s="13"/>
      <c r="G412" s="2"/>
      <c r="H412" s="2"/>
      <c r="I412" s="13"/>
      <c r="J412" s="13"/>
      <c r="K412" s="13"/>
      <c r="L412" s="14"/>
      <c r="M412" s="4"/>
      <c r="N412" s="2"/>
      <c r="O412" s="4"/>
      <c r="P412" s="2"/>
      <c r="Q412" s="2"/>
      <c r="R412" s="4"/>
      <c r="S412" s="2"/>
      <c r="T412" s="2"/>
      <c r="U412" s="1"/>
      <c r="V412" s="2"/>
      <c r="W412" s="2"/>
      <c r="X412" s="2"/>
      <c r="Y412" s="2"/>
      <c r="Z412" s="2"/>
    </row>
    <row r="413" spans="1:26" ht="15.75" customHeight="1" x14ac:dyDescent="0.2">
      <c r="A413" s="12"/>
      <c r="B413" s="10"/>
      <c r="C413" s="11"/>
      <c r="D413" s="13"/>
      <c r="E413" s="13"/>
      <c r="F413" s="13"/>
      <c r="G413" s="2"/>
      <c r="H413" s="2"/>
      <c r="I413" s="13"/>
      <c r="J413" s="13"/>
      <c r="K413" s="13"/>
      <c r="L413" s="14"/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2"/>
      <c r="B414" s="10"/>
      <c r="C414" s="11"/>
      <c r="D414" s="13"/>
      <c r="E414" s="13"/>
      <c r="F414" s="13"/>
      <c r="G414" s="2"/>
      <c r="H414" s="2"/>
      <c r="I414" s="13"/>
      <c r="J414" s="13"/>
      <c r="K414" s="13"/>
      <c r="L414" s="14"/>
      <c r="M414" s="4"/>
      <c r="N414" s="2"/>
      <c r="O414" s="4"/>
      <c r="P414" s="2"/>
      <c r="Q414" s="2"/>
      <c r="R414" s="4"/>
      <c r="S414" s="2"/>
      <c r="T414" s="2"/>
      <c r="U414" s="1"/>
      <c r="V414" s="2"/>
      <c r="W414" s="2"/>
      <c r="X414" s="2"/>
      <c r="Y414" s="2"/>
      <c r="Z414" s="2"/>
    </row>
    <row r="415" spans="1:26" ht="15.75" customHeight="1" x14ac:dyDescent="0.2">
      <c r="A415" s="12"/>
      <c r="B415" s="10"/>
      <c r="C415" s="11"/>
      <c r="D415" s="13"/>
      <c r="E415" s="13"/>
      <c r="F415" s="13"/>
      <c r="G415" s="2"/>
      <c r="H415" s="2"/>
      <c r="I415" s="13"/>
      <c r="J415" s="13"/>
      <c r="K415" s="13"/>
      <c r="L415" s="14"/>
      <c r="M415" s="4"/>
      <c r="N415" s="2"/>
      <c r="O415" s="4"/>
      <c r="P415" s="2"/>
      <c r="Q415" s="2"/>
      <c r="R415" s="4"/>
      <c r="S415" s="2"/>
      <c r="T415" s="2"/>
      <c r="U415" s="1"/>
      <c r="V415" s="2"/>
      <c r="W415" s="2"/>
      <c r="X415" s="2"/>
      <c r="Y415" s="2"/>
      <c r="Z415" s="2"/>
    </row>
    <row r="416" spans="1:26" ht="15.75" customHeight="1" x14ac:dyDescent="0.2">
      <c r="A416" s="12"/>
      <c r="B416" s="10"/>
      <c r="C416" s="11"/>
      <c r="D416" s="13"/>
      <c r="E416" s="13"/>
      <c r="F416" s="13"/>
      <c r="G416" s="2"/>
      <c r="H416" s="2"/>
      <c r="I416" s="13"/>
      <c r="J416" s="13"/>
      <c r="K416" s="13"/>
      <c r="L416" s="14"/>
      <c r="M416" s="4"/>
      <c r="N416" s="2"/>
      <c r="O416" s="4"/>
      <c r="P416" s="2"/>
      <c r="Q416" s="2"/>
      <c r="R416" s="4"/>
      <c r="S416" s="2"/>
      <c r="T416" s="2"/>
      <c r="U416" s="1"/>
      <c r="V416" s="2"/>
      <c r="W416" s="2"/>
      <c r="X416" s="2"/>
      <c r="Y416" s="2"/>
      <c r="Z416" s="2"/>
    </row>
    <row r="417" spans="1:26" ht="15.75" customHeight="1" x14ac:dyDescent="0.2">
      <c r="A417" s="12"/>
      <c r="B417" s="10"/>
      <c r="C417" s="11"/>
      <c r="D417" s="13"/>
      <c r="E417" s="13"/>
      <c r="F417" s="13"/>
      <c r="G417" s="2"/>
      <c r="H417" s="2"/>
      <c r="I417" s="13"/>
      <c r="J417" s="13"/>
      <c r="K417" s="13"/>
      <c r="L417" s="14"/>
      <c r="M417" s="4"/>
      <c r="N417" s="2"/>
      <c r="O417" s="4"/>
      <c r="P417" s="2"/>
      <c r="Q417" s="2"/>
      <c r="R417" s="4"/>
      <c r="S417" s="2"/>
      <c r="T417" s="2"/>
      <c r="U417" s="1"/>
      <c r="V417" s="2"/>
      <c r="W417" s="2"/>
      <c r="X417" s="2"/>
      <c r="Y417" s="2"/>
      <c r="Z417" s="2"/>
    </row>
    <row r="418" spans="1:26" ht="15.75" customHeight="1" x14ac:dyDescent="0.2">
      <c r="A418" s="12"/>
      <c r="B418" s="10"/>
      <c r="C418" s="11"/>
      <c r="D418" s="13"/>
      <c r="E418" s="13"/>
      <c r="F418" s="13"/>
      <c r="G418" s="2"/>
      <c r="H418" s="2"/>
      <c r="I418" s="13"/>
      <c r="J418" s="13"/>
      <c r="K418" s="13"/>
      <c r="L418" s="14"/>
      <c r="M418" s="4"/>
      <c r="N418" s="2"/>
      <c r="O418" s="4"/>
      <c r="P418" s="2"/>
      <c r="Q418" s="2"/>
      <c r="R418" s="4"/>
      <c r="S418" s="2"/>
      <c r="T418" s="2"/>
      <c r="U418" s="1"/>
      <c r="V418" s="2"/>
      <c r="W418" s="2"/>
      <c r="X418" s="2"/>
      <c r="Y418" s="2"/>
      <c r="Z418" s="2"/>
    </row>
    <row r="419" spans="1:26" ht="15.75" customHeight="1" x14ac:dyDescent="0.2">
      <c r="A419" s="12"/>
      <c r="B419" s="10"/>
      <c r="C419" s="11"/>
      <c r="D419" s="13"/>
      <c r="E419" s="13"/>
      <c r="F419" s="13"/>
      <c r="G419" s="2"/>
      <c r="H419" s="2"/>
      <c r="I419" s="13"/>
      <c r="J419" s="13"/>
      <c r="K419" s="13"/>
      <c r="L419" s="14"/>
      <c r="M419" s="4"/>
      <c r="N419" s="2"/>
      <c r="O419" s="4"/>
      <c r="P419" s="2"/>
      <c r="Q419" s="2"/>
      <c r="R419" s="4"/>
      <c r="S419" s="2"/>
      <c r="T419" s="2"/>
      <c r="U419" s="1"/>
      <c r="V419" s="2"/>
      <c r="W419" s="2"/>
      <c r="X419" s="2"/>
      <c r="Y419" s="2"/>
      <c r="Z419" s="2"/>
    </row>
    <row r="420" spans="1:26" ht="15.75" customHeight="1" x14ac:dyDescent="0.2">
      <c r="A420" s="12"/>
      <c r="B420" s="10"/>
      <c r="C420" s="11"/>
      <c r="D420" s="13"/>
      <c r="E420" s="13"/>
      <c r="F420" s="13"/>
      <c r="G420" s="2"/>
      <c r="H420" s="2"/>
      <c r="I420" s="13"/>
      <c r="J420" s="13"/>
      <c r="K420" s="13"/>
      <c r="L420" s="14"/>
      <c r="M420" s="4"/>
      <c r="N420" s="2"/>
      <c r="O420" s="4"/>
      <c r="P420" s="2"/>
      <c r="Q420" s="2"/>
      <c r="R420" s="4"/>
      <c r="S420" s="2"/>
      <c r="T420" s="2"/>
      <c r="U420" s="1"/>
      <c r="V420" s="2"/>
      <c r="W420" s="2"/>
      <c r="X420" s="2"/>
      <c r="Y420" s="2"/>
      <c r="Z420" s="2"/>
    </row>
    <row r="421" spans="1:26" ht="15.75" customHeight="1" x14ac:dyDescent="0.2">
      <c r="A421" s="12"/>
      <c r="B421" s="10"/>
      <c r="C421" s="11"/>
      <c r="D421" s="13"/>
      <c r="E421" s="13"/>
      <c r="F421" s="13"/>
      <c r="G421" s="2"/>
      <c r="H421" s="2"/>
      <c r="I421" s="13"/>
      <c r="J421" s="13"/>
      <c r="K421" s="13"/>
      <c r="L421" s="14"/>
      <c r="M421" s="4"/>
      <c r="N421" s="2"/>
      <c r="O421" s="4"/>
      <c r="P421" s="2"/>
      <c r="Q421" s="2"/>
      <c r="R421" s="4"/>
      <c r="S421" s="2"/>
      <c r="T421" s="2"/>
      <c r="U421" s="1"/>
      <c r="V421" s="2"/>
      <c r="W421" s="2"/>
      <c r="X421" s="2"/>
      <c r="Y421" s="2"/>
      <c r="Z421" s="2"/>
    </row>
    <row r="422" spans="1:26" ht="15.75" customHeight="1" x14ac:dyDescent="0.2">
      <c r="A422" s="12"/>
      <c r="B422" s="10"/>
      <c r="C422" s="11"/>
      <c r="D422" s="13"/>
      <c r="E422" s="13"/>
      <c r="F422" s="13"/>
      <c r="G422" s="2"/>
      <c r="H422" s="2"/>
      <c r="I422" s="13"/>
      <c r="J422" s="13"/>
      <c r="K422" s="13"/>
      <c r="L422" s="14"/>
      <c r="M422" s="4"/>
      <c r="N422" s="2"/>
      <c r="O422" s="4"/>
      <c r="P422" s="2"/>
      <c r="Q422" s="2"/>
      <c r="R422" s="4"/>
      <c r="S422" s="2"/>
      <c r="T422" s="2"/>
      <c r="U422" s="1"/>
      <c r="V422" s="2"/>
      <c r="W422" s="2"/>
      <c r="X422" s="2"/>
      <c r="Y422" s="2"/>
      <c r="Z422" s="2"/>
    </row>
    <row r="423" spans="1:26" ht="15.75" customHeight="1" x14ac:dyDescent="0.2">
      <c r="A423" s="12"/>
      <c r="B423" s="10"/>
      <c r="C423" s="11"/>
      <c r="D423" s="13"/>
      <c r="E423" s="13"/>
      <c r="F423" s="13"/>
      <c r="G423" s="2"/>
      <c r="H423" s="2"/>
      <c r="I423" s="13"/>
      <c r="J423" s="13"/>
      <c r="K423" s="13"/>
      <c r="L423" s="14"/>
      <c r="M423" s="4"/>
      <c r="N423" s="2"/>
      <c r="O423" s="4"/>
      <c r="P423" s="2"/>
      <c r="Q423" s="2"/>
      <c r="R423" s="4"/>
      <c r="S423" s="2"/>
      <c r="T423" s="2"/>
      <c r="U423" s="1"/>
      <c r="V423" s="2"/>
      <c r="W423" s="2"/>
      <c r="X423" s="2"/>
      <c r="Y423" s="2"/>
      <c r="Z423" s="2"/>
    </row>
    <row r="424" spans="1:26" ht="15.75" customHeight="1" x14ac:dyDescent="0.2">
      <c r="A424" s="12"/>
      <c r="B424" s="10"/>
      <c r="C424" s="11"/>
      <c r="D424" s="13"/>
      <c r="E424" s="13"/>
      <c r="F424" s="13"/>
      <c r="G424" s="2"/>
      <c r="H424" s="2"/>
      <c r="I424" s="13"/>
      <c r="J424" s="13"/>
      <c r="K424" s="13"/>
      <c r="L424" s="14"/>
      <c r="M424" s="4"/>
      <c r="N424" s="2"/>
      <c r="O424" s="4"/>
      <c r="P424" s="2"/>
      <c r="Q424" s="2"/>
      <c r="R424" s="4"/>
      <c r="S424" s="2"/>
      <c r="T424" s="2"/>
      <c r="U424" s="1"/>
      <c r="V424" s="2"/>
      <c r="W424" s="2"/>
      <c r="X424" s="2"/>
      <c r="Y424" s="2"/>
      <c r="Z424" s="2"/>
    </row>
    <row r="425" spans="1:26" ht="15.75" customHeight="1" x14ac:dyDescent="0.2">
      <c r="A425" s="12"/>
      <c r="B425" s="10"/>
      <c r="C425" s="11"/>
      <c r="D425" s="13"/>
      <c r="E425" s="13"/>
      <c r="F425" s="13"/>
      <c r="G425" s="2"/>
      <c r="H425" s="2"/>
      <c r="I425" s="13"/>
      <c r="J425" s="13"/>
      <c r="K425" s="13"/>
      <c r="L425" s="14"/>
      <c r="M425" s="4"/>
      <c r="N425" s="2"/>
      <c r="O425" s="4"/>
      <c r="P425" s="2"/>
      <c r="Q425" s="2"/>
      <c r="R425" s="4"/>
      <c r="S425" s="2"/>
      <c r="T425" s="2"/>
      <c r="U425" s="1"/>
      <c r="V425" s="2"/>
      <c r="W425" s="2"/>
      <c r="X425" s="2"/>
      <c r="Y425" s="2"/>
      <c r="Z425" s="2"/>
    </row>
    <row r="426" spans="1:26" ht="15.75" customHeight="1" x14ac:dyDescent="0.2">
      <c r="A426" s="12"/>
      <c r="B426" s="10"/>
      <c r="C426" s="11"/>
      <c r="D426" s="13"/>
      <c r="E426" s="13"/>
      <c r="F426" s="13"/>
      <c r="G426" s="2"/>
      <c r="H426" s="2"/>
      <c r="I426" s="13"/>
      <c r="J426" s="13"/>
      <c r="K426" s="13"/>
      <c r="L426" s="14"/>
      <c r="M426" s="4"/>
      <c r="N426" s="2"/>
      <c r="O426" s="4"/>
      <c r="P426" s="2"/>
      <c r="Q426" s="2"/>
      <c r="R426" s="4"/>
      <c r="S426" s="2"/>
      <c r="T426" s="2"/>
      <c r="U426" s="1"/>
      <c r="V426" s="2"/>
      <c r="W426" s="2"/>
      <c r="X426" s="2"/>
      <c r="Y426" s="2"/>
      <c r="Z426" s="2"/>
    </row>
    <row r="427" spans="1:26" ht="15.75" customHeight="1" x14ac:dyDescent="0.2">
      <c r="A427" s="12"/>
      <c r="B427" s="10"/>
      <c r="C427" s="11"/>
      <c r="D427" s="13"/>
      <c r="E427" s="13"/>
      <c r="F427" s="13"/>
      <c r="G427" s="2"/>
      <c r="H427" s="2"/>
      <c r="I427" s="13"/>
      <c r="J427" s="13"/>
      <c r="K427" s="13"/>
      <c r="L427" s="14"/>
      <c r="M427" s="4"/>
      <c r="N427" s="2"/>
      <c r="O427" s="4"/>
      <c r="P427" s="2"/>
      <c r="Q427" s="2"/>
      <c r="R427" s="4"/>
      <c r="S427" s="2"/>
      <c r="T427" s="2"/>
      <c r="U427" s="1"/>
      <c r="V427" s="2"/>
      <c r="W427" s="2"/>
      <c r="X427" s="2"/>
      <c r="Y427" s="2"/>
      <c r="Z427" s="2"/>
    </row>
    <row r="428" spans="1:26" ht="15.75" customHeight="1" x14ac:dyDescent="0.2">
      <c r="A428" s="12"/>
      <c r="B428" s="10"/>
      <c r="C428" s="11"/>
      <c r="D428" s="13"/>
      <c r="E428" s="13"/>
      <c r="F428" s="13"/>
      <c r="G428" s="2"/>
      <c r="H428" s="2"/>
      <c r="I428" s="13"/>
      <c r="J428" s="13"/>
      <c r="K428" s="13"/>
      <c r="L428" s="14"/>
      <c r="M428" s="4"/>
      <c r="N428" s="2"/>
      <c r="O428" s="4"/>
      <c r="P428" s="2"/>
      <c r="Q428" s="2"/>
      <c r="R428" s="4"/>
      <c r="S428" s="2"/>
      <c r="T428" s="2"/>
      <c r="U428" s="1"/>
      <c r="V428" s="2"/>
      <c r="W428" s="2"/>
      <c r="X428" s="2"/>
      <c r="Y428" s="2"/>
      <c r="Z428" s="2"/>
    </row>
    <row r="429" spans="1:26" ht="15.75" customHeight="1" x14ac:dyDescent="0.2">
      <c r="A429" s="12"/>
      <c r="B429" s="10"/>
      <c r="C429" s="11"/>
      <c r="D429" s="13"/>
      <c r="E429" s="13"/>
      <c r="F429" s="13"/>
      <c r="G429" s="2"/>
      <c r="H429" s="2"/>
      <c r="I429" s="13"/>
      <c r="J429" s="13"/>
      <c r="K429" s="13"/>
      <c r="L429" s="14"/>
      <c r="M429" s="4"/>
      <c r="N429" s="2"/>
      <c r="O429" s="4"/>
      <c r="P429" s="2"/>
      <c r="Q429" s="2"/>
      <c r="R429" s="4"/>
      <c r="S429" s="2"/>
      <c r="T429" s="2"/>
      <c r="U429" s="1"/>
      <c r="V429" s="2"/>
      <c r="W429" s="2"/>
      <c r="X429" s="2"/>
      <c r="Y429" s="2"/>
      <c r="Z429" s="2"/>
    </row>
    <row r="430" spans="1:26" ht="15.75" customHeight="1" x14ac:dyDescent="0.2">
      <c r="A430" s="12"/>
      <c r="B430" s="10"/>
      <c r="C430" s="11"/>
      <c r="D430" s="13"/>
      <c r="E430" s="13"/>
      <c r="F430" s="13"/>
      <c r="G430" s="2"/>
      <c r="H430" s="2"/>
      <c r="I430" s="13"/>
      <c r="J430" s="13"/>
      <c r="K430" s="13"/>
      <c r="L430" s="14"/>
      <c r="M430" s="4"/>
      <c r="N430" s="2"/>
      <c r="O430" s="4"/>
      <c r="P430" s="2"/>
      <c r="Q430" s="2"/>
      <c r="R430" s="4"/>
      <c r="S430" s="2"/>
      <c r="T430" s="2"/>
      <c r="U430" s="1"/>
      <c r="V430" s="2"/>
      <c r="W430" s="2"/>
      <c r="X430" s="2"/>
      <c r="Y430" s="2"/>
      <c r="Z430" s="2"/>
    </row>
    <row r="431" spans="1:26" ht="15.75" customHeight="1" x14ac:dyDescent="0.2">
      <c r="A431" s="12"/>
      <c r="B431" s="10"/>
      <c r="C431" s="11"/>
      <c r="D431" s="13"/>
      <c r="E431" s="13"/>
      <c r="F431" s="13"/>
      <c r="G431" s="2"/>
      <c r="H431" s="2"/>
      <c r="I431" s="13"/>
      <c r="J431" s="13"/>
      <c r="K431" s="13"/>
      <c r="L431" s="14"/>
      <c r="M431" s="4"/>
      <c r="N431" s="2"/>
      <c r="O431" s="4"/>
      <c r="P431" s="2"/>
      <c r="Q431" s="2"/>
      <c r="R431" s="4"/>
      <c r="S431" s="2"/>
      <c r="T431" s="2"/>
      <c r="U431" s="1"/>
      <c r="V431" s="2"/>
      <c r="W431" s="2"/>
      <c r="X431" s="2"/>
      <c r="Y431" s="2"/>
      <c r="Z431" s="2"/>
    </row>
    <row r="432" spans="1:26" ht="15.75" customHeight="1" x14ac:dyDescent="0.2">
      <c r="A432" s="12"/>
      <c r="B432" s="10"/>
      <c r="C432" s="11"/>
      <c r="D432" s="13"/>
      <c r="E432" s="13"/>
      <c r="F432" s="13"/>
      <c r="G432" s="2"/>
      <c r="H432" s="2"/>
      <c r="I432" s="13"/>
      <c r="J432" s="13"/>
      <c r="K432" s="13"/>
      <c r="L432" s="14"/>
      <c r="M432" s="4"/>
      <c r="N432" s="2"/>
      <c r="O432" s="4"/>
      <c r="P432" s="2"/>
      <c r="Q432" s="2"/>
      <c r="R432" s="4"/>
      <c r="S432" s="2"/>
      <c r="T432" s="2"/>
      <c r="U432" s="1"/>
      <c r="V432" s="2"/>
      <c r="W432" s="2"/>
      <c r="X432" s="2"/>
      <c r="Y432" s="2"/>
      <c r="Z432" s="2"/>
    </row>
    <row r="433" spans="1:26" ht="15.75" customHeight="1" x14ac:dyDescent="0.2">
      <c r="A433" s="12"/>
      <c r="B433" s="10"/>
      <c r="C433" s="11"/>
      <c r="D433" s="13"/>
      <c r="E433" s="13"/>
      <c r="F433" s="13"/>
      <c r="G433" s="2"/>
      <c r="H433" s="2"/>
      <c r="I433" s="13"/>
      <c r="J433" s="13"/>
      <c r="K433" s="13"/>
      <c r="L433" s="14"/>
      <c r="M433" s="4"/>
      <c r="N433" s="2"/>
      <c r="O433" s="4"/>
      <c r="P433" s="2"/>
      <c r="Q433" s="2"/>
      <c r="R433" s="4"/>
      <c r="S433" s="2"/>
      <c r="T433" s="2"/>
      <c r="U433" s="1"/>
      <c r="V433" s="2"/>
      <c r="W433" s="2"/>
      <c r="X433" s="2"/>
      <c r="Y433" s="2"/>
      <c r="Z433" s="2"/>
    </row>
    <row r="434" spans="1:26" ht="15.75" customHeight="1" x14ac:dyDescent="0.2">
      <c r="A434" s="12"/>
      <c r="B434" s="10"/>
      <c r="C434" s="11"/>
      <c r="D434" s="13"/>
      <c r="E434" s="13"/>
      <c r="F434" s="13"/>
      <c r="G434" s="2"/>
      <c r="H434" s="2"/>
      <c r="I434" s="13"/>
      <c r="J434" s="13"/>
      <c r="K434" s="13"/>
      <c r="L434" s="14"/>
      <c r="M434" s="4"/>
      <c r="N434" s="2"/>
      <c r="O434" s="4"/>
      <c r="P434" s="2"/>
      <c r="Q434" s="2"/>
      <c r="R434" s="4"/>
      <c r="S434" s="2"/>
      <c r="T434" s="2"/>
      <c r="U434" s="1"/>
      <c r="V434" s="2"/>
      <c r="W434" s="2"/>
      <c r="X434" s="2"/>
      <c r="Y434" s="2"/>
      <c r="Z434" s="2"/>
    </row>
    <row r="435" spans="1:26" ht="15.75" customHeight="1" x14ac:dyDescent="0.2">
      <c r="A435" s="12"/>
      <c r="B435" s="10"/>
      <c r="C435" s="11"/>
      <c r="D435" s="13"/>
      <c r="E435" s="13"/>
      <c r="F435" s="13"/>
      <c r="G435" s="2"/>
      <c r="H435" s="2"/>
      <c r="I435" s="13"/>
      <c r="J435" s="13"/>
      <c r="K435" s="13"/>
      <c r="L435" s="14"/>
      <c r="M435" s="4"/>
      <c r="N435" s="2"/>
      <c r="O435" s="4"/>
      <c r="P435" s="2"/>
      <c r="Q435" s="2"/>
      <c r="R435" s="4"/>
      <c r="S435" s="2"/>
      <c r="T435" s="2"/>
      <c r="U435" s="1"/>
      <c r="V435" s="2"/>
      <c r="W435" s="2"/>
      <c r="X435" s="2"/>
      <c r="Y435" s="2"/>
      <c r="Z435" s="2"/>
    </row>
    <row r="436" spans="1:26" ht="15.75" customHeight="1" x14ac:dyDescent="0.2">
      <c r="A436" s="12"/>
      <c r="B436" s="10"/>
      <c r="C436" s="11"/>
      <c r="D436" s="13"/>
      <c r="E436" s="13"/>
      <c r="F436" s="13"/>
      <c r="G436" s="2"/>
      <c r="H436" s="2"/>
      <c r="I436" s="13"/>
      <c r="J436" s="13"/>
      <c r="K436" s="13"/>
      <c r="L436" s="14"/>
      <c r="M436" s="4"/>
      <c r="N436" s="2"/>
      <c r="O436" s="4"/>
      <c r="P436" s="2"/>
      <c r="Q436" s="2"/>
      <c r="R436" s="4"/>
      <c r="S436" s="2"/>
      <c r="T436" s="2"/>
      <c r="U436" s="1"/>
      <c r="V436" s="2"/>
      <c r="W436" s="2"/>
      <c r="X436" s="2"/>
      <c r="Y436" s="2"/>
      <c r="Z436" s="2"/>
    </row>
    <row r="437" spans="1:26" ht="15.75" customHeight="1" x14ac:dyDescent="0.2">
      <c r="A437" s="12"/>
      <c r="B437" s="10"/>
      <c r="C437" s="11"/>
      <c r="D437" s="13"/>
      <c r="E437" s="13"/>
      <c r="F437" s="13"/>
      <c r="G437" s="2"/>
      <c r="H437" s="2"/>
      <c r="I437" s="13"/>
      <c r="J437" s="13"/>
      <c r="K437" s="13"/>
      <c r="L437" s="14"/>
      <c r="M437" s="4"/>
      <c r="N437" s="2"/>
      <c r="O437" s="4"/>
      <c r="P437" s="2"/>
      <c r="Q437" s="2"/>
      <c r="R437" s="4"/>
      <c r="S437" s="2"/>
      <c r="T437" s="2"/>
      <c r="U437" s="1"/>
      <c r="V437" s="2"/>
      <c r="W437" s="2"/>
      <c r="X437" s="2"/>
      <c r="Y437" s="2"/>
      <c r="Z437" s="2"/>
    </row>
    <row r="438" spans="1:26" ht="15.75" customHeight="1" x14ac:dyDescent="0.2">
      <c r="A438" s="12"/>
      <c r="B438" s="10"/>
      <c r="C438" s="11"/>
      <c r="D438" s="13"/>
      <c r="E438" s="13"/>
      <c r="F438" s="13"/>
      <c r="G438" s="2"/>
      <c r="H438" s="2"/>
      <c r="I438" s="13"/>
      <c r="J438" s="13"/>
      <c r="K438" s="13"/>
      <c r="L438" s="14"/>
      <c r="M438" s="4"/>
      <c r="N438" s="2"/>
      <c r="O438" s="4"/>
      <c r="P438" s="2"/>
      <c r="Q438" s="2"/>
      <c r="R438" s="4"/>
      <c r="S438" s="2"/>
      <c r="T438" s="2"/>
      <c r="U438" s="1"/>
      <c r="V438" s="2"/>
      <c r="W438" s="2"/>
      <c r="X438" s="2"/>
      <c r="Y438" s="2"/>
      <c r="Z438" s="2"/>
    </row>
    <row r="439" spans="1:26" ht="15.75" customHeight="1" x14ac:dyDescent="0.2">
      <c r="A439" s="12"/>
      <c r="B439" s="10"/>
      <c r="C439" s="11"/>
      <c r="D439" s="13"/>
      <c r="E439" s="13"/>
      <c r="F439" s="13"/>
      <c r="G439" s="2"/>
      <c r="H439" s="2"/>
      <c r="I439" s="13"/>
      <c r="J439" s="13"/>
      <c r="K439" s="13"/>
      <c r="L439" s="14"/>
      <c r="M439" s="4"/>
      <c r="N439" s="2"/>
      <c r="O439" s="4"/>
      <c r="P439" s="2"/>
      <c r="Q439" s="2"/>
      <c r="R439" s="4"/>
      <c r="S439" s="2"/>
      <c r="T439" s="2"/>
      <c r="U439" s="1"/>
      <c r="V439" s="2"/>
      <c r="W439" s="2"/>
      <c r="X439" s="2"/>
      <c r="Y439" s="2"/>
      <c r="Z439" s="2"/>
    </row>
    <row r="440" spans="1:26" ht="15.75" customHeight="1" x14ac:dyDescent="0.2">
      <c r="A440" s="12"/>
      <c r="B440" s="10"/>
      <c r="C440" s="11"/>
      <c r="D440" s="13"/>
      <c r="E440" s="13"/>
      <c r="F440" s="13"/>
      <c r="G440" s="2"/>
      <c r="H440" s="2"/>
      <c r="I440" s="13"/>
      <c r="J440" s="13"/>
      <c r="K440" s="13"/>
      <c r="L440" s="14"/>
      <c r="M440" s="4"/>
      <c r="N440" s="2"/>
      <c r="O440" s="4"/>
      <c r="P440" s="2"/>
      <c r="Q440" s="2"/>
      <c r="R440" s="4"/>
      <c r="S440" s="2"/>
      <c r="T440" s="2"/>
      <c r="U440" s="1"/>
      <c r="V440" s="2"/>
      <c r="W440" s="2"/>
      <c r="X440" s="2"/>
      <c r="Y440" s="2"/>
      <c r="Z440" s="2"/>
    </row>
    <row r="441" spans="1:26" ht="15.75" customHeight="1" x14ac:dyDescent="0.2">
      <c r="A441" s="12"/>
      <c r="B441" s="10"/>
      <c r="C441" s="11"/>
      <c r="D441" s="13"/>
      <c r="E441" s="13"/>
      <c r="F441" s="13"/>
      <c r="G441" s="2"/>
      <c r="H441" s="2"/>
      <c r="I441" s="13"/>
      <c r="J441" s="13"/>
      <c r="K441" s="13"/>
      <c r="L441" s="14"/>
      <c r="M441" s="4"/>
      <c r="N441" s="2"/>
      <c r="O441" s="4"/>
      <c r="P441" s="2"/>
      <c r="Q441" s="2"/>
      <c r="R441" s="4"/>
      <c r="S441" s="2"/>
      <c r="T441" s="2"/>
      <c r="U441" s="1"/>
      <c r="V441" s="2"/>
      <c r="W441" s="2"/>
      <c r="X441" s="2"/>
      <c r="Y441" s="2"/>
      <c r="Z441" s="2"/>
    </row>
    <row r="442" spans="1:26" ht="15.75" customHeight="1" x14ac:dyDescent="0.2">
      <c r="A442" s="12"/>
      <c r="B442" s="10"/>
      <c r="C442" s="11"/>
      <c r="D442" s="13"/>
      <c r="E442" s="13"/>
      <c r="F442" s="13"/>
      <c r="G442" s="2"/>
      <c r="H442" s="2"/>
      <c r="I442" s="13"/>
      <c r="J442" s="13"/>
      <c r="K442" s="13"/>
      <c r="L442" s="14"/>
      <c r="M442" s="4"/>
      <c r="N442" s="2"/>
      <c r="O442" s="4"/>
      <c r="P442" s="2"/>
      <c r="Q442" s="2"/>
      <c r="R442" s="4"/>
      <c r="S442" s="2"/>
      <c r="T442" s="2"/>
      <c r="U442" s="1"/>
      <c r="V442" s="2"/>
      <c r="W442" s="2"/>
      <c r="X442" s="2"/>
      <c r="Y442" s="2"/>
      <c r="Z442" s="2"/>
    </row>
    <row r="443" spans="1:26" ht="15.75" customHeight="1" x14ac:dyDescent="0.2">
      <c r="A443" s="12"/>
      <c r="B443" s="10"/>
      <c r="C443" s="11"/>
      <c r="D443" s="13"/>
      <c r="E443" s="13"/>
      <c r="F443" s="13"/>
      <c r="G443" s="2"/>
      <c r="H443" s="2"/>
      <c r="I443" s="13"/>
      <c r="J443" s="13"/>
      <c r="K443" s="13"/>
      <c r="L443" s="14"/>
      <c r="M443" s="4"/>
      <c r="N443" s="2"/>
      <c r="O443" s="4"/>
      <c r="P443" s="2"/>
      <c r="Q443" s="2"/>
      <c r="R443" s="4"/>
      <c r="S443" s="2"/>
      <c r="T443" s="2"/>
      <c r="U443" s="1"/>
      <c r="V443" s="2"/>
      <c r="W443" s="2"/>
      <c r="X443" s="2"/>
      <c r="Y443" s="2"/>
      <c r="Z443" s="2"/>
    </row>
    <row r="444" spans="1:26" ht="15.75" customHeight="1" x14ac:dyDescent="0.2">
      <c r="A444" s="12"/>
      <c r="B444" s="10"/>
      <c r="C444" s="11"/>
      <c r="D444" s="13"/>
      <c r="E444" s="13"/>
      <c r="F444" s="13"/>
      <c r="G444" s="2"/>
      <c r="H444" s="2"/>
      <c r="I444" s="13"/>
      <c r="J444" s="13"/>
      <c r="K444" s="13"/>
      <c r="L444" s="14"/>
      <c r="M444" s="4"/>
      <c r="N444" s="2"/>
      <c r="O444" s="4"/>
      <c r="P444" s="2"/>
      <c r="Q444" s="2"/>
      <c r="R444" s="4"/>
      <c r="S444" s="2"/>
      <c r="T444" s="2"/>
      <c r="U444" s="1"/>
      <c r="V444" s="2"/>
      <c r="W444" s="2"/>
      <c r="X444" s="2"/>
      <c r="Y444" s="2"/>
      <c r="Z444" s="2"/>
    </row>
    <row r="445" spans="1:26" ht="15.75" customHeight="1" x14ac:dyDescent="0.2">
      <c r="A445" s="12"/>
      <c r="B445" s="10"/>
      <c r="C445" s="11"/>
      <c r="D445" s="13"/>
      <c r="E445" s="13"/>
      <c r="F445" s="13"/>
      <c r="G445" s="2"/>
      <c r="H445" s="2"/>
      <c r="I445" s="13"/>
      <c r="J445" s="13"/>
      <c r="K445" s="13"/>
      <c r="L445" s="14"/>
      <c r="M445" s="4"/>
      <c r="N445" s="2"/>
      <c r="O445" s="4"/>
      <c r="P445" s="2"/>
      <c r="Q445" s="2"/>
      <c r="R445" s="4"/>
      <c r="S445" s="2"/>
      <c r="T445" s="2"/>
      <c r="U445" s="1"/>
      <c r="V445" s="2"/>
      <c r="W445" s="2"/>
      <c r="X445" s="2"/>
      <c r="Y445" s="2"/>
      <c r="Z445" s="2"/>
    </row>
    <row r="446" spans="1:26" ht="15.75" customHeight="1" x14ac:dyDescent="0.2">
      <c r="A446" s="12"/>
      <c r="B446" s="10"/>
      <c r="C446" s="11"/>
      <c r="D446" s="13"/>
      <c r="E446" s="13"/>
      <c r="F446" s="13"/>
      <c r="G446" s="2"/>
      <c r="H446" s="2"/>
      <c r="I446" s="13"/>
      <c r="J446" s="13"/>
      <c r="K446" s="13"/>
      <c r="L446" s="14"/>
      <c r="M446" s="4"/>
      <c r="N446" s="2"/>
      <c r="O446" s="4"/>
      <c r="P446" s="2"/>
      <c r="Q446" s="2"/>
      <c r="R446" s="4"/>
      <c r="S446" s="2"/>
      <c r="T446" s="2"/>
      <c r="U446" s="1"/>
      <c r="V446" s="2"/>
      <c r="W446" s="2"/>
      <c r="X446" s="2"/>
      <c r="Y446" s="2"/>
      <c r="Z446" s="2"/>
    </row>
    <row r="447" spans="1:26" ht="15.75" customHeight="1" x14ac:dyDescent="0.2">
      <c r="A447" s="12"/>
      <c r="B447" s="10"/>
      <c r="C447" s="11"/>
      <c r="D447" s="13"/>
      <c r="E447" s="13"/>
      <c r="F447" s="13"/>
      <c r="G447" s="2"/>
      <c r="H447" s="2"/>
      <c r="I447" s="13"/>
      <c r="J447" s="13"/>
      <c r="K447" s="13"/>
      <c r="L447" s="14"/>
      <c r="M447" s="4"/>
      <c r="N447" s="2"/>
      <c r="O447" s="4"/>
      <c r="P447" s="2"/>
      <c r="Q447" s="2"/>
      <c r="R447" s="4"/>
      <c r="S447" s="2"/>
      <c r="T447" s="2"/>
      <c r="U447" s="1"/>
      <c r="V447" s="2"/>
      <c r="W447" s="2"/>
      <c r="X447" s="2"/>
      <c r="Y447" s="2"/>
      <c r="Z447" s="2"/>
    </row>
    <row r="448" spans="1:26" ht="15.75" customHeight="1" x14ac:dyDescent="0.2">
      <c r="A448" s="12"/>
      <c r="B448" s="10"/>
      <c r="C448" s="11"/>
      <c r="D448" s="13"/>
      <c r="E448" s="13"/>
      <c r="F448" s="13"/>
      <c r="G448" s="2"/>
      <c r="H448" s="2"/>
      <c r="I448" s="13"/>
      <c r="J448" s="13"/>
      <c r="K448" s="13"/>
      <c r="L448" s="14"/>
      <c r="M448" s="4"/>
      <c r="N448" s="2"/>
      <c r="O448" s="4"/>
      <c r="P448" s="2"/>
      <c r="Q448" s="2"/>
      <c r="R448" s="4"/>
      <c r="S448" s="2"/>
      <c r="T448" s="2"/>
      <c r="U448" s="1"/>
      <c r="V448" s="2"/>
      <c r="W448" s="2"/>
      <c r="X448" s="2"/>
      <c r="Y448" s="2"/>
      <c r="Z448" s="2"/>
    </row>
    <row r="449" spans="1:26" ht="15.75" customHeight="1" x14ac:dyDescent="0.2">
      <c r="A449" s="12"/>
      <c r="B449" s="10"/>
      <c r="C449" s="11"/>
      <c r="D449" s="13"/>
      <c r="E449" s="13"/>
      <c r="F449" s="13"/>
      <c r="G449" s="2"/>
      <c r="H449" s="2"/>
      <c r="I449" s="13"/>
      <c r="J449" s="13"/>
      <c r="K449" s="13"/>
      <c r="L449" s="14"/>
      <c r="M449" s="4"/>
      <c r="N449" s="2"/>
      <c r="O449" s="4"/>
      <c r="P449" s="2"/>
      <c r="Q449" s="2"/>
      <c r="R449" s="4"/>
      <c r="S449" s="2"/>
      <c r="T449" s="2"/>
      <c r="U449" s="1"/>
      <c r="V449" s="2"/>
      <c r="W449" s="2"/>
      <c r="X449" s="2"/>
      <c r="Y449" s="2"/>
      <c r="Z449" s="2"/>
    </row>
    <row r="450" spans="1:26" ht="15.75" customHeight="1" x14ac:dyDescent="0.2">
      <c r="A450" s="12"/>
      <c r="B450" s="10"/>
      <c r="C450" s="11"/>
      <c r="D450" s="13"/>
      <c r="E450" s="13"/>
      <c r="F450" s="13"/>
      <c r="G450" s="2"/>
      <c r="H450" s="2"/>
      <c r="I450" s="13"/>
      <c r="J450" s="13"/>
      <c r="K450" s="13"/>
      <c r="L450" s="14"/>
      <c r="M450" s="4"/>
      <c r="N450" s="2"/>
      <c r="O450" s="4"/>
      <c r="P450" s="2"/>
      <c r="Q450" s="2"/>
      <c r="R450" s="4"/>
      <c r="S450" s="2"/>
      <c r="T450" s="2"/>
      <c r="U450" s="1"/>
      <c r="V450" s="2"/>
      <c r="W450" s="2"/>
      <c r="X450" s="2"/>
      <c r="Y450" s="2"/>
      <c r="Z450" s="2"/>
    </row>
    <row r="451" spans="1:26" ht="15.75" customHeight="1" x14ac:dyDescent="0.2">
      <c r="A451" s="12"/>
      <c r="B451" s="10"/>
      <c r="C451" s="11"/>
      <c r="D451" s="13"/>
      <c r="E451" s="13"/>
      <c r="F451" s="13"/>
      <c r="G451" s="2"/>
      <c r="H451" s="2"/>
      <c r="I451" s="13"/>
      <c r="J451" s="13"/>
      <c r="K451" s="13"/>
      <c r="L451" s="14"/>
      <c r="M451" s="4"/>
      <c r="N451" s="2"/>
      <c r="O451" s="4"/>
      <c r="P451" s="2"/>
      <c r="Q451" s="2"/>
      <c r="R451" s="4"/>
      <c r="S451" s="2"/>
      <c r="T451" s="2"/>
      <c r="U451" s="1"/>
      <c r="V451" s="2"/>
      <c r="W451" s="2"/>
      <c r="X451" s="2"/>
      <c r="Y451" s="2"/>
      <c r="Z451" s="2"/>
    </row>
    <row r="452" spans="1:26" ht="15.75" customHeight="1" x14ac:dyDescent="0.2">
      <c r="A452" s="12"/>
      <c r="B452" s="10"/>
      <c r="C452" s="11"/>
      <c r="D452" s="13"/>
      <c r="E452" s="13"/>
      <c r="F452" s="13"/>
      <c r="G452" s="2"/>
      <c r="H452" s="2"/>
      <c r="I452" s="13"/>
      <c r="J452" s="13"/>
      <c r="K452" s="13"/>
      <c r="L452" s="14"/>
      <c r="M452" s="4"/>
      <c r="N452" s="2"/>
      <c r="O452" s="4"/>
      <c r="P452" s="2"/>
      <c r="Q452" s="2"/>
      <c r="R452" s="4"/>
      <c r="S452" s="2"/>
      <c r="T452" s="2"/>
      <c r="U452" s="1"/>
      <c r="V452" s="2"/>
      <c r="W452" s="2"/>
      <c r="X452" s="2"/>
      <c r="Y452" s="2"/>
      <c r="Z452" s="2"/>
    </row>
    <row r="453" spans="1:26" ht="15.75" customHeight="1" x14ac:dyDescent="0.2">
      <c r="A453" s="12"/>
      <c r="B453" s="10"/>
      <c r="C453" s="11"/>
      <c r="D453" s="13"/>
      <c r="E453" s="13"/>
      <c r="F453" s="13"/>
      <c r="G453" s="2"/>
      <c r="H453" s="2"/>
      <c r="I453" s="13"/>
      <c r="J453" s="13"/>
      <c r="K453" s="13"/>
      <c r="L453" s="14"/>
      <c r="M453" s="4"/>
      <c r="N453" s="2"/>
      <c r="O453" s="4"/>
      <c r="P453" s="2"/>
      <c r="Q453" s="2"/>
      <c r="R453" s="4"/>
      <c r="S453" s="2"/>
      <c r="T453" s="2"/>
      <c r="U453" s="1"/>
      <c r="V453" s="2"/>
      <c r="W453" s="2"/>
      <c r="X453" s="2"/>
      <c r="Y453" s="2"/>
      <c r="Z453" s="2"/>
    </row>
    <row r="454" spans="1:26" ht="15.75" customHeight="1" x14ac:dyDescent="0.2">
      <c r="A454" s="12"/>
      <c r="B454" s="10"/>
      <c r="C454" s="11"/>
      <c r="D454" s="13"/>
      <c r="E454" s="13"/>
      <c r="F454" s="13"/>
      <c r="G454" s="2"/>
      <c r="H454" s="2"/>
      <c r="I454" s="13"/>
      <c r="J454" s="13"/>
      <c r="K454" s="13"/>
      <c r="L454" s="14"/>
      <c r="M454" s="4"/>
      <c r="N454" s="2"/>
      <c r="O454" s="4"/>
      <c r="P454" s="2"/>
      <c r="Q454" s="2"/>
      <c r="R454" s="4"/>
      <c r="S454" s="2"/>
      <c r="T454" s="2"/>
      <c r="U454" s="1"/>
      <c r="V454" s="2"/>
      <c r="W454" s="2"/>
      <c r="X454" s="2"/>
      <c r="Y454" s="2"/>
      <c r="Z454" s="2"/>
    </row>
    <row r="455" spans="1:26" ht="15.75" customHeight="1" x14ac:dyDescent="0.2">
      <c r="A455" s="12"/>
      <c r="B455" s="10"/>
      <c r="C455" s="11"/>
      <c r="D455" s="13"/>
      <c r="E455" s="13"/>
      <c r="F455" s="13"/>
      <c r="G455" s="2"/>
      <c r="H455" s="2"/>
      <c r="I455" s="13"/>
      <c r="J455" s="13"/>
      <c r="K455" s="13"/>
      <c r="L455" s="14"/>
      <c r="M455" s="4"/>
      <c r="N455" s="2"/>
      <c r="O455" s="4"/>
      <c r="P455" s="2"/>
      <c r="Q455" s="2"/>
      <c r="R455" s="4"/>
      <c r="S455" s="2"/>
      <c r="T455" s="2"/>
      <c r="U455" s="1"/>
      <c r="V455" s="2"/>
      <c r="W455" s="2"/>
      <c r="X455" s="2"/>
      <c r="Y455" s="2"/>
      <c r="Z455" s="2"/>
    </row>
    <row r="456" spans="1:26" ht="15.75" customHeight="1" x14ac:dyDescent="0.2">
      <c r="A456" s="12"/>
      <c r="B456" s="10"/>
      <c r="C456" s="11"/>
      <c r="D456" s="13"/>
      <c r="E456" s="13"/>
      <c r="F456" s="13"/>
      <c r="G456" s="2"/>
      <c r="H456" s="2"/>
      <c r="I456" s="13"/>
      <c r="J456" s="13"/>
      <c r="K456" s="13"/>
      <c r="L456" s="14"/>
      <c r="M456" s="4"/>
      <c r="N456" s="2"/>
      <c r="O456" s="4"/>
      <c r="P456" s="2"/>
      <c r="Q456" s="2"/>
      <c r="R456" s="4"/>
      <c r="S456" s="2"/>
      <c r="T456" s="2"/>
      <c r="U456" s="1"/>
      <c r="V456" s="2"/>
      <c r="W456" s="2"/>
      <c r="X456" s="2"/>
      <c r="Y456" s="2"/>
      <c r="Z456" s="2"/>
    </row>
    <row r="457" spans="1:26" ht="15.75" customHeight="1" x14ac:dyDescent="0.2">
      <c r="A457" s="12"/>
      <c r="B457" s="10"/>
      <c r="C457" s="11"/>
      <c r="D457" s="13"/>
      <c r="E457" s="13"/>
      <c r="F457" s="13"/>
      <c r="G457" s="2"/>
      <c r="H457" s="2"/>
      <c r="I457" s="13"/>
      <c r="J457" s="13"/>
      <c r="K457" s="13"/>
      <c r="L457" s="14"/>
      <c r="M457" s="4"/>
      <c r="N457" s="2"/>
      <c r="O457" s="4"/>
      <c r="P457" s="2"/>
      <c r="Q457" s="2"/>
      <c r="R457" s="4"/>
      <c r="S457" s="2"/>
      <c r="T457" s="2"/>
      <c r="U457" s="1"/>
      <c r="V457" s="2"/>
      <c r="W457" s="2"/>
      <c r="X457" s="2"/>
      <c r="Y457" s="2"/>
      <c r="Z457" s="2"/>
    </row>
    <row r="458" spans="1:26" ht="15.75" customHeight="1" x14ac:dyDescent="0.2">
      <c r="A458" s="12"/>
      <c r="B458" s="10"/>
      <c r="C458" s="11"/>
      <c r="D458" s="13"/>
      <c r="E458" s="13"/>
      <c r="F458" s="13"/>
      <c r="G458" s="2"/>
      <c r="H458" s="2"/>
      <c r="I458" s="13"/>
      <c r="J458" s="13"/>
      <c r="K458" s="13"/>
      <c r="L458" s="14"/>
      <c r="M458" s="4"/>
      <c r="N458" s="2"/>
      <c r="O458" s="4"/>
      <c r="P458" s="2"/>
      <c r="Q458" s="2"/>
      <c r="R458" s="4"/>
      <c r="S458" s="2"/>
      <c r="T458" s="2"/>
      <c r="U458" s="1"/>
      <c r="V458" s="2"/>
      <c r="W458" s="2"/>
      <c r="X458" s="2"/>
      <c r="Y458" s="2"/>
      <c r="Z458" s="2"/>
    </row>
    <row r="459" spans="1:26" ht="15.75" customHeight="1" x14ac:dyDescent="0.2">
      <c r="A459" s="12"/>
      <c r="B459" s="10"/>
      <c r="C459" s="11"/>
      <c r="D459" s="13"/>
      <c r="E459" s="13"/>
      <c r="F459" s="13"/>
      <c r="G459" s="2"/>
      <c r="H459" s="2"/>
      <c r="I459" s="13"/>
      <c r="J459" s="13"/>
      <c r="K459" s="13"/>
      <c r="L459" s="14"/>
      <c r="M459" s="4"/>
      <c r="N459" s="2"/>
      <c r="O459" s="4"/>
      <c r="P459" s="2"/>
      <c r="Q459" s="2"/>
      <c r="R459" s="4"/>
      <c r="S459" s="2"/>
      <c r="T459" s="2"/>
      <c r="U459" s="1"/>
      <c r="V459" s="2"/>
      <c r="W459" s="2"/>
      <c r="X459" s="2"/>
      <c r="Y459" s="2"/>
      <c r="Z459" s="2"/>
    </row>
    <row r="460" spans="1:26" ht="15.75" customHeight="1" x14ac:dyDescent="0.2">
      <c r="A460" s="12"/>
      <c r="B460" s="10"/>
      <c r="C460" s="11"/>
      <c r="D460" s="13"/>
      <c r="E460" s="13"/>
      <c r="F460" s="13"/>
      <c r="G460" s="2"/>
      <c r="H460" s="2"/>
      <c r="I460" s="13"/>
      <c r="J460" s="13"/>
      <c r="K460" s="13"/>
      <c r="L460" s="14"/>
      <c r="M460" s="4"/>
      <c r="N460" s="2"/>
      <c r="O460" s="4"/>
      <c r="P460" s="2"/>
      <c r="Q460" s="2"/>
      <c r="R460" s="4"/>
      <c r="S460" s="2"/>
      <c r="T460" s="2"/>
      <c r="U460" s="1"/>
      <c r="V460" s="2"/>
      <c r="W460" s="2"/>
      <c r="X460" s="2"/>
      <c r="Y460" s="2"/>
      <c r="Z460" s="2"/>
    </row>
    <row r="461" spans="1:26" ht="15.75" customHeight="1" x14ac:dyDescent="0.2">
      <c r="A461" s="12"/>
      <c r="B461" s="10"/>
      <c r="C461" s="11"/>
      <c r="D461" s="13"/>
      <c r="E461" s="13"/>
      <c r="F461" s="13"/>
      <c r="G461" s="2"/>
      <c r="H461" s="2"/>
      <c r="I461" s="13"/>
      <c r="J461" s="13"/>
      <c r="K461" s="13"/>
      <c r="L461" s="14"/>
      <c r="M461" s="4"/>
      <c r="N461" s="2"/>
      <c r="O461" s="4"/>
      <c r="P461" s="2"/>
      <c r="Q461" s="2"/>
      <c r="R461" s="4"/>
      <c r="S461" s="2"/>
      <c r="T461" s="2"/>
      <c r="U461" s="1"/>
      <c r="V461" s="2"/>
      <c r="W461" s="2"/>
      <c r="X461" s="2"/>
      <c r="Y461" s="2"/>
      <c r="Z461" s="2"/>
    </row>
    <row r="462" spans="1:26" ht="15.75" customHeight="1" x14ac:dyDescent="0.2">
      <c r="A462" s="12"/>
      <c r="B462" s="10"/>
      <c r="C462" s="11"/>
      <c r="D462" s="13"/>
      <c r="E462" s="13"/>
      <c r="F462" s="13"/>
      <c r="G462" s="2"/>
      <c r="H462" s="2"/>
      <c r="I462" s="13"/>
      <c r="J462" s="13"/>
      <c r="K462" s="13"/>
      <c r="L462" s="14"/>
      <c r="M462" s="4"/>
      <c r="N462" s="2"/>
      <c r="O462" s="4"/>
      <c r="P462" s="2"/>
      <c r="Q462" s="2"/>
      <c r="R462" s="4"/>
      <c r="S462" s="2"/>
      <c r="T462" s="2"/>
      <c r="U462" s="1"/>
      <c r="V462" s="2"/>
      <c r="W462" s="2"/>
      <c r="X462" s="2"/>
      <c r="Y462" s="2"/>
      <c r="Z462" s="2"/>
    </row>
    <row r="463" spans="1:26" ht="15.75" customHeight="1" x14ac:dyDescent="0.2">
      <c r="A463" s="12"/>
      <c r="B463" s="10"/>
      <c r="C463" s="11"/>
      <c r="D463" s="13"/>
      <c r="E463" s="13"/>
      <c r="F463" s="13"/>
      <c r="G463" s="2"/>
      <c r="H463" s="2"/>
      <c r="I463" s="13"/>
      <c r="J463" s="13"/>
      <c r="K463" s="13"/>
      <c r="L463" s="14"/>
      <c r="M463" s="4"/>
      <c r="N463" s="2"/>
      <c r="O463" s="4"/>
      <c r="P463" s="2"/>
      <c r="Q463" s="2"/>
      <c r="R463" s="4"/>
      <c r="S463" s="2"/>
      <c r="T463" s="2"/>
      <c r="U463" s="1"/>
      <c r="V463" s="2"/>
      <c r="W463" s="2"/>
      <c r="X463" s="2"/>
      <c r="Y463" s="2"/>
      <c r="Z463" s="2"/>
    </row>
    <row r="464" spans="1:26" ht="15.75" customHeight="1" x14ac:dyDescent="0.2">
      <c r="A464" s="12"/>
      <c r="B464" s="10"/>
      <c r="C464" s="11"/>
      <c r="D464" s="13"/>
      <c r="E464" s="13"/>
      <c r="F464" s="13"/>
      <c r="G464" s="2"/>
      <c r="H464" s="2"/>
      <c r="I464" s="13"/>
      <c r="J464" s="13"/>
      <c r="K464" s="13"/>
      <c r="L464" s="14"/>
      <c r="M464" s="4"/>
      <c r="N464" s="2"/>
      <c r="O464" s="4"/>
      <c r="P464" s="2"/>
      <c r="Q464" s="2"/>
      <c r="R464" s="4"/>
      <c r="S464" s="2"/>
      <c r="T464" s="2"/>
      <c r="U464" s="1"/>
      <c r="V464" s="2"/>
      <c r="W464" s="2"/>
      <c r="X464" s="2"/>
      <c r="Y464" s="2"/>
      <c r="Z464" s="2"/>
    </row>
    <row r="465" spans="1:26" ht="15.75" customHeight="1" x14ac:dyDescent="0.2">
      <c r="A465" s="12"/>
      <c r="B465" s="10"/>
      <c r="C465" s="11"/>
      <c r="D465" s="13"/>
      <c r="E465" s="13"/>
      <c r="F465" s="13"/>
      <c r="G465" s="2"/>
      <c r="H465" s="2"/>
      <c r="I465" s="13"/>
      <c r="J465" s="13"/>
      <c r="K465" s="13"/>
      <c r="L465" s="14"/>
      <c r="M465" s="4"/>
      <c r="N465" s="2"/>
      <c r="O465" s="4"/>
      <c r="P465" s="2"/>
      <c r="Q465" s="2"/>
      <c r="R465" s="4"/>
      <c r="S465" s="2"/>
      <c r="T465" s="2"/>
      <c r="U465" s="1"/>
      <c r="V465" s="2"/>
      <c r="W465" s="2"/>
      <c r="X465" s="2"/>
      <c r="Y465" s="2"/>
      <c r="Z465" s="2"/>
    </row>
    <row r="466" spans="1:26" ht="15.75" customHeight="1" x14ac:dyDescent="0.2">
      <c r="A466" s="12"/>
      <c r="B466" s="10"/>
      <c r="C466" s="11"/>
      <c r="D466" s="13"/>
      <c r="E466" s="13"/>
      <c r="F466" s="13"/>
      <c r="G466" s="2"/>
      <c r="H466" s="2"/>
      <c r="I466" s="13"/>
      <c r="J466" s="13"/>
      <c r="K466" s="13"/>
      <c r="L466" s="14"/>
      <c r="M466" s="4"/>
      <c r="N466" s="2"/>
      <c r="O466" s="4"/>
      <c r="P466" s="2"/>
      <c r="Q466" s="2"/>
      <c r="R466" s="4"/>
      <c r="S466" s="2"/>
      <c r="T466" s="2"/>
      <c r="U466" s="1"/>
      <c r="V466" s="2"/>
      <c r="W466" s="2"/>
      <c r="X466" s="2"/>
      <c r="Y466" s="2"/>
      <c r="Z466" s="2"/>
    </row>
    <row r="467" spans="1:26" ht="15.75" customHeight="1" x14ac:dyDescent="0.2">
      <c r="A467" s="12"/>
      <c r="B467" s="10"/>
      <c r="C467" s="11"/>
      <c r="D467" s="13"/>
      <c r="E467" s="13"/>
      <c r="F467" s="13"/>
      <c r="G467" s="2"/>
      <c r="H467" s="2"/>
      <c r="I467" s="13"/>
      <c r="J467" s="13"/>
      <c r="K467" s="13"/>
      <c r="L467" s="14"/>
      <c r="M467" s="4"/>
      <c r="N467" s="2"/>
      <c r="O467" s="4"/>
      <c r="P467" s="2"/>
      <c r="Q467" s="2"/>
      <c r="R467" s="4"/>
      <c r="S467" s="2"/>
      <c r="T467" s="2"/>
      <c r="U467" s="1"/>
      <c r="V467" s="2"/>
      <c r="W467" s="2"/>
      <c r="X467" s="2"/>
      <c r="Y467" s="2"/>
      <c r="Z467" s="2"/>
    </row>
    <row r="468" spans="1:26" ht="15.75" customHeight="1" x14ac:dyDescent="0.2">
      <c r="A468" s="12"/>
      <c r="B468" s="10"/>
      <c r="C468" s="11"/>
      <c r="D468" s="13"/>
      <c r="E468" s="13"/>
      <c r="F468" s="13"/>
      <c r="G468" s="2"/>
      <c r="H468" s="2"/>
      <c r="I468" s="13"/>
      <c r="J468" s="13"/>
      <c r="K468" s="13"/>
      <c r="L468" s="14"/>
      <c r="M468" s="4"/>
      <c r="N468" s="2"/>
      <c r="O468" s="4"/>
      <c r="P468" s="2"/>
      <c r="Q468" s="2"/>
      <c r="R468" s="4"/>
      <c r="S468" s="2"/>
      <c r="T468" s="2"/>
      <c r="U468" s="1"/>
      <c r="V468" s="2"/>
      <c r="W468" s="2"/>
      <c r="X468" s="2"/>
      <c r="Y468" s="2"/>
      <c r="Z468" s="2"/>
    </row>
    <row r="469" spans="1:26" ht="15.75" customHeight="1" x14ac:dyDescent="0.2">
      <c r="A469" s="12"/>
      <c r="B469" s="10"/>
      <c r="C469" s="11"/>
      <c r="D469" s="13"/>
      <c r="E469" s="13"/>
      <c r="F469" s="13"/>
      <c r="G469" s="2"/>
      <c r="H469" s="2"/>
      <c r="I469" s="13"/>
      <c r="J469" s="13"/>
      <c r="K469" s="13"/>
      <c r="L469" s="14"/>
      <c r="M469" s="4"/>
      <c r="N469" s="2"/>
      <c r="O469" s="4"/>
      <c r="P469" s="2"/>
      <c r="Q469" s="2"/>
      <c r="R469" s="4"/>
      <c r="S469" s="2"/>
      <c r="T469" s="2"/>
      <c r="U469" s="1"/>
      <c r="V469" s="2"/>
      <c r="W469" s="2"/>
      <c r="X469" s="2"/>
      <c r="Y469" s="2"/>
      <c r="Z469" s="2"/>
    </row>
    <row r="470" spans="1:26" ht="15.75" customHeight="1" x14ac:dyDescent="0.2">
      <c r="A470" s="12"/>
      <c r="B470" s="10"/>
      <c r="C470" s="11"/>
      <c r="D470" s="13"/>
      <c r="E470" s="13"/>
      <c r="F470" s="13"/>
      <c r="G470" s="2"/>
      <c r="H470" s="2"/>
      <c r="I470" s="13"/>
      <c r="J470" s="13"/>
      <c r="K470" s="13"/>
      <c r="L470" s="14"/>
      <c r="M470" s="4"/>
      <c r="N470" s="2"/>
      <c r="O470" s="4"/>
      <c r="P470" s="2"/>
      <c r="Q470" s="2"/>
      <c r="R470" s="4"/>
      <c r="S470" s="2"/>
      <c r="T470" s="2"/>
      <c r="U470" s="1"/>
      <c r="V470" s="2"/>
      <c r="W470" s="2"/>
      <c r="X470" s="2"/>
      <c r="Y470" s="2"/>
      <c r="Z470" s="2"/>
    </row>
    <row r="471" spans="1:26" ht="15.75" customHeight="1" x14ac:dyDescent="0.2">
      <c r="A471" s="12"/>
      <c r="B471" s="10"/>
      <c r="C471" s="11"/>
      <c r="D471" s="13"/>
      <c r="E471" s="13"/>
      <c r="F471" s="13"/>
      <c r="G471" s="2"/>
      <c r="H471" s="2"/>
      <c r="I471" s="13"/>
      <c r="J471" s="13"/>
      <c r="K471" s="13"/>
      <c r="L471" s="14"/>
      <c r="M471" s="4"/>
      <c r="N471" s="2"/>
      <c r="O471" s="4"/>
      <c r="P471" s="2"/>
      <c r="Q471" s="2"/>
      <c r="R471" s="4"/>
      <c r="S471" s="2"/>
      <c r="T471" s="2"/>
      <c r="U471" s="1"/>
      <c r="V471" s="2"/>
      <c r="W471" s="2"/>
      <c r="X471" s="2"/>
      <c r="Y471" s="2"/>
      <c r="Z471" s="2"/>
    </row>
    <row r="472" spans="1:26" ht="15.75" customHeight="1" x14ac:dyDescent="0.2">
      <c r="A472" s="12"/>
      <c r="B472" s="10"/>
      <c r="C472" s="11"/>
      <c r="D472" s="13"/>
      <c r="E472" s="13"/>
      <c r="F472" s="13"/>
      <c r="G472" s="2"/>
      <c r="H472" s="2"/>
      <c r="I472" s="13"/>
      <c r="J472" s="13"/>
      <c r="K472" s="13"/>
      <c r="L472" s="14"/>
      <c r="M472" s="4"/>
      <c r="N472" s="2"/>
      <c r="O472" s="4"/>
      <c r="P472" s="2"/>
      <c r="Q472" s="2"/>
      <c r="R472" s="4"/>
      <c r="S472" s="2"/>
      <c r="T472" s="2"/>
      <c r="U472" s="1"/>
      <c r="V472" s="2"/>
      <c r="W472" s="2"/>
      <c r="X472" s="2"/>
      <c r="Y472" s="2"/>
      <c r="Z472" s="2"/>
    </row>
    <row r="473" spans="1:26" ht="15.75" customHeight="1" x14ac:dyDescent="0.2">
      <c r="A473" s="12"/>
      <c r="B473" s="10"/>
      <c r="C473" s="11"/>
      <c r="D473" s="13"/>
      <c r="E473" s="13"/>
      <c r="F473" s="13"/>
      <c r="G473" s="2"/>
      <c r="H473" s="2"/>
      <c r="I473" s="13"/>
      <c r="J473" s="13"/>
      <c r="K473" s="13"/>
      <c r="L473" s="14"/>
      <c r="M473" s="4"/>
      <c r="N473" s="2"/>
      <c r="O473" s="4"/>
      <c r="P473" s="2"/>
      <c r="Q473" s="2"/>
      <c r="R473" s="4"/>
      <c r="S473" s="2"/>
      <c r="T473" s="2"/>
      <c r="U473" s="1"/>
      <c r="V473" s="2"/>
      <c r="W473" s="2"/>
      <c r="X473" s="2"/>
      <c r="Y473" s="2"/>
      <c r="Z473" s="2"/>
    </row>
    <row r="474" spans="1:26" ht="15.75" customHeight="1" x14ac:dyDescent="0.2">
      <c r="A474" s="12"/>
      <c r="B474" s="10"/>
      <c r="C474" s="11"/>
      <c r="D474" s="13"/>
      <c r="E474" s="13"/>
      <c r="F474" s="13"/>
      <c r="G474" s="2"/>
      <c r="H474" s="2"/>
      <c r="I474" s="13"/>
      <c r="J474" s="13"/>
      <c r="K474" s="13"/>
      <c r="L474" s="14"/>
      <c r="M474" s="4"/>
      <c r="N474" s="2"/>
      <c r="O474" s="4"/>
      <c r="P474" s="2"/>
      <c r="Q474" s="2"/>
      <c r="R474" s="4"/>
      <c r="S474" s="2"/>
      <c r="T474" s="2"/>
      <c r="U474" s="1"/>
      <c r="V474" s="2"/>
      <c r="W474" s="2"/>
      <c r="X474" s="2"/>
      <c r="Y474" s="2"/>
      <c r="Z474" s="2"/>
    </row>
    <row r="475" spans="1:26" ht="15.75" customHeight="1" x14ac:dyDescent="0.2">
      <c r="A475" s="12"/>
      <c r="B475" s="10"/>
      <c r="C475" s="11"/>
      <c r="D475" s="13"/>
      <c r="E475" s="13"/>
      <c r="F475" s="13"/>
      <c r="G475" s="2"/>
      <c r="H475" s="2"/>
      <c r="I475" s="13"/>
      <c r="J475" s="13"/>
      <c r="K475" s="13"/>
      <c r="L475" s="14"/>
      <c r="M475" s="4"/>
      <c r="N475" s="2"/>
      <c r="O475" s="4"/>
      <c r="P475" s="2"/>
      <c r="Q475" s="2"/>
      <c r="R475" s="4"/>
      <c r="S475" s="2"/>
      <c r="T475" s="2"/>
      <c r="U475" s="1"/>
      <c r="V475" s="2"/>
      <c r="W475" s="2"/>
      <c r="X475" s="2"/>
      <c r="Y475" s="2"/>
      <c r="Z475" s="2"/>
    </row>
    <row r="476" spans="1:26" ht="15.75" customHeight="1" x14ac:dyDescent="0.2">
      <c r="A476" s="12"/>
      <c r="B476" s="10"/>
      <c r="C476" s="11"/>
      <c r="D476" s="13"/>
      <c r="E476" s="13"/>
      <c r="F476" s="13"/>
      <c r="G476" s="2"/>
      <c r="H476" s="2"/>
      <c r="I476" s="13"/>
      <c r="J476" s="13"/>
      <c r="K476" s="13"/>
      <c r="L476" s="14"/>
      <c r="M476" s="4"/>
      <c r="N476" s="2"/>
      <c r="O476" s="4"/>
      <c r="P476" s="2"/>
      <c r="Q476" s="2"/>
      <c r="R476" s="4"/>
      <c r="S476" s="2"/>
      <c r="T476" s="2"/>
      <c r="U476" s="1"/>
      <c r="V476" s="2"/>
      <c r="W476" s="2"/>
      <c r="X476" s="2"/>
      <c r="Y476" s="2"/>
      <c r="Z476" s="2"/>
    </row>
    <row r="477" spans="1:26" ht="15.75" customHeight="1" x14ac:dyDescent="0.2">
      <c r="A477" s="12"/>
      <c r="B477" s="10"/>
      <c r="C477" s="11"/>
      <c r="D477" s="13"/>
      <c r="E477" s="13"/>
      <c r="F477" s="13"/>
      <c r="G477" s="2"/>
      <c r="H477" s="2"/>
      <c r="I477" s="13"/>
      <c r="J477" s="13"/>
      <c r="K477" s="13"/>
      <c r="L477" s="14"/>
      <c r="M477" s="4"/>
      <c r="N477" s="2"/>
      <c r="O477" s="4"/>
      <c r="P477" s="2"/>
      <c r="Q477" s="2"/>
      <c r="R477" s="4"/>
      <c r="S477" s="2"/>
      <c r="T477" s="2"/>
      <c r="U477" s="1"/>
      <c r="V477" s="2"/>
      <c r="W477" s="2"/>
      <c r="X477" s="2"/>
      <c r="Y477" s="2"/>
      <c r="Z477" s="2"/>
    </row>
    <row r="478" spans="1:26" ht="15.75" customHeight="1" x14ac:dyDescent="0.2">
      <c r="A478" s="12"/>
      <c r="B478" s="10"/>
      <c r="C478" s="11"/>
      <c r="D478" s="13"/>
      <c r="E478" s="13"/>
      <c r="F478" s="13"/>
      <c r="G478" s="2"/>
      <c r="H478" s="2"/>
      <c r="I478" s="13"/>
      <c r="J478" s="13"/>
      <c r="K478" s="13"/>
      <c r="L478" s="14"/>
      <c r="M478" s="4"/>
      <c r="N478" s="2"/>
      <c r="O478" s="4"/>
      <c r="P478" s="2"/>
      <c r="Q478" s="2"/>
      <c r="R478" s="4"/>
      <c r="S478" s="2"/>
      <c r="T478" s="2"/>
      <c r="U478" s="1"/>
      <c r="V478" s="2"/>
      <c r="W478" s="2"/>
      <c r="X478" s="2"/>
      <c r="Y478" s="2"/>
      <c r="Z478" s="2"/>
    </row>
    <row r="479" spans="1:26" ht="15.75" customHeight="1" x14ac:dyDescent="0.2">
      <c r="A479" s="12"/>
      <c r="B479" s="10"/>
      <c r="C479" s="11"/>
      <c r="D479" s="13"/>
      <c r="E479" s="13"/>
      <c r="F479" s="13"/>
      <c r="G479" s="2"/>
      <c r="H479" s="2"/>
      <c r="I479" s="13"/>
      <c r="J479" s="13"/>
      <c r="K479" s="13"/>
      <c r="L479" s="14"/>
      <c r="M479" s="4"/>
      <c r="N479" s="2"/>
      <c r="O479" s="4"/>
      <c r="P479" s="2"/>
      <c r="Q479" s="2"/>
      <c r="R479" s="4"/>
      <c r="S479" s="2"/>
      <c r="T479" s="2"/>
      <c r="U479" s="1"/>
      <c r="V479" s="2"/>
      <c r="W479" s="2"/>
      <c r="X479" s="2"/>
      <c r="Y479" s="2"/>
      <c r="Z479" s="2"/>
    </row>
    <row r="480" spans="1:26" ht="15.75" customHeight="1" x14ac:dyDescent="0.2">
      <c r="A480" s="12"/>
      <c r="B480" s="10"/>
      <c r="C480" s="11"/>
      <c r="D480" s="13"/>
      <c r="E480" s="13"/>
      <c r="F480" s="13"/>
      <c r="G480" s="2"/>
      <c r="H480" s="2"/>
      <c r="I480" s="13"/>
      <c r="J480" s="13"/>
      <c r="K480" s="13"/>
      <c r="L480" s="14"/>
      <c r="M480" s="4"/>
      <c r="N480" s="2"/>
      <c r="O480" s="4"/>
      <c r="P480" s="2"/>
      <c r="Q480" s="2"/>
      <c r="R480" s="4"/>
      <c r="S480" s="2"/>
      <c r="T480" s="2"/>
      <c r="U480" s="1"/>
      <c r="V480" s="2"/>
      <c r="W480" s="2"/>
      <c r="X480" s="2"/>
      <c r="Y480" s="2"/>
      <c r="Z480" s="2"/>
    </row>
    <row r="481" spans="1:26" ht="15.75" customHeight="1" x14ac:dyDescent="0.2">
      <c r="A481" s="12"/>
      <c r="B481" s="10"/>
      <c r="C481" s="11"/>
      <c r="D481" s="13"/>
      <c r="E481" s="13"/>
      <c r="F481" s="13"/>
      <c r="G481" s="2"/>
      <c r="H481" s="2"/>
      <c r="I481" s="13"/>
      <c r="J481" s="13"/>
      <c r="K481" s="13"/>
      <c r="L481" s="14"/>
      <c r="M481" s="4"/>
      <c r="N481" s="2"/>
      <c r="O481" s="4"/>
      <c r="P481" s="2"/>
      <c r="Q481" s="2"/>
      <c r="R481" s="4"/>
      <c r="S481" s="2"/>
      <c r="T481" s="2"/>
      <c r="U481" s="1"/>
      <c r="V481" s="2"/>
      <c r="W481" s="2"/>
      <c r="X481" s="2"/>
      <c r="Y481" s="2"/>
      <c r="Z481" s="2"/>
    </row>
    <row r="482" spans="1:26" ht="15.75" customHeight="1" x14ac:dyDescent="0.2">
      <c r="A482" s="12"/>
      <c r="B482" s="10"/>
      <c r="C482" s="11"/>
      <c r="D482" s="13"/>
      <c r="E482" s="13"/>
      <c r="F482" s="13"/>
      <c r="G482" s="2"/>
      <c r="H482" s="2"/>
      <c r="I482" s="13"/>
      <c r="J482" s="13"/>
      <c r="K482" s="13"/>
      <c r="L482" s="14"/>
      <c r="M482" s="4"/>
      <c r="N482" s="2"/>
      <c r="O482" s="4"/>
      <c r="P482" s="2"/>
      <c r="Q482" s="2"/>
      <c r="R482" s="4"/>
      <c r="S482" s="2"/>
      <c r="T482" s="2"/>
      <c r="U482" s="1"/>
      <c r="V482" s="2"/>
      <c r="W482" s="2"/>
      <c r="X482" s="2"/>
      <c r="Y482" s="2"/>
      <c r="Z482" s="2"/>
    </row>
    <row r="483" spans="1:26" ht="15.75" customHeight="1" x14ac:dyDescent="0.2">
      <c r="A483" s="12"/>
      <c r="B483" s="10"/>
      <c r="C483" s="11"/>
      <c r="D483" s="13"/>
      <c r="E483" s="13"/>
      <c r="F483" s="13"/>
      <c r="G483" s="2"/>
      <c r="H483" s="2"/>
      <c r="I483" s="13"/>
      <c r="J483" s="13"/>
      <c r="K483" s="13"/>
      <c r="L483" s="14"/>
      <c r="M483" s="4"/>
      <c r="N483" s="2"/>
      <c r="O483" s="4"/>
      <c r="P483" s="2"/>
      <c r="Q483" s="2"/>
      <c r="R483" s="4"/>
      <c r="S483" s="2"/>
      <c r="T483" s="2"/>
      <c r="U483" s="1"/>
      <c r="V483" s="2"/>
      <c r="W483" s="2"/>
      <c r="X483" s="2"/>
      <c r="Y483" s="2"/>
      <c r="Z483" s="2"/>
    </row>
    <row r="484" spans="1:26" ht="15.75" customHeight="1" x14ac:dyDescent="0.2">
      <c r="A484" s="12"/>
      <c r="B484" s="10"/>
      <c r="C484" s="11"/>
      <c r="D484" s="13"/>
      <c r="E484" s="13"/>
      <c r="F484" s="13"/>
      <c r="G484" s="2"/>
      <c r="H484" s="2"/>
      <c r="I484" s="13"/>
      <c r="J484" s="13"/>
      <c r="K484" s="13"/>
      <c r="L484" s="14"/>
      <c r="M484" s="4"/>
      <c r="N484" s="2"/>
      <c r="O484" s="4"/>
      <c r="P484" s="2"/>
      <c r="Q484" s="2"/>
      <c r="R484" s="4"/>
      <c r="S484" s="2"/>
      <c r="T484" s="2"/>
      <c r="U484" s="1"/>
      <c r="V484" s="2"/>
      <c r="W484" s="2"/>
      <c r="X484" s="2"/>
      <c r="Y484" s="2"/>
      <c r="Z484" s="2"/>
    </row>
    <row r="485" spans="1:26" ht="15.75" customHeight="1" x14ac:dyDescent="0.2">
      <c r="A485" s="12"/>
      <c r="B485" s="10"/>
      <c r="C485" s="11"/>
      <c r="D485" s="13"/>
      <c r="E485" s="13"/>
      <c r="F485" s="13"/>
      <c r="G485" s="2"/>
      <c r="H485" s="2"/>
      <c r="I485" s="13"/>
      <c r="J485" s="13"/>
      <c r="K485" s="13"/>
      <c r="L485" s="14"/>
      <c r="M485" s="4"/>
      <c r="N485" s="2"/>
      <c r="O485" s="4"/>
      <c r="P485" s="2"/>
      <c r="Q485" s="2"/>
      <c r="R485" s="4"/>
      <c r="S485" s="2"/>
      <c r="T485" s="2"/>
      <c r="U485" s="1"/>
      <c r="V485" s="2"/>
      <c r="W485" s="2"/>
      <c r="X485" s="2"/>
      <c r="Y485" s="2"/>
      <c r="Z485" s="2"/>
    </row>
    <row r="486" spans="1:26" ht="15.75" customHeight="1" x14ac:dyDescent="0.2">
      <c r="A486" s="12"/>
      <c r="B486" s="10"/>
      <c r="C486" s="11"/>
      <c r="D486" s="13"/>
      <c r="E486" s="13"/>
      <c r="F486" s="13"/>
      <c r="G486" s="2"/>
      <c r="H486" s="2"/>
      <c r="I486" s="13"/>
      <c r="J486" s="13"/>
      <c r="K486" s="13"/>
      <c r="L486" s="14"/>
      <c r="M486" s="4"/>
      <c r="N486" s="2"/>
      <c r="O486" s="4"/>
      <c r="P486" s="2"/>
      <c r="Q486" s="2"/>
      <c r="R486" s="4"/>
      <c r="S486" s="2"/>
      <c r="T486" s="2"/>
      <c r="U486" s="1"/>
      <c r="V486" s="2"/>
      <c r="W486" s="2"/>
      <c r="X486" s="2"/>
      <c r="Y486" s="2"/>
      <c r="Z486" s="2"/>
    </row>
    <row r="487" spans="1:26" ht="15.75" customHeight="1" x14ac:dyDescent="0.2">
      <c r="A487" s="12"/>
      <c r="B487" s="10"/>
      <c r="C487" s="11"/>
      <c r="D487" s="13"/>
      <c r="E487" s="13"/>
      <c r="F487" s="13"/>
      <c r="G487" s="2"/>
      <c r="H487" s="2"/>
      <c r="I487" s="13"/>
      <c r="J487" s="13"/>
      <c r="K487" s="13"/>
      <c r="L487" s="14"/>
      <c r="M487" s="4"/>
      <c r="N487" s="2"/>
      <c r="O487" s="4"/>
      <c r="P487" s="2"/>
      <c r="Q487" s="2"/>
      <c r="R487" s="4"/>
      <c r="S487" s="2"/>
      <c r="T487" s="2"/>
      <c r="U487" s="1"/>
      <c r="V487" s="2"/>
      <c r="W487" s="2"/>
      <c r="X487" s="2"/>
      <c r="Y487" s="2"/>
      <c r="Z487" s="2"/>
    </row>
    <row r="488" spans="1:26" ht="15.75" customHeight="1" x14ac:dyDescent="0.2">
      <c r="A488" s="12"/>
      <c r="B488" s="10"/>
      <c r="C488" s="11"/>
      <c r="D488" s="13"/>
      <c r="E488" s="13"/>
      <c r="F488" s="13"/>
      <c r="G488" s="2"/>
      <c r="H488" s="2"/>
      <c r="I488" s="13"/>
      <c r="J488" s="13"/>
      <c r="K488" s="13"/>
      <c r="L488" s="14"/>
      <c r="M488" s="4"/>
      <c r="N488" s="2"/>
      <c r="O488" s="4"/>
      <c r="P488" s="2"/>
      <c r="Q488" s="2"/>
      <c r="R488" s="4"/>
      <c r="S488" s="2"/>
      <c r="T488" s="2"/>
      <c r="U488" s="1"/>
      <c r="V488" s="2"/>
      <c r="W488" s="2"/>
      <c r="X488" s="2"/>
      <c r="Y488" s="2"/>
      <c r="Z488" s="2"/>
    </row>
    <row r="489" spans="1:26" ht="15.75" customHeight="1" x14ac:dyDescent="0.2">
      <c r="A489" s="12"/>
      <c r="B489" s="10"/>
      <c r="C489" s="11"/>
      <c r="D489" s="13"/>
      <c r="E489" s="13"/>
      <c r="F489" s="13"/>
      <c r="G489" s="2"/>
      <c r="H489" s="2"/>
      <c r="I489" s="13"/>
      <c r="J489" s="13"/>
      <c r="K489" s="13"/>
      <c r="L489" s="14"/>
      <c r="M489" s="4"/>
      <c r="N489" s="2"/>
      <c r="O489" s="4"/>
      <c r="P489" s="2"/>
      <c r="Q489" s="2"/>
      <c r="R489" s="4"/>
      <c r="S489" s="2"/>
      <c r="T489" s="2"/>
      <c r="U489" s="1"/>
      <c r="V489" s="2"/>
      <c r="W489" s="2"/>
      <c r="X489" s="2"/>
      <c r="Y489" s="2"/>
      <c r="Z489" s="2"/>
    </row>
    <row r="490" spans="1:26" ht="15.75" customHeight="1" x14ac:dyDescent="0.2">
      <c r="A490" s="12"/>
      <c r="B490" s="10"/>
      <c r="C490" s="11"/>
      <c r="D490" s="13"/>
      <c r="E490" s="13"/>
      <c r="F490" s="13"/>
      <c r="G490" s="2"/>
      <c r="H490" s="2"/>
      <c r="I490" s="13"/>
      <c r="J490" s="13"/>
      <c r="K490" s="13"/>
      <c r="L490" s="14"/>
      <c r="M490" s="4"/>
      <c r="N490" s="2"/>
      <c r="O490" s="4"/>
      <c r="P490" s="2"/>
      <c r="Q490" s="2"/>
      <c r="R490" s="4"/>
      <c r="S490" s="2"/>
      <c r="T490" s="2"/>
      <c r="U490" s="1"/>
      <c r="V490" s="2"/>
      <c r="W490" s="2"/>
      <c r="X490" s="2"/>
      <c r="Y490" s="2"/>
      <c r="Z490" s="2"/>
    </row>
    <row r="491" spans="1:26" ht="15.75" customHeight="1" x14ac:dyDescent="0.2">
      <c r="A491" s="12"/>
      <c r="B491" s="10"/>
      <c r="C491" s="11"/>
      <c r="D491" s="13"/>
      <c r="E491" s="13"/>
      <c r="F491" s="13"/>
      <c r="G491" s="2"/>
      <c r="H491" s="2"/>
      <c r="I491" s="13"/>
      <c r="J491" s="13"/>
      <c r="K491" s="13"/>
      <c r="L491" s="14"/>
      <c r="M491" s="4"/>
      <c r="N491" s="2"/>
      <c r="O491" s="4"/>
      <c r="P491" s="2"/>
      <c r="Q491" s="2"/>
      <c r="R491" s="4"/>
      <c r="S491" s="2"/>
      <c r="T491" s="2"/>
      <c r="U491" s="1"/>
      <c r="V491" s="2"/>
      <c r="W491" s="2"/>
      <c r="X491" s="2"/>
      <c r="Y491" s="2"/>
      <c r="Z491" s="2"/>
    </row>
    <row r="492" spans="1:26" ht="15.75" customHeight="1" x14ac:dyDescent="0.2">
      <c r="A492" s="12"/>
      <c r="B492" s="10"/>
      <c r="C492" s="11"/>
      <c r="D492" s="13"/>
      <c r="E492" s="13"/>
      <c r="F492" s="13"/>
      <c r="G492" s="2"/>
      <c r="H492" s="2"/>
      <c r="I492" s="13"/>
      <c r="J492" s="13"/>
      <c r="K492" s="13"/>
      <c r="L492" s="14"/>
      <c r="M492" s="4"/>
      <c r="N492" s="2"/>
      <c r="O492" s="4"/>
      <c r="P492" s="2"/>
      <c r="Q492" s="2"/>
      <c r="R492" s="4"/>
      <c r="S492" s="2"/>
      <c r="T492" s="2"/>
      <c r="U492" s="1"/>
      <c r="V492" s="2"/>
      <c r="W492" s="2"/>
      <c r="X492" s="2"/>
      <c r="Y492" s="2"/>
      <c r="Z492" s="2"/>
    </row>
    <row r="493" spans="1:26" ht="15.75" customHeight="1" x14ac:dyDescent="0.2">
      <c r="A493" s="12"/>
      <c r="B493" s="10"/>
      <c r="C493" s="11"/>
      <c r="D493" s="13"/>
      <c r="E493" s="13"/>
      <c r="F493" s="13"/>
      <c r="G493" s="2"/>
      <c r="H493" s="2"/>
      <c r="I493" s="13"/>
      <c r="J493" s="13"/>
      <c r="K493" s="13"/>
      <c r="L493" s="14"/>
      <c r="M493" s="4"/>
      <c r="N493" s="2"/>
      <c r="O493" s="4"/>
      <c r="P493" s="2"/>
      <c r="Q493" s="2"/>
      <c r="R493" s="4"/>
      <c r="S493" s="2"/>
      <c r="T493" s="2"/>
      <c r="U493" s="1"/>
      <c r="V493" s="2"/>
      <c r="W493" s="2"/>
      <c r="X493" s="2"/>
      <c r="Y493" s="2"/>
      <c r="Z493" s="2"/>
    </row>
    <row r="494" spans="1:26" ht="15.75" customHeight="1" x14ac:dyDescent="0.2">
      <c r="A494" s="12"/>
      <c r="B494" s="10"/>
      <c r="C494" s="11"/>
      <c r="D494" s="13"/>
      <c r="E494" s="13"/>
      <c r="F494" s="13"/>
      <c r="G494" s="2"/>
      <c r="H494" s="2"/>
      <c r="I494" s="13"/>
      <c r="J494" s="13"/>
      <c r="K494" s="13"/>
      <c r="L494" s="14"/>
      <c r="M494" s="4"/>
      <c r="N494" s="2"/>
      <c r="O494" s="4"/>
      <c r="P494" s="2"/>
      <c r="Q494" s="2"/>
      <c r="R494" s="4"/>
      <c r="S494" s="2"/>
      <c r="T494" s="2"/>
      <c r="U494" s="1"/>
      <c r="V494" s="2"/>
      <c r="W494" s="2"/>
      <c r="X494" s="2"/>
      <c r="Y494" s="2"/>
      <c r="Z494" s="2"/>
    </row>
    <row r="495" spans="1:26" ht="15.75" customHeight="1" x14ac:dyDescent="0.2">
      <c r="A495" s="12"/>
      <c r="B495" s="10"/>
      <c r="C495" s="11"/>
      <c r="D495" s="13"/>
      <c r="E495" s="13"/>
      <c r="F495" s="13"/>
      <c r="G495" s="2"/>
      <c r="H495" s="2"/>
      <c r="I495" s="13"/>
      <c r="J495" s="13"/>
      <c r="K495" s="13"/>
      <c r="L495" s="14"/>
      <c r="M495" s="4"/>
      <c r="N495" s="2"/>
      <c r="O495" s="4"/>
      <c r="P495" s="2"/>
      <c r="Q495" s="2"/>
      <c r="R495" s="4"/>
      <c r="S495" s="2"/>
      <c r="T495" s="2"/>
      <c r="U495" s="1"/>
      <c r="V495" s="2"/>
      <c r="W495" s="2"/>
      <c r="X495" s="2"/>
      <c r="Y495" s="2"/>
      <c r="Z495" s="2"/>
    </row>
    <row r="496" spans="1:26" ht="15.75" customHeight="1" x14ac:dyDescent="0.2">
      <c r="A496" s="12"/>
      <c r="B496" s="10"/>
      <c r="C496" s="11"/>
      <c r="D496" s="13"/>
      <c r="E496" s="13"/>
      <c r="F496" s="13"/>
      <c r="G496" s="2"/>
      <c r="H496" s="2"/>
      <c r="I496" s="13"/>
      <c r="J496" s="13"/>
      <c r="K496" s="13"/>
      <c r="L496" s="14"/>
      <c r="M496" s="4"/>
      <c r="N496" s="2"/>
      <c r="O496" s="4"/>
      <c r="P496" s="2"/>
      <c r="Q496" s="2"/>
      <c r="R496" s="4"/>
      <c r="S496" s="2"/>
      <c r="T496" s="2"/>
      <c r="U496" s="1"/>
      <c r="V496" s="2"/>
      <c r="W496" s="2"/>
      <c r="X496" s="2"/>
      <c r="Y496" s="2"/>
      <c r="Z496" s="2"/>
    </row>
    <row r="497" spans="1:26" ht="15.75" customHeight="1" x14ac:dyDescent="0.2">
      <c r="A497" s="12"/>
      <c r="B497" s="10"/>
      <c r="C497" s="11"/>
      <c r="D497" s="13"/>
      <c r="E497" s="13"/>
      <c r="F497" s="13"/>
      <c r="G497" s="2"/>
      <c r="H497" s="2"/>
      <c r="I497" s="13"/>
      <c r="J497" s="13"/>
      <c r="K497" s="13"/>
      <c r="L497" s="14"/>
      <c r="M497" s="4"/>
      <c r="N497" s="2"/>
      <c r="O497" s="4"/>
      <c r="P497" s="2"/>
      <c r="Q497" s="2"/>
      <c r="R497" s="4"/>
      <c r="S497" s="2"/>
      <c r="T497" s="2"/>
      <c r="U497" s="1"/>
      <c r="V497" s="2"/>
      <c r="W497" s="2"/>
      <c r="X497" s="2"/>
      <c r="Y497" s="2"/>
      <c r="Z497" s="2"/>
    </row>
    <row r="498" spans="1:26" ht="15.75" customHeight="1" x14ac:dyDescent="0.2">
      <c r="A498" s="12"/>
      <c r="B498" s="10"/>
      <c r="C498" s="11"/>
      <c r="D498" s="13"/>
      <c r="E498" s="13"/>
      <c r="F498" s="13"/>
      <c r="G498" s="2"/>
      <c r="H498" s="2"/>
      <c r="I498" s="13"/>
      <c r="J498" s="13"/>
      <c r="K498" s="13"/>
      <c r="L498" s="14"/>
      <c r="M498" s="4"/>
      <c r="N498" s="2"/>
      <c r="O498" s="4"/>
      <c r="P498" s="2"/>
      <c r="Q498" s="2"/>
      <c r="R498" s="4"/>
      <c r="S498" s="2"/>
      <c r="T498" s="2"/>
      <c r="U498" s="1"/>
      <c r="V498" s="2"/>
      <c r="W498" s="2"/>
      <c r="X498" s="2"/>
      <c r="Y498" s="2"/>
      <c r="Z498" s="2"/>
    </row>
    <row r="499" spans="1:26" ht="15.75" customHeight="1" x14ac:dyDescent="0.2">
      <c r="A499" s="12"/>
      <c r="B499" s="10"/>
      <c r="C499" s="11"/>
      <c r="D499" s="13"/>
      <c r="E499" s="13"/>
      <c r="F499" s="13"/>
      <c r="G499" s="2"/>
      <c r="H499" s="2"/>
      <c r="I499" s="13"/>
      <c r="J499" s="13"/>
      <c r="K499" s="13"/>
      <c r="L499" s="14"/>
      <c r="M499" s="4"/>
      <c r="N499" s="2"/>
      <c r="O499" s="4"/>
      <c r="P499" s="2"/>
      <c r="Q499" s="2"/>
      <c r="R499" s="4"/>
      <c r="S499" s="2"/>
      <c r="T499" s="2"/>
      <c r="U499" s="1"/>
      <c r="V499" s="2"/>
      <c r="W499" s="2"/>
      <c r="X499" s="2"/>
      <c r="Y499" s="2"/>
      <c r="Z499" s="2"/>
    </row>
    <row r="500" spans="1:26" ht="15.75" customHeight="1" x14ac:dyDescent="0.2">
      <c r="A500" s="12"/>
      <c r="B500" s="10"/>
      <c r="C500" s="11"/>
      <c r="D500" s="13"/>
      <c r="E500" s="13"/>
      <c r="F500" s="13"/>
      <c r="G500" s="2"/>
      <c r="H500" s="2"/>
      <c r="I500" s="13"/>
      <c r="J500" s="13"/>
      <c r="K500" s="13"/>
      <c r="L500" s="14"/>
      <c r="M500" s="4"/>
      <c r="N500" s="2"/>
      <c r="O500" s="4"/>
      <c r="P500" s="2"/>
      <c r="Q500" s="2"/>
      <c r="R500" s="4"/>
      <c r="S500" s="2"/>
      <c r="T500" s="2"/>
      <c r="U500" s="1"/>
      <c r="V500" s="2"/>
      <c r="W500" s="2"/>
      <c r="X500" s="2"/>
      <c r="Y500" s="2"/>
      <c r="Z500" s="2"/>
    </row>
    <row r="501" spans="1:26" ht="15.75" customHeight="1" x14ac:dyDescent="0.2">
      <c r="A501" s="12"/>
      <c r="B501" s="10"/>
      <c r="C501" s="11"/>
      <c r="D501" s="13"/>
      <c r="E501" s="13"/>
      <c r="F501" s="13"/>
      <c r="G501" s="2"/>
      <c r="H501" s="2"/>
      <c r="I501" s="13"/>
      <c r="J501" s="13"/>
      <c r="K501" s="13"/>
      <c r="L501" s="14"/>
      <c r="M501" s="4"/>
      <c r="N501" s="2"/>
      <c r="O501" s="4"/>
      <c r="P501" s="2"/>
      <c r="Q501" s="2"/>
      <c r="R501" s="4"/>
      <c r="S501" s="2"/>
      <c r="T501" s="2"/>
      <c r="U501" s="1"/>
      <c r="V501" s="2"/>
      <c r="W501" s="2"/>
      <c r="X501" s="2"/>
      <c r="Y501" s="2"/>
      <c r="Z501" s="2"/>
    </row>
    <row r="502" spans="1:26" ht="15.75" customHeight="1" x14ac:dyDescent="0.2">
      <c r="A502" s="12"/>
      <c r="B502" s="10"/>
      <c r="C502" s="11"/>
      <c r="D502" s="13"/>
      <c r="E502" s="13"/>
      <c r="F502" s="13"/>
      <c r="G502" s="2"/>
      <c r="H502" s="2"/>
      <c r="I502" s="13"/>
      <c r="J502" s="13"/>
      <c r="K502" s="13"/>
      <c r="L502" s="14"/>
      <c r="M502" s="4"/>
      <c r="N502" s="2"/>
      <c r="O502" s="4"/>
      <c r="P502" s="2"/>
      <c r="Q502" s="2"/>
      <c r="R502" s="4"/>
      <c r="S502" s="2"/>
      <c r="T502" s="2"/>
      <c r="U502" s="1"/>
      <c r="V502" s="2"/>
      <c r="W502" s="2"/>
      <c r="X502" s="2"/>
      <c r="Y502" s="2"/>
      <c r="Z502" s="2"/>
    </row>
    <row r="503" spans="1:26" ht="15.75" customHeight="1" x14ac:dyDescent="0.2">
      <c r="A503" s="12"/>
      <c r="B503" s="10"/>
      <c r="C503" s="11"/>
      <c r="D503" s="13"/>
      <c r="E503" s="13"/>
      <c r="F503" s="13"/>
      <c r="G503" s="2"/>
      <c r="H503" s="2"/>
      <c r="I503" s="13"/>
      <c r="J503" s="13"/>
      <c r="K503" s="13"/>
      <c r="L503" s="14"/>
      <c r="M503" s="4"/>
      <c r="N503" s="2"/>
      <c r="O503" s="4"/>
      <c r="P503" s="2"/>
      <c r="Q503" s="2"/>
      <c r="R503" s="4"/>
      <c r="S503" s="2"/>
      <c r="T503" s="2"/>
      <c r="U503" s="1"/>
      <c r="V503" s="2"/>
      <c r="W503" s="2"/>
      <c r="X503" s="2"/>
      <c r="Y503" s="2"/>
      <c r="Z503" s="2"/>
    </row>
    <row r="504" spans="1:26" ht="15.75" customHeight="1" x14ac:dyDescent="0.2">
      <c r="A504" s="12"/>
      <c r="B504" s="10"/>
      <c r="C504" s="11"/>
      <c r="D504" s="13"/>
      <c r="E504" s="13"/>
      <c r="F504" s="13"/>
      <c r="G504" s="2"/>
      <c r="H504" s="2"/>
      <c r="I504" s="13"/>
      <c r="J504" s="13"/>
      <c r="K504" s="13"/>
      <c r="L504" s="14"/>
      <c r="M504" s="4"/>
      <c r="N504" s="2"/>
      <c r="O504" s="4"/>
      <c r="P504" s="2"/>
      <c r="Q504" s="2"/>
      <c r="R504" s="4"/>
      <c r="S504" s="2"/>
      <c r="T504" s="2"/>
      <c r="U504" s="1"/>
      <c r="V504" s="2"/>
      <c r="W504" s="2"/>
      <c r="X504" s="2"/>
      <c r="Y504" s="2"/>
      <c r="Z504" s="2"/>
    </row>
    <row r="505" spans="1:26" ht="15.75" customHeight="1" x14ac:dyDescent="0.2">
      <c r="A505" s="12"/>
      <c r="B505" s="10"/>
      <c r="C505" s="11"/>
      <c r="D505" s="13"/>
      <c r="E505" s="13"/>
      <c r="F505" s="13"/>
      <c r="G505" s="2"/>
      <c r="H505" s="2"/>
      <c r="I505" s="13"/>
      <c r="J505" s="13"/>
      <c r="K505" s="13"/>
      <c r="L505" s="14"/>
      <c r="M505" s="4"/>
      <c r="N505" s="2"/>
      <c r="O505" s="4"/>
      <c r="P505" s="2"/>
      <c r="Q505" s="2"/>
      <c r="R505" s="4"/>
      <c r="S505" s="2"/>
      <c r="T505" s="2"/>
      <c r="U505" s="1"/>
      <c r="V505" s="2"/>
      <c r="W505" s="2"/>
      <c r="X505" s="2"/>
      <c r="Y505" s="2"/>
      <c r="Z505" s="2"/>
    </row>
    <row r="506" spans="1:26" ht="15.75" customHeight="1" x14ac:dyDescent="0.2">
      <c r="A506" s="12"/>
      <c r="B506" s="10"/>
      <c r="C506" s="11"/>
      <c r="D506" s="13"/>
      <c r="E506" s="13"/>
      <c r="F506" s="13"/>
      <c r="G506" s="2"/>
      <c r="H506" s="2"/>
      <c r="I506" s="13"/>
      <c r="J506" s="13"/>
      <c r="K506" s="13"/>
      <c r="L506" s="14"/>
      <c r="M506" s="4"/>
      <c r="N506" s="2"/>
      <c r="O506" s="4"/>
      <c r="P506" s="2"/>
      <c r="Q506" s="2"/>
      <c r="R506" s="4"/>
      <c r="S506" s="2"/>
      <c r="T506" s="2"/>
      <c r="U506" s="1"/>
      <c r="V506" s="2"/>
      <c r="W506" s="2"/>
      <c r="X506" s="2"/>
      <c r="Y506" s="2"/>
      <c r="Z506" s="2"/>
    </row>
    <row r="507" spans="1:26" ht="15.75" customHeight="1" x14ac:dyDescent="0.2">
      <c r="A507" s="12"/>
      <c r="B507" s="10"/>
      <c r="C507" s="11"/>
      <c r="D507" s="13"/>
      <c r="E507" s="13"/>
      <c r="F507" s="13"/>
      <c r="G507" s="2"/>
      <c r="H507" s="2"/>
      <c r="I507" s="13"/>
      <c r="J507" s="13"/>
      <c r="K507" s="13"/>
      <c r="L507" s="14"/>
      <c r="M507" s="4"/>
      <c r="N507" s="2"/>
      <c r="O507" s="4"/>
      <c r="P507" s="2"/>
      <c r="Q507" s="2"/>
      <c r="R507" s="4"/>
      <c r="S507" s="2"/>
      <c r="T507" s="2"/>
      <c r="U507" s="1"/>
      <c r="V507" s="2"/>
      <c r="W507" s="2"/>
      <c r="X507" s="2"/>
      <c r="Y507" s="2"/>
      <c r="Z507" s="2"/>
    </row>
    <row r="508" spans="1:26" ht="15.75" customHeight="1" x14ac:dyDescent="0.2">
      <c r="A508" s="12"/>
      <c r="B508" s="10"/>
      <c r="C508" s="11"/>
      <c r="D508" s="13"/>
      <c r="E508" s="13"/>
      <c r="F508" s="13"/>
      <c r="G508" s="2"/>
      <c r="H508" s="2"/>
      <c r="I508" s="13"/>
      <c r="J508" s="13"/>
      <c r="K508" s="13"/>
      <c r="L508" s="14"/>
      <c r="M508" s="4"/>
      <c r="N508" s="2"/>
      <c r="O508" s="4"/>
      <c r="P508" s="2"/>
      <c r="Q508" s="2"/>
      <c r="R508" s="4"/>
      <c r="S508" s="2"/>
      <c r="T508" s="2"/>
      <c r="U508" s="1"/>
      <c r="V508" s="2"/>
      <c r="W508" s="2"/>
      <c r="X508" s="2"/>
      <c r="Y508" s="2"/>
      <c r="Z508" s="2"/>
    </row>
    <row r="509" spans="1:26" ht="15.75" customHeight="1" x14ac:dyDescent="0.2">
      <c r="A509" s="12"/>
      <c r="B509" s="10"/>
      <c r="C509" s="11"/>
      <c r="D509" s="13"/>
      <c r="E509" s="13"/>
      <c r="F509" s="13"/>
      <c r="G509" s="2"/>
      <c r="H509" s="2"/>
      <c r="I509" s="13"/>
      <c r="J509" s="13"/>
      <c r="K509" s="13"/>
      <c r="L509" s="14"/>
      <c r="M509" s="4"/>
      <c r="N509" s="2"/>
      <c r="O509" s="4"/>
      <c r="P509" s="2"/>
      <c r="Q509" s="2"/>
      <c r="R509" s="4"/>
      <c r="S509" s="2"/>
      <c r="T509" s="2"/>
      <c r="U509" s="1"/>
      <c r="V509" s="2"/>
      <c r="W509" s="2"/>
      <c r="X509" s="2"/>
      <c r="Y509" s="2"/>
      <c r="Z509" s="2"/>
    </row>
    <row r="510" spans="1:26" ht="15.75" customHeight="1" x14ac:dyDescent="0.2">
      <c r="A510" s="12"/>
      <c r="B510" s="10"/>
      <c r="C510" s="11"/>
      <c r="D510" s="13"/>
      <c r="E510" s="13"/>
      <c r="F510" s="13"/>
      <c r="G510" s="2"/>
      <c r="H510" s="2"/>
      <c r="I510" s="13"/>
      <c r="J510" s="13"/>
      <c r="K510" s="13"/>
      <c r="L510" s="14"/>
      <c r="M510" s="4"/>
      <c r="N510" s="2"/>
      <c r="O510" s="4"/>
      <c r="P510" s="2"/>
      <c r="Q510" s="2"/>
      <c r="R510" s="4"/>
      <c r="S510" s="2"/>
      <c r="T510" s="2"/>
      <c r="U510" s="1"/>
      <c r="V510" s="2"/>
      <c r="W510" s="2"/>
      <c r="X510" s="2"/>
      <c r="Y510" s="2"/>
      <c r="Z510" s="2"/>
    </row>
    <row r="511" spans="1:26" ht="15.75" customHeight="1" x14ac:dyDescent="0.2">
      <c r="A511" s="12"/>
      <c r="B511" s="10"/>
      <c r="C511" s="11"/>
      <c r="D511" s="13"/>
      <c r="E511" s="13"/>
      <c r="F511" s="13"/>
      <c r="G511" s="2"/>
      <c r="H511" s="2"/>
      <c r="I511" s="13"/>
      <c r="J511" s="13"/>
      <c r="K511" s="13"/>
      <c r="L511" s="14"/>
      <c r="M511" s="4"/>
      <c r="N511" s="2"/>
      <c r="O511" s="4"/>
      <c r="P511" s="2"/>
      <c r="Q511" s="2"/>
      <c r="R511" s="4"/>
      <c r="S511" s="2"/>
      <c r="T511" s="2"/>
      <c r="U511" s="1"/>
      <c r="V511" s="2"/>
      <c r="W511" s="2"/>
      <c r="X511" s="2"/>
      <c r="Y511" s="2"/>
      <c r="Z511" s="2"/>
    </row>
    <row r="512" spans="1:26" ht="15.75" customHeight="1" x14ac:dyDescent="0.2">
      <c r="A512" s="12"/>
      <c r="B512" s="10"/>
      <c r="C512" s="11"/>
      <c r="D512" s="13"/>
      <c r="E512" s="13"/>
      <c r="F512" s="13"/>
      <c r="G512" s="2"/>
      <c r="H512" s="2"/>
      <c r="I512" s="13"/>
      <c r="J512" s="13"/>
      <c r="K512" s="13"/>
      <c r="L512" s="14"/>
      <c r="M512" s="4"/>
      <c r="N512" s="2"/>
      <c r="O512" s="4"/>
      <c r="P512" s="2"/>
      <c r="Q512" s="2"/>
      <c r="R512" s="4"/>
      <c r="S512" s="2"/>
      <c r="T512" s="2"/>
      <c r="U512" s="1"/>
      <c r="V512" s="2"/>
      <c r="W512" s="2"/>
      <c r="X512" s="2"/>
      <c r="Y512" s="2"/>
      <c r="Z512" s="2"/>
    </row>
    <row r="513" spans="1:26" ht="15.75" customHeight="1" x14ac:dyDescent="0.2">
      <c r="A513" s="12"/>
      <c r="B513" s="10"/>
      <c r="C513" s="11"/>
      <c r="D513" s="13"/>
      <c r="E513" s="13"/>
      <c r="F513" s="13"/>
      <c r="G513" s="2"/>
      <c r="H513" s="2"/>
      <c r="I513" s="13"/>
      <c r="J513" s="13"/>
      <c r="K513" s="13"/>
      <c r="L513" s="14"/>
      <c r="M513" s="4"/>
      <c r="N513" s="2"/>
      <c r="O513" s="4"/>
      <c r="P513" s="2"/>
      <c r="Q513" s="2"/>
      <c r="R513" s="4"/>
      <c r="S513" s="2"/>
      <c r="T513" s="2"/>
      <c r="U513" s="1"/>
      <c r="V513" s="2"/>
      <c r="W513" s="2"/>
      <c r="X513" s="2"/>
      <c r="Y513" s="2"/>
      <c r="Z513" s="2"/>
    </row>
    <row r="514" spans="1:26" ht="15.75" customHeight="1" x14ac:dyDescent="0.2">
      <c r="A514" s="12"/>
      <c r="B514" s="10"/>
      <c r="C514" s="11"/>
      <c r="D514" s="13"/>
      <c r="E514" s="13"/>
      <c r="F514" s="13"/>
      <c r="G514" s="2"/>
      <c r="H514" s="2"/>
      <c r="I514" s="13"/>
      <c r="J514" s="13"/>
      <c r="K514" s="13"/>
      <c r="L514" s="14"/>
      <c r="M514" s="4"/>
      <c r="N514" s="2"/>
      <c r="O514" s="4"/>
      <c r="P514" s="2"/>
      <c r="Q514" s="2"/>
      <c r="R514" s="4"/>
      <c r="S514" s="2"/>
      <c r="T514" s="2"/>
      <c r="U514" s="1"/>
      <c r="V514" s="2"/>
      <c r="W514" s="2"/>
      <c r="X514" s="2"/>
      <c r="Y514" s="2"/>
      <c r="Z514" s="2"/>
    </row>
    <row r="515" spans="1:26" ht="15.75" customHeight="1" x14ac:dyDescent="0.2">
      <c r="A515" s="12"/>
      <c r="B515" s="10"/>
      <c r="C515" s="11"/>
      <c r="D515" s="13"/>
      <c r="E515" s="13"/>
      <c r="F515" s="13"/>
      <c r="G515" s="2"/>
      <c r="H515" s="2"/>
      <c r="I515" s="13"/>
      <c r="J515" s="13"/>
      <c r="K515" s="13"/>
      <c r="L515" s="14"/>
      <c r="M515" s="4"/>
      <c r="N515" s="2"/>
      <c r="O515" s="4"/>
      <c r="P515" s="2"/>
      <c r="Q515" s="2"/>
      <c r="R515" s="4"/>
      <c r="S515" s="2"/>
      <c r="T515" s="2"/>
      <c r="U515" s="1"/>
      <c r="V515" s="2"/>
      <c r="W515" s="2"/>
      <c r="X515" s="2"/>
      <c r="Y515" s="2"/>
      <c r="Z515" s="2"/>
    </row>
    <row r="516" spans="1:26" ht="15.75" customHeight="1" x14ac:dyDescent="0.2">
      <c r="A516" s="12"/>
      <c r="B516" s="10"/>
      <c r="C516" s="11"/>
      <c r="D516" s="13"/>
      <c r="E516" s="13"/>
      <c r="F516" s="13"/>
      <c r="G516" s="2"/>
      <c r="H516" s="2"/>
      <c r="I516" s="13"/>
      <c r="J516" s="13"/>
      <c r="K516" s="13"/>
      <c r="L516" s="14"/>
      <c r="M516" s="4"/>
      <c r="N516" s="2"/>
      <c r="O516" s="4"/>
      <c r="P516" s="2"/>
      <c r="Q516" s="2"/>
      <c r="R516" s="4"/>
      <c r="S516" s="2"/>
      <c r="T516" s="2"/>
      <c r="U516" s="1"/>
      <c r="V516" s="2"/>
      <c r="W516" s="2"/>
      <c r="X516" s="2"/>
      <c r="Y516" s="2"/>
      <c r="Z516" s="2"/>
    </row>
    <row r="517" spans="1:26" ht="15.75" customHeight="1" x14ac:dyDescent="0.2">
      <c r="A517" s="12"/>
      <c r="B517" s="10"/>
      <c r="C517" s="11"/>
      <c r="D517" s="13"/>
      <c r="E517" s="13"/>
      <c r="F517" s="13"/>
      <c r="G517" s="2"/>
      <c r="H517" s="2"/>
      <c r="I517" s="13"/>
      <c r="J517" s="13"/>
      <c r="K517" s="13"/>
      <c r="L517" s="14"/>
      <c r="M517" s="4"/>
      <c r="N517" s="2"/>
      <c r="O517" s="4"/>
      <c r="P517" s="2"/>
      <c r="Q517" s="2"/>
      <c r="R517" s="4"/>
      <c r="S517" s="2"/>
      <c r="T517" s="2"/>
      <c r="U517" s="1"/>
      <c r="V517" s="2"/>
      <c r="W517" s="2"/>
      <c r="X517" s="2"/>
      <c r="Y517" s="2"/>
      <c r="Z517" s="2"/>
    </row>
    <row r="518" spans="1:26" ht="15.75" customHeight="1" x14ac:dyDescent="0.2">
      <c r="A518" s="12"/>
      <c r="B518" s="10"/>
      <c r="C518" s="11"/>
      <c r="D518" s="13"/>
      <c r="E518" s="13"/>
      <c r="F518" s="13"/>
      <c r="G518" s="2"/>
      <c r="H518" s="2"/>
      <c r="I518" s="13"/>
      <c r="J518" s="13"/>
      <c r="K518" s="13"/>
      <c r="L518" s="14"/>
      <c r="M518" s="4"/>
      <c r="N518" s="2"/>
      <c r="O518" s="4"/>
      <c r="P518" s="2"/>
      <c r="Q518" s="2"/>
      <c r="R518" s="4"/>
      <c r="S518" s="2"/>
      <c r="T518" s="2"/>
      <c r="U518" s="1"/>
      <c r="V518" s="2"/>
      <c r="W518" s="2"/>
      <c r="X518" s="2"/>
      <c r="Y518" s="2"/>
      <c r="Z518" s="2"/>
    </row>
    <row r="519" spans="1:26" ht="15.75" customHeight="1" x14ac:dyDescent="0.2">
      <c r="A519" s="12"/>
      <c r="B519" s="10"/>
      <c r="C519" s="11"/>
      <c r="D519" s="13"/>
      <c r="E519" s="13"/>
      <c r="F519" s="13"/>
      <c r="G519" s="2"/>
      <c r="H519" s="2"/>
      <c r="I519" s="13"/>
      <c r="J519" s="13"/>
      <c r="K519" s="13"/>
      <c r="L519" s="14"/>
      <c r="M519" s="4"/>
      <c r="N519" s="2"/>
      <c r="O519" s="4"/>
      <c r="P519" s="2"/>
      <c r="Q519" s="2"/>
      <c r="R519" s="4"/>
      <c r="S519" s="2"/>
      <c r="T519" s="2"/>
      <c r="U519" s="1"/>
      <c r="V519" s="2"/>
      <c r="W519" s="2"/>
      <c r="X519" s="2"/>
      <c r="Y519" s="2"/>
      <c r="Z519" s="2"/>
    </row>
    <row r="520" spans="1:26" ht="15.75" customHeight="1" x14ac:dyDescent="0.2">
      <c r="A520" s="12"/>
      <c r="B520" s="10"/>
      <c r="C520" s="11"/>
      <c r="D520" s="13"/>
      <c r="E520" s="13"/>
      <c r="F520" s="13"/>
      <c r="G520" s="2"/>
      <c r="H520" s="2"/>
      <c r="I520" s="13"/>
      <c r="J520" s="13"/>
      <c r="K520" s="13"/>
      <c r="L520" s="14"/>
      <c r="M520" s="4"/>
      <c r="N520" s="2"/>
      <c r="O520" s="4"/>
      <c r="P520" s="2"/>
      <c r="Q520" s="2"/>
      <c r="R520" s="4"/>
      <c r="S520" s="2"/>
      <c r="T520" s="2"/>
      <c r="U520" s="1"/>
      <c r="V520" s="2"/>
      <c r="W520" s="2"/>
      <c r="X520" s="2"/>
      <c r="Y520" s="2"/>
      <c r="Z520" s="2"/>
    </row>
    <row r="521" spans="1:26" ht="15.75" customHeight="1" x14ac:dyDescent="0.2">
      <c r="A521" s="12"/>
      <c r="B521" s="10"/>
      <c r="C521" s="11"/>
      <c r="D521" s="13"/>
      <c r="E521" s="13"/>
      <c r="F521" s="13"/>
      <c r="G521" s="2"/>
      <c r="H521" s="2"/>
      <c r="I521" s="13"/>
      <c r="J521" s="13"/>
      <c r="K521" s="13"/>
      <c r="L521" s="14"/>
      <c r="M521" s="4"/>
      <c r="N521" s="2"/>
      <c r="O521" s="4"/>
      <c r="P521" s="2"/>
      <c r="Q521" s="2"/>
      <c r="R521" s="4"/>
      <c r="S521" s="2"/>
      <c r="T521" s="2"/>
      <c r="U521" s="1"/>
      <c r="V521" s="2"/>
      <c r="W521" s="2"/>
      <c r="X521" s="2"/>
      <c r="Y521" s="2"/>
      <c r="Z521" s="2"/>
    </row>
    <row r="522" spans="1:26" ht="15.75" customHeight="1" x14ac:dyDescent="0.2">
      <c r="A522" s="12"/>
      <c r="B522" s="10"/>
      <c r="C522" s="11"/>
      <c r="D522" s="13"/>
      <c r="E522" s="13"/>
      <c r="F522" s="13"/>
      <c r="G522" s="2"/>
      <c r="H522" s="2"/>
      <c r="I522" s="13"/>
      <c r="J522" s="13"/>
      <c r="K522" s="13"/>
      <c r="L522" s="14"/>
      <c r="M522" s="4"/>
      <c r="N522" s="2"/>
      <c r="O522" s="4"/>
      <c r="P522" s="2"/>
      <c r="Q522" s="2"/>
      <c r="R522" s="4"/>
      <c r="S522" s="2"/>
      <c r="T522" s="2"/>
      <c r="U522" s="1"/>
      <c r="V522" s="2"/>
      <c r="W522" s="2"/>
      <c r="X522" s="2"/>
      <c r="Y522" s="2"/>
      <c r="Z522" s="2"/>
    </row>
    <row r="523" spans="1:26" ht="15.75" customHeight="1" x14ac:dyDescent="0.2">
      <c r="A523" s="12"/>
      <c r="B523" s="10"/>
      <c r="C523" s="11"/>
      <c r="D523" s="13"/>
      <c r="E523" s="13"/>
      <c r="F523" s="13"/>
      <c r="G523" s="2"/>
      <c r="H523" s="2"/>
      <c r="I523" s="13"/>
      <c r="J523" s="13"/>
      <c r="K523" s="13"/>
      <c r="L523" s="14"/>
      <c r="M523" s="4"/>
      <c r="N523" s="2"/>
      <c r="O523" s="4"/>
      <c r="P523" s="2"/>
      <c r="Q523" s="2"/>
      <c r="R523" s="4"/>
      <c r="S523" s="2"/>
      <c r="T523" s="2"/>
      <c r="U523" s="1"/>
      <c r="V523" s="2"/>
      <c r="W523" s="2"/>
      <c r="X523" s="2"/>
      <c r="Y523" s="2"/>
      <c r="Z523" s="2"/>
    </row>
    <row r="524" spans="1:26" ht="15.75" customHeight="1" x14ac:dyDescent="0.2">
      <c r="A524" s="12"/>
      <c r="B524" s="10"/>
      <c r="C524" s="11"/>
      <c r="D524" s="13"/>
      <c r="E524" s="13"/>
      <c r="F524" s="13"/>
      <c r="G524" s="2"/>
      <c r="H524" s="2"/>
      <c r="I524" s="13"/>
      <c r="J524" s="13"/>
      <c r="K524" s="13"/>
      <c r="L524" s="14"/>
      <c r="M524" s="4"/>
      <c r="N524" s="2"/>
      <c r="O524" s="4"/>
      <c r="P524" s="2"/>
      <c r="Q524" s="2"/>
      <c r="R524" s="4"/>
      <c r="S524" s="2"/>
      <c r="T524" s="2"/>
      <c r="U524" s="1"/>
      <c r="V524" s="2"/>
      <c r="W524" s="2"/>
      <c r="X524" s="2"/>
      <c r="Y524" s="2"/>
      <c r="Z524" s="2"/>
    </row>
    <row r="525" spans="1:26" ht="15.75" customHeight="1" x14ac:dyDescent="0.2">
      <c r="A525" s="12"/>
      <c r="B525" s="10"/>
      <c r="C525" s="11"/>
      <c r="D525" s="13"/>
      <c r="E525" s="13"/>
      <c r="F525" s="13"/>
      <c r="G525" s="2"/>
      <c r="H525" s="2"/>
      <c r="I525" s="13"/>
      <c r="J525" s="13"/>
      <c r="K525" s="13"/>
      <c r="L525" s="14"/>
      <c r="M525" s="4"/>
      <c r="N525" s="2"/>
      <c r="O525" s="4"/>
      <c r="P525" s="2"/>
      <c r="Q525" s="2"/>
      <c r="R525" s="4"/>
      <c r="S525" s="2"/>
      <c r="T525" s="2"/>
      <c r="U525" s="1"/>
      <c r="V525" s="2"/>
      <c r="W525" s="2"/>
      <c r="X525" s="2"/>
      <c r="Y525" s="2"/>
      <c r="Z525" s="2"/>
    </row>
    <row r="526" spans="1:26" ht="15.75" customHeight="1" x14ac:dyDescent="0.2">
      <c r="A526" s="12"/>
      <c r="B526" s="10"/>
      <c r="C526" s="11"/>
      <c r="D526" s="13"/>
      <c r="E526" s="13"/>
      <c r="F526" s="13"/>
      <c r="G526" s="2"/>
      <c r="H526" s="2"/>
      <c r="I526" s="13"/>
      <c r="J526" s="13"/>
      <c r="K526" s="13"/>
      <c r="L526" s="14"/>
      <c r="M526" s="4"/>
      <c r="N526" s="2"/>
      <c r="O526" s="4"/>
      <c r="P526" s="2"/>
      <c r="Q526" s="2"/>
      <c r="R526" s="4"/>
      <c r="S526" s="2"/>
      <c r="T526" s="2"/>
      <c r="U526" s="1"/>
      <c r="V526" s="2"/>
      <c r="W526" s="2"/>
      <c r="X526" s="2"/>
      <c r="Y526" s="2"/>
      <c r="Z526" s="2"/>
    </row>
    <row r="527" spans="1:26" ht="15.75" customHeight="1" x14ac:dyDescent="0.2">
      <c r="A527" s="12"/>
      <c r="B527" s="10"/>
      <c r="C527" s="11"/>
      <c r="D527" s="13"/>
      <c r="E527" s="13"/>
      <c r="F527" s="13"/>
      <c r="G527" s="2"/>
      <c r="H527" s="2"/>
      <c r="I527" s="13"/>
      <c r="J527" s="13"/>
      <c r="K527" s="13"/>
      <c r="L527" s="14"/>
      <c r="M527" s="4"/>
      <c r="N527" s="2"/>
      <c r="O527" s="4"/>
      <c r="P527" s="2"/>
      <c r="Q527" s="2"/>
      <c r="R527" s="4"/>
      <c r="S527" s="2"/>
      <c r="T527" s="2"/>
      <c r="U527" s="1"/>
      <c r="V527" s="2"/>
      <c r="W527" s="2"/>
      <c r="X527" s="2"/>
      <c r="Y527" s="2"/>
      <c r="Z527" s="2"/>
    </row>
    <row r="528" spans="1:26" ht="15.75" customHeight="1" x14ac:dyDescent="0.2">
      <c r="A528" s="12"/>
      <c r="B528" s="10"/>
      <c r="C528" s="11"/>
      <c r="D528" s="13"/>
      <c r="E528" s="13"/>
      <c r="F528" s="13"/>
      <c r="G528" s="2"/>
      <c r="H528" s="2"/>
      <c r="I528" s="13"/>
      <c r="J528" s="13"/>
      <c r="K528" s="13"/>
      <c r="L528" s="14"/>
      <c r="M528" s="4"/>
      <c r="N528" s="2"/>
      <c r="O528" s="4"/>
      <c r="P528" s="2"/>
      <c r="Q528" s="2"/>
      <c r="R528" s="4"/>
      <c r="S528" s="2"/>
      <c r="T528" s="2"/>
      <c r="U528" s="1"/>
      <c r="V528" s="2"/>
      <c r="W528" s="2"/>
      <c r="X528" s="2"/>
      <c r="Y528" s="2"/>
      <c r="Z528" s="2"/>
    </row>
    <row r="529" spans="1:26" ht="15.75" customHeight="1" x14ac:dyDescent="0.2">
      <c r="A529" s="12"/>
      <c r="B529" s="10"/>
      <c r="C529" s="11"/>
      <c r="D529" s="13"/>
      <c r="E529" s="13"/>
      <c r="F529" s="13"/>
      <c r="G529" s="2"/>
      <c r="H529" s="2"/>
      <c r="I529" s="13"/>
      <c r="J529" s="13"/>
      <c r="K529" s="13"/>
      <c r="L529" s="14"/>
      <c r="M529" s="4"/>
      <c r="N529" s="2"/>
      <c r="O529" s="4"/>
      <c r="P529" s="2"/>
      <c r="Q529" s="2"/>
      <c r="R529" s="4"/>
      <c r="S529" s="2"/>
      <c r="T529" s="2"/>
      <c r="U529" s="1"/>
      <c r="V529" s="2"/>
      <c r="W529" s="2"/>
      <c r="X529" s="2"/>
      <c r="Y529" s="2"/>
      <c r="Z529" s="2"/>
    </row>
    <row r="530" spans="1:26" ht="15.75" customHeight="1" x14ac:dyDescent="0.2">
      <c r="A530" s="12"/>
      <c r="B530" s="10"/>
      <c r="C530" s="11"/>
      <c r="D530" s="13"/>
      <c r="E530" s="13"/>
      <c r="F530" s="13"/>
      <c r="G530" s="2"/>
      <c r="H530" s="2"/>
      <c r="I530" s="13"/>
      <c r="J530" s="13"/>
      <c r="K530" s="13"/>
      <c r="L530" s="14"/>
      <c r="M530" s="4"/>
      <c r="N530" s="2"/>
      <c r="O530" s="4"/>
      <c r="P530" s="2"/>
      <c r="Q530" s="2"/>
      <c r="R530" s="4"/>
      <c r="S530" s="2"/>
      <c r="T530" s="2"/>
      <c r="U530" s="1"/>
      <c r="V530" s="2"/>
      <c r="W530" s="2"/>
      <c r="X530" s="2"/>
      <c r="Y530" s="2"/>
      <c r="Z530" s="2"/>
    </row>
    <row r="531" spans="1:26" ht="15.75" customHeight="1" x14ac:dyDescent="0.2">
      <c r="A531" s="12"/>
      <c r="B531" s="10"/>
      <c r="C531" s="11"/>
      <c r="D531" s="13"/>
      <c r="E531" s="13"/>
      <c r="F531" s="13"/>
      <c r="G531" s="2"/>
      <c r="H531" s="2"/>
      <c r="I531" s="13"/>
      <c r="J531" s="13"/>
      <c r="K531" s="13"/>
      <c r="L531" s="14"/>
      <c r="M531" s="4"/>
      <c r="N531" s="2"/>
      <c r="O531" s="4"/>
      <c r="P531" s="2"/>
      <c r="Q531" s="2"/>
      <c r="R531" s="4"/>
      <c r="S531" s="2"/>
      <c r="T531" s="2"/>
      <c r="U531" s="1"/>
      <c r="V531" s="2"/>
      <c r="W531" s="2"/>
      <c r="X531" s="2"/>
      <c r="Y531" s="2"/>
      <c r="Z531" s="2"/>
    </row>
    <row r="532" spans="1:26" ht="15.75" customHeight="1" x14ac:dyDescent="0.2">
      <c r="A532" s="12"/>
      <c r="B532" s="10"/>
      <c r="C532" s="11"/>
      <c r="D532" s="13"/>
      <c r="E532" s="13"/>
      <c r="F532" s="13"/>
      <c r="G532" s="2"/>
      <c r="H532" s="2"/>
      <c r="I532" s="13"/>
      <c r="J532" s="13"/>
      <c r="K532" s="13"/>
      <c r="L532" s="14"/>
      <c r="M532" s="4"/>
      <c r="N532" s="2"/>
      <c r="O532" s="4"/>
      <c r="P532" s="2"/>
      <c r="Q532" s="2"/>
      <c r="R532" s="4"/>
      <c r="S532" s="2"/>
      <c r="T532" s="2"/>
      <c r="U532" s="1"/>
      <c r="V532" s="2"/>
      <c r="W532" s="2"/>
      <c r="X532" s="2"/>
      <c r="Y532" s="2"/>
      <c r="Z532" s="2"/>
    </row>
    <row r="533" spans="1:26" ht="15.75" customHeight="1" x14ac:dyDescent="0.2">
      <c r="A533" s="12"/>
      <c r="B533" s="10"/>
      <c r="C533" s="11"/>
      <c r="D533" s="13"/>
      <c r="E533" s="13"/>
      <c r="F533" s="13"/>
      <c r="G533" s="2"/>
      <c r="H533" s="2"/>
      <c r="I533" s="13"/>
      <c r="J533" s="13"/>
      <c r="K533" s="13"/>
      <c r="L533" s="14"/>
      <c r="M533" s="4"/>
      <c r="N533" s="2"/>
      <c r="O533" s="4"/>
      <c r="P533" s="2"/>
      <c r="Q533" s="2"/>
      <c r="R533" s="4"/>
      <c r="S533" s="2"/>
      <c r="T533" s="2"/>
      <c r="U533" s="1"/>
      <c r="V533" s="2"/>
      <c r="W533" s="2"/>
      <c r="X533" s="2"/>
      <c r="Y533" s="2"/>
      <c r="Z533" s="2"/>
    </row>
    <row r="534" spans="1:26" ht="15.75" customHeight="1" x14ac:dyDescent="0.2">
      <c r="A534" s="12"/>
      <c r="B534" s="10"/>
      <c r="C534" s="11"/>
      <c r="D534" s="13"/>
      <c r="E534" s="13"/>
      <c r="F534" s="13"/>
      <c r="G534" s="2"/>
      <c r="H534" s="2"/>
      <c r="I534" s="13"/>
      <c r="J534" s="13"/>
      <c r="K534" s="13"/>
      <c r="L534" s="14"/>
      <c r="M534" s="4"/>
      <c r="N534" s="2"/>
      <c r="O534" s="4"/>
      <c r="P534" s="2"/>
      <c r="Q534" s="2"/>
      <c r="R534" s="4"/>
      <c r="S534" s="2"/>
      <c r="T534" s="2"/>
      <c r="U534" s="1"/>
      <c r="V534" s="2"/>
      <c r="W534" s="2"/>
      <c r="X534" s="2"/>
      <c r="Y534" s="2"/>
      <c r="Z534" s="2"/>
    </row>
    <row r="535" spans="1:26" ht="15.75" customHeight="1" x14ac:dyDescent="0.2">
      <c r="A535" s="12"/>
      <c r="B535" s="10"/>
      <c r="C535" s="11"/>
      <c r="D535" s="13"/>
      <c r="E535" s="13"/>
      <c r="F535" s="13"/>
      <c r="G535" s="2"/>
      <c r="H535" s="2"/>
      <c r="I535" s="13"/>
      <c r="J535" s="13"/>
      <c r="K535" s="13"/>
      <c r="L535" s="14"/>
      <c r="M535" s="4"/>
      <c r="N535" s="2"/>
      <c r="O535" s="4"/>
      <c r="P535" s="2"/>
      <c r="Q535" s="2"/>
      <c r="R535" s="4"/>
      <c r="S535" s="2"/>
      <c r="T535" s="2"/>
      <c r="U535" s="1"/>
      <c r="V535" s="2"/>
      <c r="W535" s="2"/>
      <c r="X535" s="2"/>
      <c r="Y535" s="2"/>
      <c r="Z535" s="2"/>
    </row>
    <row r="536" spans="1:26" ht="15.75" customHeight="1" x14ac:dyDescent="0.2">
      <c r="A536" s="12"/>
      <c r="B536" s="10"/>
      <c r="C536" s="11"/>
      <c r="D536" s="13"/>
      <c r="E536" s="13"/>
      <c r="F536" s="13"/>
      <c r="G536" s="2"/>
      <c r="H536" s="2"/>
      <c r="I536" s="13"/>
      <c r="J536" s="13"/>
      <c r="K536" s="13"/>
      <c r="L536" s="14"/>
      <c r="M536" s="4"/>
      <c r="N536" s="2"/>
      <c r="O536" s="4"/>
      <c r="P536" s="2"/>
      <c r="Q536" s="2"/>
      <c r="R536" s="4"/>
      <c r="S536" s="2"/>
      <c r="T536" s="2"/>
      <c r="U536" s="1"/>
      <c r="V536" s="2"/>
      <c r="W536" s="2"/>
      <c r="X536" s="2"/>
      <c r="Y536" s="2"/>
      <c r="Z536" s="2"/>
    </row>
    <row r="537" spans="1:26" ht="15.75" customHeight="1" x14ac:dyDescent="0.2">
      <c r="A537" s="12"/>
      <c r="B537" s="10"/>
      <c r="C537" s="11"/>
      <c r="D537" s="13"/>
      <c r="E537" s="13"/>
      <c r="F537" s="13"/>
      <c r="G537" s="2"/>
      <c r="H537" s="2"/>
      <c r="I537" s="13"/>
      <c r="J537" s="13"/>
      <c r="K537" s="13"/>
      <c r="L537" s="14"/>
      <c r="M537" s="4"/>
      <c r="N537" s="2"/>
      <c r="O537" s="4"/>
      <c r="P537" s="2"/>
      <c r="Q537" s="2"/>
      <c r="R537" s="4"/>
      <c r="S537" s="2"/>
      <c r="T537" s="2"/>
      <c r="U537" s="1"/>
      <c r="V537" s="2"/>
      <c r="W537" s="2"/>
      <c r="X537" s="2"/>
      <c r="Y537" s="2"/>
      <c r="Z537" s="2"/>
    </row>
    <row r="538" spans="1:26" ht="15.75" customHeight="1" x14ac:dyDescent="0.2">
      <c r="A538" s="12"/>
      <c r="B538" s="10"/>
      <c r="C538" s="11"/>
      <c r="D538" s="13"/>
      <c r="E538" s="13"/>
      <c r="F538" s="13"/>
      <c r="G538" s="2"/>
      <c r="H538" s="2"/>
      <c r="I538" s="13"/>
      <c r="J538" s="13"/>
      <c r="K538" s="13"/>
      <c r="L538" s="14"/>
      <c r="M538" s="4"/>
      <c r="N538" s="2"/>
      <c r="O538" s="4"/>
      <c r="P538" s="2"/>
      <c r="Q538" s="2"/>
      <c r="R538" s="4"/>
      <c r="S538" s="2"/>
      <c r="T538" s="2"/>
      <c r="U538" s="1"/>
      <c r="V538" s="2"/>
      <c r="W538" s="2"/>
      <c r="X538" s="2"/>
      <c r="Y538" s="2"/>
      <c r="Z538" s="2"/>
    </row>
    <row r="539" spans="1:26" ht="15.75" customHeight="1" x14ac:dyDescent="0.2">
      <c r="A539" s="12"/>
      <c r="B539" s="10"/>
      <c r="C539" s="11"/>
      <c r="D539" s="13"/>
      <c r="E539" s="13"/>
      <c r="F539" s="13"/>
      <c r="G539" s="2"/>
      <c r="H539" s="2"/>
      <c r="I539" s="13"/>
      <c r="J539" s="13"/>
      <c r="K539" s="13"/>
      <c r="L539" s="14"/>
      <c r="M539" s="4"/>
      <c r="N539" s="2"/>
      <c r="O539" s="4"/>
      <c r="P539" s="2"/>
      <c r="Q539" s="2"/>
      <c r="R539" s="4"/>
      <c r="S539" s="2"/>
      <c r="T539" s="2"/>
      <c r="U539" s="1"/>
      <c r="V539" s="2"/>
      <c r="W539" s="2"/>
      <c r="X539" s="2"/>
      <c r="Y539" s="2"/>
      <c r="Z539" s="2"/>
    </row>
    <row r="540" spans="1:26" ht="15.75" customHeight="1" x14ac:dyDescent="0.2">
      <c r="A540" s="12"/>
      <c r="B540" s="10"/>
      <c r="C540" s="11"/>
      <c r="D540" s="13"/>
      <c r="E540" s="13"/>
      <c r="F540" s="13"/>
      <c r="G540" s="2"/>
      <c r="H540" s="2"/>
      <c r="I540" s="13"/>
      <c r="J540" s="13"/>
      <c r="K540" s="13"/>
      <c r="L540" s="14"/>
      <c r="M540" s="4"/>
      <c r="N540" s="2"/>
      <c r="O540" s="4"/>
      <c r="P540" s="2"/>
      <c r="Q540" s="2"/>
      <c r="R540" s="4"/>
      <c r="S540" s="2"/>
      <c r="T540" s="2"/>
      <c r="U540" s="1"/>
      <c r="V540" s="2"/>
      <c r="W540" s="2"/>
      <c r="X540" s="2"/>
      <c r="Y540" s="2"/>
      <c r="Z540" s="2"/>
    </row>
    <row r="541" spans="1:26" ht="15.75" customHeight="1" x14ac:dyDescent="0.2">
      <c r="A541" s="12"/>
      <c r="B541" s="10"/>
      <c r="C541" s="11"/>
      <c r="D541" s="13"/>
      <c r="E541" s="13"/>
      <c r="F541" s="13"/>
      <c r="G541" s="2"/>
      <c r="H541" s="2"/>
      <c r="I541" s="13"/>
      <c r="J541" s="13"/>
      <c r="K541" s="13"/>
      <c r="L541" s="14"/>
      <c r="M541" s="4"/>
      <c r="N541" s="2"/>
      <c r="O541" s="4"/>
      <c r="P541" s="2"/>
      <c r="Q541" s="2"/>
      <c r="R541" s="4"/>
      <c r="S541" s="2"/>
      <c r="T541" s="2"/>
      <c r="U541" s="1"/>
      <c r="V541" s="2"/>
      <c r="W541" s="2"/>
      <c r="X541" s="2"/>
      <c r="Y541" s="2"/>
      <c r="Z541" s="2"/>
    </row>
    <row r="542" spans="1:26" ht="15.75" customHeight="1" x14ac:dyDescent="0.2">
      <c r="A542" s="12"/>
      <c r="B542" s="10"/>
      <c r="C542" s="11"/>
      <c r="D542" s="13"/>
      <c r="E542" s="13"/>
      <c r="F542" s="13"/>
      <c r="G542" s="2"/>
      <c r="H542" s="2"/>
      <c r="I542" s="13"/>
      <c r="J542" s="13"/>
      <c r="K542" s="13"/>
      <c r="L542" s="14"/>
      <c r="M542" s="4"/>
      <c r="N542" s="2"/>
      <c r="O542" s="4"/>
      <c r="P542" s="2"/>
      <c r="Q542" s="2"/>
      <c r="R542" s="4"/>
      <c r="S542" s="2"/>
      <c r="T542" s="2"/>
      <c r="U542" s="1"/>
      <c r="V542" s="2"/>
      <c r="W542" s="2"/>
      <c r="X542" s="2"/>
      <c r="Y542" s="2"/>
      <c r="Z542" s="2"/>
    </row>
    <row r="543" spans="1:26" ht="15.75" customHeight="1" x14ac:dyDescent="0.2">
      <c r="A543" s="12"/>
      <c r="B543" s="10"/>
      <c r="C543" s="11"/>
      <c r="D543" s="13"/>
      <c r="E543" s="13"/>
      <c r="F543" s="13"/>
      <c r="G543" s="2"/>
      <c r="H543" s="2"/>
      <c r="I543" s="13"/>
      <c r="J543" s="13"/>
      <c r="K543" s="13"/>
      <c r="L543" s="14"/>
      <c r="M543" s="4"/>
      <c r="N543" s="2"/>
      <c r="O543" s="4"/>
      <c r="P543" s="2"/>
      <c r="Q543" s="2"/>
      <c r="R543" s="4"/>
      <c r="S543" s="2"/>
      <c r="T543" s="2"/>
      <c r="U543" s="1"/>
      <c r="V543" s="2"/>
      <c r="W543" s="2"/>
      <c r="X543" s="2"/>
      <c r="Y543" s="2"/>
      <c r="Z543" s="2"/>
    </row>
    <row r="544" spans="1:26" ht="15.75" customHeight="1" x14ac:dyDescent="0.2">
      <c r="A544" s="12"/>
      <c r="B544" s="10"/>
      <c r="C544" s="11"/>
      <c r="D544" s="13"/>
      <c r="E544" s="13"/>
      <c r="F544" s="13"/>
      <c r="G544" s="2"/>
      <c r="H544" s="2"/>
      <c r="I544" s="13"/>
      <c r="J544" s="13"/>
      <c r="K544" s="13"/>
      <c r="L544" s="14"/>
      <c r="M544" s="4"/>
      <c r="N544" s="2"/>
      <c r="O544" s="4"/>
      <c r="P544" s="2"/>
      <c r="Q544" s="2"/>
      <c r="R544" s="4"/>
      <c r="S544" s="2"/>
      <c r="T544" s="2"/>
      <c r="U544" s="1"/>
      <c r="V544" s="2"/>
      <c r="W544" s="2"/>
      <c r="X544" s="2"/>
      <c r="Y544" s="2"/>
      <c r="Z544" s="2"/>
    </row>
    <row r="545" spans="1:26" ht="15.75" customHeight="1" x14ac:dyDescent="0.2">
      <c r="A545" s="12"/>
      <c r="B545" s="10"/>
      <c r="C545" s="11"/>
      <c r="D545" s="13"/>
      <c r="E545" s="13"/>
      <c r="F545" s="13"/>
      <c r="G545" s="2"/>
      <c r="H545" s="2"/>
      <c r="I545" s="13"/>
      <c r="J545" s="13"/>
      <c r="K545" s="13"/>
      <c r="L545" s="14"/>
      <c r="M545" s="4"/>
      <c r="N545" s="2"/>
      <c r="O545" s="4"/>
      <c r="P545" s="2"/>
      <c r="Q545" s="2"/>
      <c r="R545" s="4"/>
      <c r="S545" s="2"/>
      <c r="T545" s="2"/>
      <c r="U545" s="1"/>
      <c r="V545" s="2"/>
      <c r="W545" s="2"/>
      <c r="X545" s="2"/>
      <c r="Y545" s="2"/>
      <c r="Z545" s="2"/>
    </row>
    <row r="546" spans="1:26" ht="15.75" customHeight="1" x14ac:dyDescent="0.2">
      <c r="A546" s="12"/>
      <c r="B546" s="10"/>
      <c r="C546" s="11"/>
      <c r="D546" s="13"/>
      <c r="E546" s="13"/>
      <c r="F546" s="13"/>
      <c r="G546" s="2"/>
      <c r="H546" s="2"/>
      <c r="I546" s="13"/>
      <c r="J546" s="13"/>
      <c r="K546" s="13"/>
      <c r="L546" s="14"/>
      <c r="M546" s="4"/>
      <c r="N546" s="2"/>
      <c r="O546" s="4"/>
      <c r="P546" s="2"/>
      <c r="Q546" s="2"/>
      <c r="R546" s="4"/>
      <c r="S546" s="2"/>
      <c r="T546" s="2"/>
      <c r="U546" s="1"/>
      <c r="V546" s="2"/>
      <c r="W546" s="2"/>
      <c r="X546" s="2"/>
      <c r="Y546" s="2"/>
      <c r="Z546" s="2"/>
    </row>
    <row r="547" spans="1:26" ht="15.75" customHeight="1" x14ac:dyDescent="0.2">
      <c r="A547" s="12"/>
      <c r="B547" s="10"/>
      <c r="C547" s="11"/>
      <c r="D547" s="13"/>
      <c r="E547" s="13"/>
      <c r="F547" s="13"/>
      <c r="G547" s="2"/>
      <c r="H547" s="2"/>
      <c r="I547" s="13"/>
      <c r="J547" s="13"/>
      <c r="K547" s="13"/>
      <c r="L547" s="14"/>
      <c r="M547" s="4"/>
      <c r="N547" s="2"/>
      <c r="O547" s="4"/>
      <c r="P547" s="2"/>
      <c r="Q547" s="2"/>
      <c r="R547" s="4"/>
      <c r="S547" s="2"/>
      <c r="T547" s="2"/>
      <c r="U547" s="1"/>
      <c r="V547" s="2"/>
      <c r="W547" s="2"/>
      <c r="X547" s="2"/>
      <c r="Y547" s="2"/>
      <c r="Z547" s="2"/>
    </row>
    <row r="548" spans="1:26" ht="15.75" customHeight="1" x14ac:dyDescent="0.2">
      <c r="A548" s="12"/>
      <c r="B548" s="10"/>
      <c r="C548" s="11"/>
      <c r="D548" s="13"/>
      <c r="E548" s="13"/>
      <c r="F548" s="13"/>
      <c r="G548" s="2"/>
      <c r="H548" s="2"/>
      <c r="I548" s="13"/>
      <c r="J548" s="13"/>
      <c r="K548" s="13"/>
      <c r="L548" s="14"/>
      <c r="M548" s="4"/>
      <c r="N548" s="2"/>
      <c r="O548" s="4"/>
      <c r="P548" s="2"/>
      <c r="Q548" s="2"/>
      <c r="R548" s="4"/>
      <c r="S548" s="2"/>
      <c r="T548" s="2"/>
      <c r="U548" s="1"/>
      <c r="V548" s="2"/>
      <c r="W548" s="2"/>
      <c r="X548" s="2"/>
      <c r="Y548" s="2"/>
      <c r="Z548" s="2"/>
    </row>
    <row r="549" spans="1:26" ht="15.75" customHeight="1" x14ac:dyDescent="0.2">
      <c r="A549" s="12"/>
      <c r="B549" s="10"/>
      <c r="C549" s="11"/>
      <c r="D549" s="13"/>
      <c r="E549" s="13"/>
      <c r="F549" s="13"/>
      <c r="G549" s="2"/>
      <c r="H549" s="2"/>
      <c r="I549" s="13"/>
      <c r="J549" s="13"/>
      <c r="K549" s="13"/>
      <c r="L549" s="14"/>
      <c r="M549" s="4"/>
      <c r="N549" s="2"/>
      <c r="O549" s="4"/>
      <c r="P549" s="2"/>
      <c r="Q549" s="2"/>
      <c r="R549" s="4"/>
      <c r="S549" s="2"/>
      <c r="T549" s="2"/>
      <c r="U549" s="1"/>
      <c r="V549" s="2"/>
      <c r="W549" s="2"/>
      <c r="X549" s="2"/>
      <c r="Y549" s="2"/>
      <c r="Z549" s="2"/>
    </row>
    <row r="550" spans="1:26" ht="15.75" customHeight="1" x14ac:dyDescent="0.2">
      <c r="A550" s="12"/>
      <c r="B550" s="10"/>
      <c r="C550" s="11"/>
      <c r="D550" s="13"/>
      <c r="E550" s="13"/>
      <c r="F550" s="13"/>
      <c r="G550" s="2"/>
      <c r="H550" s="2"/>
      <c r="I550" s="13"/>
      <c r="J550" s="13"/>
      <c r="K550" s="13"/>
      <c r="L550" s="14"/>
      <c r="M550" s="4"/>
      <c r="N550" s="2"/>
      <c r="O550" s="4"/>
      <c r="P550" s="2"/>
      <c r="Q550" s="2"/>
      <c r="R550" s="4"/>
      <c r="S550" s="2"/>
      <c r="T550" s="2"/>
      <c r="U550" s="1"/>
      <c r="V550" s="2"/>
      <c r="W550" s="2"/>
      <c r="X550" s="2"/>
      <c r="Y550" s="2"/>
      <c r="Z550" s="2"/>
    </row>
    <row r="551" spans="1:26" ht="15.75" customHeight="1" x14ac:dyDescent="0.2">
      <c r="A551" s="12"/>
      <c r="B551" s="10"/>
      <c r="C551" s="11"/>
      <c r="D551" s="13"/>
      <c r="E551" s="13"/>
      <c r="F551" s="13"/>
      <c r="G551" s="2"/>
      <c r="H551" s="2"/>
      <c r="I551" s="13"/>
      <c r="J551" s="13"/>
      <c r="K551" s="13"/>
      <c r="L551" s="14"/>
      <c r="M551" s="4"/>
      <c r="N551" s="2"/>
      <c r="O551" s="4"/>
      <c r="P551" s="2"/>
      <c r="Q551" s="2"/>
      <c r="R551" s="4"/>
      <c r="S551" s="2"/>
      <c r="T551" s="2"/>
      <c r="U551" s="1"/>
      <c r="V551" s="2"/>
      <c r="W551" s="2"/>
      <c r="X551" s="2"/>
      <c r="Y551" s="2"/>
      <c r="Z551" s="2"/>
    </row>
    <row r="552" spans="1:26" ht="15.75" customHeight="1" x14ac:dyDescent="0.2">
      <c r="A552" s="12"/>
      <c r="B552" s="10"/>
      <c r="C552" s="11"/>
      <c r="D552" s="13"/>
      <c r="E552" s="13"/>
      <c r="F552" s="13"/>
      <c r="G552" s="2"/>
      <c r="H552" s="2"/>
      <c r="I552" s="13"/>
      <c r="J552" s="13"/>
      <c r="K552" s="13"/>
      <c r="L552" s="14"/>
      <c r="M552" s="4"/>
      <c r="N552" s="2"/>
      <c r="O552" s="4"/>
      <c r="P552" s="2"/>
      <c r="Q552" s="2"/>
      <c r="R552" s="4"/>
      <c r="S552" s="2"/>
      <c r="T552" s="2"/>
      <c r="U552" s="1"/>
      <c r="V552" s="2"/>
      <c r="W552" s="2"/>
      <c r="X552" s="2"/>
      <c r="Y552" s="2"/>
      <c r="Z552" s="2"/>
    </row>
    <row r="553" spans="1:26" ht="15.75" customHeight="1" x14ac:dyDescent="0.2">
      <c r="A553" s="12"/>
      <c r="B553" s="10"/>
      <c r="C553" s="11"/>
      <c r="D553" s="13"/>
      <c r="E553" s="13"/>
      <c r="F553" s="13"/>
      <c r="G553" s="2"/>
      <c r="H553" s="2"/>
      <c r="I553" s="13"/>
      <c r="J553" s="13"/>
      <c r="K553" s="13"/>
      <c r="L553" s="14"/>
      <c r="M553" s="4"/>
      <c r="N553" s="2"/>
      <c r="O553" s="4"/>
      <c r="P553" s="2"/>
      <c r="Q553" s="2"/>
      <c r="R553" s="4"/>
      <c r="S553" s="2"/>
      <c r="T553" s="2"/>
      <c r="U553" s="1"/>
      <c r="V553" s="2"/>
      <c r="W553" s="2"/>
      <c r="X553" s="2"/>
      <c r="Y553" s="2"/>
      <c r="Z553" s="2"/>
    </row>
    <row r="554" spans="1:26" ht="15.75" customHeight="1" x14ac:dyDescent="0.2">
      <c r="A554" s="12"/>
      <c r="B554" s="10"/>
      <c r="C554" s="11"/>
      <c r="D554" s="13"/>
      <c r="E554" s="13"/>
      <c r="F554" s="13"/>
      <c r="G554" s="2"/>
      <c r="H554" s="2"/>
      <c r="I554" s="13"/>
      <c r="J554" s="13"/>
      <c r="K554" s="13"/>
      <c r="L554" s="14"/>
      <c r="M554" s="4"/>
      <c r="N554" s="2"/>
      <c r="O554" s="4"/>
      <c r="P554" s="2"/>
      <c r="Q554" s="2"/>
      <c r="R554" s="4"/>
      <c r="S554" s="2"/>
      <c r="T554" s="2"/>
      <c r="U554" s="1"/>
      <c r="V554" s="2"/>
      <c r="W554" s="2"/>
      <c r="X554" s="2"/>
      <c r="Y554" s="2"/>
      <c r="Z554" s="2"/>
    </row>
    <row r="555" spans="1:26" ht="15.75" customHeight="1" x14ac:dyDescent="0.2">
      <c r="A555" s="12"/>
      <c r="B555" s="10"/>
      <c r="C555" s="11"/>
      <c r="D555" s="13"/>
      <c r="E555" s="13"/>
      <c r="F555" s="13"/>
      <c r="G555" s="2"/>
      <c r="H555" s="2"/>
      <c r="I555" s="13"/>
      <c r="J555" s="13"/>
      <c r="K555" s="13"/>
      <c r="L555" s="14"/>
      <c r="M555" s="4"/>
      <c r="N555" s="2"/>
      <c r="O555" s="4"/>
      <c r="P555" s="2"/>
      <c r="Q555" s="2"/>
      <c r="R555" s="4"/>
      <c r="S555" s="2"/>
      <c r="T555" s="2"/>
      <c r="U555" s="1"/>
      <c r="V555" s="2"/>
      <c r="W555" s="2"/>
      <c r="X555" s="2"/>
      <c r="Y555" s="2"/>
      <c r="Z555" s="2"/>
    </row>
    <row r="556" spans="1:26" ht="15.75" customHeight="1" x14ac:dyDescent="0.2">
      <c r="A556" s="12"/>
      <c r="B556" s="10"/>
      <c r="C556" s="11"/>
      <c r="D556" s="13"/>
      <c r="E556" s="13"/>
      <c r="F556" s="13"/>
      <c r="G556" s="2"/>
      <c r="H556" s="2"/>
      <c r="I556" s="13"/>
      <c r="J556" s="13"/>
      <c r="K556" s="13"/>
      <c r="L556" s="14"/>
      <c r="M556" s="4"/>
      <c r="N556" s="2"/>
      <c r="O556" s="4"/>
      <c r="P556" s="2"/>
      <c r="Q556" s="2"/>
      <c r="R556" s="4"/>
      <c r="S556" s="2"/>
      <c r="T556" s="2"/>
      <c r="U556" s="1"/>
      <c r="V556" s="2"/>
      <c r="W556" s="2"/>
      <c r="X556" s="2"/>
      <c r="Y556" s="2"/>
      <c r="Z556" s="2"/>
    </row>
    <row r="557" spans="1:26" ht="15.75" customHeight="1" x14ac:dyDescent="0.2">
      <c r="A557" s="12"/>
      <c r="B557" s="10"/>
      <c r="C557" s="11"/>
      <c r="D557" s="13"/>
      <c r="E557" s="13"/>
      <c r="F557" s="13"/>
      <c r="G557" s="2"/>
      <c r="H557" s="2"/>
      <c r="I557" s="13"/>
      <c r="J557" s="13"/>
      <c r="K557" s="13"/>
      <c r="L557" s="14"/>
      <c r="M557" s="4"/>
      <c r="N557" s="2"/>
      <c r="O557" s="4"/>
      <c r="P557" s="2"/>
      <c r="Q557" s="2"/>
      <c r="R557" s="4"/>
      <c r="S557" s="2"/>
      <c r="T557" s="2"/>
      <c r="U557" s="1"/>
      <c r="V557" s="2"/>
      <c r="W557" s="2"/>
      <c r="X557" s="2"/>
      <c r="Y557" s="2"/>
      <c r="Z557" s="2"/>
    </row>
    <row r="558" spans="1:26" ht="15.75" customHeight="1" x14ac:dyDescent="0.2">
      <c r="A558" s="12"/>
      <c r="B558" s="10"/>
      <c r="C558" s="11"/>
      <c r="D558" s="13"/>
      <c r="E558" s="13"/>
      <c r="F558" s="13"/>
      <c r="G558" s="2"/>
      <c r="H558" s="2"/>
      <c r="I558" s="13"/>
      <c r="J558" s="13"/>
      <c r="K558" s="13"/>
      <c r="L558" s="14"/>
      <c r="M558" s="4"/>
      <c r="N558" s="2"/>
      <c r="O558" s="4"/>
      <c r="P558" s="2"/>
      <c r="Q558" s="2"/>
      <c r="R558" s="4"/>
      <c r="S558" s="2"/>
      <c r="T558" s="2"/>
      <c r="U558" s="1"/>
      <c r="V558" s="2"/>
      <c r="W558" s="2"/>
      <c r="X558" s="2"/>
      <c r="Y558" s="2"/>
      <c r="Z558" s="2"/>
    </row>
    <row r="559" spans="1:26" ht="15.75" customHeight="1" x14ac:dyDescent="0.2">
      <c r="A559" s="12"/>
      <c r="B559" s="10"/>
      <c r="C559" s="11"/>
      <c r="D559" s="13"/>
      <c r="E559" s="13"/>
      <c r="F559" s="13"/>
      <c r="G559" s="2"/>
      <c r="H559" s="2"/>
      <c r="I559" s="13"/>
      <c r="J559" s="13"/>
      <c r="K559" s="13"/>
      <c r="L559" s="14"/>
      <c r="M559" s="4"/>
      <c r="N559" s="2"/>
      <c r="O559" s="4"/>
      <c r="P559" s="2"/>
      <c r="Q559" s="2"/>
      <c r="R559" s="4"/>
      <c r="S559" s="2"/>
      <c r="T559" s="2"/>
      <c r="U559" s="1"/>
      <c r="V559" s="2"/>
      <c r="W559" s="2"/>
      <c r="X559" s="2"/>
      <c r="Y559" s="2"/>
      <c r="Z559" s="2"/>
    </row>
    <row r="560" spans="1:26" ht="15.75" customHeight="1" x14ac:dyDescent="0.2">
      <c r="A560" s="12"/>
      <c r="B560" s="10"/>
      <c r="C560" s="11"/>
      <c r="D560" s="13"/>
      <c r="E560" s="13"/>
      <c r="F560" s="13"/>
      <c r="G560" s="2"/>
      <c r="H560" s="2"/>
      <c r="I560" s="13"/>
      <c r="J560" s="13"/>
      <c r="K560" s="13"/>
      <c r="L560" s="14"/>
      <c r="M560" s="4"/>
      <c r="N560" s="2"/>
      <c r="O560" s="4"/>
      <c r="P560" s="2"/>
      <c r="Q560" s="2"/>
      <c r="R560" s="4"/>
      <c r="S560" s="2"/>
      <c r="T560" s="2"/>
      <c r="U560" s="1"/>
      <c r="V560" s="2"/>
      <c r="W560" s="2"/>
      <c r="X560" s="2"/>
      <c r="Y560" s="2"/>
      <c r="Z560" s="2"/>
    </row>
    <row r="561" spans="1:26" ht="15.75" customHeight="1" x14ac:dyDescent="0.2">
      <c r="A561" s="12"/>
      <c r="B561" s="10"/>
      <c r="C561" s="11"/>
      <c r="D561" s="13"/>
      <c r="E561" s="13"/>
      <c r="F561" s="13"/>
      <c r="G561" s="2"/>
      <c r="H561" s="2"/>
      <c r="I561" s="13"/>
      <c r="J561" s="13"/>
      <c r="K561" s="13"/>
      <c r="L561" s="14"/>
      <c r="M561" s="4"/>
      <c r="N561" s="2"/>
      <c r="O561" s="4"/>
      <c r="P561" s="2"/>
      <c r="Q561" s="2"/>
      <c r="R561" s="4"/>
      <c r="S561" s="2"/>
      <c r="T561" s="2"/>
      <c r="U561" s="1"/>
      <c r="V561" s="2"/>
      <c r="W561" s="2"/>
      <c r="X561" s="2"/>
      <c r="Y561" s="2"/>
      <c r="Z561" s="2"/>
    </row>
    <row r="562" spans="1:26" ht="15.75" customHeight="1" x14ac:dyDescent="0.2">
      <c r="A562" s="12"/>
      <c r="B562" s="10"/>
      <c r="C562" s="11"/>
      <c r="D562" s="13"/>
      <c r="E562" s="13"/>
      <c r="F562" s="13"/>
      <c r="G562" s="2"/>
      <c r="H562" s="2"/>
      <c r="I562" s="13"/>
      <c r="J562" s="13"/>
      <c r="K562" s="13"/>
      <c r="L562" s="14"/>
      <c r="M562" s="4"/>
      <c r="N562" s="2"/>
      <c r="O562" s="4"/>
      <c r="P562" s="2"/>
      <c r="Q562" s="2"/>
      <c r="R562" s="4"/>
      <c r="S562" s="2"/>
      <c r="T562" s="2"/>
      <c r="U562" s="1"/>
      <c r="V562" s="2"/>
      <c r="W562" s="2"/>
      <c r="X562" s="2"/>
      <c r="Y562" s="2"/>
      <c r="Z562" s="2"/>
    </row>
    <row r="563" spans="1:26" ht="15.75" customHeight="1" x14ac:dyDescent="0.2">
      <c r="A563" s="12"/>
      <c r="B563" s="10"/>
      <c r="C563" s="11"/>
      <c r="D563" s="13"/>
      <c r="E563" s="13"/>
      <c r="F563" s="13"/>
      <c r="G563" s="2"/>
      <c r="H563" s="2"/>
      <c r="I563" s="13"/>
      <c r="J563" s="13"/>
      <c r="K563" s="13"/>
      <c r="L563" s="14"/>
      <c r="M563" s="4"/>
      <c r="N563" s="2"/>
      <c r="O563" s="4"/>
      <c r="P563" s="2"/>
      <c r="Q563" s="2"/>
      <c r="R563" s="4"/>
      <c r="S563" s="2"/>
      <c r="T563" s="2"/>
      <c r="U563" s="1"/>
      <c r="V563" s="2"/>
      <c r="W563" s="2"/>
      <c r="X563" s="2"/>
      <c r="Y563" s="2"/>
      <c r="Z563" s="2"/>
    </row>
    <row r="564" spans="1:26" ht="15.75" customHeight="1" x14ac:dyDescent="0.2">
      <c r="A564" s="12"/>
      <c r="B564" s="10"/>
      <c r="C564" s="11"/>
      <c r="D564" s="13"/>
      <c r="E564" s="13"/>
      <c r="F564" s="13"/>
      <c r="G564" s="2"/>
      <c r="H564" s="2"/>
      <c r="I564" s="13"/>
      <c r="J564" s="13"/>
      <c r="K564" s="13"/>
      <c r="L564" s="14"/>
      <c r="M564" s="4"/>
      <c r="N564" s="2"/>
      <c r="O564" s="4"/>
      <c r="P564" s="2"/>
      <c r="Q564" s="2"/>
      <c r="R564" s="4"/>
      <c r="S564" s="2"/>
      <c r="T564" s="2"/>
      <c r="U564" s="1"/>
      <c r="V564" s="2"/>
      <c r="W564" s="2"/>
      <c r="X564" s="2"/>
      <c r="Y564" s="2"/>
      <c r="Z564" s="2"/>
    </row>
    <row r="565" spans="1:26" ht="15.75" customHeight="1" x14ac:dyDescent="0.2">
      <c r="A565" s="12"/>
      <c r="B565" s="10"/>
      <c r="C565" s="11"/>
      <c r="D565" s="13"/>
      <c r="E565" s="13"/>
      <c r="F565" s="13"/>
      <c r="G565" s="2"/>
      <c r="H565" s="2"/>
      <c r="I565" s="13"/>
      <c r="J565" s="13"/>
      <c r="K565" s="13"/>
      <c r="L565" s="14"/>
      <c r="M565" s="4"/>
      <c r="N565" s="2"/>
      <c r="O565" s="4"/>
      <c r="P565" s="2"/>
      <c r="Q565" s="2"/>
      <c r="R565" s="4"/>
      <c r="S565" s="2"/>
      <c r="T565" s="2"/>
      <c r="U565" s="1"/>
      <c r="V565" s="2"/>
      <c r="W565" s="2"/>
      <c r="X565" s="2"/>
      <c r="Y565" s="2"/>
      <c r="Z565" s="2"/>
    </row>
    <row r="566" spans="1:26" ht="15.75" customHeight="1" x14ac:dyDescent="0.2">
      <c r="A566" s="12"/>
      <c r="B566" s="10"/>
      <c r="C566" s="11"/>
      <c r="D566" s="13"/>
      <c r="E566" s="13"/>
      <c r="F566" s="13"/>
      <c r="G566" s="2"/>
      <c r="H566" s="2"/>
      <c r="I566" s="13"/>
      <c r="J566" s="13"/>
      <c r="K566" s="13"/>
      <c r="L566" s="14"/>
      <c r="M566" s="4"/>
      <c r="N566" s="2"/>
      <c r="O566" s="4"/>
      <c r="P566" s="2"/>
      <c r="Q566" s="2"/>
      <c r="R566" s="4"/>
      <c r="S566" s="2"/>
      <c r="T566" s="2"/>
      <c r="U566" s="1"/>
      <c r="V566" s="2"/>
      <c r="W566" s="2"/>
      <c r="X566" s="2"/>
      <c r="Y566" s="2"/>
      <c r="Z566" s="2"/>
    </row>
    <row r="567" spans="1:26" ht="15.75" customHeight="1" x14ac:dyDescent="0.2">
      <c r="A567" s="12"/>
      <c r="B567" s="10"/>
      <c r="C567" s="11"/>
      <c r="D567" s="13"/>
      <c r="E567" s="13"/>
      <c r="F567" s="13"/>
      <c r="G567" s="2"/>
      <c r="H567" s="2"/>
      <c r="I567" s="13"/>
      <c r="J567" s="13"/>
      <c r="K567" s="13"/>
      <c r="L567" s="14"/>
      <c r="M567" s="4"/>
      <c r="N567" s="2"/>
      <c r="O567" s="4"/>
      <c r="P567" s="2"/>
      <c r="Q567" s="2"/>
      <c r="R567" s="4"/>
      <c r="S567" s="2"/>
      <c r="T567" s="2"/>
      <c r="U567" s="1"/>
      <c r="V567" s="2"/>
      <c r="W567" s="2"/>
      <c r="X567" s="2"/>
      <c r="Y567" s="2"/>
      <c r="Z567" s="2"/>
    </row>
    <row r="568" spans="1:26" ht="15.75" customHeight="1" x14ac:dyDescent="0.2">
      <c r="A568" s="12"/>
      <c r="B568" s="10"/>
      <c r="C568" s="11"/>
      <c r="D568" s="13"/>
      <c r="E568" s="13"/>
      <c r="F568" s="13"/>
      <c r="G568" s="2"/>
      <c r="H568" s="2"/>
      <c r="I568" s="13"/>
      <c r="J568" s="13"/>
      <c r="K568" s="13"/>
      <c r="L568" s="14"/>
      <c r="M568" s="4"/>
      <c r="N568" s="2"/>
      <c r="O568" s="4"/>
      <c r="P568" s="2"/>
      <c r="Q568" s="2"/>
      <c r="R568" s="4"/>
      <c r="S568" s="2"/>
      <c r="T568" s="2"/>
      <c r="U568" s="1"/>
      <c r="V568" s="2"/>
      <c r="W568" s="2"/>
      <c r="X568" s="2"/>
      <c r="Y568" s="2"/>
      <c r="Z568" s="2"/>
    </row>
    <row r="569" spans="1:26" ht="15.75" customHeight="1" x14ac:dyDescent="0.2">
      <c r="A569" s="12"/>
      <c r="B569" s="10"/>
      <c r="C569" s="11"/>
      <c r="D569" s="13"/>
      <c r="E569" s="13"/>
      <c r="F569" s="13"/>
      <c r="G569" s="2"/>
      <c r="H569" s="2"/>
      <c r="I569" s="13"/>
      <c r="J569" s="13"/>
      <c r="K569" s="13"/>
      <c r="L569" s="14"/>
      <c r="M569" s="4"/>
      <c r="N569" s="2"/>
      <c r="O569" s="4"/>
      <c r="P569" s="2"/>
      <c r="Q569" s="2"/>
      <c r="R569" s="4"/>
      <c r="S569" s="2"/>
      <c r="T569" s="2"/>
      <c r="U569" s="1"/>
      <c r="V569" s="2"/>
      <c r="W569" s="2"/>
      <c r="X569" s="2"/>
      <c r="Y569" s="2"/>
      <c r="Z569" s="2"/>
    </row>
    <row r="570" spans="1:26" ht="15.75" customHeight="1" x14ac:dyDescent="0.2">
      <c r="A570" s="12"/>
      <c r="B570" s="10"/>
      <c r="C570" s="11"/>
      <c r="D570" s="13"/>
      <c r="E570" s="13"/>
      <c r="F570" s="13"/>
      <c r="G570" s="2"/>
      <c r="H570" s="2"/>
      <c r="I570" s="13"/>
      <c r="J570" s="13"/>
      <c r="K570" s="13"/>
      <c r="L570" s="14"/>
      <c r="M570" s="4"/>
      <c r="N570" s="2"/>
      <c r="O570" s="4"/>
      <c r="P570" s="2"/>
      <c r="Q570" s="2"/>
      <c r="R570" s="4"/>
      <c r="S570" s="2"/>
      <c r="T570" s="2"/>
      <c r="U570" s="1"/>
      <c r="V570" s="2"/>
      <c r="W570" s="2"/>
      <c r="X570" s="2"/>
      <c r="Y570" s="2"/>
      <c r="Z570" s="2"/>
    </row>
    <row r="571" spans="1:26" ht="15.75" customHeight="1" x14ac:dyDescent="0.2">
      <c r="A571" s="12"/>
      <c r="B571" s="10"/>
      <c r="C571" s="11"/>
      <c r="D571" s="13"/>
      <c r="E571" s="13"/>
      <c r="F571" s="13"/>
      <c r="G571" s="2"/>
      <c r="H571" s="2"/>
      <c r="I571" s="13"/>
      <c r="J571" s="13"/>
      <c r="K571" s="13"/>
      <c r="L571" s="14"/>
      <c r="M571" s="4"/>
      <c r="N571" s="2"/>
      <c r="O571" s="4"/>
      <c r="P571" s="2"/>
      <c r="Q571" s="2"/>
      <c r="R571" s="4"/>
      <c r="S571" s="2"/>
      <c r="T571" s="2"/>
      <c r="U571" s="1"/>
      <c r="V571" s="2"/>
      <c r="W571" s="2"/>
      <c r="X571" s="2"/>
      <c r="Y571" s="2"/>
      <c r="Z571" s="2"/>
    </row>
    <row r="572" spans="1:26" ht="15.75" customHeight="1" x14ac:dyDescent="0.2">
      <c r="A572" s="12"/>
      <c r="B572" s="10"/>
      <c r="C572" s="11"/>
      <c r="D572" s="13"/>
      <c r="E572" s="13"/>
      <c r="F572" s="13"/>
      <c r="G572" s="2"/>
      <c r="H572" s="2"/>
      <c r="I572" s="13"/>
      <c r="J572" s="13"/>
      <c r="K572" s="13"/>
      <c r="L572" s="14"/>
      <c r="M572" s="4"/>
      <c r="N572" s="2"/>
      <c r="O572" s="4"/>
      <c r="P572" s="2"/>
      <c r="Q572" s="2"/>
      <c r="R572" s="4"/>
      <c r="S572" s="2"/>
      <c r="T572" s="2"/>
      <c r="U572" s="1"/>
      <c r="V572" s="2"/>
      <c r="W572" s="2"/>
      <c r="X572" s="2"/>
      <c r="Y572" s="2"/>
      <c r="Z572" s="2"/>
    </row>
    <row r="573" spans="1:26" ht="15.75" customHeight="1" x14ac:dyDescent="0.2">
      <c r="A573" s="12"/>
      <c r="B573" s="10"/>
      <c r="C573" s="11"/>
      <c r="D573" s="13"/>
      <c r="E573" s="13"/>
      <c r="F573" s="13"/>
      <c r="G573" s="2"/>
      <c r="H573" s="2"/>
      <c r="I573" s="13"/>
      <c r="J573" s="13"/>
      <c r="K573" s="13"/>
      <c r="L573" s="14"/>
      <c r="M573" s="4"/>
      <c r="N573" s="2"/>
      <c r="O573" s="4"/>
      <c r="P573" s="2"/>
      <c r="Q573" s="2"/>
      <c r="R573" s="4"/>
      <c r="S573" s="2"/>
      <c r="T573" s="2"/>
      <c r="U573" s="1"/>
      <c r="V573" s="2"/>
      <c r="W573" s="2"/>
      <c r="X573" s="2"/>
      <c r="Y573" s="2"/>
      <c r="Z573" s="2"/>
    </row>
    <row r="574" spans="1:26" ht="15.75" customHeight="1" x14ac:dyDescent="0.2">
      <c r="A574" s="12"/>
      <c r="B574" s="10"/>
      <c r="C574" s="11"/>
      <c r="D574" s="13"/>
      <c r="E574" s="13"/>
      <c r="F574" s="13"/>
      <c r="G574" s="2"/>
      <c r="H574" s="2"/>
      <c r="I574" s="13"/>
      <c r="J574" s="13"/>
      <c r="K574" s="13"/>
      <c r="L574" s="14"/>
      <c r="M574" s="4"/>
      <c r="N574" s="2"/>
      <c r="O574" s="4"/>
      <c r="P574" s="2"/>
      <c r="Q574" s="2"/>
      <c r="R574" s="4"/>
      <c r="S574" s="2"/>
      <c r="T574" s="2"/>
      <c r="U574" s="1"/>
      <c r="V574" s="2"/>
      <c r="W574" s="2"/>
      <c r="X574" s="2"/>
      <c r="Y574" s="2"/>
      <c r="Z574" s="2"/>
    </row>
    <row r="575" spans="1:26" ht="15.75" customHeight="1" x14ac:dyDescent="0.2">
      <c r="A575" s="12"/>
      <c r="B575" s="10"/>
      <c r="C575" s="11"/>
      <c r="D575" s="13"/>
      <c r="E575" s="13"/>
      <c r="F575" s="13"/>
      <c r="G575" s="2"/>
      <c r="H575" s="2"/>
      <c r="I575" s="13"/>
      <c r="J575" s="13"/>
      <c r="K575" s="13"/>
      <c r="L575" s="14"/>
      <c r="M575" s="4"/>
      <c r="N575" s="2"/>
      <c r="O575" s="4"/>
      <c r="P575" s="2"/>
      <c r="Q575" s="2"/>
      <c r="R575" s="4"/>
      <c r="S575" s="2"/>
      <c r="T575" s="2"/>
      <c r="U575" s="1"/>
      <c r="V575" s="2"/>
      <c r="W575" s="2"/>
      <c r="X575" s="2"/>
      <c r="Y575" s="2"/>
      <c r="Z575" s="2"/>
    </row>
    <row r="576" spans="1:26" ht="15.75" customHeight="1" x14ac:dyDescent="0.2">
      <c r="A576" s="12"/>
      <c r="B576" s="10"/>
      <c r="C576" s="11"/>
      <c r="D576" s="13"/>
      <c r="E576" s="13"/>
      <c r="F576" s="13"/>
      <c r="G576" s="2"/>
      <c r="H576" s="2"/>
      <c r="I576" s="13"/>
      <c r="J576" s="13"/>
      <c r="K576" s="13"/>
      <c r="L576" s="14"/>
      <c r="M576" s="4"/>
      <c r="N576" s="2"/>
      <c r="O576" s="4"/>
      <c r="P576" s="2"/>
      <c r="Q576" s="2"/>
      <c r="R576" s="4"/>
      <c r="S576" s="2"/>
      <c r="T576" s="2"/>
      <c r="U576" s="1"/>
      <c r="V576" s="2"/>
      <c r="W576" s="2"/>
      <c r="X576" s="2"/>
      <c r="Y576" s="2"/>
      <c r="Z576" s="2"/>
    </row>
    <row r="577" spans="1:26" ht="15.75" customHeight="1" x14ac:dyDescent="0.2">
      <c r="A577" s="12"/>
      <c r="B577" s="10"/>
      <c r="C577" s="11"/>
      <c r="D577" s="13"/>
      <c r="E577" s="13"/>
      <c r="F577" s="13"/>
      <c r="G577" s="2"/>
      <c r="H577" s="2"/>
      <c r="I577" s="13"/>
      <c r="J577" s="13"/>
      <c r="K577" s="13"/>
      <c r="L577" s="14"/>
      <c r="M577" s="4"/>
      <c r="N577" s="2"/>
      <c r="O577" s="4"/>
      <c r="P577" s="2"/>
      <c r="Q577" s="2"/>
      <c r="R577" s="4"/>
      <c r="S577" s="2"/>
      <c r="T577" s="2"/>
      <c r="U577" s="1"/>
      <c r="V577" s="2"/>
      <c r="W577" s="2"/>
      <c r="X577" s="2"/>
      <c r="Y577" s="2"/>
      <c r="Z577" s="2"/>
    </row>
    <row r="578" spans="1:26" ht="15.75" customHeight="1" x14ac:dyDescent="0.2">
      <c r="A578" s="12"/>
      <c r="B578" s="10"/>
      <c r="C578" s="11"/>
      <c r="D578" s="13"/>
      <c r="E578" s="13"/>
      <c r="F578" s="13"/>
      <c r="G578" s="2"/>
      <c r="H578" s="2"/>
      <c r="I578" s="13"/>
      <c r="J578" s="13"/>
      <c r="K578" s="13"/>
      <c r="L578" s="14"/>
      <c r="M578" s="4"/>
      <c r="N578" s="2"/>
      <c r="O578" s="4"/>
      <c r="P578" s="2"/>
      <c r="Q578" s="2"/>
      <c r="R578" s="4"/>
      <c r="S578" s="2"/>
      <c r="T578" s="2"/>
      <c r="U578" s="1"/>
      <c r="V578" s="2"/>
      <c r="W578" s="2"/>
      <c r="X578" s="2"/>
      <c r="Y578" s="2"/>
      <c r="Z578" s="2"/>
    </row>
    <row r="579" spans="1:26" ht="15.75" customHeight="1" x14ac:dyDescent="0.2">
      <c r="A579" s="12"/>
      <c r="B579" s="10"/>
      <c r="C579" s="11"/>
      <c r="D579" s="13"/>
      <c r="E579" s="13"/>
      <c r="F579" s="13"/>
      <c r="G579" s="2"/>
      <c r="H579" s="2"/>
      <c r="I579" s="13"/>
      <c r="J579" s="13"/>
      <c r="K579" s="13"/>
      <c r="L579" s="14"/>
      <c r="M579" s="4"/>
      <c r="N579" s="2"/>
      <c r="O579" s="4"/>
      <c r="P579" s="2"/>
      <c r="Q579" s="2"/>
      <c r="R579" s="4"/>
      <c r="S579" s="2"/>
      <c r="T579" s="2"/>
      <c r="U579" s="1"/>
      <c r="V579" s="2"/>
      <c r="W579" s="2"/>
      <c r="X579" s="2"/>
      <c r="Y579" s="2"/>
      <c r="Z579" s="2"/>
    </row>
    <row r="580" spans="1:26" ht="15.75" customHeight="1" x14ac:dyDescent="0.2">
      <c r="A580" s="12"/>
      <c r="B580" s="10"/>
      <c r="C580" s="11"/>
      <c r="D580" s="13"/>
      <c r="E580" s="13"/>
      <c r="F580" s="13"/>
      <c r="G580" s="2"/>
      <c r="H580" s="2"/>
      <c r="I580" s="13"/>
      <c r="J580" s="13"/>
      <c r="K580" s="13"/>
      <c r="L580" s="14"/>
      <c r="M580" s="4"/>
      <c r="N580" s="2"/>
      <c r="O580" s="4"/>
      <c r="P580" s="2"/>
      <c r="Q580" s="2"/>
      <c r="R580" s="4"/>
      <c r="S580" s="2"/>
      <c r="T580" s="2"/>
      <c r="U580" s="1"/>
      <c r="V580" s="2"/>
      <c r="W580" s="2"/>
      <c r="X580" s="2"/>
      <c r="Y580" s="2"/>
      <c r="Z580" s="2"/>
    </row>
    <row r="581" spans="1:26" ht="15.75" customHeight="1" x14ac:dyDescent="0.2">
      <c r="A581" s="12"/>
      <c r="B581" s="10"/>
      <c r="C581" s="11"/>
      <c r="D581" s="13"/>
      <c r="E581" s="13"/>
      <c r="F581" s="13"/>
      <c r="G581" s="2"/>
      <c r="H581" s="2"/>
      <c r="I581" s="13"/>
      <c r="J581" s="13"/>
      <c r="K581" s="13"/>
      <c r="L581" s="14"/>
      <c r="M581" s="4"/>
      <c r="N581" s="2"/>
      <c r="O581" s="4"/>
      <c r="P581" s="2"/>
      <c r="Q581" s="2"/>
      <c r="R581" s="4"/>
      <c r="S581" s="2"/>
      <c r="T581" s="2"/>
      <c r="U581" s="1"/>
      <c r="V581" s="2"/>
      <c r="W581" s="2"/>
      <c r="X581" s="2"/>
      <c r="Y581" s="2"/>
      <c r="Z581" s="2"/>
    </row>
    <row r="582" spans="1:26" ht="15.75" customHeight="1" x14ac:dyDescent="0.2">
      <c r="A582" s="12"/>
      <c r="B582" s="10"/>
      <c r="C582" s="11"/>
      <c r="D582" s="13"/>
      <c r="E582" s="13"/>
      <c r="F582" s="13"/>
      <c r="G582" s="2"/>
      <c r="H582" s="2"/>
      <c r="I582" s="13"/>
      <c r="J582" s="13"/>
      <c r="K582" s="13"/>
      <c r="L582" s="14"/>
      <c r="M582" s="4"/>
      <c r="N582" s="2"/>
      <c r="O582" s="4"/>
      <c r="P582" s="2"/>
      <c r="Q582" s="2"/>
      <c r="R582" s="4"/>
      <c r="S582" s="2"/>
      <c r="T582" s="2"/>
      <c r="U582" s="1"/>
      <c r="V582" s="2"/>
      <c r="W582" s="2"/>
      <c r="X582" s="2"/>
      <c r="Y582" s="2"/>
      <c r="Z582" s="2"/>
    </row>
    <row r="583" spans="1:26" ht="15.75" customHeight="1" x14ac:dyDescent="0.2">
      <c r="A583" s="12"/>
      <c r="B583" s="10"/>
      <c r="C583" s="11"/>
      <c r="D583" s="13"/>
      <c r="E583" s="13"/>
      <c r="F583" s="13"/>
      <c r="G583" s="2"/>
      <c r="H583" s="2"/>
      <c r="I583" s="13"/>
      <c r="J583" s="13"/>
      <c r="K583" s="13"/>
      <c r="L583" s="14"/>
      <c r="M583" s="4"/>
      <c r="N583" s="2"/>
      <c r="O583" s="4"/>
      <c r="P583" s="2"/>
      <c r="Q583" s="2"/>
      <c r="R583" s="4"/>
      <c r="S583" s="2"/>
      <c r="T583" s="2"/>
      <c r="U583" s="1"/>
      <c r="V583" s="2"/>
      <c r="W583" s="2"/>
      <c r="X583" s="2"/>
      <c r="Y583" s="2"/>
      <c r="Z583" s="2"/>
    </row>
    <row r="584" spans="1:26" ht="15.75" customHeight="1" x14ac:dyDescent="0.2">
      <c r="A584" s="12"/>
      <c r="B584" s="10"/>
      <c r="C584" s="11"/>
      <c r="D584" s="13"/>
      <c r="E584" s="13"/>
      <c r="F584" s="13"/>
      <c r="G584" s="2"/>
      <c r="H584" s="2"/>
      <c r="I584" s="13"/>
      <c r="J584" s="13"/>
      <c r="K584" s="13"/>
      <c r="L584" s="14"/>
      <c r="M584" s="4"/>
      <c r="N584" s="2"/>
      <c r="O584" s="4"/>
      <c r="P584" s="2"/>
      <c r="Q584" s="2"/>
      <c r="R584" s="4"/>
      <c r="S584" s="2"/>
      <c r="T584" s="2"/>
      <c r="U584" s="1"/>
      <c r="V584" s="2"/>
      <c r="W584" s="2"/>
      <c r="X584" s="2"/>
      <c r="Y584" s="2"/>
      <c r="Z584" s="2"/>
    </row>
    <row r="585" spans="1:26" ht="15.75" customHeight="1" x14ac:dyDescent="0.2">
      <c r="A585" s="12"/>
      <c r="B585" s="10"/>
      <c r="C585" s="11"/>
      <c r="D585" s="13"/>
      <c r="E585" s="13"/>
      <c r="F585" s="13"/>
      <c r="G585" s="2"/>
      <c r="H585" s="2"/>
      <c r="I585" s="13"/>
      <c r="J585" s="13"/>
      <c r="K585" s="13"/>
      <c r="L585" s="14"/>
      <c r="M585" s="4"/>
      <c r="N585" s="2"/>
      <c r="O585" s="4"/>
      <c r="P585" s="2"/>
      <c r="Q585" s="2"/>
      <c r="R585" s="4"/>
      <c r="S585" s="2"/>
      <c r="T585" s="2"/>
      <c r="U585" s="1"/>
      <c r="V585" s="2"/>
      <c r="W585" s="2"/>
      <c r="X585" s="2"/>
      <c r="Y585" s="2"/>
      <c r="Z585" s="2"/>
    </row>
    <row r="586" spans="1:26" ht="15.75" customHeight="1" x14ac:dyDescent="0.2">
      <c r="A586" s="12"/>
      <c r="B586" s="10"/>
      <c r="C586" s="11"/>
      <c r="D586" s="13"/>
      <c r="E586" s="13"/>
      <c r="F586" s="13"/>
      <c r="G586" s="2"/>
      <c r="H586" s="2"/>
      <c r="I586" s="13"/>
      <c r="J586" s="13"/>
      <c r="K586" s="13"/>
      <c r="L586" s="14"/>
      <c r="M586" s="4"/>
      <c r="N586" s="2"/>
      <c r="O586" s="4"/>
      <c r="P586" s="2"/>
      <c r="Q586" s="2"/>
      <c r="R586" s="4"/>
      <c r="S586" s="2"/>
      <c r="T586" s="2"/>
      <c r="U586" s="1"/>
      <c r="V586" s="2"/>
      <c r="W586" s="2"/>
      <c r="X586" s="2"/>
      <c r="Y586" s="2"/>
      <c r="Z586" s="2"/>
    </row>
    <row r="587" spans="1:26" ht="15.75" customHeight="1" x14ac:dyDescent="0.2">
      <c r="A587" s="12"/>
      <c r="B587" s="10"/>
      <c r="C587" s="11"/>
      <c r="D587" s="13"/>
      <c r="E587" s="13"/>
      <c r="F587" s="13"/>
      <c r="G587" s="2"/>
      <c r="H587" s="2"/>
      <c r="I587" s="13"/>
      <c r="J587" s="13"/>
      <c r="K587" s="13"/>
      <c r="L587" s="14"/>
      <c r="M587" s="4"/>
      <c r="N587" s="2"/>
      <c r="O587" s="4"/>
      <c r="P587" s="2"/>
      <c r="Q587" s="2"/>
      <c r="R587" s="4"/>
      <c r="S587" s="2"/>
      <c r="T587" s="2"/>
      <c r="U587" s="1"/>
      <c r="V587" s="2"/>
      <c r="W587" s="2"/>
      <c r="X587" s="2"/>
      <c r="Y587" s="2"/>
      <c r="Z587" s="2"/>
    </row>
    <row r="588" spans="1:26" ht="15.75" customHeight="1" x14ac:dyDescent="0.2">
      <c r="A588" s="12"/>
      <c r="B588" s="10"/>
      <c r="C588" s="11"/>
      <c r="D588" s="13"/>
      <c r="E588" s="13"/>
      <c r="F588" s="13"/>
      <c r="G588" s="2"/>
      <c r="H588" s="2"/>
      <c r="I588" s="13"/>
      <c r="J588" s="13"/>
      <c r="K588" s="13"/>
      <c r="L588" s="14"/>
      <c r="M588" s="4"/>
      <c r="N588" s="2"/>
      <c r="O588" s="4"/>
      <c r="P588" s="2"/>
      <c r="Q588" s="2"/>
      <c r="R588" s="4"/>
      <c r="S588" s="2"/>
      <c r="T588" s="2"/>
      <c r="U588" s="1"/>
      <c r="V588" s="2"/>
      <c r="W588" s="2"/>
      <c r="X588" s="2"/>
      <c r="Y588" s="2"/>
      <c r="Z588" s="2"/>
    </row>
    <row r="589" spans="1:26" ht="15.75" customHeight="1" x14ac:dyDescent="0.2">
      <c r="A589" s="12"/>
      <c r="B589" s="10"/>
      <c r="C589" s="11"/>
      <c r="D589" s="13"/>
      <c r="E589" s="13"/>
      <c r="F589" s="13"/>
      <c r="G589" s="2"/>
      <c r="H589" s="2"/>
      <c r="I589" s="13"/>
      <c r="J589" s="13"/>
      <c r="K589" s="13"/>
      <c r="L589" s="14"/>
      <c r="M589" s="4"/>
      <c r="N589" s="2"/>
      <c r="O589" s="4"/>
      <c r="P589" s="2"/>
      <c r="Q589" s="2"/>
      <c r="R589" s="4"/>
      <c r="S589" s="2"/>
      <c r="T589" s="2"/>
      <c r="U589" s="1"/>
      <c r="V589" s="2"/>
      <c r="W589" s="2"/>
      <c r="X589" s="2"/>
      <c r="Y589" s="2"/>
      <c r="Z589" s="2"/>
    </row>
    <row r="590" spans="1:26" ht="15.75" customHeight="1" x14ac:dyDescent="0.2">
      <c r="A590" s="12"/>
      <c r="B590" s="10"/>
      <c r="C590" s="11"/>
      <c r="D590" s="13"/>
      <c r="E590" s="13"/>
      <c r="F590" s="13"/>
      <c r="G590" s="2"/>
      <c r="H590" s="2"/>
      <c r="I590" s="13"/>
      <c r="J590" s="13"/>
      <c r="K590" s="13"/>
      <c r="L590" s="14"/>
      <c r="M590" s="4"/>
      <c r="N590" s="2"/>
      <c r="O590" s="4"/>
      <c r="P590" s="2"/>
      <c r="Q590" s="2"/>
      <c r="R590" s="4"/>
      <c r="S590" s="2"/>
      <c r="T590" s="2"/>
      <c r="U590" s="1"/>
      <c r="V590" s="2"/>
      <c r="W590" s="2"/>
      <c r="X590" s="2"/>
      <c r="Y590" s="2"/>
      <c r="Z590" s="2"/>
    </row>
    <row r="591" spans="1:26" ht="15.75" customHeight="1" x14ac:dyDescent="0.2">
      <c r="A591" s="12"/>
      <c r="B591" s="10"/>
      <c r="C591" s="11"/>
      <c r="D591" s="13"/>
      <c r="E591" s="13"/>
      <c r="F591" s="13"/>
      <c r="G591" s="2"/>
      <c r="H591" s="2"/>
      <c r="I591" s="13"/>
      <c r="J591" s="13"/>
      <c r="K591" s="13"/>
      <c r="L591" s="14"/>
      <c r="M591" s="4"/>
      <c r="N591" s="2"/>
      <c r="O591" s="4"/>
      <c r="P591" s="2"/>
      <c r="Q591" s="2"/>
      <c r="R591" s="4"/>
      <c r="S591" s="2"/>
      <c r="T591" s="2"/>
      <c r="U591" s="1"/>
      <c r="V591" s="2"/>
      <c r="W591" s="2"/>
      <c r="X591" s="2"/>
      <c r="Y591" s="2"/>
      <c r="Z591" s="2"/>
    </row>
    <row r="592" spans="1:26" ht="15.75" customHeight="1" x14ac:dyDescent="0.2">
      <c r="A592" s="12"/>
      <c r="B592" s="10"/>
      <c r="C592" s="11"/>
      <c r="D592" s="13"/>
      <c r="E592" s="13"/>
      <c r="F592" s="13"/>
      <c r="G592" s="2"/>
      <c r="H592" s="2"/>
      <c r="I592" s="13"/>
      <c r="J592" s="13"/>
      <c r="K592" s="13"/>
      <c r="L592" s="14"/>
      <c r="M592" s="4"/>
      <c r="N592" s="2"/>
      <c r="O592" s="4"/>
      <c r="P592" s="2"/>
      <c r="Q592" s="2"/>
      <c r="R592" s="4"/>
      <c r="S592" s="2"/>
      <c r="T592" s="2"/>
      <c r="U592" s="1"/>
      <c r="V592" s="2"/>
      <c r="W592" s="2"/>
      <c r="X592" s="2"/>
      <c r="Y592" s="2"/>
      <c r="Z592" s="2"/>
    </row>
    <row r="593" spans="1:26" ht="15.75" customHeight="1" x14ac:dyDescent="0.2">
      <c r="A593" s="12"/>
      <c r="B593" s="10"/>
      <c r="C593" s="11"/>
      <c r="D593" s="13"/>
      <c r="E593" s="13"/>
      <c r="F593" s="13"/>
      <c r="G593" s="2"/>
      <c r="H593" s="2"/>
      <c r="I593" s="13"/>
      <c r="J593" s="13"/>
      <c r="K593" s="13"/>
      <c r="L593" s="14"/>
      <c r="M593" s="4"/>
      <c r="N593" s="2"/>
      <c r="O593" s="4"/>
      <c r="P593" s="2"/>
      <c r="Q593" s="2"/>
      <c r="R593" s="4"/>
      <c r="S593" s="2"/>
      <c r="T593" s="2"/>
      <c r="U593" s="1"/>
      <c r="V593" s="2"/>
      <c r="W593" s="2"/>
      <c r="X593" s="2"/>
      <c r="Y593" s="2"/>
      <c r="Z593" s="2"/>
    </row>
    <row r="594" spans="1:26" ht="15.75" customHeight="1" x14ac:dyDescent="0.2">
      <c r="A594" s="12"/>
      <c r="B594" s="10"/>
      <c r="C594" s="11"/>
      <c r="D594" s="13"/>
      <c r="E594" s="13"/>
      <c r="F594" s="13"/>
      <c r="G594" s="2"/>
      <c r="H594" s="2"/>
      <c r="I594" s="13"/>
      <c r="J594" s="13"/>
      <c r="K594" s="13"/>
      <c r="L594" s="14"/>
      <c r="M594" s="4"/>
      <c r="N594" s="2"/>
      <c r="O594" s="4"/>
      <c r="P594" s="2"/>
      <c r="Q594" s="2"/>
      <c r="R594" s="4"/>
      <c r="S594" s="2"/>
      <c r="T594" s="2"/>
      <c r="U594" s="1"/>
      <c r="V594" s="2"/>
      <c r="W594" s="2"/>
      <c r="X594" s="2"/>
      <c r="Y594" s="2"/>
      <c r="Z594" s="2"/>
    </row>
    <row r="595" spans="1:26" ht="15.75" customHeight="1" x14ac:dyDescent="0.2">
      <c r="A595" s="12"/>
      <c r="B595" s="10"/>
      <c r="C595" s="11"/>
      <c r="D595" s="13"/>
      <c r="E595" s="13"/>
      <c r="F595" s="13"/>
      <c r="G595" s="2"/>
      <c r="H595" s="2"/>
      <c r="I595" s="13"/>
      <c r="J595" s="13"/>
      <c r="K595" s="13"/>
      <c r="L595" s="14"/>
      <c r="M595" s="4"/>
      <c r="N595" s="2"/>
      <c r="O595" s="4"/>
      <c r="P595" s="2"/>
      <c r="Q595" s="2"/>
      <c r="R595" s="4"/>
      <c r="S595" s="2"/>
      <c r="T595" s="2"/>
      <c r="U595" s="1"/>
      <c r="V595" s="2"/>
      <c r="W595" s="2"/>
      <c r="X595" s="2"/>
      <c r="Y595" s="2"/>
      <c r="Z595" s="2"/>
    </row>
    <row r="596" spans="1:26" ht="15.75" customHeight="1" x14ac:dyDescent="0.2">
      <c r="A596" s="12"/>
      <c r="B596" s="10"/>
      <c r="C596" s="11"/>
      <c r="D596" s="13"/>
      <c r="E596" s="13"/>
      <c r="F596" s="13"/>
      <c r="G596" s="2"/>
      <c r="H596" s="2"/>
      <c r="I596" s="13"/>
      <c r="J596" s="13"/>
      <c r="K596" s="13"/>
      <c r="L596" s="14"/>
      <c r="M596" s="4"/>
      <c r="N596" s="2"/>
      <c r="O596" s="4"/>
      <c r="P596" s="2"/>
      <c r="Q596" s="2"/>
      <c r="R596" s="4"/>
      <c r="S596" s="2"/>
      <c r="T596" s="2"/>
      <c r="U596" s="1"/>
      <c r="V596" s="2"/>
      <c r="W596" s="2"/>
      <c r="X596" s="2"/>
      <c r="Y596" s="2"/>
      <c r="Z596" s="2"/>
    </row>
    <row r="597" spans="1:26" ht="15.75" customHeight="1" x14ac:dyDescent="0.2">
      <c r="A597" s="12"/>
      <c r="B597" s="10"/>
      <c r="C597" s="11"/>
      <c r="D597" s="13"/>
      <c r="E597" s="13"/>
      <c r="F597" s="13"/>
      <c r="G597" s="2"/>
      <c r="H597" s="2"/>
      <c r="I597" s="13"/>
      <c r="J597" s="13"/>
      <c r="K597" s="13"/>
      <c r="L597" s="14"/>
      <c r="M597" s="4"/>
      <c r="N597" s="2"/>
      <c r="O597" s="4"/>
      <c r="P597" s="2"/>
      <c r="Q597" s="2"/>
      <c r="R597" s="4"/>
      <c r="S597" s="2"/>
      <c r="T597" s="2"/>
      <c r="U597" s="1"/>
      <c r="V597" s="2"/>
      <c r="W597" s="2"/>
      <c r="X597" s="2"/>
      <c r="Y597" s="2"/>
      <c r="Z597" s="2"/>
    </row>
    <row r="598" spans="1:26" ht="15.75" customHeight="1" x14ac:dyDescent="0.2">
      <c r="A598" s="12"/>
      <c r="B598" s="10"/>
      <c r="C598" s="11"/>
      <c r="D598" s="13"/>
      <c r="E598" s="13"/>
      <c r="F598" s="13"/>
      <c r="G598" s="2"/>
      <c r="H598" s="2"/>
      <c r="I598" s="13"/>
      <c r="J598" s="13"/>
      <c r="K598" s="13"/>
      <c r="L598" s="14"/>
      <c r="M598" s="4"/>
      <c r="N598" s="2"/>
      <c r="O598" s="4"/>
      <c r="P598" s="2"/>
      <c r="Q598" s="2"/>
      <c r="R598" s="4"/>
      <c r="S598" s="2"/>
      <c r="T598" s="2"/>
      <c r="U598" s="1"/>
      <c r="V598" s="2"/>
      <c r="W598" s="2"/>
      <c r="X598" s="2"/>
      <c r="Y598" s="2"/>
      <c r="Z598" s="2"/>
    </row>
    <row r="599" spans="1:26" ht="15.75" customHeight="1" x14ac:dyDescent="0.2">
      <c r="A599" s="12"/>
      <c r="B599" s="10"/>
      <c r="C599" s="11"/>
      <c r="D599" s="13"/>
      <c r="E599" s="13"/>
      <c r="F599" s="13"/>
      <c r="G599" s="2"/>
      <c r="H599" s="2"/>
      <c r="I599" s="13"/>
      <c r="J599" s="13"/>
      <c r="K599" s="13"/>
      <c r="L599" s="14"/>
      <c r="M599" s="4"/>
      <c r="N599" s="2"/>
      <c r="O599" s="4"/>
      <c r="P599" s="2"/>
      <c r="Q599" s="2"/>
      <c r="R599" s="4"/>
      <c r="S599" s="2"/>
      <c r="T599" s="2"/>
      <c r="U599" s="1"/>
      <c r="V599" s="2"/>
      <c r="W599" s="2"/>
      <c r="X599" s="2"/>
      <c r="Y599" s="2"/>
      <c r="Z599" s="2"/>
    </row>
    <row r="600" spans="1:26" ht="15.75" customHeight="1" x14ac:dyDescent="0.2">
      <c r="A600" s="12"/>
      <c r="B600" s="10"/>
      <c r="C600" s="11"/>
      <c r="D600" s="13"/>
      <c r="E600" s="13"/>
      <c r="F600" s="13"/>
      <c r="G600" s="2"/>
      <c r="H600" s="2"/>
      <c r="I600" s="13"/>
      <c r="J600" s="13"/>
      <c r="K600" s="13"/>
      <c r="L600" s="14"/>
      <c r="M600" s="4"/>
      <c r="N600" s="2"/>
      <c r="O600" s="4"/>
      <c r="P600" s="2"/>
      <c r="Q600" s="2"/>
      <c r="R600" s="4"/>
      <c r="S600" s="2"/>
      <c r="T600" s="2"/>
      <c r="U600" s="1"/>
      <c r="V600" s="2"/>
      <c r="W600" s="2"/>
      <c r="X600" s="2"/>
      <c r="Y600" s="2"/>
      <c r="Z600" s="2"/>
    </row>
    <row r="601" spans="1:26" ht="15.75" customHeight="1" x14ac:dyDescent="0.2">
      <c r="A601" s="12"/>
      <c r="B601" s="10"/>
      <c r="C601" s="11"/>
      <c r="D601" s="13"/>
      <c r="E601" s="13"/>
      <c r="F601" s="13"/>
      <c r="G601" s="2"/>
      <c r="H601" s="2"/>
      <c r="I601" s="13"/>
      <c r="J601" s="13"/>
      <c r="K601" s="13"/>
      <c r="L601" s="14"/>
      <c r="M601" s="4"/>
      <c r="N601" s="2"/>
      <c r="O601" s="4"/>
      <c r="P601" s="2"/>
      <c r="Q601" s="2"/>
      <c r="R601" s="4"/>
      <c r="S601" s="2"/>
      <c r="T601" s="2"/>
      <c r="U601" s="1"/>
      <c r="V601" s="2"/>
      <c r="W601" s="2"/>
      <c r="X601" s="2"/>
      <c r="Y601" s="2"/>
      <c r="Z601" s="2"/>
    </row>
    <row r="602" spans="1:26" ht="15.75" customHeight="1" x14ac:dyDescent="0.2">
      <c r="A602" s="12"/>
      <c r="B602" s="10"/>
      <c r="C602" s="11"/>
      <c r="D602" s="13"/>
      <c r="E602" s="13"/>
      <c r="F602" s="13"/>
      <c r="G602" s="2"/>
      <c r="H602" s="2"/>
      <c r="I602" s="13"/>
      <c r="J602" s="13"/>
      <c r="K602" s="13"/>
      <c r="L602" s="14"/>
      <c r="M602" s="4"/>
      <c r="N602" s="2"/>
      <c r="O602" s="4"/>
      <c r="P602" s="2"/>
      <c r="Q602" s="2"/>
      <c r="R602" s="4"/>
      <c r="S602" s="2"/>
      <c r="T602" s="2"/>
      <c r="U602" s="1"/>
      <c r="V602" s="2"/>
      <c r="W602" s="2"/>
      <c r="X602" s="2"/>
      <c r="Y602" s="2"/>
      <c r="Z602" s="2"/>
    </row>
    <row r="603" spans="1:26" ht="15.75" customHeight="1" x14ac:dyDescent="0.2">
      <c r="A603" s="12"/>
      <c r="B603" s="10"/>
      <c r="C603" s="11"/>
      <c r="D603" s="13"/>
      <c r="E603" s="13"/>
      <c r="F603" s="13"/>
      <c r="G603" s="2"/>
      <c r="H603" s="2"/>
      <c r="I603" s="13"/>
      <c r="J603" s="13"/>
      <c r="K603" s="13"/>
      <c r="L603" s="14"/>
      <c r="M603" s="4"/>
      <c r="N603" s="2"/>
      <c r="O603" s="4"/>
      <c r="P603" s="2"/>
      <c r="Q603" s="2"/>
      <c r="R603" s="4"/>
      <c r="S603" s="2"/>
      <c r="T603" s="2"/>
      <c r="U603" s="1"/>
      <c r="V603" s="2"/>
      <c r="W603" s="2"/>
      <c r="X603" s="2"/>
      <c r="Y603" s="2"/>
      <c r="Z603" s="2"/>
    </row>
    <row r="604" spans="1:26" ht="15.75" customHeight="1" x14ac:dyDescent="0.2">
      <c r="A604" s="12"/>
      <c r="B604" s="10"/>
      <c r="C604" s="11"/>
      <c r="D604" s="13"/>
      <c r="E604" s="13"/>
      <c r="F604" s="13"/>
      <c r="G604" s="2"/>
      <c r="H604" s="2"/>
      <c r="I604" s="13"/>
      <c r="J604" s="13"/>
      <c r="K604" s="13"/>
      <c r="L604" s="14"/>
      <c r="M604" s="4"/>
      <c r="N604" s="2"/>
      <c r="O604" s="4"/>
      <c r="P604" s="2"/>
      <c r="Q604" s="2"/>
      <c r="R604" s="4"/>
      <c r="S604" s="2"/>
      <c r="T604" s="2"/>
      <c r="U604" s="1"/>
      <c r="V604" s="2"/>
      <c r="W604" s="2"/>
      <c r="X604" s="2"/>
      <c r="Y604" s="2"/>
      <c r="Z604" s="2"/>
    </row>
    <row r="605" spans="1:26" ht="15.75" customHeight="1" x14ac:dyDescent="0.2">
      <c r="A605" s="12"/>
      <c r="B605" s="10"/>
      <c r="C605" s="11"/>
      <c r="D605" s="13"/>
      <c r="E605" s="13"/>
      <c r="F605" s="13"/>
      <c r="G605" s="2"/>
      <c r="H605" s="2"/>
      <c r="I605" s="13"/>
      <c r="J605" s="13"/>
      <c r="K605" s="13"/>
      <c r="L605" s="14"/>
      <c r="M605" s="4"/>
      <c r="N605" s="2"/>
      <c r="O605" s="4"/>
      <c r="P605" s="2"/>
      <c r="Q605" s="2"/>
      <c r="R605" s="4"/>
      <c r="S605" s="2"/>
      <c r="T605" s="2"/>
      <c r="U605" s="1"/>
      <c r="V605" s="2"/>
      <c r="W605" s="2"/>
      <c r="X605" s="2"/>
      <c r="Y605" s="2"/>
      <c r="Z605" s="2"/>
    </row>
    <row r="606" spans="1:26" ht="15.75" customHeight="1" x14ac:dyDescent="0.2">
      <c r="A606" s="12"/>
      <c r="B606" s="10"/>
      <c r="C606" s="11"/>
      <c r="D606" s="13"/>
      <c r="E606" s="13"/>
      <c r="F606" s="13"/>
      <c r="G606" s="2"/>
      <c r="H606" s="2"/>
      <c r="I606" s="13"/>
      <c r="J606" s="13"/>
      <c r="K606" s="13"/>
      <c r="L606" s="14"/>
      <c r="M606" s="4"/>
      <c r="N606" s="2"/>
      <c r="O606" s="4"/>
      <c r="P606" s="2"/>
      <c r="Q606" s="2"/>
      <c r="R606" s="4"/>
      <c r="S606" s="2"/>
      <c r="T606" s="2"/>
      <c r="U606" s="1"/>
      <c r="V606" s="2"/>
      <c r="W606" s="2"/>
      <c r="X606" s="2"/>
      <c r="Y606" s="2"/>
      <c r="Z606" s="2"/>
    </row>
    <row r="607" spans="1:26" ht="15.75" customHeight="1" x14ac:dyDescent="0.2">
      <c r="A607" s="12"/>
      <c r="B607" s="10"/>
      <c r="C607" s="11"/>
      <c r="D607" s="13"/>
      <c r="E607" s="13"/>
      <c r="F607" s="13"/>
      <c r="G607" s="2"/>
      <c r="H607" s="2"/>
      <c r="I607" s="13"/>
      <c r="J607" s="13"/>
      <c r="K607" s="13"/>
      <c r="L607" s="14"/>
      <c r="M607" s="4"/>
      <c r="N607" s="2"/>
      <c r="O607" s="4"/>
      <c r="P607" s="2"/>
      <c r="Q607" s="2"/>
      <c r="R607" s="4"/>
      <c r="S607" s="2"/>
      <c r="T607" s="2"/>
      <c r="U607" s="1"/>
      <c r="V607" s="2"/>
      <c r="W607" s="2"/>
      <c r="X607" s="2"/>
      <c r="Y607" s="2"/>
      <c r="Z607" s="2"/>
    </row>
    <row r="608" spans="1:26" ht="15.75" customHeight="1" x14ac:dyDescent="0.2">
      <c r="A608" s="12"/>
      <c r="B608" s="10"/>
      <c r="C608" s="11"/>
      <c r="D608" s="13"/>
      <c r="E608" s="13"/>
      <c r="F608" s="13"/>
      <c r="G608" s="2"/>
      <c r="H608" s="2"/>
      <c r="I608" s="13"/>
      <c r="J608" s="13"/>
      <c r="K608" s="13"/>
      <c r="L608" s="14"/>
      <c r="M608" s="4"/>
      <c r="N608" s="2"/>
      <c r="O608" s="4"/>
      <c r="P608" s="2"/>
      <c r="Q608" s="2"/>
      <c r="R608" s="4"/>
      <c r="S608" s="2"/>
      <c r="T608" s="2"/>
      <c r="U608" s="1"/>
      <c r="V608" s="2"/>
      <c r="W608" s="2"/>
      <c r="X608" s="2"/>
      <c r="Y608" s="2"/>
      <c r="Z608" s="2"/>
    </row>
    <row r="609" spans="1:26" ht="15.75" customHeight="1" x14ac:dyDescent="0.2">
      <c r="A609" s="12"/>
      <c r="B609" s="10"/>
      <c r="C609" s="11"/>
      <c r="D609" s="13"/>
      <c r="E609" s="13"/>
      <c r="F609" s="13"/>
      <c r="G609" s="2"/>
      <c r="H609" s="2"/>
      <c r="I609" s="13"/>
      <c r="J609" s="13"/>
      <c r="K609" s="13"/>
      <c r="L609" s="14"/>
      <c r="M609" s="4"/>
      <c r="N609" s="2"/>
      <c r="O609" s="4"/>
      <c r="P609" s="2"/>
      <c r="Q609" s="2"/>
      <c r="R609" s="4"/>
      <c r="S609" s="2"/>
      <c r="T609" s="2"/>
      <c r="U609" s="1"/>
      <c r="V609" s="2"/>
      <c r="W609" s="2"/>
      <c r="X609" s="2"/>
      <c r="Y609" s="2"/>
      <c r="Z609" s="2"/>
    </row>
    <row r="610" spans="1:26" ht="15.75" customHeight="1" x14ac:dyDescent="0.2">
      <c r="A610" s="12"/>
      <c r="B610" s="10"/>
      <c r="C610" s="11"/>
      <c r="D610" s="13"/>
      <c r="E610" s="13"/>
      <c r="F610" s="13"/>
      <c r="G610" s="2"/>
      <c r="H610" s="2"/>
      <c r="I610" s="13"/>
      <c r="J610" s="13"/>
      <c r="K610" s="13"/>
      <c r="L610" s="14"/>
      <c r="M610" s="4"/>
      <c r="N610" s="2"/>
      <c r="O610" s="4"/>
      <c r="P610" s="2"/>
      <c r="Q610" s="2"/>
      <c r="R610" s="4"/>
      <c r="S610" s="2"/>
      <c r="T610" s="2"/>
      <c r="U610" s="1"/>
      <c r="V610" s="2"/>
      <c r="W610" s="2"/>
      <c r="X610" s="2"/>
      <c r="Y610" s="2"/>
      <c r="Z610" s="2"/>
    </row>
    <row r="611" spans="1:26" ht="15.75" customHeight="1" x14ac:dyDescent="0.2">
      <c r="A611" s="12"/>
      <c r="B611" s="10"/>
      <c r="C611" s="11"/>
      <c r="D611" s="13"/>
      <c r="E611" s="13"/>
      <c r="F611" s="13"/>
      <c r="G611" s="2"/>
      <c r="H611" s="2"/>
      <c r="I611" s="13"/>
      <c r="J611" s="13"/>
      <c r="K611" s="13"/>
      <c r="L611" s="14"/>
      <c r="M611" s="4"/>
      <c r="N611" s="2"/>
      <c r="O611" s="4"/>
      <c r="P611" s="2"/>
      <c r="Q611" s="2"/>
      <c r="R611" s="4"/>
      <c r="S611" s="2"/>
      <c r="T611" s="2"/>
      <c r="U611" s="1"/>
      <c r="V611" s="2"/>
      <c r="W611" s="2"/>
      <c r="X611" s="2"/>
      <c r="Y611" s="2"/>
      <c r="Z611" s="2"/>
    </row>
    <row r="612" spans="1:26" ht="15.75" customHeight="1" x14ac:dyDescent="0.2">
      <c r="A612" s="12"/>
      <c r="B612" s="10"/>
      <c r="C612" s="11"/>
      <c r="D612" s="13"/>
      <c r="E612" s="13"/>
      <c r="F612" s="13"/>
      <c r="G612" s="2"/>
      <c r="H612" s="2"/>
      <c r="I612" s="13"/>
      <c r="J612" s="13"/>
      <c r="K612" s="13"/>
      <c r="L612" s="14"/>
      <c r="M612" s="4"/>
      <c r="N612" s="2"/>
      <c r="O612" s="4"/>
      <c r="P612" s="2"/>
      <c r="Q612" s="2"/>
      <c r="R612" s="4"/>
      <c r="S612" s="2"/>
      <c r="T612" s="2"/>
      <c r="U612" s="1"/>
      <c r="V612" s="2"/>
      <c r="W612" s="2"/>
      <c r="X612" s="2"/>
      <c r="Y612" s="2"/>
      <c r="Z612" s="2"/>
    </row>
    <row r="613" spans="1:26" ht="15.75" customHeight="1" x14ac:dyDescent="0.2">
      <c r="A613" s="12"/>
      <c r="B613" s="10"/>
      <c r="C613" s="11"/>
      <c r="D613" s="13"/>
      <c r="E613" s="13"/>
      <c r="F613" s="13"/>
      <c r="G613" s="2"/>
      <c r="H613" s="2"/>
      <c r="I613" s="13"/>
      <c r="J613" s="13"/>
      <c r="K613" s="13"/>
      <c r="L613" s="14"/>
      <c r="M613" s="4"/>
      <c r="N613" s="2"/>
      <c r="O613" s="4"/>
      <c r="P613" s="2"/>
      <c r="Q613" s="2"/>
      <c r="R613" s="4"/>
      <c r="S613" s="2"/>
      <c r="T613" s="2"/>
      <c r="U613" s="1"/>
      <c r="V613" s="2"/>
      <c r="W613" s="2"/>
      <c r="X613" s="2"/>
      <c r="Y613" s="2"/>
      <c r="Z613" s="2"/>
    </row>
    <row r="614" spans="1:26" ht="15.75" customHeight="1" x14ac:dyDescent="0.2">
      <c r="A614" s="12"/>
      <c r="B614" s="10"/>
      <c r="C614" s="11"/>
      <c r="D614" s="13"/>
      <c r="E614" s="13"/>
      <c r="F614" s="13"/>
      <c r="G614" s="2"/>
      <c r="H614" s="2"/>
      <c r="I614" s="13"/>
      <c r="J614" s="13"/>
      <c r="K614" s="13"/>
      <c r="L614" s="14"/>
      <c r="M614" s="4"/>
      <c r="N614" s="2"/>
      <c r="O614" s="4"/>
      <c r="P614" s="2"/>
      <c r="Q614" s="2"/>
      <c r="R614" s="4"/>
      <c r="S614" s="2"/>
      <c r="T614" s="2"/>
      <c r="U614" s="1"/>
      <c r="V614" s="2"/>
      <c r="W614" s="2"/>
      <c r="X614" s="2"/>
      <c r="Y614" s="2"/>
      <c r="Z614" s="2"/>
    </row>
    <row r="615" spans="1:26" ht="15.75" customHeight="1" x14ac:dyDescent="0.2">
      <c r="A615" s="12"/>
      <c r="B615" s="10"/>
      <c r="C615" s="11"/>
      <c r="D615" s="13"/>
      <c r="E615" s="13"/>
      <c r="F615" s="13"/>
      <c r="G615" s="2"/>
      <c r="H615" s="2"/>
      <c r="I615" s="13"/>
      <c r="J615" s="13"/>
      <c r="K615" s="13"/>
      <c r="L615" s="14"/>
      <c r="M615" s="4"/>
      <c r="N615" s="2"/>
      <c r="O615" s="4"/>
      <c r="P615" s="2"/>
      <c r="Q615" s="2"/>
      <c r="R615" s="4"/>
      <c r="S615" s="2"/>
      <c r="T615" s="2"/>
      <c r="U615" s="1"/>
      <c r="V615" s="2"/>
      <c r="W615" s="2"/>
      <c r="X615" s="2"/>
      <c r="Y615" s="2"/>
      <c r="Z615" s="2"/>
    </row>
    <row r="616" spans="1:26" ht="15.75" customHeight="1" x14ac:dyDescent="0.2">
      <c r="A616" s="12"/>
      <c r="B616" s="10"/>
      <c r="C616" s="11"/>
      <c r="D616" s="13"/>
      <c r="E616" s="13"/>
      <c r="F616" s="13"/>
      <c r="G616" s="2"/>
      <c r="H616" s="2"/>
      <c r="I616" s="13"/>
      <c r="J616" s="13"/>
      <c r="K616" s="13"/>
      <c r="L616" s="14"/>
      <c r="M616" s="4"/>
      <c r="N616" s="2"/>
      <c r="O616" s="4"/>
      <c r="P616" s="2"/>
      <c r="Q616" s="2"/>
      <c r="R616" s="4"/>
      <c r="S616" s="2"/>
      <c r="T616" s="2"/>
      <c r="U616" s="1"/>
      <c r="V616" s="2"/>
      <c r="W616" s="2"/>
      <c r="X616" s="2"/>
      <c r="Y616" s="2"/>
      <c r="Z616" s="2"/>
    </row>
    <row r="617" spans="1:26" ht="15.75" customHeight="1" x14ac:dyDescent="0.2">
      <c r="A617" s="12"/>
      <c r="B617" s="10"/>
      <c r="C617" s="11"/>
      <c r="D617" s="13"/>
      <c r="E617" s="13"/>
      <c r="F617" s="13"/>
      <c r="G617" s="2"/>
      <c r="H617" s="2"/>
      <c r="I617" s="13"/>
      <c r="J617" s="13"/>
      <c r="K617" s="13"/>
      <c r="L617" s="14"/>
      <c r="M617" s="4"/>
      <c r="N617" s="2"/>
      <c r="O617" s="4"/>
      <c r="P617" s="2"/>
      <c r="Q617" s="2"/>
      <c r="R617" s="4"/>
      <c r="S617" s="2"/>
      <c r="T617" s="2"/>
      <c r="U617" s="1"/>
      <c r="V617" s="2"/>
      <c r="W617" s="2"/>
      <c r="X617" s="2"/>
      <c r="Y617" s="2"/>
      <c r="Z617" s="2"/>
    </row>
    <row r="618" spans="1:26" ht="15.75" customHeight="1" x14ac:dyDescent="0.2">
      <c r="A618" s="12"/>
      <c r="B618" s="10"/>
      <c r="C618" s="11"/>
      <c r="D618" s="13"/>
      <c r="E618" s="13"/>
      <c r="F618" s="13"/>
      <c r="G618" s="2"/>
      <c r="H618" s="2"/>
      <c r="I618" s="13"/>
      <c r="J618" s="13"/>
      <c r="K618" s="13"/>
      <c r="L618" s="14"/>
      <c r="M618" s="4"/>
      <c r="N618" s="2"/>
      <c r="O618" s="4"/>
      <c r="P618" s="2"/>
      <c r="Q618" s="2"/>
      <c r="R618" s="4"/>
      <c r="S618" s="2"/>
      <c r="T618" s="2"/>
      <c r="U618" s="1"/>
      <c r="V618" s="2"/>
      <c r="W618" s="2"/>
      <c r="X618" s="2"/>
      <c r="Y618" s="2"/>
      <c r="Z618" s="2"/>
    </row>
    <row r="619" spans="1:26" ht="15.75" customHeight="1" x14ac:dyDescent="0.2">
      <c r="A619" s="12"/>
      <c r="B619" s="10"/>
      <c r="C619" s="11"/>
      <c r="D619" s="13"/>
      <c r="E619" s="13"/>
      <c r="F619" s="13"/>
      <c r="G619" s="2"/>
      <c r="H619" s="2"/>
      <c r="I619" s="13"/>
      <c r="J619" s="13"/>
      <c r="K619" s="13"/>
      <c r="L619" s="14"/>
      <c r="M619" s="4"/>
      <c r="N619" s="2"/>
      <c r="O619" s="4"/>
      <c r="P619" s="2"/>
      <c r="Q619" s="2"/>
      <c r="R619" s="4"/>
      <c r="S619" s="2"/>
      <c r="T619" s="2"/>
      <c r="U619" s="1"/>
      <c r="V619" s="2"/>
      <c r="W619" s="2"/>
      <c r="X619" s="2"/>
      <c r="Y619" s="2"/>
      <c r="Z619" s="2"/>
    </row>
    <row r="620" spans="1:26" ht="15.75" customHeight="1" x14ac:dyDescent="0.2">
      <c r="A620" s="12"/>
      <c r="B620" s="10"/>
      <c r="C620" s="11"/>
      <c r="D620" s="13"/>
      <c r="E620" s="13"/>
      <c r="F620" s="13"/>
      <c r="G620" s="2"/>
      <c r="H620" s="2"/>
      <c r="I620" s="13"/>
      <c r="J620" s="13"/>
      <c r="K620" s="13"/>
      <c r="L620" s="14"/>
      <c r="M620" s="4"/>
      <c r="N620" s="2"/>
      <c r="O620" s="4"/>
      <c r="P620" s="2"/>
      <c r="Q620" s="2"/>
      <c r="R620" s="4"/>
      <c r="S620" s="2"/>
      <c r="T620" s="2"/>
      <c r="U620" s="1"/>
      <c r="V620" s="2"/>
      <c r="W620" s="2"/>
      <c r="X620" s="2"/>
      <c r="Y620" s="2"/>
      <c r="Z620" s="2"/>
    </row>
    <row r="621" spans="1:26" ht="15.75" customHeight="1" x14ac:dyDescent="0.2">
      <c r="A621" s="12"/>
      <c r="B621" s="10"/>
      <c r="C621" s="11"/>
      <c r="D621" s="13"/>
      <c r="E621" s="13"/>
      <c r="F621" s="13"/>
      <c r="G621" s="2"/>
      <c r="H621" s="2"/>
      <c r="I621" s="13"/>
      <c r="J621" s="13"/>
      <c r="K621" s="13"/>
      <c r="L621" s="14"/>
      <c r="M621" s="4"/>
      <c r="N621" s="2"/>
      <c r="O621" s="4"/>
      <c r="P621" s="2"/>
      <c r="Q621" s="2"/>
      <c r="R621" s="4"/>
      <c r="S621" s="2"/>
      <c r="T621" s="2"/>
      <c r="U621" s="1"/>
      <c r="V621" s="2"/>
      <c r="W621" s="2"/>
      <c r="X621" s="2"/>
      <c r="Y621" s="2"/>
      <c r="Z621" s="2"/>
    </row>
    <row r="622" spans="1:26" ht="15.75" customHeight="1" x14ac:dyDescent="0.2">
      <c r="A622" s="12"/>
      <c r="B622" s="10"/>
      <c r="C622" s="11"/>
      <c r="D622" s="13"/>
      <c r="E622" s="13"/>
      <c r="F622" s="13"/>
      <c r="G622" s="2"/>
      <c r="H622" s="2"/>
      <c r="I622" s="13"/>
      <c r="J622" s="13"/>
      <c r="K622" s="13"/>
      <c r="L622" s="14"/>
      <c r="M622" s="4"/>
      <c r="N622" s="2"/>
      <c r="O622" s="4"/>
      <c r="P622" s="2"/>
      <c r="Q622" s="2"/>
      <c r="R622" s="4"/>
      <c r="S622" s="2"/>
      <c r="T622" s="2"/>
      <c r="U622" s="1"/>
      <c r="V622" s="2"/>
      <c r="W622" s="2"/>
      <c r="X622" s="2"/>
      <c r="Y622" s="2"/>
      <c r="Z622" s="2"/>
    </row>
    <row r="623" spans="1:26" ht="15.75" customHeight="1" x14ac:dyDescent="0.2">
      <c r="A623" s="12"/>
      <c r="B623" s="10"/>
      <c r="C623" s="11"/>
      <c r="D623" s="13"/>
      <c r="E623" s="13"/>
      <c r="F623" s="13"/>
      <c r="G623" s="2"/>
      <c r="H623" s="2"/>
      <c r="I623" s="13"/>
      <c r="J623" s="13"/>
      <c r="K623" s="13"/>
      <c r="L623" s="14"/>
      <c r="M623" s="4"/>
      <c r="N623" s="2"/>
      <c r="O623" s="4"/>
      <c r="P623" s="2"/>
      <c r="Q623" s="2"/>
      <c r="R623" s="4"/>
      <c r="S623" s="2"/>
      <c r="T623" s="2"/>
      <c r="U623" s="1"/>
      <c r="V623" s="2"/>
      <c r="W623" s="2"/>
      <c r="X623" s="2"/>
      <c r="Y623" s="2"/>
      <c r="Z623" s="2"/>
    </row>
    <row r="624" spans="1:26" ht="15.75" customHeight="1" x14ac:dyDescent="0.2">
      <c r="A624" s="12"/>
      <c r="B624" s="10"/>
      <c r="C624" s="11"/>
      <c r="D624" s="13"/>
      <c r="E624" s="13"/>
      <c r="F624" s="13"/>
      <c r="G624" s="2"/>
      <c r="H624" s="2"/>
      <c r="I624" s="13"/>
      <c r="J624" s="13"/>
      <c r="K624" s="13"/>
      <c r="L624" s="14"/>
      <c r="M624" s="4"/>
      <c r="N624" s="2"/>
      <c r="O624" s="4"/>
      <c r="P624" s="2"/>
      <c r="Q624" s="2"/>
      <c r="R624" s="4"/>
      <c r="S624" s="2"/>
      <c r="T624" s="2"/>
      <c r="U624" s="1"/>
      <c r="V624" s="2"/>
      <c r="W624" s="2"/>
      <c r="X624" s="2"/>
      <c r="Y624" s="2"/>
      <c r="Z624" s="2"/>
    </row>
    <row r="625" spans="1:26" ht="15.75" customHeight="1" x14ac:dyDescent="0.2">
      <c r="A625" s="12"/>
      <c r="B625" s="10"/>
      <c r="C625" s="11"/>
      <c r="D625" s="13"/>
      <c r="E625" s="13"/>
      <c r="F625" s="13"/>
      <c r="G625" s="2"/>
      <c r="H625" s="2"/>
      <c r="I625" s="13"/>
      <c r="J625" s="13"/>
      <c r="K625" s="13"/>
      <c r="L625" s="14"/>
      <c r="M625" s="4"/>
      <c r="N625" s="2"/>
      <c r="O625" s="4"/>
      <c r="P625" s="2"/>
      <c r="Q625" s="2"/>
      <c r="R625" s="4"/>
      <c r="S625" s="2"/>
      <c r="T625" s="2"/>
      <c r="U625" s="1"/>
      <c r="V625" s="2"/>
      <c r="W625" s="2"/>
      <c r="X625" s="2"/>
      <c r="Y625" s="2"/>
      <c r="Z625" s="2"/>
    </row>
    <row r="626" spans="1:26" ht="15.75" customHeight="1" x14ac:dyDescent="0.2">
      <c r="A626" s="12"/>
      <c r="B626" s="10"/>
      <c r="C626" s="11"/>
      <c r="D626" s="13"/>
      <c r="E626" s="13"/>
      <c r="F626" s="13"/>
      <c r="G626" s="2"/>
      <c r="H626" s="2"/>
      <c r="I626" s="13"/>
      <c r="J626" s="13"/>
      <c r="K626" s="13"/>
      <c r="L626" s="14"/>
      <c r="M626" s="4"/>
      <c r="N626" s="2"/>
      <c r="O626" s="4"/>
      <c r="P626" s="2"/>
      <c r="Q626" s="2"/>
      <c r="R626" s="4"/>
      <c r="S626" s="2"/>
      <c r="T626" s="2"/>
      <c r="U626" s="1"/>
      <c r="V626" s="2"/>
      <c r="W626" s="2"/>
      <c r="X626" s="2"/>
      <c r="Y626" s="2"/>
      <c r="Z626" s="2"/>
    </row>
    <row r="627" spans="1:26" ht="15.75" customHeight="1" x14ac:dyDescent="0.2">
      <c r="A627" s="12"/>
      <c r="B627" s="10"/>
      <c r="C627" s="11"/>
      <c r="D627" s="13"/>
      <c r="E627" s="13"/>
      <c r="F627" s="13"/>
      <c r="G627" s="2"/>
      <c r="H627" s="2"/>
      <c r="I627" s="13"/>
      <c r="J627" s="13"/>
      <c r="K627" s="13"/>
      <c r="L627" s="14"/>
      <c r="M627" s="4"/>
      <c r="N627" s="2"/>
      <c r="O627" s="4"/>
      <c r="P627" s="2"/>
      <c r="Q627" s="2"/>
      <c r="R627" s="4"/>
      <c r="S627" s="2"/>
      <c r="T627" s="2"/>
      <c r="U627" s="1"/>
      <c r="V627" s="2"/>
      <c r="W627" s="2"/>
      <c r="X627" s="2"/>
      <c r="Y627" s="2"/>
      <c r="Z627" s="2"/>
    </row>
    <row r="628" spans="1:26" ht="15.75" customHeight="1" x14ac:dyDescent="0.2">
      <c r="A628" s="12"/>
      <c r="B628" s="10"/>
      <c r="C628" s="11"/>
      <c r="D628" s="13"/>
      <c r="E628" s="13"/>
      <c r="F628" s="13"/>
      <c r="G628" s="2"/>
      <c r="H628" s="2"/>
      <c r="I628" s="13"/>
      <c r="J628" s="13"/>
      <c r="K628" s="13"/>
      <c r="L628" s="14"/>
      <c r="M628" s="4"/>
      <c r="N628" s="2"/>
      <c r="O628" s="4"/>
      <c r="P628" s="2"/>
      <c r="Q628" s="2"/>
      <c r="R628" s="4"/>
      <c r="S628" s="2"/>
      <c r="T628" s="2"/>
      <c r="U628" s="1"/>
      <c r="V628" s="2"/>
      <c r="W628" s="2"/>
      <c r="X628" s="2"/>
      <c r="Y628" s="2"/>
      <c r="Z628" s="2"/>
    </row>
    <row r="629" spans="1:26" ht="15.75" customHeight="1" x14ac:dyDescent="0.2">
      <c r="A629" s="12"/>
      <c r="B629" s="10"/>
      <c r="C629" s="11"/>
      <c r="D629" s="13"/>
      <c r="E629" s="13"/>
      <c r="F629" s="13"/>
      <c r="G629" s="2"/>
      <c r="H629" s="2"/>
      <c r="I629" s="13"/>
      <c r="J629" s="13"/>
      <c r="K629" s="13"/>
      <c r="L629" s="14"/>
      <c r="M629" s="4"/>
      <c r="N629" s="2"/>
      <c r="O629" s="4"/>
      <c r="P629" s="2"/>
      <c r="Q629" s="2"/>
      <c r="R629" s="4"/>
      <c r="S629" s="2"/>
      <c r="T629" s="2"/>
      <c r="U629" s="1"/>
      <c r="V629" s="2"/>
      <c r="W629" s="2"/>
      <c r="X629" s="2"/>
      <c r="Y629" s="2"/>
      <c r="Z629" s="2"/>
    </row>
    <row r="630" spans="1:26" ht="15.75" customHeight="1" x14ac:dyDescent="0.2">
      <c r="A630" s="12"/>
      <c r="B630" s="10"/>
      <c r="C630" s="11"/>
      <c r="D630" s="13"/>
      <c r="E630" s="13"/>
      <c r="F630" s="13"/>
      <c r="G630" s="2"/>
      <c r="H630" s="2"/>
      <c r="I630" s="13"/>
      <c r="J630" s="13"/>
      <c r="K630" s="13"/>
      <c r="L630" s="14"/>
      <c r="M630" s="4"/>
      <c r="N630" s="2"/>
      <c r="O630" s="4"/>
      <c r="P630" s="2"/>
      <c r="Q630" s="2"/>
      <c r="R630" s="4"/>
      <c r="S630" s="2"/>
      <c r="T630" s="2"/>
      <c r="U630" s="1"/>
      <c r="V630" s="2"/>
      <c r="W630" s="2"/>
      <c r="X630" s="2"/>
      <c r="Y630" s="2"/>
      <c r="Z630" s="2"/>
    </row>
    <row r="631" spans="1:26" ht="15.75" customHeight="1" x14ac:dyDescent="0.2">
      <c r="A631" s="12"/>
      <c r="B631" s="10"/>
      <c r="C631" s="11"/>
      <c r="D631" s="13"/>
      <c r="E631" s="13"/>
      <c r="F631" s="13"/>
      <c r="G631" s="2"/>
      <c r="H631" s="2"/>
      <c r="I631" s="13"/>
      <c r="J631" s="13"/>
      <c r="K631" s="13"/>
      <c r="L631" s="14"/>
      <c r="M631" s="4"/>
      <c r="N631" s="2"/>
      <c r="O631" s="4"/>
      <c r="P631" s="2"/>
      <c r="Q631" s="2"/>
      <c r="R631" s="4"/>
      <c r="S631" s="2"/>
      <c r="T631" s="2"/>
      <c r="U631" s="1"/>
      <c r="V631" s="2"/>
      <c r="W631" s="2"/>
      <c r="X631" s="2"/>
      <c r="Y631" s="2"/>
      <c r="Z631" s="2"/>
    </row>
    <row r="632" spans="1:26" ht="15.75" customHeight="1" x14ac:dyDescent="0.2">
      <c r="A632" s="12"/>
      <c r="B632" s="10"/>
      <c r="C632" s="11"/>
      <c r="D632" s="13"/>
      <c r="E632" s="13"/>
      <c r="F632" s="13"/>
      <c r="G632" s="2"/>
      <c r="H632" s="2"/>
      <c r="I632" s="13"/>
      <c r="J632" s="13"/>
      <c r="K632" s="13"/>
      <c r="L632" s="14"/>
      <c r="M632" s="4"/>
      <c r="N632" s="2"/>
      <c r="O632" s="4"/>
      <c r="P632" s="2"/>
      <c r="Q632" s="2"/>
      <c r="R632" s="4"/>
      <c r="S632" s="2"/>
      <c r="T632" s="2"/>
      <c r="U632" s="1"/>
      <c r="V632" s="2"/>
      <c r="W632" s="2"/>
      <c r="X632" s="2"/>
      <c r="Y632" s="2"/>
      <c r="Z632" s="2"/>
    </row>
    <row r="633" spans="1:26" ht="15.75" customHeight="1" x14ac:dyDescent="0.2">
      <c r="A633" s="12"/>
      <c r="B633" s="10"/>
      <c r="C633" s="11"/>
      <c r="D633" s="13"/>
      <c r="E633" s="13"/>
      <c r="F633" s="13"/>
      <c r="G633" s="2"/>
      <c r="H633" s="2"/>
      <c r="I633" s="13"/>
      <c r="J633" s="13"/>
      <c r="K633" s="13"/>
      <c r="L633" s="14"/>
      <c r="M633" s="4"/>
      <c r="N633" s="2"/>
      <c r="O633" s="4"/>
      <c r="P633" s="2"/>
      <c r="Q633" s="2"/>
      <c r="R633" s="4"/>
      <c r="S633" s="2"/>
      <c r="T633" s="2"/>
      <c r="U633" s="1"/>
      <c r="V633" s="2"/>
      <c r="W633" s="2"/>
      <c r="X633" s="2"/>
      <c r="Y633" s="2"/>
      <c r="Z633" s="2"/>
    </row>
    <row r="634" spans="1:26" ht="15.75" customHeight="1" x14ac:dyDescent="0.2">
      <c r="A634" s="12"/>
      <c r="B634" s="10"/>
      <c r="C634" s="11"/>
      <c r="D634" s="13"/>
      <c r="E634" s="13"/>
      <c r="F634" s="13"/>
      <c r="G634" s="2"/>
      <c r="H634" s="2"/>
      <c r="I634" s="13"/>
      <c r="J634" s="13"/>
      <c r="K634" s="13"/>
      <c r="L634" s="14"/>
      <c r="M634" s="4"/>
      <c r="N634" s="2"/>
      <c r="O634" s="4"/>
      <c r="P634" s="2"/>
      <c r="Q634" s="2"/>
      <c r="R634" s="4"/>
      <c r="S634" s="2"/>
      <c r="T634" s="2"/>
      <c r="U634" s="1"/>
      <c r="V634" s="2"/>
      <c r="W634" s="2"/>
      <c r="X634" s="2"/>
      <c r="Y634" s="2"/>
      <c r="Z634" s="2"/>
    </row>
    <row r="635" spans="1:26" ht="15.75" customHeight="1" x14ac:dyDescent="0.2">
      <c r="A635" s="12"/>
      <c r="B635" s="10"/>
      <c r="C635" s="11"/>
      <c r="D635" s="13"/>
      <c r="E635" s="13"/>
      <c r="F635" s="13"/>
      <c r="G635" s="2"/>
      <c r="H635" s="2"/>
      <c r="I635" s="13"/>
      <c r="J635" s="13"/>
      <c r="K635" s="13"/>
      <c r="L635" s="14"/>
      <c r="M635" s="4"/>
      <c r="N635" s="2"/>
      <c r="O635" s="4"/>
      <c r="P635" s="2"/>
      <c r="Q635" s="2"/>
      <c r="R635" s="4"/>
      <c r="S635" s="2"/>
      <c r="T635" s="2"/>
      <c r="U635" s="1"/>
      <c r="V635" s="2"/>
      <c r="W635" s="2"/>
      <c r="X635" s="2"/>
      <c r="Y635" s="2"/>
      <c r="Z635" s="2"/>
    </row>
    <row r="636" spans="1:26" ht="15.75" customHeight="1" x14ac:dyDescent="0.2">
      <c r="A636" s="12"/>
      <c r="B636" s="10"/>
      <c r="C636" s="11"/>
      <c r="D636" s="13"/>
      <c r="E636" s="13"/>
      <c r="F636" s="13"/>
      <c r="G636" s="2"/>
      <c r="H636" s="2"/>
      <c r="I636" s="13"/>
      <c r="J636" s="13"/>
      <c r="K636" s="13"/>
      <c r="L636" s="14"/>
      <c r="M636" s="4"/>
      <c r="N636" s="2"/>
      <c r="O636" s="4"/>
      <c r="P636" s="2"/>
      <c r="Q636" s="2"/>
      <c r="R636" s="4"/>
      <c r="S636" s="2"/>
      <c r="T636" s="2"/>
      <c r="U636" s="1"/>
      <c r="V636" s="2"/>
      <c r="W636" s="2"/>
      <c r="X636" s="2"/>
      <c r="Y636" s="2"/>
      <c r="Z636" s="2"/>
    </row>
    <row r="637" spans="1:26" ht="15.75" customHeight="1" x14ac:dyDescent="0.2">
      <c r="A637" s="12"/>
      <c r="B637" s="10"/>
      <c r="C637" s="11"/>
      <c r="D637" s="13"/>
      <c r="E637" s="13"/>
      <c r="F637" s="13"/>
      <c r="G637" s="2"/>
      <c r="H637" s="2"/>
      <c r="I637" s="13"/>
      <c r="J637" s="13"/>
      <c r="K637" s="13"/>
      <c r="L637" s="14"/>
      <c r="M637" s="4"/>
      <c r="N637" s="2"/>
      <c r="O637" s="4"/>
      <c r="P637" s="2"/>
      <c r="Q637" s="2"/>
      <c r="R637" s="4"/>
      <c r="S637" s="2"/>
      <c r="T637" s="2"/>
      <c r="U637" s="1"/>
      <c r="V637" s="2"/>
      <c r="W637" s="2"/>
      <c r="X637" s="2"/>
      <c r="Y637" s="2"/>
      <c r="Z637" s="2"/>
    </row>
    <row r="638" spans="1:26" ht="15.75" customHeight="1" x14ac:dyDescent="0.2">
      <c r="A638" s="12"/>
      <c r="B638" s="10"/>
      <c r="C638" s="11"/>
      <c r="D638" s="13"/>
      <c r="E638" s="13"/>
      <c r="F638" s="13"/>
      <c r="G638" s="2"/>
      <c r="H638" s="2"/>
      <c r="I638" s="13"/>
      <c r="J638" s="13"/>
      <c r="K638" s="13"/>
      <c r="L638" s="14"/>
      <c r="M638" s="4"/>
      <c r="N638" s="2"/>
      <c r="O638" s="4"/>
      <c r="P638" s="2"/>
      <c r="Q638" s="2"/>
      <c r="R638" s="4"/>
      <c r="S638" s="2"/>
      <c r="T638" s="2"/>
      <c r="U638" s="1"/>
      <c r="V638" s="2"/>
      <c r="W638" s="2"/>
      <c r="X638" s="2"/>
      <c r="Y638" s="2"/>
      <c r="Z638" s="2"/>
    </row>
    <row r="639" spans="1:26" ht="15.75" customHeight="1" x14ac:dyDescent="0.2">
      <c r="A639" s="12"/>
      <c r="B639" s="10"/>
      <c r="C639" s="11"/>
      <c r="D639" s="13"/>
      <c r="E639" s="13"/>
      <c r="F639" s="13"/>
      <c r="G639" s="2"/>
      <c r="H639" s="2"/>
      <c r="I639" s="13"/>
      <c r="J639" s="13"/>
      <c r="K639" s="13"/>
      <c r="L639" s="14"/>
      <c r="M639" s="4"/>
      <c r="N639" s="2"/>
      <c r="O639" s="4"/>
      <c r="P639" s="2"/>
      <c r="Q639" s="2"/>
      <c r="R639" s="4"/>
      <c r="S639" s="2"/>
      <c r="T639" s="2"/>
      <c r="U639" s="1"/>
      <c r="V639" s="2"/>
      <c r="W639" s="2"/>
      <c r="X639" s="2"/>
      <c r="Y639" s="2"/>
      <c r="Z639" s="2"/>
    </row>
    <row r="640" spans="1:26" ht="15.75" customHeight="1" x14ac:dyDescent="0.2">
      <c r="A640" s="12"/>
      <c r="B640" s="10"/>
      <c r="C640" s="11"/>
      <c r="D640" s="13"/>
      <c r="E640" s="13"/>
      <c r="F640" s="13"/>
      <c r="G640" s="2"/>
      <c r="H640" s="2"/>
      <c r="I640" s="13"/>
      <c r="J640" s="13"/>
      <c r="K640" s="13"/>
      <c r="L640" s="14"/>
      <c r="M640" s="4"/>
      <c r="N640" s="2"/>
      <c r="O640" s="4"/>
      <c r="P640" s="2"/>
      <c r="Q640" s="2"/>
      <c r="R640" s="4"/>
      <c r="S640" s="2"/>
      <c r="T640" s="2"/>
      <c r="U640" s="1"/>
      <c r="V640" s="2"/>
      <c r="W640" s="2"/>
      <c r="X640" s="2"/>
      <c r="Y640" s="2"/>
      <c r="Z640" s="2"/>
    </row>
    <row r="641" spans="1:26" ht="15.75" customHeight="1" x14ac:dyDescent="0.2">
      <c r="A641" s="12"/>
      <c r="B641" s="10"/>
      <c r="C641" s="11"/>
      <c r="D641" s="13"/>
      <c r="E641" s="13"/>
      <c r="F641" s="13"/>
      <c r="G641" s="2"/>
      <c r="H641" s="2"/>
      <c r="I641" s="13"/>
      <c r="J641" s="13"/>
      <c r="K641" s="13"/>
      <c r="L641" s="14"/>
      <c r="M641" s="4"/>
      <c r="N641" s="2"/>
      <c r="O641" s="4"/>
      <c r="P641" s="2"/>
      <c r="Q641" s="2"/>
      <c r="R641" s="4"/>
      <c r="S641" s="2"/>
      <c r="T641" s="2"/>
      <c r="U641" s="1"/>
      <c r="V641" s="2"/>
      <c r="W641" s="2"/>
      <c r="X641" s="2"/>
      <c r="Y641" s="2"/>
      <c r="Z641" s="2"/>
    </row>
    <row r="642" spans="1:26" ht="15.75" customHeight="1" x14ac:dyDescent="0.2">
      <c r="A642" s="12"/>
      <c r="B642" s="10"/>
      <c r="C642" s="11"/>
      <c r="D642" s="13"/>
      <c r="E642" s="13"/>
      <c r="F642" s="13"/>
      <c r="G642" s="2"/>
      <c r="H642" s="2"/>
      <c r="I642" s="13"/>
      <c r="J642" s="13"/>
      <c r="K642" s="13"/>
      <c r="L642" s="14"/>
      <c r="M642" s="4"/>
      <c r="N642" s="2"/>
      <c r="O642" s="4"/>
      <c r="P642" s="2"/>
      <c r="Q642" s="2"/>
      <c r="R642" s="4"/>
      <c r="S642" s="2"/>
      <c r="T642" s="2"/>
      <c r="U642" s="1"/>
      <c r="V642" s="2"/>
      <c r="W642" s="2"/>
      <c r="X642" s="2"/>
      <c r="Y642" s="2"/>
      <c r="Z642" s="2"/>
    </row>
    <row r="643" spans="1:26" ht="15.75" customHeight="1" x14ac:dyDescent="0.2">
      <c r="A643" s="12"/>
      <c r="B643" s="10"/>
      <c r="C643" s="11"/>
      <c r="D643" s="13"/>
      <c r="E643" s="13"/>
      <c r="F643" s="13"/>
      <c r="G643" s="2"/>
      <c r="H643" s="2"/>
      <c r="I643" s="13"/>
      <c r="J643" s="13"/>
      <c r="K643" s="13"/>
      <c r="L643" s="14"/>
      <c r="M643" s="4"/>
      <c r="N643" s="2"/>
      <c r="O643" s="4"/>
      <c r="P643" s="2"/>
      <c r="Q643" s="2"/>
      <c r="R643" s="4"/>
      <c r="S643" s="2"/>
      <c r="T643" s="2"/>
      <c r="U643" s="1"/>
      <c r="V643" s="2"/>
      <c r="W643" s="2"/>
      <c r="X643" s="2"/>
      <c r="Y643" s="2"/>
      <c r="Z643" s="2"/>
    </row>
    <row r="644" spans="1:26" ht="15.75" customHeight="1" x14ac:dyDescent="0.2">
      <c r="A644" s="12"/>
      <c r="B644" s="10"/>
      <c r="C644" s="11"/>
      <c r="D644" s="13"/>
      <c r="E644" s="13"/>
      <c r="F644" s="13"/>
      <c r="G644" s="2"/>
      <c r="H644" s="2"/>
      <c r="I644" s="13"/>
      <c r="J644" s="13"/>
      <c r="K644" s="13"/>
      <c r="L644" s="14"/>
      <c r="M644" s="4"/>
      <c r="N644" s="2"/>
      <c r="O644" s="4"/>
      <c r="P644" s="2"/>
      <c r="Q644" s="2"/>
      <c r="R644" s="4"/>
      <c r="S644" s="2"/>
      <c r="T644" s="2"/>
      <c r="U644" s="1"/>
      <c r="V644" s="2"/>
      <c r="W644" s="2"/>
      <c r="X644" s="2"/>
      <c r="Y644" s="2"/>
      <c r="Z644" s="2"/>
    </row>
    <row r="645" spans="1:26" ht="15.75" customHeight="1" x14ac:dyDescent="0.2">
      <c r="A645" s="12"/>
      <c r="B645" s="10"/>
      <c r="C645" s="11"/>
      <c r="D645" s="13"/>
      <c r="E645" s="13"/>
      <c r="F645" s="13"/>
      <c r="G645" s="2"/>
      <c r="H645" s="2"/>
      <c r="I645" s="13"/>
      <c r="J645" s="13"/>
      <c r="K645" s="13"/>
      <c r="L645" s="14"/>
      <c r="M645" s="4"/>
      <c r="N645" s="2"/>
      <c r="O645" s="4"/>
      <c r="P645" s="2"/>
      <c r="Q645" s="2"/>
      <c r="R645" s="4"/>
      <c r="S645" s="2"/>
      <c r="T645" s="2"/>
      <c r="U645" s="1"/>
      <c r="V645" s="2"/>
      <c r="W645" s="2"/>
      <c r="X645" s="2"/>
      <c r="Y645" s="2"/>
      <c r="Z645" s="2"/>
    </row>
    <row r="646" spans="1:26" ht="15.75" customHeight="1" x14ac:dyDescent="0.2">
      <c r="A646" s="12"/>
      <c r="B646" s="10"/>
      <c r="C646" s="11"/>
      <c r="D646" s="13"/>
      <c r="E646" s="13"/>
      <c r="F646" s="13"/>
      <c r="G646" s="2"/>
      <c r="H646" s="2"/>
      <c r="I646" s="13"/>
      <c r="J646" s="13"/>
      <c r="K646" s="13"/>
      <c r="L646" s="14"/>
      <c r="M646" s="4"/>
      <c r="N646" s="2"/>
      <c r="O646" s="4"/>
      <c r="P646" s="2"/>
      <c r="Q646" s="2"/>
      <c r="R646" s="4"/>
      <c r="S646" s="2"/>
      <c r="T646" s="2"/>
      <c r="U646" s="1"/>
      <c r="V646" s="2"/>
      <c r="W646" s="2"/>
      <c r="X646" s="2"/>
      <c r="Y646" s="2"/>
      <c r="Z646" s="2"/>
    </row>
    <row r="647" spans="1:26" ht="15.75" customHeight="1" x14ac:dyDescent="0.2">
      <c r="A647" s="12"/>
      <c r="B647" s="10"/>
      <c r="C647" s="11"/>
      <c r="D647" s="13"/>
      <c r="E647" s="13"/>
      <c r="F647" s="13"/>
      <c r="G647" s="2"/>
      <c r="H647" s="2"/>
      <c r="I647" s="13"/>
      <c r="J647" s="13"/>
      <c r="K647" s="13"/>
      <c r="L647" s="14"/>
      <c r="M647" s="4"/>
      <c r="N647" s="2"/>
      <c r="O647" s="4"/>
      <c r="P647" s="2"/>
      <c r="Q647" s="2"/>
      <c r="R647" s="4"/>
      <c r="S647" s="2"/>
      <c r="T647" s="2"/>
      <c r="U647" s="1"/>
      <c r="V647" s="2"/>
      <c r="W647" s="2"/>
      <c r="X647" s="2"/>
      <c r="Y647" s="2"/>
      <c r="Z647" s="2"/>
    </row>
    <row r="648" spans="1:26" ht="15.75" customHeight="1" x14ac:dyDescent="0.2">
      <c r="A648" s="12"/>
      <c r="B648" s="10"/>
      <c r="C648" s="11"/>
      <c r="D648" s="13"/>
      <c r="E648" s="13"/>
      <c r="F648" s="13"/>
      <c r="G648" s="2"/>
      <c r="H648" s="2"/>
      <c r="I648" s="13"/>
      <c r="J648" s="13"/>
      <c r="K648" s="13"/>
      <c r="L648" s="14"/>
      <c r="M648" s="4"/>
      <c r="N648" s="2"/>
      <c r="O648" s="4"/>
      <c r="P648" s="2"/>
      <c r="Q648" s="2"/>
      <c r="R648" s="4"/>
      <c r="S648" s="2"/>
      <c r="T648" s="2"/>
      <c r="U648" s="1"/>
      <c r="V648" s="2"/>
      <c r="W648" s="2"/>
      <c r="X648" s="2"/>
      <c r="Y648" s="2"/>
      <c r="Z648" s="2"/>
    </row>
    <row r="649" spans="1:26" ht="15.75" customHeight="1" x14ac:dyDescent="0.2">
      <c r="A649" s="12"/>
      <c r="B649" s="10"/>
      <c r="C649" s="11"/>
      <c r="D649" s="13"/>
      <c r="E649" s="13"/>
      <c r="F649" s="13"/>
      <c r="G649" s="2"/>
      <c r="H649" s="2"/>
      <c r="I649" s="13"/>
      <c r="J649" s="13"/>
      <c r="K649" s="13"/>
      <c r="L649" s="14"/>
      <c r="M649" s="4"/>
      <c r="N649" s="2"/>
      <c r="O649" s="4"/>
      <c r="P649" s="2"/>
      <c r="Q649" s="2"/>
      <c r="R649" s="4"/>
      <c r="S649" s="2"/>
      <c r="T649" s="2"/>
      <c r="U649" s="1"/>
      <c r="V649" s="2"/>
      <c r="W649" s="2"/>
      <c r="X649" s="2"/>
      <c r="Y649" s="2"/>
      <c r="Z649" s="2"/>
    </row>
    <row r="650" spans="1:26" ht="15.75" customHeight="1" x14ac:dyDescent="0.2">
      <c r="A650" s="12"/>
      <c r="B650" s="10"/>
      <c r="C650" s="11"/>
      <c r="D650" s="13"/>
      <c r="E650" s="13"/>
      <c r="F650" s="13"/>
      <c r="G650" s="2"/>
      <c r="H650" s="2"/>
      <c r="I650" s="13"/>
      <c r="J650" s="13"/>
      <c r="K650" s="13"/>
      <c r="L650" s="14"/>
      <c r="M650" s="4"/>
      <c r="N650" s="2"/>
      <c r="O650" s="4"/>
      <c r="P650" s="2"/>
      <c r="Q650" s="2"/>
      <c r="R650" s="4"/>
      <c r="S650" s="2"/>
      <c r="T650" s="2"/>
      <c r="U650" s="1"/>
      <c r="V650" s="2"/>
      <c r="W650" s="2"/>
      <c r="X650" s="2"/>
      <c r="Y650" s="2"/>
      <c r="Z650" s="2"/>
    </row>
    <row r="651" spans="1:26" ht="15.75" customHeight="1" x14ac:dyDescent="0.2">
      <c r="A651" s="12"/>
      <c r="B651" s="10"/>
      <c r="C651" s="11"/>
      <c r="D651" s="13"/>
      <c r="E651" s="13"/>
      <c r="F651" s="13"/>
      <c r="G651" s="2"/>
      <c r="H651" s="2"/>
      <c r="I651" s="13"/>
      <c r="J651" s="13"/>
      <c r="K651" s="13"/>
      <c r="L651" s="14"/>
      <c r="M651" s="4"/>
      <c r="N651" s="2"/>
      <c r="O651" s="4"/>
      <c r="P651" s="2"/>
      <c r="Q651" s="2"/>
      <c r="R651" s="4"/>
      <c r="S651" s="2"/>
      <c r="T651" s="2"/>
      <c r="U651" s="1"/>
      <c r="V651" s="2"/>
      <c r="W651" s="2"/>
      <c r="X651" s="2"/>
      <c r="Y651" s="2"/>
      <c r="Z651" s="2"/>
    </row>
    <row r="652" spans="1:26" ht="15.75" customHeight="1" x14ac:dyDescent="0.2">
      <c r="A652" s="12"/>
      <c r="B652" s="10"/>
      <c r="C652" s="11"/>
      <c r="D652" s="13"/>
      <c r="E652" s="13"/>
      <c r="F652" s="13"/>
      <c r="G652" s="2"/>
      <c r="H652" s="2"/>
      <c r="I652" s="13"/>
      <c r="J652" s="13"/>
      <c r="K652" s="13"/>
      <c r="L652" s="14"/>
      <c r="M652" s="4"/>
      <c r="N652" s="2"/>
      <c r="O652" s="4"/>
      <c r="P652" s="2"/>
      <c r="Q652" s="2"/>
      <c r="R652" s="4"/>
      <c r="S652" s="2"/>
      <c r="T652" s="2"/>
      <c r="U652" s="1"/>
      <c r="V652" s="2"/>
      <c r="W652" s="2"/>
      <c r="X652" s="2"/>
      <c r="Y652" s="2"/>
      <c r="Z652" s="2"/>
    </row>
    <row r="653" spans="1:26" ht="15.75" customHeight="1" x14ac:dyDescent="0.2">
      <c r="A653" s="12"/>
      <c r="B653" s="10"/>
      <c r="C653" s="11"/>
      <c r="D653" s="13"/>
      <c r="E653" s="13"/>
      <c r="F653" s="13"/>
      <c r="G653" s="2"/>
      <c r="H653" s="2"/>
      <c r="I653" s="13"/>
      <c r="J653" s="13"/>
      <c r="K653" s="13"/>
      <c r="L653" s="14"/>
      <c r="M653" s="4"/>
      <c r="N653" s="2"/>
      <c r="O653" s="4"/>
      <c r="P653" s="2"/>
      <c r="Q653" s="2"/>
      <c r="R653" s="4"/>
      <c r="S653" s="2"/>
      <c r="T653" s="2"/>
      <c r="U653" s="1"/>
      <c r="V653" s="2"/>
      <c r="W653" s="2"/>
      <c r="X653" s="2"/>
      <c r="Y653" s="2"/>
      <c r="Z653" s="2"/>
    </row>
    <row r="654" spans="1:26" ht="15.75" customHeight="1" x14ac:dyDescent="0.2">
      <c r="A654" s="12"/>
      <c r="B654" s="10"/>
      <c r="C654" s="11"/>
      <c r="D654" s="13"/>
      <c r="E654" s="13"/>
      <c r="F654" s="13"/>
      <c r="G654" s="2"/>
      <c r="H654" s="2"/>
      <c r="I654" s="13"/>
      <c r="J654" s="13"/>
      <c r="K654" s="13"/>
      <c r="L654" s="14"/>
      <c r="M654" s="4"/>
      <c r="N654" s="2"/>
      <c r="O654" s="4"/>
      <c r="P654" s="2"/>
      <c r="Q654" s="2"/>
      <c r="R654" s="4"/>
      <c r="S654" s="2"/>
      <c r="T654" s="2"/>
      <c r="U654" s="1"/>
      <c r="V654" s="2"/>
      <c r="W654" s="2"/>
      <c r="X654" s="2"/>
      <c r="Y654" s="2"/>
      <c r="Z654" s="2"/>
    </row>
    <row r="655" spans="1:26" ht="15.75" customHeight="1" x14ac:dyDescent="0.2">
      <c r="A655" s="12"/>
      <c r="B655" s="10"/>
      <c r="C655" s="11"/>
      <c r="D655" s="13"/>
      <c r="E655" s="13"/>
      <c r="F655" s="13"/>
      <c r="G655" s="2"/>
      <c r="H655" s="2"/>
      <c r="I655" s="13"/>
      <c r="J655" s="13"/>
      <c r="K655" s="13"/>
      <c r="L655" s="14"/>
      <c r="M655" s="4"/>
      <c r="N655" s="2"/>
      <c r="O655" s="4"/>
      <c r="P655" s="2"/>
      <c r="Q655" s="2"/>
      <c r="R655" s="4"/>
      <c r="S655" s="2"/>
      <c r="T655" s="2"/>
      <c r="U655" s="1"/>
      <c r="V655" s="2"/>
      <c r="W655" s="2"/>
      <c r="X655" s="2"/>
      <c r="Y655" s="2"/>
      <c r="Z655" s="2"/>
    </row>
    <row r="656" spans="1:26" ht="15.75" customHeight="1" x14ac:dyDescent="0.2">
      <c r="A656" s="12"/>
      <c r="B656" s="10"/>
      <c r="C656" s="11"/>
      <c r="D656" s="13"/>
      <c r="E656" s="13"/>
      <c r="F656" s="13"/>
      <c r="G656" s="2"/>
      <c r="H656" s="2"/>
      <c r="I656" s="13"/>
      <c r="J656" s="13"/>
      <c r="K656" s="13"/>
      <c r="L656" s="14"/>
      <c r="M656" s="4"/>
      <c r="N656" s="2"/>
      <c r="O656" s="4"/>
      <c r="P656" s="2"/>
      <c r="Q656" s="2"/>
      <c r="R656" s="4"/>
      <c r="S656" s="2"/>
      <c r="T656" s="2"/>
      <c r="U656" s="1"/>
      <c r="V656" s="2"/>
      <c r="W656" s="2"/>
      <c r="X656" s="2"/>
      <c r="Y656" s="2"/>
      <c r="Z656" s="2"/>
    </row>
    <row r="657" spans="1:26" ht="15.75" customHeight="1" x14ac:dyDescent="0.2">
      <c r="A657" s="12"/>
      <c r="B657" s="10"/>
      <c r="C657" s="11"/>
      <c r="D657" s="13"/>
      <c r="E657" s="13"/>
      <c r="F657" s="13"/>
      <c r="G657" s="2"/>
      <c r="H657" s="2"/>
      <c r="I657" s="13"/>
      <c r="J657" s="13"/>
      <c r="K657" s="13"/>
      <c r="L657" s="14"/>
      <c r="M657" s="4"/>
      <c r="N657" s="2"/>
      <c r="O657" s="4"/>
      <c r="P657" s="2"/>
      <c r="Q657" s="2"/>
      <c r="R657" s="4"/>
      <c r="S657" s="2"/>
      <c r="T657" s="2"/>
      <c r="U657" s="1"/>
      <c r="V657" s="2"/>
      <c r="W657" s="2"/>
      <c r="X657" s="2"/>
      <c r="Y657" s="2"/>
      <c r="Z657" s="2"/>
    </row>
    <row r="658" spans="1:26" ht="15.75" customHeight="1" x14ac:dyDescent="0.2">
      <c r="A658" s="12"/>
      <c r="B658" s="10"/>
      <c r="C658" s="11"/>
      <c r="D658" s="13"/>
      <c r="E658" s="13"/>
      <c r="F658" s="13"/>
      <c r="G658" s="2"/>
      <c r="H658" s="2"/>
      <c r="I658" s="13"/>
      <c r="J658" s="13"/>
      <c r="K658" s="13"/>
      <c r="L658" s="14"/>
      <c r="M658" s="4"/>
      <c r="N658" s="2"/>
      <c r="O658" s="4"/>
      <c r="P658" s="2"/>
      <c r="Q658" s="2"/>
      <c r="R658" s="4"/>
      <c r="S658" s="2"/>
      <c r="T658" s="2"/>
      <c r="U658" s="1"/>
      <c r="V658" s="2"/>
      <c r="W658" s="2"/>
      <c r="X658" s="2"/>
      <c r="Y658" s="2"/>
      <c r="Z658" s="2"/>
    </row>
    <row r="659" spans="1:26" ht="15.75" customHeight="1" x14ac:dyDescent="0.2">
      <c r="A659" s="12"/>
      <c r="B659" s="10"/>
      <c r="C659" s="11"/>
      <c r="D659" s="13"/>
      <c r="E659" s="13"/>
      <c r="F659" s="13"/>
      <c r="G659" s="2"/>
      <c r="H659" s="2"/>
      <c r="I659" s="13"/>
      <c r="J659" s="13"/>
      <c r="K659" s="13"/>
      <c r="L659" s="14"/>
      <c r="M659" s="4"/>
      <c r="N659" s="2"/>
      <c r="O659" s="4"/>
      <c r="P659" s="2"/>
      <c r="Q659" s="2"/>
      <c r="R659" s="4"/>
      <c r="S659" s="2"/>
      <c r="T659" s="2"/>
      <c r="U659" s="1"/>
      <c r="V659" s="2"/>
      <c r="W659" s="2"/>
      <c r="X659" s="2"/>
      <c r="Y659" s="2"/>
      <c r="Z659" s="2"/>
    </row>
    <row r="660" spans="1:26" ht="15.75" customHeight="1" x14ac:dyDescent="0.2">
      <c r="A660" s="12"/>
      <c r="B660" s="10"/>
      <c r="C660" s="11"/>
      <c r="D660" s="13"/>
      <c r="E660" s="13"/>
      <c r="F660" s="13"/>
      <c r="G660" s="2"/>
      <c r="H660" s="2"/>
      <c r="I660" s="13"/>
      <c r="J660" s="13"/>
      <c r="K660" s="13"/>
      <c r="L660" s="14"/>
      <c r="M660" s="4"/>
      <c r="N660" s="2"/>
      <c r="O660" s="4"/>
      <c r="P660" s="2"/>
      <c r="Q660" s="2"/>
      <c r="R660" s="4"/>
      <c r="S660" s="2"/>
      <c r="T660" s="2"/>
      <c r="U660" s="1"/>
      <c r="V660" s="2"/>
      <c r="W660" s="2"/>
      <c r="X660" s="2"/>
      <c r="Y660" s="2"/>
      <c r="Z660" s="2"/>
    </row>
    <row r="661" spans="1:26" ht="15.75" customHeight="1" x14ac:dyDescent="0.2">
      <c r="A661" s="12"/>
      <c r="B661" s="10"/>
      <c r="C661" s="11"/>
      <c r="D661" s="13"/>
      <c r="E661" s="13"/>
      <c r="F661" s="13"/>
      <c r="G661" s="2"/>
      <c r="H661" s="2"/>
      <c r="I661" s="13"/>
      <c r="J661" s="13"/>
      <c r="K661" s="13"/>
      <c r="L661" s="14"/>
      <c r="M661" s="4"/>
      <c r="N661" s="2"/>
      <c r="O661" s="4"/>
      <c r="P661" s="2"/>
      <c r="Q661" s="2"/>
      <c r="R661" s="4"/>
      <c r="S661" s="2"/>
      <c r="T661" s="2"/>
      <c r="U661" s="1"/>
      <c r="V661" s="2"/>
      <c r="W661" s="2"/>
      <c r="X661" s="2"/>
      <c r="Y661" s="2"/>
      <c r="Z661" s="2"/>
    </row>
    <row r="662" spans="1:26" ht="15.75" customHeight="1" x14ac:dyDescent="0.2">
      <c r="A662" s="12"/>
      <c r="B662" s="10"/>
      <c r="C662" s="11"/>
      <c r="D662" s="13"/>
      <c r="E662" s="13"/>
      <c r="F662" s="13"/>
      <c r="G662" s="2"/>
      <c r="H662" s="2"/>
      <c r="I662" s="13"/>
      <c r="J662" s="13"/>
      <c r="K662" s="13"/>
      <c r="L662" s="14"/>
      <c r="M662" s="4"/>
      <c r="N662" s="2"/>
      <c r="O662" s="4"/>
      <c r="P662" s="2"/>
      <c r="Q662" s="2"/>
      <c r="R662" s="4"/>
      <c r="S662" s="2"/>
      <c r="T662" s="2"/>
      <c r="U662" s="1"/>
      <c r="V662" s="2"/>
      <c r="W662" s="2"/>
      <c r="X662" s="2"/>
      <c r="Y662" s="2"/>
      <c r="Z662" s="2"/>
    </row>
    <row r="663" spans="1:26" ht="15.75" customHeight="1" x14ac:dyDescent="0.2">
      <c r="A663" s="12"/>
      <c r="B663" s="10"/>
      <c r="C663" s="11"/>
      <c r="D663" s="13"/>
      <c r="E663" s="13"/>
      <c r="F663" s="13"/>
      <c r="G663" s="2"/>
      <c r="H663" s="2"/>
      <c r="I663" s="13"/>
      <c r="J663" s="13"/>
      <c r="K663" s="13"/>
      <c r="L663" s="14"/>
      <c r="M663" s="4"/>
      <c r="N663" s="2"/>
      <c r="O663" s="4"/>
      <c r="P663" s="2"/>
      <c r="Q663" s="2"/>
      <c r="R663" s="4"/>
      <c r="S663" s="2"/>
      <c r="T663" s="2"/>
      <c r="U663" s="1"/>
      <c r="V663" s="2"/>
      <c r="W663" s="2"/>
      <c r="X663" s="2"/>
      <c r="Y663" s="2"/>
      <c r="Z663" s="2"/>
    </row>
    <row r="664" spans="1:26" ht="15.75" customHeight="1" x14ac:dyDescent="0.2">
      <c r="A664" s="12"/>
      <c r="B664" s="10"/>
      <c r="C664" s="11"/>
      <c r="D664" s="13"/>
      <c r="E664" s="13"/>
      <c r="F664" s="13"/>
      <c r="G664" s="2"/>
      <c r="H664" s="2"/>
      <c r="I664" s="13"/>
      <c r="J664" s="13"/>
      <c r="K664" s="13"/>
      <c r="L664" s="14"/>
      <c r="M664" s="4"/>
      <c r="N664" s="2"/>
      <c r="O664" s="4"/>
      <c r="P664" s="2"/>
      <c r="Q664" s="2"/>
      <c r="R664" s="4"/>
      <c r="S664" s="2"/>
      <c r="T664" s="2"/>
      <c r="U664" s="1"/>
      <c r="V664" s="2"/>
      <c r="W664" s="2"/>
      <c r="X664" s="2"/>
      <c r="Y664" s="2"/>
      <c r="Z664" s="2"/>
    </row>
    <row r="665" spans="1:26" ht="15.75" customHeight="1" x14ac:dyDescent="0.2">
      <c r="A665" s="12"/>
      <c r="B665" s="10"/>
      <c r="C665" s="11"/>
      <c r="D665" s="13"/>
      <c r="E665" s="13"/>
      <c r="F665" s="13"/>
      <c r="G665" s="2"/>
      <c r="H665" s="2"/>
      <c r="I665" s="13"/>
      <c r="J665" s="13"/>
      <c r="K665" s="13"/>
      <c r="L665" s="14"/>
      <c r="M665" s="4"/>
      <c r="N665" s="2"/>
      <c r="O665" s="4"/>
      <c r="P665" s="2"/>
      <c r="Q665" s="2"/>
      <c r="R665" s="4"/>
      <c r="S665" s="2"/>
      <c r="T665" s="2"/>
      <c r="U665" s="1"/>
      <c r="V665" s="2"/>
      <c r="W665" s="2"/>
      <c r="X665" s="2"/>
      <c r="Y665" s="2"/>
      <c r="Z665" s="2"/>
    </row>
    <row r="666" spans="1:26" ht="15.75" customHeight="1" x14ac:dyDescent="0.2">
      <c r="A666" s="12"/>
      <c r="B666" s="10"/>
      <c r="C666" s="11"/>
      <c r="D666" s="13"/>
      <c r="E666" s="13"/>
      <c r="F666" s="13"/>
      <c r="G666" s="2"/>
      <c r="H666" s="2"/>
      <c r="I666" s="13"/>
      <c r="J666" s="13"/>
      <c r="K666" s="13"/>
      <c r="L666" s="14"/>
      <c r="M666" s="4"/>
      <c r="N666" s="2"/>
      <c r="O666" s="4"/>
      <c r="P666" s="2"/>
      <c r="Q666" s="2"/>
      <c r="R666" s="4"/>
      <c r="S666" s="2"/>
      <c r="T666" s="2"/>
      <c r="U666" s="1"/>
      <c r="V666" s="2"/>
      <c r="W666" s="2"/>
      <c r="X666" s="2"/>
      <c r="Y666" s="2"/>
      <c r="Z666" s="2"/>
    </row>
    <row r="667" spans="1:26" ht="15.75" customHeight="1" x14ac:dyDescent="0.2">
      <c r="A667" s="12"/>
      <c r="B667" s="10"/>
      <c r="C667" s="11"/>
      <c r="D667" s="13"/>
      <c r="E667" s="13"/>
      <c r="F667" s="13"/>
      <c r="G667" s="2"/>
      <c r="H667" s="2"/>
      <c r="I667" s="13"/>
      <c r="J667" s="13"/>
      <c r="K667" s="13"/>
      <c r="L667" s="14"/>
      <c r="M667" s="4"/>
      <c r="N667" s="2"/>
      <c r="O667" s="4"/>
      <c r="P667" s="2"/>
      <c r="Q667" s="2"/>
      <c r="R667" s="4"/>
      <c r="S667" s="2"/>
      <c r="T667" s="2"/>
      <c r="U667" s="1"/>
      <c r="V667" s="2"/>
      <c r="W667" s="2"/>
      <c r="X667" s="2"/>
      <c r="Y667" s="2"/>
      <c r="Z667" s="2"/>
    </row>
    <row r="668" spans="1:26" ht="15.75" customHeight="1" x14ac:dyDescent="0.2">
      <c r="A668" s="12"/>
      <c r="B668" s="10"/>
      <c r="C668" s="11"/>
      <c r="D668" s="13"/>
      <c r="E668" s="13"/>
      <c r="F668" s="13"/>
      <c r="G668" s="2"/>
      <c r="H668" s="2"/>
      <c r="I668" s="13"/>
      <c r="J668" s="13"/>
      <c r="K668" s="13"/>
      <c r="L668" s="14"/>
      <c r="M668" s="4"/>
      <c r="N668" s="2"/>
      <c r="O668" s="4"/>
      <c r="P668" s="2"/>
      <c r="Q668" s="2"/>
      <c r="R668" s="4"/>
      <c r="S668" s="2"/>
      <c r="T668" s="2"/>
      <c r="U668" s="1"/>
      <c r="V668" s="2"/>
      <c r="W668" s="2"/>
      <c r="X668" s="2"/>
      <c r="Y668" s="2"/>
      <c r="Z668" s="2"/>
    </row>
    <row r="669" spans="1:26" ht="15.75" customHeight="1" x14ac:dyDescent="0.2">
      <c r="A669" s="12"/>
      <c r="B669" s="10"/>
      <c r="C669" s="11"/>
      <c r="D669" s="13"/>
      <c r="E669" s="13"/>
      <c r="F669" s="13"/>
      <c r="G669" s="2"/>
      <c r="H669" s="2"/>
      <c r="I669" s="13"/>
      <c r="J669" s="13"/>
      <c r="K669" s="13"/>
      <c r="L669" s="14"/>
      <c r="M669" s="4"/>
      <c r="N669" s="2"/>
      <c r="O669" s="4"/>
      <c r="P669" s="2"/>
      <c r="Q669" s="2"/>
      <c r="R669" s="4"/>
      <c r="S669" s="2"/>
      <c r="T669" s="2"/>
      <c r="U669" s="1"/>
      <c r="V669" s="2"/>
      <c r="W669" s="2"/>
      <c r="X669" s="2"/>
      <c r="Y669" s="2"/>
      <c r="Z669" s="2"/>
    </row>
    <row r="670" spans="1:26" ht="15.75" customHeight="1" x14ac:dyDescent="0.2">
      <c r="A670" s="12"/>
      <c r="B670" s="10"/>
      <c r="C670" s="11"/>
      <c r="D670" s="13"/>
      <c r="E670" s="13"/>
      <c r="F670" s="13"/>
      <c r="G670" s="2"/>
      <c r="H670" s="2"/>
      <c r="I670" s="13"/>
      <c r="J670" s="13"/>
      <c r="K670" s="13"/>
      <c r="L670" s="14"/>
      <c r="M670" s="4"/>
      <c r="N670" s="2"/>
      <c r="O670" s="4"/>
      <c r="P670" s="2"/>
      <c r="Q670" s="2"/>
      <c r="R670" s="4"/>
      <c r="S670" s="2"/>
      <c r="T670" s="2"/>
      <c r="U670" s="1"/>
      <c r="V670" s="2"/>
      <c r="W670" s="2"/>
      <c r="X670" s="2"/>
      <c r="Y670" s="2"/>
      <c r="Z670" s="2"/>
    </row>
    <row r="671" spans="1:26" ht="15.75" customHeight="1" x14ac:dyDescent="0.2">
      <c r="A671" s="12"/>
      <c r="B671" s="10"/>
      <c r="C671" s="11"/>
      <c r="D671" s="13"/>
      <c r="E671" s="13"/>
      <c r="F671" s="13"/>
      <c r="G671" s="2"/>
      <c r="H671" s="2"/>
      <c r="I671" s="13"/>
      <c r="J671" s="13"/>
      <c r="K671" s="13"/>
      <c r="L671" s="14"/>
      <c r="M671" s="4"/>
      <c r="N671" s="2"/>
      <c r="O671" s="4"/>
      <c r="P671" s="2"/>
      <c r="Q671" s="2"/>
      <c r="R671" s="4"/>
      <c r="S671" s="2"/>
      <c r="T671" s="2"/>
      <c r="U671" s="1"/>
      <c r="V671" s="2"/>
      <c r="W671" s="2"/>
      <c r="X671" s="2"/>
      <c r="Y671" s="2"/>
      <c r="Z671" s="2"/>
    </row>
    <row r="672" spans="1:26" ht="15.75" customHeight="1" x14ac:dyDescent="0.2">
      <c r="A672" s="12"/>
      <c r="B672" s="10"/>
      <c r="C672" s="11"/>
      <c r="D672" s="13"/>
      <c r="E672" s="13"/>
      <c r="F672" s="13"/>
      <c r="G672" s="2"/>
      <c r="H672" s="2"/>
      <c r="I672" s="13"/>
      <c r="J672" s="13"/>
      <c r="K672" s="13"/>
      <c r="L672" s="14"/>
      <c r="M672" s="4"/>
      <c r="N672" s="2"/>
      <c r="O672" s="4"/>
      <c r="P672" s="2"/>
      <c r="Q672" s="2"/>
      <c r="R672" s="4"/>
      <c r="S672" s="2"/>
      <c r="T672" s="2"/>
      <c r="U672" s="1"/>
      <c r="V672" s="2"/>
      <c r="W672" s="2"/>
      <c r="X672" s="2"/>
      <c r="Y672" s="2"/>
      <c r="Z672" s="2"/>
    </row>
    <row r="673" spans="1:26" ht="15.75" customHeight="1" x14ac:dyDescent="0.2">
      <c r="A673" s="12"/>
      <c r="B673" s="10"/>
      <c r="C673" s="11"/>
      <c r="D673" s="13"/>
      <c r="E673" s="13"/>
      <c r="F673" s="13"/>
      <c r="G673" s="2"/>
      <c r="H673" s="2"/>
      <c r="I673" s="13"/>
      <c r="J673" s="13"/>
      <c r="K673" s="13"/>
      <c r="L673" s="14"/>
      <c r="M673" s="4"/>
      <c r="N673" s="2"/>
      <c r="O673" s="4"/>
      <c r="P673" s="2"/>
      <c r="Q673" s="2"/>
      <c r="R673" s="4"/>
      <c r="S673" s="2"/>
      <c r="T673" s="2"/>
      <c r="U673" s="1"/>
      <c r="V673" s="2"/>
      <c r="W673" s="2"/>
      <c r="X673" s="2"/>
      <c r="Y673" s="2"/>
      <c r="Z673" s="2"/>
    </row>
    <row r="674" spans="1:26" ht="15.75" customHeight="1" x14ac:dyDescent="0.2">
      <c r="A674" s="12"/>
      <c r="B674" s="10"/>
      <c r="C674" s="11"/>
      <c r="D674" s="13"/>
      <c r="E674" s="13"/>
      <c r="F674" s="13"/>
      <c r="G674" s="2"/>
      <c r="H674" s="2"/>
      <c r="I674" s="13"/>
      <c r="J674" s="13"/>
      <c r="K674" s="13"/>
      <c r="L674" s="14"/>
      <c r="M674" s="4"/>
      <c r="N674" s="2"/>
      <c r="O674" s="4"/>
      <c r="P674" s="2"/>
      <c r="Q674" s="2"/>
      <c r="R674" s="4"/>
      <c r="S674" s="2"/>
      <c r="T674" s="2"/>
      <c r="U674" s="1"/>
      <c r="V674" s="2"/>
      <c r="W674" s="2"/>
      <c r="X674" s="2"/>
      <c r="Y674" s="2"/>
      <c r="Z674" s="2"/>
    </row>
    <row r="675" spans="1:26" ht="15.75" customHeight="1" x14ac:dyDescent="0.2">
      <c r="A675" s="12"/>
      <c r="B675" s="10"/>
      <c r="C675" s="11"/>
      <c r="D675" s="13"/>
      <c r="E675" s="13"/>
      <c r="F675" s="13"/>
      <c r="G675" s="2"/>
      <c r="H675" s="2"/>
      <c r="I675" s="13"/>
      <c r="J675" s="13"/>
      <c r="K675" s="13"/>
      <c r="L675" s="14"/>
      <c r="M675" s="4"/>
      <c r="N675" s="2"/>
      <c r="O675" s="4"/>
      <c r="P675" s="2"/>
      <c r="Q675" s="2"/>
      <c r="R675" s="4"/>
      <c r="S675" s="2"/>
      <c r="T675" s="2"/>
      <c r="U675" s="1"/>
      <c r="V675" s="2"/>
      <c r="W675" s="2"/>
      <c r="X675" s="2"/>
      <c r="Y675" s="2"/>
      <c r="Z675" s="2"/>
    </row>
    <row r="676" spans="1:26" ht="15.75" customHeight="1" x14ac:dyDescent="0.2">
      <c r="A676" s="12"/>
      <c r="B676" s="10"/>
      <c r="C676" s="11"/>
      <c r="D676" s="13"/>
      <c r="E676" s="13"/>
      <c r="F676" s="13"/>
      <c r="G676" s="2"/>
      <c r="H676" s="2"/>
      <c r="I676" s="13"/>
      <c r="J676" s="13"/>
      <c r="K676" s="13"/>
      <c r="L676" s="14"/>
      <c r="M676" s="4"/>
      <c r="N676" s="2"/>
      <c r="O676" s="4"/>
      <c r="P676" s="2"/>
      <c r="Q676" s="2"/>
      <c r="R676" s="4"/>
      <c r="S676" s="2"/>
      <c r="T676" s="2"/>
      <c r="U676" s="1"/>
      <c r="V676" s="2"/>
      <c r="W676" s="2"/>
      <c r="X676" s="2"/>
      <c r="Y676" s="2"/>
      <c r="Z676" s="2"/>
    </row>
    <row r="677" spans="1:26" ht="15.75" customHeight="1" x14ac:dyDescent="0.2">
      <c r="A677" s="12"/>
      <c r="B677" s="10"/>
      <c r="C677" s="11"/>
      <c r="D677" s="13"/>
      <c r="E677" s="13"/>
      <c r="F677" s="13"/>
      <c r="G677" s="2"/>
      <c r="H677" s="2"/>
      <c r="I677" s="13"/>
      <c r="J677" s="13"/>
      <c r="K677" s="13"/>
      <c r="L677" s="14"/>
      <c r="M677" s="4"/>
      <c r="N677" s="2"/>
      <c r="O677" s="4"/>
      <c r="P677" s="2"/>
      <c r="Q677" s="2"/>
      <c r="R677" s="4"/>
      <c r="S677" s="2"/>
      <c r="T677" s="2"/>
      <c r="U677" s="1"/>
      <c r="V677" s="2"/>
      <c r="W677" s="2"/>
      <c r="X677" s="2"/>
      <c r="Y677" s="2"/>
      <c r="Z677" s="2"/>
    </row>
    <row r="678" spans="1:26" ht="15.75" customHeight="1" x14ac:dyDescent="0.2">
      <c r="A678" s="12"/>
      <c r="B678" s="10"/>
      <c r="C678" s="11"/>
      <c r="D678" s="13"/>
      <c r="E678" s="13"/>
      <c r="F678" s="13"/>
      <c r="G678" s="2"/>
      <c r="H678" s="2"/>
      <c r="I678" s="13"/>
      <c r="J678" s="13"/>
      <c r="K678" s="13"/>
      <c r="L678" s="14"/>
      <c r="M678" s="4"/>
      <c r="N678" s="2"/>
      <c r="O678" s="4"/>
      <c r="P678" s="2"/>
      <c r="Q678" s="2"/>
      <c r="R678" s="4"/>
      <c r="S678" s="2"/>
      <c r="T678" s="2"/>
      <c r="U678" s="1"/>
      <c r="V678" s="2"/>
      <c r="W678" s="2"/>
      <c r="X678" s="2"/>
      <c r="Y678" s="2"/>
      <c r="Z678" s="2"/>
    </row>
    <row r="679" spans="1:26" ht="15.75" customHeight="1" x14ac:dyDescent="0.2">
      <c r="A679" s="12"/>
      <c r="B679" s="10"/>
      <c r="C679" s="11"/>
      <c r="D679" s="13"/>
      <c r="E679" s="13"/>
      <c r="F679" s="13"/>
      <c r="G679" s="2"/>
      <c r="H679" s="2"/>
      <c r="I679" s="13"/>
      <c r="J679" s="13"/>
      <c r="K679" s="13"/>
      <c r="L679" s="14"/>
      <c r="M679" s="4"/>
      <c r="N679" s="2"/>
      <c r="O679" s="4"/>
      <c r="P679" s="2"/>
      <c r="Q679" s="2"/>
      <c r="R679" s="4"/>
      <c r="S679" s="2"/>
      <c r="T679" s="2"/>
      <c r="U679" s="1"/>
      <c r="V679" s="2"/>
      <c r="W679" s="2"/>
      <c r="X679" s="2"/>
      <c r="Y679" s="2"/>
      <c r="Z679" s="2"/>
    </row>
    <row r="680" spans="1:26" ht="15.75" customHeight="1" x14ac:dyDescent="0.2">
      <c r="A680" s="12"/>
      <c r="B680" s="10"/>
      <c r="C680" s="11"/>
      <c r="D680" s="13"/>
      <c r="E680" s="13"/>
      <c r="F680" s="13"/>
      <c r="G680" s="2"/>
      <c r="H680" s="2"/>
      <c r="I680" s="13"/>
      <c r="J680" s="13"/>
      <c r="K680" s="13"/>
      <c r="L680" s="14"/>
      <c r="M680" s="4"/>
      <c r="N680" s="2"/>
      <c r="O680" s="4"/>
      <c r="P680" s="2"/>
      <c r="Q680" s="2"/>
      <c r="R680" s="4"/>
      <c r="S680" s="2"/>
      <c r="T680" s="2"/>
      <c r="U680" s="1"/>
      <c r="V680" s="2"/>
      <c r="W680" s="2"/>
      <c r="X680" s="2"/>
      <c r="Y680" s="2"/>
      <c r="Z680" s="2"/>
    </row>
    <row r="681" spans="1:26" ht="15.75" customHeight="1" x14ac:dyDescent="0.2">
      <c r="A681" s="12"/>
      <c r="B681" s="10"/>
      <c r="C681" s="11"/>
      <c r="D681" s="13"/>
      <c r="E681" s="13"/>
      <c r="F681" s="13"/>
      <c r="G681" s="2"/>
      <c r="H681" s="2"/>
      <c r="I681" s="13"/>
      <c r="J681" s="13"/>
      <c r="K681" s="13"/>
      <c r="L681" s="14"/>
      <c r="M681" s="4"/>
      <c r="N681" s="2"/>
      <c r="O681" s="4"/>
      <c r="P681" s="2"/>
      <c r="Q681" s="2"/>
      <c r="R681" s="4"/>
      <c r="S681" s="2"/>
      <c r="T681" s="2"/>
      <c r="U681" s="1"/>
      <c r="V681" s="2"/>
      <c r="W681" s="2"/>
      <c r="X681" s="2"/>
      <c r="Y681" s="2"/>
      <c r="Z681" s="2"/>
    </row>
    <row r="682" spans="1:26" ht="15.75" customHeight="1" x14ac:dyDescent="0.2">
      <c r="A682" s="12"/>
      <c r="B682" s="10"/>
      <c r="C682" s="11"/>
      <c r="D682" s="13"/>
      <c r="E682" s="13"/>
      <c r="F682" s="13"/>
      <c r="G682" s="2"/>
      <c r="H682" s="2"/>
      <c r="I682" s="13"/>
      <c r="J682" s="13"/>
      <c r="K682" s="13"/>
      <c r="L682" s="14"/>
      <c r="M682" s="4"/>
      <c r="N682" s="2"/>
      <c r="O682" s="4"/>
      <c r="P682" s="2"/>
      <c r="Q682" s="2"/>
      <c r="R682" s="4"/>
      <c r="S682" s="2"/>
      <c r="T682" s="2"/>
      <c r="U682" s="1"/>
      <c r="V682" s="2"/>
      <c r="W682" s="2"/>
      <c r="X682" s="2"/>
      <c r="Y682" s="2"/>
      <c r="Z682" s="2"/>
    </row>
    <row r="683" spans="1:26" ht="15.75" customHeight="1" x14ac:dyDescent="0.2">
      <c r="A683" s="12"/>
      <c r="B683" s="10"/>
      <c r="C683" s="11"/>
      <c r="D683" s="13"/>
      <c r="E683" s="13"/>
      <c r="F683" s="13"/>
      <c r="G683" s="2"/>
      <c r="H683" s="2"/>
      <c r="I683" s="13"/>
      <c r="J683" s="13"/>
      <c r="K683" s="13"/>
      <c r="L683" s="14"/>
      <c r="M683" s="4"/>
      <c r="N683" s="2"/>
      <c r="O683" s="4"/>
      <c r="P683" s="2"/>
      <c r="Q683" s="2"/>
      <c r="R683" s="4"/>
      <c r="S683" s="2"/>
      <c r="T683" s="2"/>
      <c r="U683" s="1"/>
      <c r="V683" s="2"/>
      <c r="W683" s="2"/>
      <c r="X683" s="2"/>
      <c r="Y683" s="2"/>
      <c r="Z683" s="2"/>
    </row>
    <row r="684" spans="1:26" ht="15.75" customHeight="1" x14ac:dyDescent="0.2">
      <c r="A684" s="12"/>
      <c r="B684" s="10"/>
      <c r="C684" s="11"/>
      <c r="D684" s="13"/>
      <c r="E684" s="13"/>
      <c r="F684" s="13"/>
      <c r="G684" s="2"/>
      <c r="H684" s="2"/>
      <c r="I684" s="13"/>
      <c r="J684" s="13"/>
      <c r="K684" s="13"/>
      <c r="L684" s="14"/>
      <c r="M684" s="4"/>
      <c r="N684" s="2"/>
      <c r="O684" s="4"/>
      <c r="P684" s="2"/>
      <c r="Q684" s="2"/>
      <c r="R684" s="4"/>
      <c r="S684" s="2"/>
      <c r="T684" s="2"/>
      <c r="U684" s="1"/>
      <c r="V684" s="2"/>
      <c r="W684" s="2"/>
      <c r="X684" s="2"/>
      <c r="Y684" s="2"/>
      <c r="Z684" s="2"/>
    </row>
    <row r="685" spans="1:26" ht="15.75" customHeight="1" x14ac:dyDescent="0.2">
      <c r="A685" s="12"/>
      <c r="B685" s="10"/>
      <c r="C685" s="11"/>
      <c r="D685" s="13"/>
      <c r="E685" s="13"/>
      <c r="F685" s="13"/>
      <c r="G685" s="2"/>
      <c r="H685" s="2"/>
      <c r="I685" s="13"/>
      <c r="J685" s="13"/>
      <c r="K685" s="13"/>
      <c r="L685" s="14"/>
      <c r="M685" s="4"/>
      <c r="N685" s="2"/>
      <c r="O685" s="4"/>
      <c r="P685" s="2"/>
      <c r="Q685" s="2"/>
      <c r="R685" s="4"/>
      <c r="S685" s="2"/>
      <c r="T685" s="2"/>
      <c r="U685" s="1"/>
      <c r="V685" s="2"/>
      <c r="W685" s="2"/>
      <c r="X685" s="2"/>
      <c r="Y685" s="2"/>
      <c r="Z685" s="2"/>
    </row>
    <row r="686" spans="1:26" ht="15.75" customHeight="1" x14ac:dyDescent="0.2">
      <c r="A686" s="12"/>
      <c r="B686" s="10"/>
      <c r="C686" s="11"/>
      <c r="D686" s="13"/>
      <c r="E686" s="13"/>
      <c r="F686" s="13"/>
      <c r="G686" s="2"/>
      <c r="H686" s="2"/>
      <c r="I686" s="13"/>
      <c r="J686" s="13"/>
      <c r="K686" s="13"/>
      <c r="L686" s="14"/>
      <c r="M686" s="4"/>
      <c r="N686" s="2"/>
      <c r="O686" s="4"/>
      <c r="P686" s="2"/>
      <c r="Q686" s="2"/>
      <c r="R686" s="4"/>
      <c r="S686" s="2"/>
      <c r="T686" s="2"/>
      <c r="U686" s="1"/>
      <c r="V686" s="2"/>
      <c r="W686" s="2"/>
      <c r="X686" s="2"/>
      <c r="Y686" s="2"/>
      <c r="Z686" s="2"/>
    </row>
    <row r="687" spans="1:26" ht="15.75" customHeight="1" x14ac:dyDescent="0.2">
      <c r="A687" s="12"/>
      <c r="B687" s="10"/>
      <c r="C687" s="11"/>
      <c r="D687" s="13"/>
      <c r="E687" s="13"/>
      <c r="F687" s="13"/>
      <c r="G687" s="2"/>
      <c r="H687" s="2"/>
      <c r="I687" s="13"/>
      <c r="J687" s="13"/>
      <c r="K687" s="13"/>
      <c r="L687" s="14"/>
      <c r="M687" s="4"/>
      <c r="N687" s="2"/>
      <c r="O687" s="4"/>
      <c r="P687" s="2"/>
      <c r="Q687" s="2"/>
      <c r="R687" s="4"/>
      <c r="S687" s="2"/>
      <c r="T687" s="2"/>
      <c r="U687" s="1"/>
      <c r="V687" s="2"/>
      <c r="W687" s="2"/>
      <c r="X687" s="2"/>
      <c r="Y687" s="2"/>
      <c r="Z687" s="2"/>
    </row>
    <row r="688" spans="1:26" ht="15.75" customHeight="1" x14ac:dyDescent="0.2">
      <c r="A688" s="12"/>
      <c r="B688" s="10"/>
      <c r="C688" s="11"/>
      <c r="D688" s="13"/>
      <c r="E688" s="13"/>
      <c r="F688" s="13"/>
      <c r="G688" s="2"/>
      <c r="H688" s="2"/>
      <c r="I688" s="13"/>
      <c r="J688" s="13"/>
      <c r="K688" s="13"/>
      <c r="L688" s="14"/>
      <c r="M688" s="4"/>
      <c r="N688" s="2"/>
      <c r="O688" s="4"/>
      <c r="P688" s="2"/>
      <c r="Q688" s="2"/>
      <c r="R688" s="4"/>
      <c r="S688" s="2"/>
      <c r="T688" s="2"/>
      <c r="U688" s="1"/>
      <c r="V688" s="2"/>
      <c r="W688" s="2"/>
      <c r="X688" s="2"/>
      <c r="Y688" s="2"/>
      <c r="Z688" s="2"/>
    </row>
    <row r="689" spans="1:26" ht="15.75" customHeight="1" x14ac:dyDescent="0.2">
      <c r="A689" s="12"/>
      <c r="B689" s="10"/>
      <c r="C689" s="11"/>
      <c r="D689" s="13"/>
      <c r="E689" s="13"/>
      <c r="F689" s="13"/>
      <c r="G689" s="2"/>
      <c r="H689" s="2"/>
      <c r="I689" s="13"/>
      <c r="J689" s="13"/>
      <c r="K689" s="13"/>
      <c r="L689" s="14"/>
      <c r="M689" s="4"/>
      <c r="N689" s="2"/>
      <c r="O689" s="4"/>
      <c r="P689" s="2"/>
      <c r="Q689" s="2"/>
      <c r="R689" s="4"/>
      <c r="S689" s="2"/>
      <c r="T689" s="2"/>
      <c r="U689" s="1"/>
      <c r="V689" s="2"/>
      <c r="W689" s="2"/>
      <c r="X689" s="2"/>
      <c r="Y689" s="2"/>
      <c r="Z689" s="2"/>
    </row>
    <row r="690" spans="1:26" ht="15.75" customHeight="1" x14ac:dyDescent="0.2">
      <c r="A690" s="12"/>
      <c r="B690" s="10"/>
      <c r="C690" s="11"/>
      <c r="D690" s="13"/>
      <c r="E690" s="13"/>
      <c r="F690" s="13"/>
      <c r="G690" s="2"/>
      <c r="H690" s="2"/>
      <c r="I690" s="13"/>
      <c r="J690" s="13"/>
      <c r="K690" s="13"/>
      <c r="L690" s="14"/>
      <c r="M690" s="4"/>
      <c r="N690" s="2"/>
      <c r="O690" s="4"/>
      <c r="P690" s="2"/>
      <c r="Q690" s="2"/>
      <c r="R690" s="4"/>
      <c r="S690" s="2"/>
      <c r="T690" s="2"/>
      <c r="U690" s="1"/>
      <c r="V690" s="2"/>
      <c r="W690" s="2"/>
      <c r="X690" s="2"/>
      <c r="Y690" s="2"/>
      <c r="Z690" s="2"/>
    </row>
    <row r="691" spans="1:26" ht="15.75" customHeight="1" x14ac:dyDescent="0.2">
      <c r="A691" s="12"/>
      <c r="B691" s="10"/>
      <c r="C691" s="11"/>
      <c r="D691" s="13"/>
      <c r="E691" s="13"/>
      <c r="F691" s="13"/>
      <c r="G691" s="2"/>
      <c r="H691" s="2"/>
      <c r="I691" s="13"/>
      <c r="J691" s="13"/>
      <c r="K691" s="13"/>
      <c r="L691" s="14"/>
      <c r="M691" s="4"/>
      <c r="N691" s="2"/>
      <c r="O691" s="4"/>
      <c r="P691" s="2"/>
      <c r="Q691" s="2"/>
      <c r="R691" s="4"/>
      <c r="S691" s="2"/>
      <c r="T691" s="2"/>
      <c r="U691" s="1"/>
      <c r="V691" s="2"/>
      <c r="W691" s="2"/>
      <c r="X691" s="2"/>
      <c r="Y691" s="2"/>
      <c r="Z691" s="2"/>
    </row>
    <row r="692" spans="1:26" ht="15.75" customHeight="1" x14ac:dyDescent="0.2">
      <c r="A692" s="12"/>
      <c r="B692" s="10"/>
      <c r="C692" s="11"/>
      <c r="D692" s="13"/>
      <c r="E692" s="13"/>
      <c r="F692" s="13"/>
      <c r="G692" s="2"/>
      <c r="H692" s="2"/>
      <c r="I692" s="13"/>
      <c r="J692" s="13"/>
      <c r="K692" s="13"/>
      <c r="L692" s="14"/>
      <c r="M692" s="4"/>
      <c r="N692" s="2"/>
      <c r="O692" s="4"/>
      <c r="P692" s="2"/>
      <c r="Q692" s="2"/>
      <c r="R692" s="4"/>
      <c r="S692" s="2"/>
      <c r="T692" s="2"/>
      <c r="U692" s="1"/>
      <c r="V692" s="2"/>
      <c r="W692" s="2"/>
      <c r="X692" s="2"/>
      <c r="Y692" s="2"/>
      <c r="Z692" s="2"/>
    </row>
    <row r="693" spans="1:26" ht="15.75" customHeight="1" x14ac:dyDescent="0.2">
      <c r="A693" s="12"/>
      <c r="B693" s="10"/>
      <c r="C693" s="11"/>
      <c r="D693" s="13"/>
      <c r="E693" s="13"/>
      <c r="F693" s="13"/>
      <c r="G693" s="2"/>
      <c r="H693" s="2"/>
      <c r="I693" s="13"/>
      <c r="J693" s="13"/>
      <c r="K693" s="13"/>
      <c r="L693" s="14"/>
      <c r="M693" s="4"/>
      <c r="N693" s="2"/>
      <c r="O693" s="4"/>
      <c r="P693" s="2"/>
      <c r="Q693" s="2"/>
      <c r="R693" s="4"/>
      <c r="S693" s="2"/>
      <c r="T693" s="2"/>
      <c r="U693" s="1"/>
      <c r="V693" s="2"/>
      <c r="W693" s="2"/>
      <c r="X693" s="2"/>
      <c r="Y693" s="2"/>
      <c r="Z693" s="2"/>
    </row>
    <row r="694" spans="1:26" ht="15.75" customHeight="1" x14ac:dyDescent="0.2">
      <c r="A694" s="12"/>
      <c r="B694" s="10"/>
      <c r="C694" s="11"/>
      <c r="D694" s="13"/>
      <c r="E694" s="13"/>
      <c r="F694" s="13"/>
      <c r="G694" s="2"/>
      <c r="H694" s="2"/>
      <c r="I694" s="13"/>
      <c r="J694" s="13"/>
      <c r="K694" s="13"/>
      <c r="L694" s="14"/>
      <c r="M694" s="4"/>
      <c r="N694" s="2"/>
      <c r="O694" s="4"/>
      <c r="P694" s="2"/>
      <c r="Q694" s="2"/>
      <c r="R694" s="4"/>
      <c r="S694" s="2"/>
      <c r="T694" s="2"/>
      <c r="U694" s="1"/>
      <c r="V694" s="2"/>
      <c r="W694" s="2"/>
      <c r="X694" s="2"/>
      <c r="Y694" s="2"/>
      <c r="Z694" s="2"/>
    </row>
    <row r="695" spans="1:26" ht="15.75" customHeight="1" x14ac:dyDescent="0.2">
      <c r="A695" s="12"/>
      <c r="B695" s="10"/>
      <c r="C695" s="11"/>
      <c r="D695" s="13"/>
      <c r="E695" s="13"/>
      <c r="F695" s="13"/>
      <c r="G695" s="2"/>
      <c r="H695" s="2"/>
      <c r="I695" s="13"/>
      <c r="J695" s="13"/>
      <c r="K695" s="13"/>
      <c r="L695" s="14"/>
      <c r="M695" s="4"/>
      <c r="N695" s="2"/>
      <c r="O695" s="4"/>
      <c r="P695" s="2"/>
      <c r="Q695" s="2"/>
      <c r="R695" s="4"/>
      <c r="S695" s="2"/>
      <c r="T695" s="2"/>
      <c r="U695" s="1"/>
      <c r="V695" s="2"/>
      <c r="W695" s="2"/>
      <c r="X695" s="2"/>
      <c r="Y695" s="2"/>
      <c r="Z695" s="2"/>
    </row>
    <row r="696" spans="1:26" ht="15.75" customHeight="1" x14ac:dyDescent="0.2">
      <c r="A696" s="12"/>
      <c r="B696" s="10"/>
      <c r="C696" s="11"/>
      <c r="D696" s="13"/>
      <c r="E696" s="13"/>
      <c r="F696" s="13"/>
      <c r="G696" s="2"/>
      <c r="H696" s="2"/>
      <c r="I696" s="13"/>
      <c r="J696" s="13"/>
      <c r="K696" s="13"/>
      <c r="L696" s="14"/>
      <c r="M696" s="4"/>
      <c r="N696" s="2"/>
      <c r="O696" s="4"/>
      <c r="P696" s="2"/>
      <c r="Q696" s="2"/>
      <c r="R696" s="4"/>
      <c r="S696" s="2"/>
      <c r="T696" s="2"/>
      <c r="U696" s="1"/>
      <c r="V696" s="2"/>
      <c r="W696" s="2"/>
      <c r="X696" s="2"/>
      <c r="Y696" s="2"/>
      <c r="Z696" s="2"/>
    </row>
    <row r="697" spans="1:26" ht="15.75" customHeight="1" x14ac:dyDescent="0.2">
      <c r="A697" s="12"/>
      <c r="B697" s="10"/>
      <c r="C697" s="11"/>
      <c r="D697" s="13"/>
      <c r="E697" s="13"/>
      <c r="F697" s="13"/>
      <c r="G697" s="2"/>
      <c r="H697" s="2"/>
      <c r="I697" s="13"/>
      <c r="J697" s="13"/>
      <c r="K697" s="13"/>
      <c r="L697" s="14"/>
      <c r="M697" s="4"/>
      <c r="N697" s="2"/>
      <c r="O697" s="4"/>
      <c r="P697" s="2"/>
      <c r="Q697" s="2"/>
      <c r="R697" s="4"/>
      <c r="S697" s="2"/>
      <c r="T697" s="2"/>
      <c r="U697" s="1"/>
      <c r="V697" s="2"/>
      <c r="W697" s="2"/>
      <c r="X697" s="2"/>
      <c r="Y697" s="2"/>
      <c r="Z697" s="2"/>
    </row>
    <row r="698" spans="1:26" ht="15.75" customHeight="1" x14ac:dyDescent="0.2">
      <c r="A698" s="12"/>
      <c r="B698" s="10"/>
      <c r="C698" s="11"/>
      <c r="D698" s="13"/>
      <c r="E698" s="13"/>
      <c r="F698" s="13"/>
      <c r="G698" s="2"/>
      <c r="H698" s="2"/>
      <c r="I698" s="13"/>
      <c r="J698" s="13"/>
      <c r="K698" s="13"/>
      <c r="L698" s="14"/>
      <c r="M698" s="4"/>
      <c r="N698" s="2"/>
      <c r="O698" s="4"/>
      <c r="P698" s="2"/>
      <c r="Q698" s="2"/>
      <c r="R698" s="4"/>
      <c r="S698" s="2"/>
      <c r="T698" s="2"/>
      <c r="U698" s="1"/>
      <c r="V698" s="2"/>
      <c r="W698" s="2"/>
      <c r="X698" s="2"/>
      <c r="Y698" s="2"/>
      <c r="Z698" s="2"/>
    </row>
    <row r="699" spans="1:26" ht="15.75" customHeight="1" x14ac:dyDescent="0.2">
      <c r="A699" s="12"/>
      <c r="B699" s="10"/>
      <c r="C699" s="11"/>
      <c r="D699" s="13"/>
      <c r="E699" s="13"/>
      <c r="F699" s="13"/>
      <c r="G699" s="2"/>
      <c r="H699" s="2"/>
      <c r="I699" s="13"/>
      <c r="J699" s="13"/>
      <c r="K699" s="13"/>
      <c r="L699" s="14"/>
      <c r="M699" s="4"/>
      <c r="N699" s="2"/>
      <c r="O699" s="4"/>
      <c r="P699" s="2"/>
      <c r="Q699" s="2"/>
      <c r="R699" s="4"/>
      <c r="S699" s="2"/>
      <c r="T699" s="2"/>
      <c r="U699" s="1"/>
      <c r="V699" s="2"/>
      <c r="W699" s="2"/>
      <c r="X699" s="2"/>
      <c r="Y699" s="2"/>
      <c r="Z699" s="2"/>
    </row>
    <row r="700" spans="1:26" ht="15.75" customHeight="1" x14ac:dyDescent="0.2">
      <c r="A700" s="12"/>
      <c r="B700" s="10"/>
      <c r="C700" s="11"/>
      <c r="D700" s="13"/>
      <c r="E700" s="13"/>
      <c r="F700" s="13"/>
      <c r="G700" s="2"/>
      <c r="H700" s="2"/>
      <c r="I700" s="13"/>
      <c r="J700" s="13"/>
      <c r="K700" s="13"/>
      <c r="L700" s="14"/>
      <c r="M700" s="4"/>
      <c r="N700" s="2"/>
      <c r="O700" s="4"/>
      <c r="P700" s="2"/>
      <c r="Q700" s="2"/>
      <c r="R700" s="4"/>
      <c r="S700" s="2"/>
      <c r="T700" s="2"/>
      <c r="U700" s="1"/>
      <c r="V700" s="2"/>
      <c r="W700" s="2"/>
      <c r="X700" s="2"/>
      <c r="Y700" s="2"/>
      <c r="Z700" s="2"/>
    </row>
    <row r="701" spans="1:26" ht="15.75" customHeight="1" x14ac:dyDescent="0.2">
      <c r="A701" s="12"/>
      <c r="B701" s="10"/>
      <c r="C701" s="11"/>
      <c r="D701" s="13"/>
      <c r="E701" s="13"/>
      <c r="F701" s="13"/>
      <c r="G701" s="2"/>
      <c r="H701" s="2"/>
      <c r="I701" s="13"/>
      <c r="J701" s="13"/>
      <c r="K701" s="13"/>
      <c r="L701" s="14"/>
      <c r="M701" s="4"/>
      <c r="N701" s="2"/>
      <c r="O701" s="4"/>
      <c r="P701" s="2"/>
      <c r="Q701" s="2"/>
      <c r="R701" s="4"/>
      <c r="S701" s="2"/>
      <c r="T701" s="2"/>
      <c r="U701" s="1"/>
      <c r="V701" s="2"/>
      <c r="W701" s="2"/>
      <c r="X701" s="2"/>
      <c r="Y701" s="2"/>
      <c r="Z701" s="2"/>
    </row>
    <row r="702" spans="1:26" ht="15.75" customHeight="1" x14ac:dyDescent="0.2">
      <c r="A702" s="12"/>
      <c r="B702" s="10"/>
      <c r="C702" s="11"/>
      <c r="D702" s="13"/>
      <c r="E702" s="13"/>
      <c r="F702" s="13"/>
      <c r="G702" s="2"/>
      <c r="H702" s="2"/>
      <c r="I702" s="13"/>
      <c r="J702" s="13"/>
      <c r="K702" s="13"/>
      <c r="L702" s="14"/>
      <c r="M702" s="4"/>
      <c r="N702" s="2"/>
      <c r="O702" s="4"/>
      <c r="P702" s="2"/>
      <c r="Q702" s="2"/>
      <c r="R702" s="4"/>
      <c r="S702" s="2"/>
      <c r="T702" s="2"/>
      <c r="U702" s="1"/>
      <c r="V702" s="2"/>
      <c r="W702" s="2"/>
      <c r="X702" s="2"/>
      <c r="Y702" s="2"/>
      <c r="Z702" s="2"/>
    </row>
    <row r="703" spans="1:26" ht="15.75" customHeight="1" x14ac:dyDescent="0.2">
      <c r="A703" s="12"/>
      <c r="B703" s="10"/>
      <c r="C703" s="11"/>
      <c r="D703" s="13"/>
      <c r="E703" s="13"/>
      <c r="F703" s="13"/>
      <c r="G703" s="2"/>
      <c r="H703" s="2"/>
      <c r="I703" s="13"/>
      <c r="J703" s="13"/>
      <c r="K703" s="13"/>
      <c r="L703" s="14"/>
      <c r="M703" s="4"/>
      <c r="N703" s="2"/>
      <c r="O703" s="4"/>
      <c r="P703" s="2"/>
      <c r="Q703" s="2"/>
      <c r="R703" s="4"/>
      <c r="S703" s="2"/>
      <c r="T703" s="2"/>
      <c r="U703" s="1"/>
      <c r="V703" s="2"/>
      <c r="W703" s="2"/>
      <c r="X703" s="2"/>
      <c r="Y703" s="2"/>
      <c r="Z703" s="2"/>
    </row>
    <row r="704" spans="1:26" ht="15.75" customHeight="1" x14ac:dyDescent="0.2">
      <c r="A704" s="12"/>
      <c r="B704" s="10"/>
      <c r="C704" s="11"/>
      <c r="D704" s="13"/>
      <c r="E704" s="13"/>
      <c r="F704" s="13"/>
      <c r="G704" s="2"/>
      <c r="H704" s="2"/>
      <c r="I704" s="13"/>
      <c r="J704" s="13"/>
      <c r="K704" s="13"/>
      <c r="L704" s="14"/>
      <c r="M704" s="4"/>
      <c r="N704" s="2"/>
      <c r="O704" s="4"/>
      <c r="P704" s="2"/>
      <c r="Q704" s="2"/>
      <c r="R704" s="4"/>
      <c r="S704" s="2"/>
      <c r="T704" s="2"/>
      <c r="U704" s="1"/>
      <c r="V704" s="2"/>
      <c r="W704" s="2"/>
      <c r="X704" s="2"/>
      <c r="Y704" s="2"/>
      <c r="Z704" s="2"/>
    </row>
    <row r="705" spans="1:26" ht="15.75" customHeight="1" x14ac:dyDescent="0.2">
      <c r="A705" s="12"/>
      <c r="B705" s="10"/>
      <c r="C705" s="11"/>
      <c r="D705" s="13"/>
      <c r="E705" s="13"/>
      <c r="F705" s="13"/>
      <c r="G705" s="2"/>
      <c r="H705" s="2"/>
      <c r="I705" s="13"/>
      <c r="J705" s="13"/>
      <c r="K705" s="13"/>
      <c r="L705" s="14"/>
      <c r="M705" s="4"/>
      <c r="N705" s="2"/>
      <c r="O705" s="4"/>
      <c r="P705" s="2"/>
      <c r="Q705" s="2"/>
      <c r="R705" s="4"/>
      <c r="S705" s="2"/>
      <c r="T705" s="2"/>
      <c r="U705" s="1"/>
      <c r="V705" s="2"/>
      <c r="W705" s="2"/>
      <c r="X705" s="2"/>
      <c r="Y705" s="2"/>
      <c r="Z705" s="2"/>
    </row>
    <row r="706" spans="1:26" ht="15.75" customHeight="1" x14ac:dyDescent="0.2">
      <c r="A706" s="12"/>
      <c r="B706" s="10"/>
      <c r="C706" s="11"/>
      <c r="D706" s="13"/>
      <c r="E706" s="13"/>
      <c r="F706" s="13"/>
      <c r="G706" s="2"/>
      <c r="H706" s="2"/>
      <c r="I706" s="13"/>
      <c r="J706" s="13"/>
      <c r="K706" s="13"/>
      <c r="L706" s="14"/>
      <c r="M706" s="4"/>
      <c r="N706" s="2"/>
      <c r="O706" s="4"/>
      <c r="P706" s="2"/>
      <c r="Q706" s="2"/>
      <c r="R706" s="4"/>
      <c r="S706" s="2"/>
      <c r="T706" s="2"/>
      <c r="U706" s="1"/>
      <c r="V706" s="2"/>
      <c r="W706" s="2"/>
      <c r="X706" s="2"/>
      <c r="Y706" s="2"/>
      <c r="Z706" s="2"/>
    </row>
    <row r="707" spans="1:26" ht="15.75" customHeight="1" x14ac:dyDescent="0.2">
      <c r="A707" s="12"/>
      <c r="B707" s="10"/>
      <c r="C707" s="11"/>
      <c r="D707" s="13"/>
      <c r="E707" s="13"/>
      <c r="F707" s="13"/>
      <c r="G707" s="2"/>
      <c r="H707" s="2"/>
      <c r="I707" s="13"/>
      <c r="J707" s="13"/>
      <c r="K707" s="13"/>
      <c r="L707" s="14"/>
      <c r="M707" s="4"/>
      <c r="N707" s="2"/>
      <c r="O707" s="4"/>
      <c r="P707" s="2"/>
      <c r="Q707" s="2"/>
      <c r="R707" s="4"/>
      <c r="S707" s="2"/>
      <c r="T707" s="2"/>
      <c r="U707" s="1"/>
      <c r="V707" s="2"/>
      <c r="W707" s="2"/>
      <c r="X707" s="2"/>
      <c r="Y707" s="2"/>
      <c r="Z707" s="2"/>
    </row>
    <row r="708" spans="1:26" ht="15.75" customHeight="1" x14ac:dyDescent="0.2">
      <c r="A708" s="12"/>
      <c r="B708" s="10"/>
      <c r="C708" s="11"/>
      <c r="D708" s="13"/>
      <c r="E708" s="13"/>
      <c r="F708" s="13"/>
      <c r="G708" s="2"/>
      <c r="H708" s="2"/>
      <c r="I708" s="13"/>
      <c r="J708" s="13"/>
      <c r="K708" s="13"/>
      <c r="L708" s="14"/>
      <c r="M708" s="4"/>
      <c r="N708" s="2"/>
      <c r="O708" s="4"/>
      <c r="P708" s="2"/>
      <c r="Q708" s="2"/>
      <c r="R708" s="4"/>
      <c r="S708" s="2"/>
      <c r="T708" s="2"/>
      <c r="U708" s="1"/>
      <c r="V708" s="2"/>
      <c r="W708" s="2"/>
      <c r="X708" s="2"/>
      <c r="Y708" s="2"/>
      <c r="Z708" s="2"/>
    </row>
    <row r="709" spans="1:26" ht="15.75" customHeight="1" x14ac:dyDescent="0.2">
      <c r="A709" s="12"/>
      <c r="B709" s="10"/>
      <c r="C709" s="11"/>
      <c r="D709" s="13"/>
      <c r="E709" s="13"/>
      <c r="F709" s="13"/>
      <c r="G709" s="2"/>
      <c r="H709" s="2"/>
      <c r="I709" s="13"/>
      <c r="J709" s="13"/>
      <c r="K709" s="13"/>
      <c r="L709" s="14"/>
      <c r="M709" s="4"/>
      <c r="N709" s="2"/>
      <c r="O709" s="4"/>
      <c r="P709" s="2"/>
      <c r="Q709" s="2"/>
      <c r="R709" s="4"/>
      <c r="S709" s="2"/>
      <c r="T709" s="2"/>
      <c r="U709" s="1"/>
      <c r="V709" s="2"/>
      <c r="W709" s="2"/>
      <c r="X709" s="2"/>
      <c r="Y709" s="2"/>
      <c r="Z709" s="2"/>
    </row>
    <row r="710" spans="1:26" ht="15.75" customHeight="1" x14ac:dyDescent="0.2">
      <c r="A710" s="12"/>
      <c r="B710" s="10"/>
      <c r="C710" s="11"/>
      <c r="D710" s="13"/>
      <c r="E710" s="13"/>
      <c r="F710" s="13"/>
      <c r="G710" s="2"/>
      <c r="H710" s="2"/>
      <c r="I710" s="13"/>
      <c r="J710" s="13"/>
      <c r="K710" s="13"/>
      <c r="L710" s="14"/>
      <c r="M710" s="4"/>
      <c r="N710" s="2"/>
      <c r="O710" s="4"/>
      <c r="P710" s="2"/>
      <c r="Q710" s="2"/>
      <c r="R710" s="4"/>
      <c r="S710" s="2"/>
      <c r="T710" s="2"/>
      <c r="U710" s="1"/>
      <c r="V710" s="2"/>
      <c r="W710" s="2"/>
      <c r="X710" s="2"/>
      <c r="Y710" s="2"/>
      <c r="Z710" s="2"/>
    </row>
    <row r="711" spans="1:26" ht="15.75" customHeight="1" x14ac:dyDescent="0.2">
      <c r="A711" s="12"/>
      <c r="B711" s="10"/>
      <c r="C711" s="11"/>
      <c r="D711" s="13"/>
      <c r="E711" s="13"/>
      <c r="F711" s="13"/>
      <c r="G711" s="2"/>
      <c r="H711" s="2"/>
      <c r="I711" s="13"/>
      <c r="J711" s="13"/>
      <c r="K711" s="13"/>
      <c r="L711" s="14"/>
      <c r="M711" s="4"/>
      <c r="N711" s="2"/>
      <c r="O711" s="4"/>
      <c r="P711" s="2"/>
      <c r="Q711" s="2"/>
      <c r="R711" s="4"/>
      <c r="S711" s="2"/>
      <c r="T711" s="2"/>
      <c r="U711" s="1"/>
      <c r="V711" s="2"/>
      <c r="W711" s="2"/>
      <c r="X711" s="2"/>
      <c r="Y711" s="2"/>
      <c r="Z711" s="2"/>
    </row>
    <row r="712" spans="1:26" ht="15.75" customHeight="1" x14ac:dyDescent="0.2">
      <c r="A712" s="12"/>
      <c r="B712" s="10"/>
      <c r="C712" s="11"/>
      <c r="D712" s="13"/>
      <c r="E712" s="13"/>
      <c r="F712" s="13"/>
      <c r="G712" s="2"/>
      <c r="H712" s="2"/>
      <c r="I712" s="13"/>
      <c r="J712" s="13"/>
      <c r="K712" s="13"/>
      <c r="L712" s="14"/>
      <c r="M712" s="4"/>
      <c r="N712" s="2"/>
      <c r="O712" s="4"/>
      <c r="P712" s="2"/>
      <c r="Q712" s="2"/>
      <c r="R712" s="4"/>
      <c r="S712" s="2"/>
      <c r="T712" s="2"/>
      <c r="U712" s="1"/>
      <c r="V712" s="2"/>
      <c r="W712" s="2"/>
      <c r="X712" s="2"/>
      <c r="Y712" s="2"/>
      <c r="Z712" s="2"/>
    </row>
    <row r="713" spans="1:26" ht="15.75" customHeight="1" x14ac:dyDescent="0.2">
      <c r="A713" s="12"/>
      <c r="B713" s="10"/>
      <c r="C713" s="11"/>
      <c r="D713" s="13"/>
      <c r="E713" s="13"/>
      <c r="F713" s="13"/>
      <c r="G713" s="2"/>
      <c r="H713" s="2"/>
      <c r="I713" s="13"/>
      <c r="J713" s="13"/>
      <c r="K713" s="13"/>
      <c r="L713" s="14"/>
      <c r="M713" s="4"/>
      <c r="N713" s="2"/>
      <c r="O713" s="4"/>
      <c r="P713" s="2"/>
      <c r="Q713" s="2"/>
      <c r="R713" s="4"/>
      <c r="S713" s="2"/>
      <c r="T713" s="2"/>
      <c r="U713" s="1"/>
      <c r="V713" s="2"/>
      <c r="W713" s="2"/>
      <c r="X713" s="2"/>
      <c r="Y713" s="2"/>
      <c r="Z713" s="2"/>
    </row>
    <row r="714" spans="1:26" ht="15.75" customHeight="1" x14ac:dyDescent="0.2">
      <c r="A714" s="12"/>
      <c r="B714" s="10"/>
      <c r="C714" s="11"/>
      <c r="D714" s="13"/>
      <c r="E714" s="13"/>
      <c r="F714" s="13"/>
      <c r="G714" s="2"/>
      <c r="H714" s="2"/>
      <c r="I714" s="13"/>
      <c r="J714" s="13"/>
      <c r="K714" s="13"/>
      <c r="L714" s="14"/>
      <c r="M714" s="4"/>
      <c r="N714" s="2"/>
      <c r="O714" s="4"/>
      <c r="P714" s="2"/>
      <c r="Q714" s="2"/>
      <c r="R714" s="4"/>
      <c r="S714" s="2"/>
      <c r="T714" s="2"/>
      <c r="U714" s="1"/>
      <c r="V714" s="2"/>
      <c r="W714" s="2"/>
      <c r="X714" s="2"/>
      <c r="Y714" s="2"/>
      <c r="Z714" s="2"/>
    </row>
    <row r="715" spans="1:26" ht="15.75" customHeight="1" x14ac:dyDescent="0.2">
      <c r="A715" s="12"/>
      <c r="B715" s="10"/>
      <c r="C715" s="11"/>
      <c r="D715" s="13"/>
      <c r="E715" s="13"/>
      <c r="F715" s="13"/>
      <c r="G715" s="2"/>
      <c r="H715" s="2"/>
      <c r="I715" s="13"/>
      <c r="J715" s="13"/>
      <c r="K715" s="13"/>
      <c r="L715" s="14"/>
      <c r="M715" s="4"/>
      <c r="N715" s="2"/>
      <c r="O715" s="4"/>
      <c r="P715" s="2"/>
      <c r="Q715" s="2"/>
      <c r="R715" s="4"/>
      <c r="S715" s="2"/>
      <c r="T715" s="2"/>
      <c r="U715" s="1"/>
      <c r="V715" s="2"/>
      <c r="W715" s="2"/>
      <c r="X715" s="2"/>
      <c r="Y715" s="2"/>
      <c r="Z715" s="2"/>
    </row>
    <row r="716" spans="1:26" ht="15.75" customHeight="1" x14ac:dyDescent="0.2">
      <c r="A716" s="12"/>
      <c r="B716" s="10"/>
      <c r="C716" s="11"/>
      <c r="D716" s="13"/>
      <c r="E716" s="13"/>
      <c r="F716" s="13"/>
      <c r="G716" s="2"/>
      <c r="H716" s="2"/>
      <c r="I716" s="13"/>
      <c r="J716" s="13"/>
      <c r="K716" s="13"/>
      <c r="L716" s="14"/>
      <c r="M716" s="4"/>
      <c r="N716" s="2"/>
      <c r="O716" s="4"/>
      <c r="P716" s="2"/>
      <c r="Q716" s="2"/>
      <c r="R716" s="4"/>
      <c r="S716" s="2"/>
      <c r="T716" s="2"/>
      <c r="U716" s="1"/>
      <c r="V716" s="2"/>
      <c r="W716" s="2"/>
      <c r="X716" s="2"/>
      <c r="Y716" s="2"/>
      <c r="Z716" s="2"/>
    </row>
    <row r="717" spans="1:26" ht="15.75" customHeight="1" x14ac:dyDescent="0.2">
      <c r="A717" s="12"/>
      <c r="B717" s="10"/>
      <c r="C717" s="11"/>
      <c r="D717" s="13"/>
      <c r="E717" s="13"/>
      <c r="F717" s="13"/>
      <c r="G717" s="2"/>
      <c r="H717" s="2"/>
      <c r="I717" s="13"/>
      <c r="J717" s="13"/>
      <c r="K717" s="13"/>
      <c r="L717" s="14"/>
      <c r="M717" s="4"/>
      <c r="N717" s="2"/>
      <c r="O717" s="4"/>
      <c r="P717" s="2"/>
      <c r="Q717" s="2"/>
      <c r="R717" s="4"/>
      <c r="S717" s="2"/>
      <c r="T717" s="2"/>
      <c r="U717" s="1"/>
      <c r="V717" s="2"/>
      <c r="W717" s="2"/>
      <c r="X717" s="2"/>
      <c r="Y717" s="2"/>
      <c r="Z717" s="2"/>
    </row>
    <row r="718" spans="1:26" ht="15.75" customHeight="1" x14ac:dyDescent="0.2">
      <c r="A718" s="12"/>
      <c r="B718" s="10"/>
      <c r="C718" s="11"/>
      <c r="D718" s="13"/>
      <c r="E718" s="13"/>
      <c r="F718" s="13"/>
      <c r="G718" s="2"/>
      <c r="H718" s="2"/>
      <c r="I718" s="13"/>
      <c r="J718" s="13"/>
      <c r="K718" s="13"/>
      <c r="L718" s="14"/>
      <c r="M718" s="4"/>
      <c r="N718" s="2"/>
      <c r="O718" s="4"/>
      <c r="P718" s="2"/>
      <c r="Q718" s="2"/>
      <c r="R718" s="4"/>
      <c r="S718" s="2"/>
      <c r="T718" s="2"/>
      <c r="U718" s="1"/>
      <c r="V718" s="2"/>
      <c r="W718" s="2"/>
      <c r="X718" s="2"/>
      <c r="Y718" s="2"/>
      <c r="Z718" s="2"/>
    </row>
    <row r="719" spans="1:26" ht="15.75" customHeight="1" x14ac:dyDescent="0.2">
      <c r="A719" s="12"/>
      <c r="B719" s="10"/>
      <c r="C719" s="11"/>
      <c r="D719" s="13"/>
      <c r="E719" s="13"/>
      <c r="F719" s="13"/>
      <c r="G719" s="2"/>
      <c r="H719" s="2"/>
      <c r="I719" s="13"/>
      <c r="J719" s="13"/>
      <c r="K719" s="13"/>
      <c r="L719" s="14"/>
      <c r="M719" s="4"/>
      <c r="N719" s="2"/>
      <c r="O719" s="4"/>
      <c r="P719" s="2"/>
      <c r="Q719" s="2"/>
      <c r="R719" s="4"/>
      <c r="S719" s="2"/>
      <c r="T719" s="2"/>
      <c r="U719" s="1"/>
      <c r="V719" s="2"/>
      <c r="W719" s="2"/>
      <c r="X719" s="2"/>
      <c r="Y719" s="2"/>
      <c r="Z719" s="2"/>
    </row>
    <row r="720" spans="1:26" ht="15.75" customHeight="1" x14ac:dyDescent="0.2">
      <c r="A720" s="12"/>
      <c r="B720" s="10"/>
      <c r="C720" s="11"/>
      <c r="D720" s="13"/>
      <c r="E720" s="13"/>
      <c r="F720" s="13"/>
      <c r="G720" s="2"/>
      <c r="H720" s="2"/>
      <c r="I720" s="13"/>
      <c r="J720" s="13"/>
      <c r="K720" s="13"/>
      <c r="L720" s="14"/>
      <c r="M720" s="4"/>
      <c r="N720" s="2"/>
      <c r="O720" s="4"/>
      <c r="P720" s="2"/>
      <c r="Q720" s="2"/>
      <c r="R720" s="4"/>
      <c r="S720" s="2"/>
      <c r="T720" s="2"/>
      <c r="U720" s="1"/>
      <c r="V720" s="2"/>
      <c r="W720" s="2"/>
      <c r="X720" s="2"/>
      <c r="Y720" s="2"/>
      <c r="Z720" s="2"/>
    </row>
    <row r="721" spans="1:26" ht="15.75" customHeight="1" x14ac:dyDescent="0.2">
      <c r="A721" s="12"/>
      <c r="B721" s="10"/>
      <c r="C721" s="11"/>
      <c r="D721" s="13"/>
      <c r="E721" s="13"/>
      <c r="F721" s="13"/>
      <c r="G721" s="2"/>
      <c r="H721" s="2"/>
      <c r="I721" s="13"/>
      <c r="J721" s="13"/>
      <c r="K721" s="13"/>
      <c r="L721" s="14"/>
      <c r="M721" s="4"/>
      <c r="N721" s="2"/>
      <c r="O721" s="4"/>
      <c r="P721" s="2"/>
      <c r="Q721" s="2"/>
      <c r="R721" s="4"/>
      <c r="S721" s="2"/>
      <c r="T721" s="2"/>
      <c r="U721" s="1"/>
      <c r="V721" s="2"/>
      <c r="W721" s="2"/>
      <c r="X721" s="2"/>
      <c r="Y721" s="2"/>
      <c r="Z721" s="2"/>
    </row>
    <row r="722" spans="1:26" ht="15.75" customHeight="1" x14ac:dyDescent="0.2">
      <c r="A722" s="12"/>
      <c r="B722" s="10"/>
      <c r="C722" s="11"/>
      <c r="D722" s="13"/>
      <c r="E722" s="13"/>
      <c r="F722" s="13"/>
      <c r="G722" s="2"/>
      <c r="H722" s="2"/>
      <c r="I722" s="13"/>
      <c r="J722" s="13"/>
      <c r="K722" s="13"/>
      <c r="L722" s="14"/>
      <c r="M722" s="4"/>
      <c r="N722" s="2"/>
      <c r="O722" s="4"/>
      <c r="P722" s="2"/>
      <c r="Q722" s="2"/>
      <c r="R722" s="4"/>
      <c r="S722" s="2"/>
      <c r="T722" s="2"/>
      <c r="U722" s="1"/>
      <c r="V722" s="2"/>
      <c r="W722" s="2"/>
      <c r="X722" s="2"/>
      <c r="Y722" s="2"/>
      <c r="Z722" s="2"/>
    </row>
    <row r="723" spans="1:26" ht="15.75" customHeight="1" x14ac:dyDescent="0.2">
      <c r="A723" s="12"/>
      <c r="B723" s="10"/>
      <c r="C723" s="11"/>
      <c r="D723" s="13"/>
      <c r="E723" s="13"/>
      <c r="F723" s="13"/>
      <c r="G723" s="2"/>
      <c r="H723" s="2"/>
      <c r="I723" s="13"/>
      <c r="J723" s="13"/>
      <c r="K723" s="13"/>
      <c r="L723" s="14"/>
      <c r="M723" s="4"/>
      <c r="N723" s="2"/>
      <c r="O723" s="4"/>
      <c r="P723" s="2"/>
      <c r="Q723" s="2"/>
      <c r="R723" s="4"/>
      <c r="S723" s="2"/>
      <c r="T723" s="2"/>
      <c r="U723" s="1"/>
      <c r="V723" s="2"/>
      <c r="W723" s="2"/>
      <c r="X723" s="2"/>
      <c r="Y723" s="2"/>
      <c r="Z723" s="2"/>
    </row>
    <row r="724" spans="1:26" ht="15.75" customHeight="1" x14ac:dyDescent="0.2">
      <c r="A724" s="12"/>
      <c r="B724" s="10"/>
      <c r="C724" s="11"/>
      <c r="D724" s="13"/>
      <c r="E724" s="13"/>
      <c r="F724" s="13"/>
      <c r="G724" s="2"/>
      <c r="H724" s="2"/>
      <c r="I724" s="13"/>
      <c r="J724" s="13"/>
      <c r="K724" s="13"/>
      <c r="L724" s="14"/>
      <c r="M724" s="4"/>
      <c r="N724" s="2"/>
      <c r="O724" s="4"/>
      <c r="P724" s="2"/>
      <c r="Q724" s="2"/>
      <c r="R724" s="4"/>
      <c r="S724" s="2"/>
      <c r="T724" s="2"/>
      <c r="U724" s="1"/>
      <c r="V724" s="2"/>
      <c r="W724" s="2"/>
      <c r="X724" s="2"/>
      <c r="Y724" s="2"/>
      <c r="Z724" s="2"/>
    </row>
    <row r="725" spans="1:26" ht="15.75" customHeight="1" x14ac:dyDescent="0.2">
      <c r="A725" s="12"/>
      <c r="B725" s="10"/>
      <c r="C725" s="11"/>
      <c r="D725" s="13"/>
      <c r="E725" s="13"/>
      <c r="F725" s="13"/>
      <c r="G725" s="2"/>
      <c r="H725" s="2"/>
      <c r="I725" s="13"/>
      <c r="J725" s="13"/>
      <c r="K725" s="13"/>
      <c r="L725" s="14"/>
      <c r="M725" s="4"/>
      <c r="N725" s="2"/>
      <c r="O725" s="4"/>
      <c r="P725" s="2"/>
      <c r="Q725" s="2"/>
      <c r="R725" s="4"/>
      <c r="S725" s="2"/>
      <c r="T725" s="2"/>
      <c r="U725" s="1"/>
      <c r="V725" s="2"/>
      <c r="W725" s="2"/>
      <c r="X725" s="2"/>
      <c r="Y725" s="2"/>
      <c r="Z725" s="2"/>
    </row>
    <row r="726" spans="1:26" ht="15.75" customHeight="1" x14ac:dyDescent="0.2">
      <c r="A726" s="12"/>
      <c r="B726" s="10"/>
      <c r="C726" s="11"/>
      <c r="D726" s="13"/>
      <c r="E726" s="13"/>
      <c r="F726" s="13"/>
      <c r="G726" s="2"/>
      <c r="H726" s="2"/>
      <c r="I726" s="13"/>
      <c r="J726" s="13"/>
      <c r="K726" s="13"/>
      <c r="L726" s="14"/>
      <c r="M726" s="4"/>
      <c r="N726" s="2"/>
      <c r="O726" s="4"/>
      <c r="P726" s="2"/>
      <c r="Q726" s="2"/>
      <c r="R726" s="4"/>
      <c r="S726" s="2"/>
      <c r="T726" s="2"/>
      <c r="U726" s="1"/>
      <c r="V726" s="2"/>
      <c r="W726" s="2"/>
      <c r="X726" s="2"/>
      <c r="Y726" s="2"/>
      <c r="Z726" s="2"/>
    </row>
    <row r="727" spans="1:26" ht="15.75" customHeight="1" x14ac:dyDescent="0.2">
      <c r="A727" s="12"/>
      <c r="B727" s="10"/>
      <c r="C727" s="11"/>
      <c r="D727" s="13"/>
      <c r="E727" s="13"/>
      <c r="F727" s="13"/>
      <c r="G727" s="2"/>
      <c r="H727" s="2"/>
      <c r="I727" s="13"/>
      <c r="J727" s="13"/>
      <c r="K727" s="13"/>
      <c r="L727" s="14"/>
      <c r="M727" s="4"/>
      <c r="N727" s="2"/>
      <c r="O727" s="4"/>
      <c r="P727" s="2"/>
      <c r="Q727" s="2"/>
      <c r="R727" s="4"/>
      <c r="S727" s="2"/>
      <c r="T727" s="2"/>
      <c r="U727" s="1"/>
      <c r="V727" s="2"/>
      <c r="W727" s="2"/>
      <c r="X727" s="2"/>
      <c r="Y727" s="2"/>
      <c r="Z727" s="2"/>
    </row>
    <row r="728" spans="1:26" ht="15.75" customHeight="1" x14ac:dyDescent="0.2">
      <c r="A728" s="12"/>
      <c r="B728" s="10"/>
      <c r="C728" s="11"/>
      <c r="D728" s="13"/>
      <c r="E728" s="13"/>
      <c r="F728" s="13"/>
      <c r="G728" s="2"/>
      <c r="H728" s="2"/>
      <c r="I728" s="13"/>
      <c r="J728" s="13"/>
      <c r="K728" s="13"/>
      <c r="L728" s="14"/>
      <c r="M728" s="4"/>
      <c r="N728" s="2"/>
      <c r="O728" s="4"/>
      <c r="P728" s="2"/>
      <c r="Q728" s="2"/>
      <c r="R728" s="4"/>
      <c r="S728" s="2"/>
      <c r="T728" s="2"/>
      <c r="U728" s="1"/>
      <c r="V728" s="2"/>
      <c r="W728" s="2"/>
      <c r="X728" s="2"/>
      <c r="Y728" s="2"/>
      <c r="Z728" s="2"/>
    </row>
    <row r="729" spans="1:26" ht="15.75" customHeight="1" x14ac:dyDescent="0.2">
      <c r="A729" s="12"/>
      <c r="B729" s="10"/>
      <c r="C729" s="11"/>
      <c r="D729" s="13"/>
      <c r="E729" s="13"/>
      <c r="F729" s="13"/>
      <c r="G729" s="2"/>
      <c r="H729" s="2"/>
      <c r="I729" s="13"/>
      <c r="J729" s="13"/>
      <c r="K729" s="13"/>
      <c r="L729" s="14"/>
      <c r="M729" s="4"/>
      <c r="N729" s="2"/>
      <c r="O729" s="4"/>
      <c r="P729" s="2"/>
      <c r="Q729" s="2"/>
      <c r="R729" s="4"/>
      <c r="S729" s="2"/>
      <c r="T729" s="2"/>
      <c r="U729" s="1"/>
      <c r="V729" s="2"/>
      <c r="W729" s="2"/>
      <c r="X729" s="2"/>
      <c r="Y729" s="2"/>
      <c r="Z729" s="2"/>
    </row>
    <row r="730" spans="1:26" ht="15.75" customHeight="1" x14ac:dyDescent="0.2">
      <c r="A730" s="12"/>
      <c r="B730" s="10"/>
      <c r="C730" s="11"/>
      <c r="D730" s="13"/>
      <c r="E730" s="13"/>
      <c r="F730" s="13"/>
      <c r="G730" s="2"/>
      <c r="H730" s="2"/>
      <c r="I730" s="13"/>
      <c r="J730" s="13"/>
      <c r="K730" s="13"/>
      <c r="L730" s="14"/>
      <c r="M730" s="4"/>
      <c r="N730" s="2"/>
      <c r="O730" s="4"/>
      <c r="P730" s="2"/>
      <c r="Q730" s="2"/>
      <c r="R730" s="4"/>
      <c r="S730" s="2"/>
      <c r="T730" s="2"/>
      <c r="U730" s="1"/>
      <c r="V730" s="2"/>
      <c r="W730" s="2"/>
      <c r="X730" s="2"/>
      <c r="Y730" s="2"/>
      <c r="Z730" s="2"/>
    </row>
    <row r="731" spans="1:26" ht="15.75" customHeight="1" x14ac:dyDescent="0.2">
      <c r="A731" s="12"/>
      <c r="B731" s="10"/>
      <c r="C731" s="11"/>
      <c r="D731" s="13"/>
      <c r="E731" s="13"/>
      <c r="F731" s="13"/>
      <c r="G731" s="2"/>
      <c r="H731" s="2"/>
      <c r="I731" s="13"/>
      <c r="J731" s="13"/>
      <c r="K731" s="13"/>
      <c r="L731" s="14"/>
      <c r="M731" s="4"/>
      <c r="N731" s="2"/>
      <c r="O731" s="4"/>
      <c r="P731" s="2"/>
      <c r="Q731" s="2"/>
      <c r="R731" s="4"/>
      <c r="S731" s="2"/>
      <c r="T731" s="2"/>
      <c r="U731" s="1"/>
      <c r="V731" s="2"/>
      <c r="W731" s="2"/>
      <c r="X731" s="2"/>
      <c r="Y731" s="2"/>
      <c r="Z731" s="2"/>
    </row>
    <row r="732" spans="1:26" ht="15.75" customHeight="1" x14ac:dyDescent="0.2">
      <c r="A732" s="12"/>
      <c r="B732" s="10"/>
      <c r="C732" s="11"/>
      <c r="D732" s="13"/>
      <c r="E732" s="13"/>
      <c r="F732" s="13"/>
      <c r="G732" s="2"/>
      <c r="H732" s="2"/>
      <c r="I732" s="13"/>
      <c r="J732" s="13"/>
      <c r="K732" s="13"/>
      <c r="L732" s="14"/>
      <c r="M732" s="4"/>
      <c r="N732" s="2"/>
      <c r="O732" s="4"/>
      <c r="P732" s="2"/>
      <c r="Q732" s="2"/>
      <c r="R732" s="4"/>
      <c r="S732" s="2"/>
      <c r="T732" s="2"/>
      <c r="U732" s="1"/>
      <c r="V732" s="2"/>
      <c r="W732" s="2"/>
      <c r="X732" s="2"/>
      <c r="Y732" s="2"/>
      <c r="Z732" s="2"/>
    </row>
    <row r="733" spans="1:26" ht="15.75" customHeight="1" x14ac:dyDescent="0.2">
      <c r="A733" s="12"/>
      <c r="B733" s="10"/>
      <c r="C733" s="11"/>
      <c r="D733" s="13"/>
      <c r="E733" s="13"/>
      <c r="F733" s="13"/>
      <c r="G733" s="2"/>
      <c r="H733" s="2"/>
      <c r="I733" s="13"/>
      <c r="J733" s="13"/>
      <c r="K733" s="13"/>
      <c r="L733" s="14"/>
      <c r="M733" s="4"/>
      <c r="N733" s="2"/>
      <c r="O733" s="4"/>
      <c r="P733" s="2"/>
      <c r="Q733" s="2"/>
      <c r="R733" s="4"/>
      <c r="S733" s="2"/>
      <c r="T733" s="2"/>
      <c r="U733" s="1"/>
      <c r="V733" s="2"/>
      <c r="W733" s="2"/>
      <c r="X733" s="2"/>
      <c r="Y733" s="2"/>
      <c r="Z733" s="2"/>
    </row>
    <row r="734" spans="1:26" ht="15.75" customHeight="1" x14ac:dyDescent="0.2">
      <c r="A734" s="12"/>
      <c r="B734" s="10"/>
      <c r="C734" s="11"/>
      <c r="D734" s="13"/>
      <c r="E734" s="13"/>
      <c r="F734" s="13"/>
      <c r="G734" s="2"/>
      <c r="H734" s="2"/>
      <c r="I734" s="13"/>
      <c r="J734" s="13"/>
      <c r="K734" s="13"/>
      <c r="L734" s="14"/>
      <c r="M734" s="4"/>
      <c r="N734" s="2"/>
      <c r="O734" s="4"/>
      <c r="P734" s="2"/>
      <c r="Q734" s="2"/>
      <c r="R734" s="4"/>
      <c r="S734" s="2"/>
      <c r="T734" s="2"/>
      <c r="U734" s="1"/>
      <c r="V734" s="2"/>
      <c r="W734" s="2"/>
      <c r="X734" s="2"/>
      <c r="Y734" s="2"/>
      <c r="Z734" s="2"/>
    </row>
    <row r="735" spans="1:26" ht="15.75" customHeight="1" x14ac:dyDescent="0.2">
      <c r="A735" s="12"/>
      <c r="B735" s="10"/>
      <c r="C735" s="11"/>
      <c r="D735" s="13"/>
      <c r="E735" s="13"/>
      <c r="F735" s="13"/>
      <c r="G735" s="2"/>
      <c r="H735" s="2"/>
      <c r="I735" s="13"/>
      <c r="J735" s="13"/>
      <c r="K735" s="13"/>
      <c r="L735" s="14"/>
      <c r="M735" s="4"/>
      <c r="N735" s="2"/>
      <c r="O735" s="4"/>
      <c r="P735" s="2"/>
      <c r="Q735" s="2"/>
      <c r="R735" s="4"/>
      <c r="S735" s="2"/>
      <c r="T735" s="2"/>
      <c r="U735" s="1"/>
      <c r="V735" s="2"/>
      <c r="W735" s="2"/>
      <c r="X735" s="2"/>
      <c r="Y735" s="2"/>
      <c r="Z735" s="2"/>
    </row>
    <row r="736" spans="1:26" ht="15.75" customHeight="1" x14ac:dyDescent="0.2">
      <c r="A736" s="12"/>
      <c r="B736" s="10"/>
      <c r="C736" s="11"/>
      <c r="D736" s="13"/>
      <c r="E736" s="13"/>
      <c r="F736" s="13"/>
      <c r="G736" s="2"/>
      <c r="H736" s="2"/>
      <c r="I736" s="13"/>
      <c r="J736" s="13"/>
      <c r="K736" s="13"/>
      <c r="L736" s="14"/>
      <c r="M736" s="4"/>
      <c r="N736" s="2"/>
      <c r="O736" s="4"/>
      <c r="P736" s="2"/>
      <c r="Q736" s="2"/>
      <c r="R736" s="4"/>
      <c r="S736" s="2"/>
      <c r="T736" s="2"/>
      <c r="U736" s="1"/>
      <c r="V736" s="2"/>
      <c r="W736" s="2"/>
      <c r="X736" s="2"/>
      <c r="Y736" s="2"/>
      <c r="Z736" s="2"/>
    </row>
    <row r="737" spans="1:26" ht="15.75" customHeight="1" x14ac:dyDescent="0.2">
      <c r="A737" s="12"/>
      <c r="B737" s="10"/>
      <c r="C737" s="11"/>
      <c r="D737" s="13"/>
      <c r="E737" s="13"/>
      <c r="F737" s="13"/>
      <c r="G737" s="2"/>
      <c r="H737" s="2"/>
      <c r="I737" s="13"/>
      <c r="J737" s="13"/>
      <c r="K737" s="13"/>
      <c r="L737" s="14"/>
      <c r="M737" s="4"/>
      <c r="N737" s="2"/>
      <c r="O737" s="4"/>
      <c r="P737" s="2"/>
      <c r="Q737" s="2"/>
      <c r="R737" s="4"/>
      <c r="S737" s="2"/>
      <c r="T737" s="2"/>
      <c r="U737" s="1"/>
      <c r="V737" s="2"/>
      <c r="W737" s="2"/>
      <c r="X737" s="2"/>
      <c r="Y737" s="2"/>
      <c r="Z737" s="2"/>
    </row>
    <row r="738" spans="1:26" ht="15.75" customHeight="1" x14ac:dyDescent="0.2">
      <c r="A738" s="12"/>
      <c r="B738" s="10"/>
      <c r="C738" s="11"/>
      <c r="D738" s="13"/>
      <c r="E738" s="13"/>
      <c r="F738" s="13"/>
      <c r="G738" s="2"/>
      <c r="H738" s="2"/>
      <c r="I738" s="13"/>
      <c r="J738" s="13"/>
      <c r="K738" s="13"/>
      <c r="L738" s="14"/>
      <c r="M738" s="4"/>
      <c r="N738" s="2"/>
      <c r="O738" s="4"/>
      <c r="P738" s="2"/>
      <c r="Q738" s="2"/>
      <c r="R738" s="4"/>
      <c r="S738" s="2"/>
      <c r="T738" s="2"/>
      <c r="U738" s="1"/>
      <c r="V738" s="2"/>
      <c r="W738" s="2"/>
      <c r="X738" s="2"/>
      <c r="Y738" s="2"/>
      <c r="Z738" s="2"/>
    </row>
    <row r="739" spans="1:26" ht="15.75" customHeight="1" x14ac:dyDescent="0.2">
      <c r="A739" s="12"/>
      <c r="B739" s="10"/>
      <c r="C739" s="11"/>
      <c r="D739" s="13"/>
      <c r="E739" s="13"/>
      <c r="F739" s="13"/>
      <c r="G739" s="2"/>
      <c r="H739" s="2"/>
      <c r="I739" s="13"/>
      <c r="J739" s="13"/>
      <c r="K739" s="13"/>
      <c r="L739" s="14"/>
      <c r="M739" s="4"/>
      <c r="N739" s="2"/>
      <c r="O739" s="4"/>
      <c r="P739" s="2"/>
      <c r="Q739" s="2"/>
      <c r="R739" s="4"/>
      <c r="S739" s="2"/>
      <c r="T739" s="2"/>
      <c r="U739" s="1"/>
      <c r="V739" s="2"/>
      <c r="W739" s="2"/>
      <c r="X739" s="2"/>
      <c r="Y739" s="2"/>
      <c r="Z739" s="2"/>
    </row>
    <row r="740" spans="1:26" ht="15.75" customHeight="1" x14ac:dyDescent="0.2">
      <c r="A740" s="12"/>
      <c r="B740" s="10"/>
      <c r="C740" s="11"/>
      <c r="D740" s="13"/>
      <c r="E740" s="13"/>
      <c r="F740" s="13"/>
      <c r="G740" s="2"/>
      <c r="H740" s="2"/>
      <c r="I740" s="13"/>
      <c r="J740" s="13"/>
      <c r="K740" s="13"/>
      <c r="L740" s="14"/>
      <c r="M740" s="4"/>
      <c r="N740" s="2"/>
      <c r="O740" s="4"/>
      <c r="P740" s="2"/>
      <c r="Q740" s="2"/>
      <c r="R740" s="4"/>
      <c r="S740" s="2"/>
      <c r="T740" s="2"/>
      <c r="U740" s="1"/>
      <c r="V740" s="2"/>
      <c r="W740" s="2"/>
      <c r="X740" s="2"/>
      <c r="Y740" s="2"/>
      <c r="Z740" s="2"/>
    </row>
    <row r="741" spans="1:26" ht="15.75" customHeight="1" x14ac:dyDescent="0.2">
      <c r="A741" s="12"/>
      <c r="B741" s="10"/>
      <c r="C741" s="11"/>
      <c r="D741" s="13"/>
      <c r="E741" s="13"/>
      <c r="F741" s="13"/>
      <c r="G741" s="2"/>
      <c r="H741" s="2"/>
      <c r="I741" s="13"/>
      <c r="J741" s="13"/>
      <c r="K741" s="13"/>
      <c r="L741" s="14"/>
      <c r="M741" s="4"/>
      <c r="N741" s="2"/>
      <c r="O741" s="4"/>
      <c r="P741" s="2"/>
      <c r="Q741" s="2"/>
      <c r="R741" s="4"/>
      <c r="S741" s="2"/>
      <c r="T741" s="2"/>
      <c r="U741" s="1"/>
      <c r="V741" s="2"/>
      <c r="W741" s="2"/>
      <c r="X741" s="2"/>
      <c r="Y741" s="2"/>
      <c r="Z741" s="2"/>
    </row>
    <row r="742" spans="1:26" ht="15.75" customHeight="1" x14ac:dyDescent="0.2">
      <c r="A742" s="12"/>
      <c r="B742" s="10"/>
      <c r="C742" s="11"/>
      <c r="D742" s="13"/>
      <c r="E742" s="13"/>
      <c r="F742" s="13"/>
      <c r="G742" s="2"/>
      <c r="H742" s="2"/>
      <c r="I742" s="13"/>
      <c r="J742" s="13"/>
      <c r="K742" s="13"/>
      <c r="L742" s="14"/>
      <c r="M742" s="4"/>
      <c r="N742" s="2"/>
      <c r="O742" s="4"/>
      <c r="P742" s="2"/>
      <c r="Q742" s="2"/>
      <c r="R742" s="4"/>
      <c r="S742" s="2"/>
      <c r="T742" s="2"/>
      <c r="U742" s="1"/>
      <c r="V742" s="2"/>
      <c r="W742" s="2"/>
      <c r="X742" s="2"/>
      <c r="Y742" s="2"/>
      <c r="Z742" s="2"/>
    </row>
    <row r="743" spans="1:26" ht="15.75" customHeight="1" x14ac:dyDescent="0.2">
      <c r="A743" s="12"/>
      <c r="B743" s="10"/>
      <c r="C743" s="11"/>
      <c r="D743" s="13"/>
      <c r="E743" s="13"/>
      <c r="F743" s="13"/>
      <c r="G743" s="2"/>
      <c r="H743" s="2"/>
      <c r="I743" s="13"/>
      <c r="J743" s="13"/>
      <c r="K743" s="13"/>
      <c r="L743" s="14"/>
      <c r="M743" s="4"/>
      <c r="N743" s="2"/>
      <c r="O743" s="4"/>
      <c r="P743" s="2"/>
      <c r="Q743" s="2"/>
      <c r="R743" s="4"/>
      <c r="S743" s="2"/>
      <c r="T743" s="2"/>
      <c r="U743" s="1"/>
      <c r="V743" s="2"/>
      <c r="W743" s="2"/>
      <c r="X743" s="2"/>
      <c r="Y743" s="2"/>
      <c r="Z743" s="2"/>
    </row>
    <row r="744" spans="1:26" ht="15.75" customHeight="1" x14ac:dyDescent="0.2">
      <c r="A744" s="12"/>
      <c r="B744" s="10"/>
      <c r="C744" s="11"/>
      <c r="D744" s="13"/>
      <c r="E744" s="13"/>
      <c r="F744" s="13"/>
      <c r="G744" s="2"/>
      <c r="H744" s="2"/>
      <c r="I744" s="13"/>
      <c r="J744" s="13"/>
      <c r="K744" s="13"/>
      <c r="L744" s="14"/>
      <c r="M744" s="4"/>
      <c r="N744" s="2"/>
      <c r="O744" s="4"/>
      <c r="P744" s="2"/>
      <c r="Q744" s="2"/>
      <c r="R744" s="4"/>
      <c r="S744" s="2"/>
      <c r="T744" s="2"/>
      <c r="U744" s="1"/>
      <c r="V744" s="2"/>
      <c r="W744" s="2"/>
      <c r="X744" s="2"/>
      <c r="Y744" s="2"/>
      <c r="Z744" s="2"/>
    </row>
    <row r="745" spans="1:26" ht="15.75" customHeight="1" x14ac:dyDescent="0.2">
      <c r="A745" s="12"/>
      <c r="B745" s="10"/>
      <c r="C745" s="11"/>
      <c r="D745" s="13"/>
      <c r="E745" s="13"/>
      <c r="F745" s="13"/>
      <c r="G745" s="2"/>
      <c r="H745" s="2"/>
      <c r="I745" s="13"/>
      <c r="J745" s="13"/>
      <c r="K745" s="13"/>
      <c r="L745" s="14"/>
      <c r="M745" s="4"/>
      <c r="N745" s="2"/>
      <c r="O745" s="4"/>
      <c r="P745" s="2"/>
      <c r="Q745" s="2"/>
      <c r="R745" s="4"/>
      <c r="S745" s="2"/>
      <c r="T745" s="2"/>
      <c r="U745" s="1"/>
      <c r="V745" s="2"/>
      <c r="W745" s="2"/>
      <c r="X745" s="2"/>
      <c r="Y745" s="2"/>
      <c r="Z745" s="2"/>
    </row>
    <row r="746" spans="1:26" ht="15.75" customHeight="1" x14ac:dyDescent="0.2">
      <c r="A746" s="12"/>
      <c r="B746" s="10"/>
      <c r="C746" s="11"/>
      <c r="D746" s="13"/>
      <c r="E746" s="13"/>
      <c r="F746" s="13"/>
      <c r="G746" s="2"/>
      <c r="H746" s="2"/>
      <c r="I746" s="13"/>
      <c r="J746" s="13"/>
      <c r="K746" s="13"/>
      <c r="L746" s="14"/>
      <c r="M746" s="4"/>
      <c r="N746" s="2"/>
      <c r="O746" s="4"/>
      <c r="P746" s="2"/>
      <c r="Q746" s="2"/>
      <c r="R746" s="4"/>
      <c r="S746" s="2"/>
      <c r="T746" s="2"/>
      <c r="U746" s="1"/>
      <c r="V746" s="2"/>
      <c r="W746" s="2"/>
      <c r="X746" s="2"/>
      <c r="Y746" s="2"/>
      <c r="Z746" s="2"/>
    </row>
    <row r="747" spans="1:26" ht="15.75" customHeight="1" x14ac:dyDescent="0.2">
      <c r="A747" s="12"/>
      <c r="B747" s="10"/>
      <c r="C747" s="11"/>
      <c r="D747" s="13"/>
      <c r="E747" s="13"/>
      <c r="F747" s="13"/>
      <c r="G747" s="2"/>
      <c r="H747" s="2"/>
      <c r="I747" s="13"/>
      <c r="J747" s="13"/>
      <c r="K747" s="13"/>
      <c r="L747" s="14"/>
      <c r="M747" s="4"/>
      <c r="N747" s="2"/>
      <c r="O747" s="4"/>
      <c r="P747" s="2"/>
      <c r="Q747" s="2"/>
      <c r="R747" s="4"/>
      <c r="S747" s="2"/>
      <c r="T747" s="2"/>
      <c r="U747" s="1"/>
      <c r="V747" s="2"/>
      <c r="W747" s="2"/>
      <c r="X747" s="2"/>
      <c r="Y747" s="2"/>
      <c r="Z747" s="2"/>
    </row>
    <row r="748" spans="1:26" ht="15.75" customHeight="1" x14ac:dyDescent="0.2">
      <c r="A748" s="12"/>
      <c r="B748" s="10"/>
      <c r="C748" s="11"/>
      <c r="D748" s="13"/>
      <c r="E748" s="13"/>
      <c r="F748" s="13"/>
      <c r="G748" s="2"/>
      <c r="H748" s="2"/>
      <c r="I748" s="13"/>
      <c r="J748" s="13"/>
      <c r="K748" s="13"/>
      <c r="L748" s="14"/>
      <c r="M748" s="4"/>
      <c r="N748" s="2"/>
      <c r="O748" s="4"/>
      <c r="P748" s="2"/>
      <c r="Q748" s="2"/>
      <c r="R748" s="4"/>
      <c r="S748" s="2"/>
      <c r="T748" s="2"/>
      <c r="U748" s="1"/>
      <c r="V748" s="2"/>
      <c r="W748" s="2"/>
      <c r="X748" s="2"/>
      <c r="Y748" s="2"/>
      <c r="Z748" s="2"/>
    </row>
    <row r="749" spans="1:26" ht="15.75" customHeight="1" x14ac:dyDescent="0.2">
      <c r="A749" s="12"/>
      <c r="B749" s="10"/>
      <c r="C749" s="11"/>
      <c r="D749" s="13"/>
      <c r="E749" s="13"/>
      <c r="F749" s="13"/>
      <c r="G749" s="2"/>
      <c r="H749" s="2"/>
      <c r="I749" s="13"/>
      <c r="J749" s="13"/>
      <c r="K749" s="13"/>
      <c r="L749" s="14"/>
      <c r="M749" s="4"/>
      <c r="N749" s="2"/>
      <c r="O749" s="4"/>
      <c r="P749" s="2"/>
      <c r="Q749" s="2"/>
      <c r="R749" s="4"/>
      <c r="S749" s="2"/>
      <c r="T749" s="2"/>
      <c r="U749" s="1"/>
      <c r="V749" s="2"/>
      <c r="W749" s="2"/>
      <c r="X749" s="2"/>
      <c r="Y749" s="2"/>
      <c r="Z749" s="2"/>
    </row>
    <row r="750" spans="1:26" ht="15.75" customHeight="1" x14ac:dyDescent="0.2">
      <c r="A750" s="12"/>
      <c r="B750" s="10"/>
      <c r="C750" s="11"/>
      <c r="D750" s="13"/>
      <c r="E750" s="13"/>
      <c r="F750" s="13"/>
      <c r="G750" s="2"/>
      <c r="H750" s="2"/>
      <c r="I750" s="13"/>
      <c r="J750" s="13"/>
      <c r="K750" s="13"/>
      <c r="L750" s="14"/>
      <c r="M750" s="4"/>
      <c r="N750" s="2"/>
      <c r="O750" s="4"/>
      <c r="P750" s="2"/>
      <c r="Q750" s="2"/>
      <c r="R750" s="4"/>
      <c r="S750" s="2"/>
      <c r="T750" s="2"/>
      <c r="U750" s="1"/>
      <c r="V750" s="2"/>
      <c r="W750" s="2"/>
      <c r="X750" s="2"/>
      <c r="Y750" s="2"/>
      <c r="Z750" s="2"/>
    </row>
    <row r="751" spans="1:26" ht="15.75" customHeight="1" x14ac:dyDescent="0.2">
      <c r="A751" s="12"/>
      <c r="B751" s="10"/>
      <c r="C751" s="11"/>
      <c r="D751" s="13"/>
      <c r="E751" s="13"/>
      <c r="F751" s="13"/>
      <c r="G751" s="2"/>
      <c r="H751" s="2"/>
      <c r="I751" s="13"/>
      <c r="J751" s="13"/>
      <c r="K751" s="13"/>
      <c r="L751" s="14"/>
      <c r="M751" s="4"/>
      <c r="N751" s="2"/>
      <c r="O751" s="4"/>
      <c r="P751" s="2"/>
      <c r="Q751" s="2"/>
      <c r="R751" s="4"/>
      <c r="S751" s="2"/>
      <c r="T751" s="2"/>
      <c r="U751" s="1"/>
      <c r="V751" s="2"/>
      <c r="W751" s="2"/>
      <c r="X751" s="2"/>
      <c r="Y751" s="2"/>
      <c r="Z751" s="2"/>
    </row>
    <row r="752" spans="1:26" ht="15.75" customHeight="1" x14ac:dyDescent="0.2">
      <c r="A752" s="12"/>
      <c r="B752" s="10"/>
      <c r="C752" s="11"/>
      <c r="D752" s="13"/>
      <c r="E752" s="13"/>
      <c r="F752" s="13"/>
      <c r="G752" s="2"/>
      <c r="H752" s="2"/>
      <c r="I752" s="13"/>
      <c r="J752" s="13"/>
      <c r="K752" s="13"/>
      <c r="L752" s="14"/>
      <c r="M752" s="4"/>
      <c r="N752" s="2"/>
      <c r="O752" s="4"/>
      <c r="P752" s="2"/>
      <c r="Q752" s="2"/>
      <c r="R752" s="4"/>
      <c r="S752" s="2"/>
      <c r="T752" s="2"/>
      <c r="U752" s="1"/>
      <c r="V752" s="2"/>
      <c r="W752" s="2"/>
      <c r="X752" s="2"/>
      <c r="Y752" s="2"/>
      <c r="Z752" s="2"/>
    </row>
    <row r="753" spans="1:26" ht="15.75" customHeight="1" x14ac:dyDescent="0.2">
      <c r="A753" s="12"/>
      <c r="B753" s="10"/>
      <c r="C753" s="11"/>
      <c r="D753" s="13"/>
      <c r="E753" s="13"/>
      <c r="F753" s="13"/>
      <c r="G753" s="2"/>
      <c r="H753" s="2"/>
      <c r="I753" s="13"/>
      <c r="J753" s="13"/>
      <c r="K753" s="13"/>
      <c r="L753" s="14"/>
      <c r="M753" s="4"/>
      <c r="N753" s="2"/>
      <c r="O753" s="4"/>
      <c r="P753" s="2"/>
      <c r="Q753" s="2"/>
      <c r="R753" s="4"/>
      <c r="S753" s="2"/>
      <c r="T753" s="2"/>
      <c r="U753" s="1"/>
      <c r="V753" s="2"/>
      <c r="W753" s="2"/>
      <c r="X753" s="2"/>
      <c r="Y753" s="2"/>
      <c r="Z753" s="2"/>
    </row>
    <row r="754" spans="1:26" ht="15.75" customHeight="1" x14ac:dyDescent="0.2">
      <c r="A754" s="12"/>
      <c r="B754" s="10"/>
      <c r="C754" s="11"/>
      <c r="D754" s="13"/>
      <c r="E754" s="13"/>
      <c r="F754" s="13"/>
      <c r="G754" s="2"/>
      <c r="H754" s="2"/>
      <c r="I754" s="13"/>
      <c r="J754" s="13"/>
      <c r="K754" s="13"/>
      <c r="L754" s="14"/>
      <c r="M754" s="4"/>
      <c r="N754" s="2"/>
      <c r="O754" s="4"/>
      <c r="P754" s="2"/>
      <c r="Q754" s="2"/>
      <c r="R754" s="4"/>
      <c r="S754" s="2"/>
      <c r="T754" s="2"/>
      <c r="U754" s="1"/>
      <c r="V754" s="2"/>
      <c r="W754" s="2"/>
      <c r="X754" s="2"/>
      <c r="Y754" s="2"/>
      <c r="Z754" s="2"/>
    </row>
    <row r="755" spans="1:26" ht="15.75" customHeight="1" x14ac:dyDescent="0.2">
      <c r="A755" s="12"/>
      <c r="B755" s="10"/>
      <c r="C755" s="11"/>
      <c r="D755" s="13"/>
      <c r="E755" s="13"/>
      <c r="F755" s="13"/>
      <c r="G755" s="2"/>
      <c r="H755" s="2"/>
      <c r="I755" s="13"/>
      <c r="J755" s="13"/>
      <c r="K755" s="13"/>
      <c r="L755" s="14"/>
      <c r="M755" s="4"/>
      <c r="N755" s="2"/>
      <c r="O755" s="4"/>
      <c r="P755" s="2"/>
      <c r="Q755" s="2"/>
      <c r="R755" s="4"/>
      <c r="S755" s="2"/>
      <c r="T755" s="2"/>
      <c r="U755" s="1"/>
      <c r="V755" s="2"/>
      <c r="W755" s="2"/>
      <c r="X755" s="2"/>
      <c r="Y755" s="2"/>
      <c r="Z755" s="2"/>
    </row>
    <row r="756" spans="1:26" ht="15.75" customHeight="1" x14ac:dyDescent="0.2">
      <c r="A756" s="12"/>
      <c r="B756" s="10"/>
      <c r="C756" s="11"/>
      <c r="D756" s="13"/>
      <c r="E756" s="13"/>
      <c r="F756" s="13"/>
      <c r="G756" s="2"/>
      <c r="H756" s="2"/>
      <c r="I756" s="13"/>
      <c r="J756" s="13"/>
      <c r="K756" s="13"/>
      <c r="L756" s="14"/>
      <c r="M756" s="4"/>
      <c r="N756" s="2"/>
      <c r="O756" s="4"/>
      <c r="P756" s="2"/>
      <c r="Q756" s="2"/>
      <c r="R756" s="4"/>
      <c r="S756" s="2"/>
      <c r="T756" s="2"/>
      <c r="U756" s="1"/>
      <c r="V756" s="2"/>
      <c r="W756" s="2"/>
      <c r="X756" s="2"/>
      <c r="Y756" s="2"/>
      <c r="Z756" s="2"/>
    </row>
    <row r="757" spans="1:26" ht="15.75" customHeight="1" x14ac:dyDescent="0.2">
      <c r="A757" s="12"/>
      <c r="B757" s="10"/>
      <c r="C757" s="11"/>
      <c r="D757" s="13"/>
      <c r="E757" s="13"/>
      <c r="F757" s="13"/>
      <c r="G757" s="2"/>
      <c r="H757" s="2"/>
      <c r="I757" s="13"/>
      <c r="J757" s="13"/>
      <c r="K757" s="13"/>
      <c r="L757" s="14"/>
      <c r="M757" s="4"/>
      <c r="N757" s="2"/>
      <c r="O757" s="4"/>
      <c r="P757" s="2"/>
      <c r="Q757" s="2"/>
      <c r="R757" s="4"/>
      <c r="S757" s="2"/>
      <c r="T757" s="2"/>
      <c r="U757" s="1"/>
      <c r="V757" s="2"/>
      <c r="W757" s="2"/>
      <c r="X757" s="2"/>
      <c r="Y757" s="2"/>
      <c r="Z757" s="2"/>
    </row>
    <row r="758" spans="1:26" ht="15.75" customHeight="1" x14ac:dyDescent="0.2">
      <c r="A758" s="12"/>
      <c r="B758" s="10"/>
      <c r="C758" s="11"/>
      <c r="D758" s="13"/>
      <c r="E758" s="13"/>
      <c r="F758" s="13"/>
      <c r="G758" s="2"/>
      <c r="H758" s="2"/>
      <c r="I758" s="13"/>
      <c r="J758" s="13"/>
      <c r="K758" s="13"/>
      <c r="L758" s="14"/>
      <c r="M758" s="4"/>
      <c r="N758" s="2"/>
      <c r="O758" s="4"/>
      <c r="P758" s="2"/>
      <c r="Q758" s="2"/>
      <c r="R758" s="4"/>
      <c r="S758" s="2"/>
      <c r="T758" s="2"/>
      <c r="U758" s="1"/>
      <c r="V758" s="2"/>
      <c r="W758" s="2"/>
      <c r="X758" s="2"/>
      <c r="Y758" s="2"/>
      <c r="Z758" s="2"/>
    </row>
    <row r="759" spans="1:26" ht="15.75" customHeight="1" x14ac:dyDescent="0.2">
      <c r="A759" s="12"/>
      <c r="B759" s="10"/>
      <c r="C759" s="11"/>
      <c r="D759" s="13"/>
      <c r="E759" s="13"/>
      <c r="F759" s="13"/>
      <c r="G759" s="2"/>
      <c r="H759" s="2"/>
      <c r="I759" s="13"/>
      <c r="J759" s="13"/>
      <c r="K759" s="13"/>
      <c r="L759" s="14"/>
      <c r="M759" s="4"/>
      <c r="N759" s="2"/>
      <c r="O759" s="4"/>
      <c r="P759" s="2"/>
      <c r="Q759" s="2"/>
      <c r="R759" s="4"/>
      <c r="S759" s="2"/>
      <c r="T759" s="2"/>
      <c r="U759" s="1"/>
      <c r="V759" s="2"/>
      <c r="W759" s="2"/>
      <c r="X759" s="2"/>
      <c r="Y759" s="2"/>
      <c r="Z759" s="2"/>
    </row>
    <row r="760" spans="1:26" ht="15.75" customHeight="1" x14ac:dyDescent="0.2">
      <c r="A760" s="12"/>
      <c r="B760" s="10"/>
      <c r="C760" s="11"/>
      <c r="D760" s="13"/>
      <c r="E760" s="13"/>
      <c r="F760" s="13"/>
      <c r="G760" s="2"/>
      <c r="H760" s="2"/>
      <c r="I760" s="13"/>
      <c r="J760" s="13"/>
      <c r="K760" s="13"/>
      <c r="L760" s="14"/>
      <c r="M760" s="4"/>
      <c r="N760" s="2"/>
      <c r="O760" s="4"/>
      <c r="P760" s="2"/>
      <c r="Q760" s="2"/>
      <c r="R760" s="4"/>
      <c r="S760" s="2"/>
      <c r="T760" s="2"/>
      <c r="U760" s="1"/>
      <c r="V760" s="2"/>
      <c r="W760" s="2"/>
      <c r="X760" s="2"/>
      <c r="Y760" s="2"/>
      <c r="Z760" s="2"/>
    </row>
    <row r="761" spans="1:26" ht="15.75" customHeight="1" x14ac:dyDescent="0.2">
      <c r="A761" s="12"/>
      <c r="B761" s="10"/>
      <c r="C761" s="11"/>
      <c r="D761" s="13"/>
      <c r="E761" s="13"/>
      <c r="F761" s="13"/>
      <c r="G761" s="2"/>
      <c r="H761" s="2"/>
      <c r="I761" s="13"/>
      <c r="J761" s="13"/>
      <c r="K761" s="13"/>
      <c r="L761" s="14"/>
      <c r="M761" s="4"/>
      <c r="N761" s="2"/>
      <c r="O761" s="4"/>
      <c r="P761" s="2"/>
      <c r="Q761" s="2"/>
      <c r="R761" s="4"/>
      <c r="S761" s="2"/>
      <c r="T761" s="2"/>
      <c r="U761" s="1"/>
      <c r="V761" s="2"/>
      <c r="W761" s="2"/>
      <c r="X761" s="2"/>
      <c r="Y761" s="2"/>
      <c r="Z761" s="2"/>
    </row>
    <row r="762" spans="1:26" ht="15.75" customHeight="1" x14ac:dyDescent="0.2">
      <c r="A762" s="12"/>
      <c r="B762" s="10"/>
      <c r="C762" s="11"/>
      <c r="D762" s="13"/>
      <c r="E762" s="13"/>
      <c r="F762" s="13"/>
      <c r="G762" s="2"/>
      <c r="H762" s="2"/>
      <c r="I762" s="13"/>
      <c r="J762" s="13"/>
      <c r="K762" s="13"/>
      <c r="L762" s="14"/>
      <c r="M762" s="4"/>
      <c r="N762" s="2"/>
      <c r="O762" s="4"/>
      <c r="P762" s="2"/>
      <c r="Q762" s="2"/>
      <c r="R762" s="4"/>
      <c r="S762" s="2"/>
      <c r="T762" s="2"/>
      <c r="U762" s="1"/>
      <c r="V762" s="2"/>
      <c r="W762" s="2"/>
      <c r="X762" s="2"/>
      <c r="Y762" s="2"/>
      <c r="Z762" s="2"/>
    </row>
    <row r="763" spans="1:26" ht="15.75" customHeight="1" x14ac:dyDescent="0.2">
      <c r="A763" s="12"/>
      <c r="B763" s="10"/>
      <c r="C763" s="11"/>
      <c r="D763" s="13"/>
      <c r="E763" s="13"/>
      <c r="F763" s="13"/>
      <c r="G763" s="2"/>
      <c r="H763" s="2"/>
      <c r="I763" s="13"/>
      <c r="J763" s="13"/>
      <c r="K763" s="13"/>
      <c r="L763" s="14"/>
      <c r="M763" s="4"/>
      <c r="N763" s="2"/>
      <c r="O763" s="4"/>
      <c r="P763" s="2"/>
      <c r="Q763" s="2"/>
      <c r="R763" s="4"/>
      <c r="S763" s="2"/>
      <c r="T763" s="2"/>
      <c r="U763" s="1"/>
      <c r="V763" s="2"/>
      <c r="W763" s="2"/>
      <c r="X763" s="2"/>
      <c r="Y763" s="2"/>
      <c r="Z763" s="2"/>
    </row>
    <row r="764" spans="1:26" ht="15.75" customHeight="1" x14ac:dyDescent="0.2">
      <c r="A764" s="12"/>
      <c r="B764" s="10"/>
      <c r="C764" s="11"/>
      <c r="D764" s="13"/>
      <c r="E764" s="13"/>
      <c r="F764" s="13"/>
      <c r="G764" s="2"/>
      <c r="H764" s="2"/>
      <c r="I764" s="13"/>
      <c r="J764" s="13"/>
      <c r="K764" s="13"/>
      <c r="L764" s="14"/>
      <c r="M764" s="4"/>
      <c r="N764" s="2"/>
      <c r="O764" s="4"/>
      <c r="P764" s="2"/>
      <c r="Q764" s="2"/>
      <c r="R764" s="4"/>
      <c r="S764" s="2"/>
      <c r="T764" s="2"/>
      <c r="U764" s="1"/>
      <c r="V764" s="2"/>
      <c r="W764" s="2"/>
      <c r="X764" s="2"/>
      <c r="Y764" s="2"/>
      <c r="Z764" s="2"/>
    </row>
    <row r="765" spans="1:26" ht="15.75" customHeight="1" x14ac:dyDescent="0.2">
      <c r="A765" s="12"/>
      <c r="B765" s="10"/>
      <c r="C765" s="11"/>
      <c r="D765" s="13"/>
      <c r="E765" s="13"/>
      <c r="F765" s="13"/>
      <c r="G765" s="2"/>
      <c r="H765" s="2"/>
      <c r="I765" s="13"/>
      <c r="J765" s="13"/>
      <c r="K765" s="13"/>
      <c r="L765" s="14"/>
      <c r="M765" s="4"/>
      <c r="N765" s="2"/>
      <c r="O765" s="4"/>
      <c r="P765" s="2"/>
      <c r="Q765" s="2"/>
      <c r="R765" s="4"/>
      <c r="S765" s="2"/>
      <c r="T765" s="2"/>
      <c r="U765" s="1"/>
      <c r="V765" s="2"/>
      <c r="W765" s="2"/>
      <c r="X765" s="2"/>
      <c r="Y765" s="2"/>
      <c r="Z765" s="2"/>
    </row>
    <row r="766" spans="1:26" ht="15.75" customHeight="1" x14ac:dyDescent="0.2">
      <c r="A766" s="12"/>
      <c r="B766" s="10"/>
      <c r="C766" s="11"/>
      <c r="D766" s="13"/>
      <c r="E766" s="13"/>
      <c r="F766" s="13"/>
      <c r="G766" s="2"/>
      <c r="H766" s="2"/>
      <c r="I766" s="13"/>
      <c r="J766" s="13"/>
      <c r="K766" s="13"/>
      <c r="L766" s="14"/>
      <c r="M766" s="4"/>
      <c r="N766" s="2"/>
      <c r="O766" s="4"/>
      <c r="P766" s="2"/>
      <c r="Q766" s="2"/>
      <c r="R766" s="4"/>
      <c r="S766" s="2"/>
      <c r="T766" s="2"/>
      <c r="U766" s="1"/>
      <c r="V766" s="2"/>
      <c r="W766" s="2"/>
      <c r="X766" s="2"/>
      <c r="Y766" s="2"/>
      <c r="Z766" s="2"/>
    </row>
    <row r="767" spans="1:26" ht="15.75" customHeight="1" x14ac:dyDescent="0.2">
      <c r="A767" s="12"/>
      <c r="B767" s="10"/>
      <c r="C767" s="11"/>
      <c r="D767" s="13"/>
      <c r="E767" s="13"/>
      <c r="F767" s="13"/>
      <c r="G767" s="2"/>
      <c r="H767" s="2"/>
      <c r="I767" s="13"/>
      <c r="J767" s="13"/>
      <c r="K767" s="13"/>
      <c r="L767" s="14"/>
      <c r="M767" s="4"/>
      <c r="N767" s="2"/>
      <c r="O767" s="4"/>
      <c r="P767" s="2"/>
      <c r="Q767" s="2"/>
      <c r="R767" s="4"/>
      <c r="S767" s="2"/>
      <c r="T767" s="2"/>
      <c r="U767" s="1"/>
      <c r="V767" s="2"/>
      <c r="W767" s="2"/>
      <c r="X767" s="2"/>
      <c r="Y767" s="2"/>
      <c r="Z767" s="2"/>
    </row>
    <row r="768" spans="1:26" ht="15.75" customHeight="1" x14ac:dyDescent="0.2">
      <c r="A768" s="12"/>
      <c r="B768" s="10"/>
      <c r="C768" s="11"/>
      <c r="D768" s="13"/>
      <c r="E768" s="13"/>
      <c r="F768" s="13"/>
      <c r="G768" s="2"/>
      <c r="H768" s="2"/>
      <c r="I768" s="13"/>
      <c r="J768" s="13"/>
      <c r="K768" s="13"/>
      <c r="L768" s="14"/>
      <c r="M768" s="4"/>
      <c r="N768" s="2"/>
      <c r="O768" s="4"/>
      <c r="P768" s="2"/>
      <c r="Q768" s="2"/>
      <c r="R768" s="4"/>
      <c r="S768" s="2"/>
      <c r="T768" s="2"/>
      <c r="U768" s="1"/>
      <c r="V768" s="2"/>
      <c r="W768" s="2"/>
      <c r="X768" s="2"/>
      <c r="Y768" s="2"/>
      <c r="Z768" s="2"/>
    </row>
    <row r="769" spans="1:26" ht="15.75" customHeight="1" x14ac:dyDescent="0.2">
      <c r="A769" s="12"/>
      <c r="B769" s="10"/>
      <c r="C769" s="11"/>
      <c r="D769" s="13"/>
      <c r="E769" s="13"/>
      <c r="F769" s="13"/>
      <c r="G769" s="2"/>
      <c r="H769" s="2"/>
      <c r="I769" s="13"/>
      <c r="J769" s="13"/>
      <c r="K769" s="13"/>
      <c r="L769" s="14"/>
      <c r="M769" s="4"/>
      <c r="N769" s="2"/>
      <c r="O769" s="4"/>
      <c r="P769" s="2"/>
      <c r="Q769" s="2"/>
      <c r="R769" s="4"/>
      <c r="S769" s="2"/>
      <c r="T769" s="2"/>
      <c r="U769" s="1"/>
      <c r="V769" s="2"/>
      <c r="W769" s="2"/>
      <c r="X769" s="2"/>
      <c r="Y769" s="2"/>
      <c r="Z769" s="2"/>
    </row>
    <row r="770" spans="1:26" ht="15.75" customHeight="1" x14ac:dyDescent="0.2">
      <c r="A770" s="12"/>
      <c r="B770" s="10"/>
      <c r="C770" s="11"/>
      <c r="D770" s="13"/>
      <c r="E770" s="13"/>
      <c r="F770" s="13"/>
      <c r="G770" s="2"/>
      <c r="H770" s="2"/>
      <c r="I770" s="13"/>
      <c r="J770" s="13"/>
      <c r="K770" s="13"/>
      <c r="L770" s="14"/>
      <c r="M770" s="4"/>
      <c r="N770" s="2"/>
      <c r="O770" s="4"/>
      <c r="P770" s="2"/>
      <c r="Q770" s="2"/>
      <c r="R770" s="4"/>
      <c r="S770" s="2"/>
      <c r="T770" s="2"/>
      <c r="U770" s="1"/>
      <c r="V770" s="2"/>
      <c r="W770" s="2"/>
      <c r="X770" s="2"/>
      <c r="Y770" s="2"/>
      <c r="Z770" s="2"/>
    </row>
    <row r="771" spans="1:26" ht="15.75" customHeight="1" x14ac:dyDescent="0.2">
      <c r="A771" s="12"/>
      <c r="B771" s="10"/>
      <c r="C771" s="11"/>
      <c r="D771" s="13"/>
      <c r="E771" s="13"/>
      <c r="F771" s="13"/>
      <c r="G771" s="2"/>
      <c r="H771" s="2"/>
      <c r="I771" s="13"/>
      <c r="J771" s="13"/>
      <c r="K771" s="13"/>
      <c r="L771" s="14"/>
      <c r="M771" s="4"/>
      <c r="N771" s="2"/>
      <c r="O771" s="4"/>
      <c r="P771" s="2"/>
      <c r="Q771" s="2"/>
      <c r="R771" s="4"/>
      <c r="S771" s="2"/>
      <c r="T771" s="2"/>
      <c r="U771" s="1"/>
      <c r="V771" s="2"/>
      <c r="W771" s="2"/>
      <c r="X771" s="2"/>
      <c r="Y771" s="2"/>
      <c r="Z771" s="2"/>
    </row>
    <row r="772" spans="1:26" ht="15.75" customHeight="1" x14ac:dyDescent="0.2">
      <c r="A772" s="12"/>
      <c r="B772" s="10"/>
      <c r="C772" s="11"/>
      <c r="D772" s="13"/>
      <c r="E772" s="13"/>
      <c r="F772" s="13"/>
      <c r="G772" s="2"/>
      <c r="H772" s="2"/>
      <c r="I772" s="13"/>
      <c r="J772" s="13"/>
      <c r="K772" s="13"/>
      <c r="L772" s="14"/>
      <c r="M772" s="4"/>
      <c r="N772" s="2"/>
      <c r="O772" s="4"/>
      <c r="P772" s="2"/>
      <c r="Q772" s="2"/>
      <c r="R772" s="4"/>
      <c r="S772" s="2"/>
      <c r="T772" s="2"/>
      <c r="U772" s="1"/>
      <c r="V772" s="2"/>
      <c r="W772" s="2"/>
      <c r="X772" s="2"/>
      <c r="Y772" s="2"/>
      <c r="Z772" s="2"/>
    </row>
    <row r="773" spans="1:26" ht="15.75" customHeight="1" x14ac:dyDescent="0.2">
      <c r="A773" s="12"/>
      <c r="B773" s="10"/>
      <c r="C773" s="11"/>
      <c r="D773" s="13"/>
      <c r="E773" s="13"/>
      <c r="F773" s="13"/>
      <c r="G773" s="2"/>
      <c r="H773" s="2"/>
      <c r="I773" s="13"/>
      <c r="J773" s="13"/>
      <c r="K773" s="13"/>
      <c r="L773" s="14"/>
      <c r="M773" s="4"/>
      <c r="N773" s="2"/>
      <c r="O773" s="4"/>
      <c r="P773" s="2"/>
      <c r="Q773" s="2"/>
      <c r="R773" s="4"/>
      <c r="S773" s="2"/>
      <c r="T773" s="2"/>
      <c r="U773" s="1"/>
      <c r="V773" s="2"/>
      <c r="W773" s="2"/>
      <c r="X773" s="2"/>
      <c r="Y773" s="2"/>
      <c r="Z773" s="2"/>
    </row>
    <row r="774" spans="1:26" ht="15.75" customHeight="1" x14ac:dyDescent="0.2">
      <c r="A774" s="12"/>
      <c r="B774" s="10"/>
      <c r="C774" s="11"/>
      <c r="D774" s="13"/>
      <c r="E774" s="13"/>
      <c r="F774" s="13"/>
      <c r="G774" s="2"/>
      <c r="H774" s="2"/>
      <c r="I774" s="13"/>
      <c r="J774" s="13"/>
      <c r="K774" s="13"/>
      <c r="L774" s="14"/>
      <c r="M774" s="4"/>
      <c r="N774" s="2"/>
      <c r="O774" s="4"/>
      <c r="P774" s="2"/>
      <c r="Q774" s="2"/>
      <c r="R774" s="4"/>
      <c r="S774" s="2"/>
      <c r="T774" s="2"/>
      <c r="U774" s="1"/>
      <c r="V774" s="2"/>
      <c r="W774" s="2"/>
      <c r="X774" s="2"/>
      <c r="Y774" s="2"/>
      <c r="Z774" s="2"/>
    </row>
    <row r="775" spans="1:26" ht="15.75" customHeight="1" x14ac:dyDescent="0.2">
      <c r="A775" s="12"/>
      <c r="B775" s="10"/>
      <c r="C775" s="11"/>
      <c r="D775" s="13"/>
      <c r="E775" s="13"/>
      <c r="F775" s="13"/>
      <c r="G775" s="2"/>
      <c r="H775" s="2"/>
      <c r="I775" s="13"/>
      <c r="J775" s="13"/>
      <c r="K775" s="13"/>
      <c r="L775" s="14"/>
      <c r="M775" s="4"/>
      <c r="N775" s="2"/>
      <c r="O775" s="4"/>
      <c r="P775" s="2"/>
      <c r="Q775" s="2"/>
      <c r="R775" s="4"/>
      <c r="S775" s="2"/>
      <c r="T775" s="2"/>
      <c r="U775" s="1"/>
      <c r="V775" s="2"/>
      <c r="W775" s="2"/>
      <c r="X775" s="2"/>
      <c r="Y775" s="2"/>
      <c r="Z775" s="2"/>
    </row>
    <row r="776" spans="1:26" ht="15.75" customHeight="1" x14ac:dyDescent="0.2">
      <c r="A776" s="12"/>
      <c r="B776" s="10"/>
      <c r="C776" s="11"/>
      <c r="D776" s="13"/>
      <c r="E776" s="13"/>
      <c r="F776" s="13"/>
      <c r="G776" s="2"/>
      <c r="H776" s="2"/>
      <c r="I776" s="13"/>
      <c r="J776" s="13"/>
      <c r="K776" s="13"/>
      <c r="L776" s="14"/>
      <c r="M776" s="4"/>
      <c r="N776" s="2"/>
      <c r="O776" s="4"/>
      <c r="P776" s="2"/>
      <c r="Q776" s="2"/>
      <c r="R776" s="4"/>
      <c r="S776" s="2"/>
      <c r="T776" s="2"/>
      <c r="U776" s="1"/>
      <c r="V776" s="2"/>
      <c r="W776" s="2"/>
      <c r="X776" s="2"/>
      <c r="Y776" s="2"/>
      <c r="Z776" s="2"/>
    </row>
    <row r="777" spans="1:26" ht="15.75" customHeight="1" x14ac:dyDescent="0.2">
      <c r="A777" s="12"/>
      <c r="B777" s="10"/>
      <c r="C777" s="11"/>
      <c r="D777" s="13"/>
      <c r="E777" s="13"/>
      <c r="F777" s="13"/>
      <c r="G777" s="2"/>
      <c r="H777" s="2"/>
      <c r="I777" s="13"/>
      <c r="J777" s="13"/>
      <c r="K777" s="13"/>
      <c r="L777" s="14"/>
      <c r="M777" s="4"/>
      <c r="N777" s="2"/>
      <c r="O777" s="4"/>
      <c r="P777" s="2"/>
      <c r="Q777" s="2"/>
      <c r="R777" s="4"/>
      <c r="S777" s="2"/>
      <c r="T777" s="2"/>
      <c r="U777" s="1"/>
      <c r="V777" s="2"/>
      <c r="W777" s="2"/>
      <c r="X777" s="2"/>
      <c r="Y777" s="2"/>
      <c r="Z777" s="2"/>
    </row>
    <row r="778" spans="1:26" ht="15.75" customHeight="1" x14ac:dyDescent="0.2">
      <c r="A778" s="12"/>
      <c r="B778" s="10"/>
      <c r="C778" s="11"/>
      <c r="D778" s="13"/>
      <c r="E778" s="13"/>
      <c r="F778" s="13"/>
      <c r="G778" s="2"/>
      <c r="H778" s="2"/>
      <c r="I778" s="13"/>
      <c r="J778" s="13"/>
      <c r="K778" s="13"/>
      <c r="L778" s="14"/>
      <c r="M778" s="4"/>
      <c r="N778" s="2"/>
      <c r="O778" s="4"/>
      <c r="P778" s="2"/>
      <c r="Q778" s="2"/>
      <c r="R778" s="4"/>
      <c r="S778" s="2"/>
      <c r="T778" s="2"/>
      <c r="U778" s="1"/>
      <c r="V778" s="2"/>
      <c r="W778" s="2"/>
      <c r="X778" s="2"/>
      <c r="Y778" s="2"/>
      <c r="Z778" s="2"/>
    </row>
    <row r="779" spans="1:26" ht="15.75" customHeight="1" x14ac:dyDescent="0.2">
      <c r="A779" s="12"/>
      <c r="B779" s="10"/>
      <c r="C779" s="11"/>
      <c r="D779" s="13"/>
      <c r="E779" s="13"/>
      <c r="F779" s="13"/>
      <c r="G779" s="2"/>
      <c r="H779" s="2"/>
      <c r="I779" s="13"/>
      <c r="J779" s="13"/>
      <c r="K779" s="13"/>
      <c r="L779" s="14"/>
      <c r="M779" s="4"/>
      <c r="N779" s="2"/>
      <c r="O779" s="4"/>
      <c r="P779" s="2"/>
      <c r="Q779" s="2"/>
      <c r="R779" s="4"/>
      <c r="S779" s="2"/>
      <c r="T779" s="2"/>
      <c r="U779" s="1"/>
      <c r="V779" s="2"/>
      <c r="W779" s="2"/>
      <c r="X779" s="2"/>
      <c r="Y779" s="2"/>
      <c r="Z779" s="2"/>
    </row>
    <row r="780" spans="1:26" ht="15.75" customHeight="1" x14ac:dyDescent="0.2">
      <c r="A780" s="12"/>
      <c r="B780" s="10"/>
      <c r="C780" s="11"/>
      <c r="D780" s="13"/>
      <c r="E780" s="13"/>
      <c r="F780" s="13"/>
      <c r="G780" s="2"/>
      <c r="H780" s="2"/>
      <c r="I780" s="13"/>
      <c r="J780" s="13"/>
      <c r="K780" s="13"/>
      <c r="L780" s="14"/>
      <c r="M780" s="4"/>
      <c r="N780" s="2"/>
      <c r="O780" s="4"/>
      <c r="P780" s="2"/>
      <c r="Q780" s="2"/>
      <c r="R780" s="4"/>
      <c r="S780" s="2"/>
      <c r="T780" s="2"/>
      <c r="U780" s="1"/>
      <c r="V780" s="2"/>
      <c r="W780" s="2"/>
      <c r="X780" s="2"/>
      <c r="Y780" s="2"/>
      <c r="Z780" s="2"/>
    </row>
    <row r="781" spans="1:26" ht="15.75" customHeight="1" x14ac:dyDescent="0.2">
      <c r="A781" s="12"/>
      <c r="B781" s="10"/>
      <c r="C781" s="11"/>
      <c r="D781" s="13"/>
      <c r="E781" s="13"/>
      <c r="F781" s="13"/>
      <c r="G781" s="2"/>
      <c r="H781" s="2"/>
      <c r="I781" s="13"/>
      <c r="J781" s="13"/>
      <c r="K781" s="13"/>
      <c r="L781" s="14"/>
      <c r="M781" s="4"/>
      <c r="N781" s="2"/>
      <c r="O781" s="4"/>
      <c r="P781" s="2"/>
      <c r="Q781" s="2"/>
      <c r="R781" s="4"/>
      <c r="S781" s="2"/>
      <c r="T781" s="2"/>
      <c r="U781" s="1"/>
      <c r="V781" s="2"/>
      <c r="W781" s="2"/>
      <c r="X781" s="2"/>
      <c r="Y781" s="2"/>
      <c r="Z781" s="2"/>
    </row>
    <row r="782" spans="1:26" ht="15.75" customHeight="1" x14ac:dyDescent="0.2">
      <c r="A782" s="12"/>
      <c r="B782" s="10"/>
      <c r="C782" s="11"/>
      <c r="D782" s="13"/>
      <c r="E782" s="13"/>
      <c r="F782" s="13"/>
      <c r="G782" s="2"/>
      <c r="H782" s="2"/>
      <c r="I782" s="13"/>
      <c r="J782" s="13"/>
      <c r="K782" s="13"/>
      <c r="L782" s="14"/>
      <c r="M782" s="4"/>
      <c r="N782" s="2"/>
      <c r="O782" s="4"/>
      <c r="P782" s="2"/>
      <c r="Q782" s="2"/>
      <c r="R782" s="4"/>
      <c r="S782" s="2"/>
      <c r="T782" s="2"/>
      <c r="U782" s="1"/>
      <c r="V782" s="2"/>
      <c r="W782" s="2"/>
      <c r="X782" s="2"/>
      <c r="Y782" s="2"/>
      <c r="Z782" s="2"/>
    </row>
    <row r="783" spans="1:26" ht="15.75" customHeight="1" x14ac:dyDescent="0.2">
      <c r="A783" s="12"/>
      <c r="B783" s="10"/>
      <c r="C783" s="11"/>
      <c r="D783" s="13"/>
      <c r="E783" s="13"/>
      <c r="F783" s="13"/>
      <c r="G783" s="2"/>
      <c r="H783" s="2"/>
      <c r="I783" s="13"/>
      <c r="J783" s="13"/>
      <c r="K783" s="13"/>
      <c r="L783" s="14"/>
      <c r="M783" s="4"/>
      <c r="N783" s="2"/>
      <c r="O783" s="4"/>
      <c r="P783" s="2"/>
      <c r="Q783" s="2"/>
      <c r="R783" s="4"/>
      <c r="S783" s="2"/>
      <c r="T783" s="2"/>
      <c r="U783" s="1"/>
      <c r="V783" s="2"/>
      <c r="W783" s="2"/>
      <c r="X783" s="2"/>
      <c r="Y783" s="2"/>
      <c r="Z783" s="2"/>
    </row>
    <row r="784" spans="1:26" ht="15.75" customHeight="1" x14ac:dyDescent="0.2">
      <c r="A784" s="12"/>
      <c r="B784" s="10"/>
      <c r="C784" s="11"/>
      <c r="D784" s="13"/>
      <c r="E784" s="13"/>
      <c r="F784" s="13"/>
      <c r="G784" s="2"/>
      <c r="H784" s="2"/>
      <c r="I784" s="13"/>
      <c r="J784" s="13"/>
      <c r="K784" s="13"/>
      <c r="L784" s="14"/>
      <c r="M784" s="4"/>
      <c r="N784" s="2"/>
      <c r="O784" s="4"/>
      <c r="P784" s="2"/>
      <c r="Q784" s="2"/>
      <c r="R784" s="4"/>
      <c r="S784" s="2"/>
      <c r="T784" s="2"/>
      <c r="U784" s="1"/>
      <c r="V784" s="2"/>
      <c r="W784" s="2"/>
      <c r="X784" s="2"/>
      <c r="Y784" s="2"/>
      <c r="Z784" s="2"/>
    </row>
    <row r="785" spans="1:26" ht="15.75" customHeight="1" x14ac:dyDescent="0.2">
      <c r="A785" s="12"/>
      <c r="B785" s="10"/>
      <c r="C785" s="11"/>
      <c r="D785" s="13"/>
      <c r="E785" s="13"/>
      <c r="F785" s="13"/>
      <c r="G785" s="2"/>
      <c r="H785" s="2"/>
      <c r="I785" s="13"/>
      <c r="J785" s="13"/>
      <c r="K785" s="13"/>
      <c r="L785" s="14"/>
      <c r="M785" s="4"/>
      <c r="N785" s="2"/>
      <c r="O785" s="4"/>
      <c r="P785" s="2"/>
      <c r="Q785" s="2"/>
      <c r="R785" s="4"/>
      <c r="S785" s="2"/>
      <c r="T785" s="2"/>
      <c r="U785" s="1"/>
      <c r="V785" s="2"/>
      <c r="W785" s="2"/>
      <c r="X785" s="2"/>
      <c r="Y785" s="2"/>
      <c r="Z785" s="2"/>
    </row>
    <row r="786" spans="1:26" ht="15.75" customHeight="1" x14ac:dyDescent="0.2">
      <c r="A786" s="12"/>
      <c r="B786" s="10"/>
      <c r="C786" s="11"/>
      <c r="D786" s="13"/>
      <c r="E786" s="13"/>
      <c r="F786" s="13"/>
      <c r="G786" s="2"/>
      <c r="H786" s="2"/>
      <c r="I786" s="13"/>
      <c r="J786" s="13"/>
      <c r="K786" s="13"/>
      <c r="L786" s="14"/>
      <c r="M786" s="4"/>
      <c r="N786" s="2"/>
      <c r="O786" s="4"/>
      <c r="P786" s="2"/>
      <c r="Q786" s="2"/>
      <c r="R786" s="4"/>
      <c r="S786" s="2"/>
      <c r="T786" s="2"/>
      <c r="U786" s="1"/>
      <c r="V786" s="2"/>
      <c r="W786" s="2"/>
      <c r="X786" s="2"/>
      <c r="Y786" s="2"/>
      <c r="Z786" s="2"/>
    </row>
    <row r="787" spans="1:26" ht="15.75" customHeight="1" x14ac:dyDescent="0.2">
      <c r="A787" s="12"/>
      <c r="B787" s="10"/>
      <c r="C787" s="11"/>
      <c r="D787" s="13"/>
      <c r="E787" s="13"/>
      <c r="F787" s="13"/>
      <c r="G787" s="2"/>
      <c r="H787" s="2"/>
      <c r="I787" s="13"/>
      <c r="J787" s="13"/>
      <c r="K787" s="13"/>
      <c r="L787" s="14"/>
      <c r="M787" s="4"/>
      <c r="N787" s="2"/>
      <c r="O787" s="4"/>
      <c r="P787" s="2"/>
      <c r="Q787" s="2"/>
      <c r="R787" s="4"/>
      <c r="S787" s="2"/>
      <c r="T787" s="2"/>
      <c r="U787" s="1"/>
      <c r="V787" s="2"/>
      <c r="W787" s="2"/>
      <c r="X787" s="2"/>
      <c r="Y787" s="2"/>
      <c r="Z787" s="2"/>
    </row>
    <row r="788" spans="1:26" ht="15.75" customHeight="1" x14ac:dyDescent="0.2">
      <c r="A788" s="12"/>
      <c r="B788" s="10"/>
      <c r="C788" s="11"/>
      <c r="D788" s="13"/>
      <c r="E788" s="13"/>
      <c r="F788" s="13"/>
      <c r="G788" s="2"/>
      <c r="H788" s="2"/>
      <c r="I788" s="13"/>
      <c r="J788" s="13"/>
      <c r="K788" s="13"/>
      <c r="L788" s="14"/>
      <c r="M788" s="4"/>
      <c r="N788" s="2"/>
      <c r="O788" s="4"/>
      <c r="P788" s="2"/>
      <c r="Q788" s="2"/>
      <c r="R788" s="4"/>
      <c r="S788" s="2"/>
      <c r="T788" s="2"/>
      <c r="U788" s="1"/>
      <c r="V788" s="2"/>
      <c r="W788" s="2"/>
      <c r="X788" s="2"/>
      <c r="Y788" s="2"/>
      <c r="Z788" s="2"/>
    </row>
    <row r="789" spans="1:26" ht="15.75" customHeight="1" x14ac:dyDescent="0.2">
      <c r="A789" s="12"/>
      <c r="B789" s="10"/>
      <c r="C789" s="11"/>
      <c r="D789" s="13"/>
      <c r="E789" s="13"/>
      <c r="F789" s="13"/>
      <c r="G789" s="2"/>
      <c r="H789" s="2"/>
      <c r="I789" s="13"/>
      <c r="J789" s="13"/>
      <c r="K789" s="13"/>
      <c r="L789" s="14"/>
      <c r="M789" s="4"/>
      <c r="N789" s="2"/>
      <c r="O789" s="4"/>
      <c r="P789" s="2"/>
      <c r="Q789" s="2"/>
      <c r="R789" s="4"/>
      <c r="S789" s="2"/>
      <c r="T789" s="2"/>
      <c r="U789" s="1"/>
      <c r="V789" s="2"/>
      <c r="W789" s="2"/>
      <c r="X789" s="2"/>
      <c r="Y789" s="2"/>
      <c r="Z789" s="2"/>
    </row>
    <row r="790" spans="1:26" ht="15.75" customHeight="1" x14ac:dyDescent="0.2">
      <c r="A790" s="12"/>
      <c r="B790" s="10"/>
      <c r="C790" s="11"/>
      <c r="D790" s="13"/>
      <c r="E790" s="13"/>
      <c r="F790" s="13"/>
      <c r="G790" s="2"/>
      <c r="H790" s="2"/>
      <c r="I790" s="13"/>
      <c r="J790" s="13"/>
      <c r="K790" s="13"/>
      <c r="L790" s="14"/>
      <c r="M790" s="4"/>
      <c r="N790" s="2"/>
      <c r="O790" s="4"/>
      <c r="P790" s="2"/>
      <c r="Q790" s="2"/>
      <c r="R790" s="4"/>
      <c r="S790" s="2"/>
      <c r="T790" s="2"/>
      <c r="U790" s="1"/>
      <c r="V790" s="2"/>
      <c r="W790" s="2"/>
      <c r="X790" s="2"/>
      <c r="Y790" s="2"/>
      <c r="Z790" s="2"/>
    </row>
    <row r="791" spans="1:26" ht="15.75" customHeight="1" x14ac:dyDescent="0.2">
      <c r="A791" s="12"/>
      <c r="B791" s="10"/>
      <c r="C791" s="11"/>
      <c r="D791" s="13"/>
      <c r="E791" s="13"/>
      <c r="F791" s="13"/>
      <c r="G791" s="2"/>
      <c r="H791" s="2"/>
      <c r="I791" s="13"/>
      <c r="J791" s="13"/>
      <c r="K791" s="13"/>
      <c r="L791" s="14"/>
      <c r="M791" s="4"/>
      <c r="N791" s="2"/>
      <c r="O791" s="4"/>
      <c r="P791" s="2"/>
      <c r="Q791" s="2"/>
      <c r="R791" s="4"/>
      <c r="S791" s="2"/>
      <c r="T791" s="2"/>
      <c r="U791" s="1"/>
      <c r="V791" s="2"/>
      <c r="W791" s="2"/>
      <c r="X791" s="2"/>
      <c r="Y791" s="2"/>
      <c r="Z791" s="2"/>
    </row>
    <row r="792" spans="1:26" ht="15.75" customHeight="1" x14ac:dyDescent="0.2">
      <c r="A792" s="12"/>
      <c r="B792" s="10"/>
      <c r="C792" s="11"/>
      <c r="D792" s="13"/>
      <c r="E792" s="13"/>
      <c r="F792" s="13"/>
      <c r="G792" s="2"/>
      <c r="H792" s="2"/>
      <c r="I792" s="13"/>
      <c r="J792" s="13"/>
      <c r="K792" s="13"/>
      <c r="L792" s="14"/>
      <c r="M792" s="4"/>
      <c r="N792" s="2"/>
      <c r="O792" s="4"/>
      <c r="P792" s="2"/>
      <c r="Q792" s="2"/>
      <c r="R792" s="4"/>
      <c r="S792" s="2"/>
      <c r="T792" s="2"/>
      <c r="U792" s="1"/>
      <c r="V792" s="2"/>
      <c r="W792" s="2"/>
      <c r="X792" s="2"/>
      <c r="Y792" s="2"/>
      <c r="Z792" s="2"/>
    </row>
    <row r="793" spans="1:26" ht="15.75" customHeight="1" x14ac:dyDescent="0.2">
      <c r="A793" s="12"/>
      <c r="B793" s="10"/>
      <c r="C793" s="11"/>
      <c r="D793" s="13"/>
      <c r="E793" s="13"/>
      <c r="F793" s="13"/>
      <c r="G793" s="2"/>
      <c r="H793" s="2"/>
      <c r="I793" s="13"/>
      <c r="J793" s="13"/>
      <c r="K793" s="13"/>
      <c r="L793" s="14"/>
      <c r="M793" s="4"/>
      <c r="N793" s="2"/>
      <c r="O793" s="4"/>
      <c r="P793" s="2"/>
      <c r="Q793" s="2"/>
      <c r="R793" s="4"/>
      <c r="S793" s="2"/>
      <c r="T793" s="2"/>
      <c r="U793" s="1"/>
      <c r="V793" s="2"/>
      <c r="W793" s="2"/>
      <c r="X793" s="2"/>
      <c r="Y793" s="2"/>
      <c r="Z793" s="2"/>
    </row>
    <row r="794" spans="1:26" ht="15.75" customHeight="1" x14ac:dyDescent="0.2">
      <c r="A794" s="12"/>
      <c r="B794" s="10"/>
      <c r="C794" s="11"/>
      <c r="D794" s="13"/>
      <c r="E794" s="13"/>
      <c r="F794" s="13"/>
      <c r="G794" s="2"/>
      <c r="H794" s="2"/>
      <c r="I794" s="13"/>
      <c r="J794" s="13"/>
      <c r="K794" s="13"/>
      <c r="L794" s="14"/>
      <c r="M794" s="4"/>
      <c r="N794" s="2"/>
      <c r="O794" s="4"/>
      <c r="P794" s="2"/>
      <c r="Q794" s="2"/>
      <c r="R794" s="4"/>
      <c r="S794" s="2"/>
      <c r="T794" s="2"/>
      <c r="U794" s="1"/>
      <c r="V794" s="2"/>
      <c r="W794" s="2"/>
      <c r="X794" s="2"/>
      <c r="Y794" s="2"/>
      <c r="Z794" s="2"/>
    </row>
    <row r="795" spans="1:26" ht="15.75" customHeight="1" x14ac:dyDescent="0.2">
      <c r="A795" s="12"/>
      <c r="B795" s="10"/>
      <c r="C795" s="11"/>
      <c r="D795" s="13"/>
      <c r="E795" s="13"/>
      <c r="F795" s="13"/>
      <c r="G795" s="2"/>
      <c r="H795" s="2"/>
      <c r="I795" s="13"/>
      <c r="J795" s="13"/>
      <c r="K795" s="13"/>
      <c r="L795" s="14"/>
      <c r="M795" s="4"/>
      <c r="N795" s="2"/>
      <c r="O795" s="4"/>
      <c r="P795" s="2"/>
      <c r="Q795" s="2"/>
      <c r="R795" s="4"/>
      <c r="S795" s="2"/>
      <c r="T795" s="2"/>
      <c r="U795" s="1"/>
      <c r="V795" s="2"/>
      <c r="W795" s="2"/>
      <c r="X795" s="2"/>
      <c r="Y795" s="2"/>
      <c r="Z795" s="2"/>
    </row>
    <row r="796" spans="1:26" ht="15.75" customHeight="1" x14ac:dyDescent="0.2">
      <c r="A796" s="12"/>
      <c r="B796" s="10"/>
      <c r="C796" s="11"/>
      <c r="D796" s="13"/>
      <c r="E796" s="13"/>
      <c r="F796" s="13"/>
      <c r="G796" s="2"/>
      <c r="H796" s="2"/>
      <c r="I796" s="13"/>
      <c r="J796" s="13"/>
      <c r="K796" s="13"/>
      <c r="L796" s="14"/>
      <c r="M796" s="4"/>
      <c r="N796" s="2"/>
      <c r="O796" s="4"/>
      <c r="P796" s="2"/>
      <c r="Q796" s="2"/>
      <c r="R796" s="4"/>
      <c r="S796" s="2"/>
      <c r="T796" s="2"/>
      <c r="U796" s="1"/>
      <c r="V796" s="2"/>
      <c r="W796" s="2"/>
      <c r="X796" s="2"/>
      <c r="Y796" s="2"/>
      <c r="Z796" s="2"/>
    </row>
    <row r="797" spans="1:26" ht="15.75" customHeight="1" x14ac:dyDescent="0.2">
      <c r="A797" s="12"/>
      <c r="B797" s="10"/>
      <c r="C797" s="11"/>
      <c r="D797" s="13"/>
      <c r="E797" s="13"/>
      <c r="F797" s="13"/>
      <c r="G797" s="2"/>
      <c r="H797" s="2"/>
      <c r="I797" s="13"/>
      <c r="J797" s="13"/>
      <c r="K797" s="13"/>
      <c r="L797" s="14"/>
      <c r="M797" s="4"/>
      <c r="N797" s="2"/>
      <c r="O797" s="4"/>
      <c r="P797" s="2"/>
      <c r="Q797" s="2"/>
      <c r="R797" s="4"/>
      <c r="S797" s="2"/>
      <c r="T797" s="2"/>
      <c r="U797" s="1"/>
      <c r="V797" s="2"/>
      <c r="W797" s="2"/>
      <c r="X797" s="2"/>
      <c r="Y797" s="2"/>
      <c r="Z797" s="2"/>
    </row>
    <row r="798" spans="1:26" ht="15.75" customHeight="1" x14ac:dyDescent="0.2">
      <c r="A798" s="12"/>
      <c r="B798" s="10"/>
      <c r="C798" s="11"/>
      <c r="D798" s="13"/>
      <c r="E798" s="13"/>
      <c r="F798" s="13"/>
      <c r="G798" s="2"/>
      <c r="H798" s="2"/>
      <c r="I798" s="13"/>
      <c r="J798" s="13"/>
      <c r="K798" s="13"/>
      <c r="L798" s="14"/>
      <c r="M798" s="4"/>
      <c r="N798" s="2"/>
      <c r="O798" s="4"/>
      <c r="P798" s="2"/>
      <c r="Q798" s="2"/>
      <c r="R798" s="4"/>
      <c r="S798" s="2"/>
      <c r="T798" s="2"/>
      <c r="U798" s="1"/>
      <c r="V798" s="2"/>
      <c r="W798" s="2"/>
      <c r="X798" s="2"/>
      <c r="Y798" s="2"/>
      <c r="Z798" s="2"/>
    </row>
    <row r="799" spans="1:26" ht="15.75" customHeight="1" x14ac:dyDescent="0.2">
      <c r="A799" s="12"/>
      <c r="B799" s="10"/>
      <c r="C799" s="11"/>
      <c r="D799" s="13"/>
      <c r="E799" s="13"/>
      <c r="F799" s="13"/>
      <c r="G799" s="2"/>
      <c r="H799" s="2"/>
      <c r="I799" s="13"/>
      <c r="J799" s="13"/>
      <c r="K799" s="13"/>
      <c r="L799" s="14"/>
      <c r="M799" s="4"/>
      <c r="N799" s="2"/>
      <c r="O799" s="4"/>
      <c r="P799" s="2"/>
      <c r="Q799" s="2"/>
      <c r="R799" s="4"/>
      <c r="S799" s="2"/>
      <c r="T799" s="2"/>
      <c r="U799" s="1"/>
      <c r="V799" s="2"/>
      <c r="W799" s="2"/>
      <c r="X799" s="2"/>
      <c r="Y799" s="2"/>
      <c r="Z799" s="2"/>
    </row>
    <row r="800" spans="1:26" ht="15.75" customHeight="1" x14ac:dyDescent="0.2">
      <c r="A800" s="12"/>
      <c r="B800" s="10"/>
      <c r="C800" s="11"/>
      <c r="D800" s="13"/>
      <c r="E800" s="13"/>
      <c r="F800" s="13"/>
      <c r="G800" s="2"/>
      <c r="H800" s="2"/>
      <c r="I800" s="13"/>
      <c r="J800" s="13"/>
      <c r="K800" s="13"/>
      <c r="L800" s="14"/>
      <c r="M800" s="4"/>
      <c r="N800" s="2"/>
      <c r="O800" s="4"/>
      <c r="P800" s="2"/>
      <c r="Q800" s="2"/>
      <c r="R800" s="4"/>
      <c r="S800" s="2"/>
      <c r="T800" s="2"/>
      <c r="U800" s="1"/>
      <c r="V800" s="2"/>
      <c r="W800" s="2"/>
      <c r="X800" s="2"/>
      <c r="Y800" s="2"/>
      <c r="Z800" s="2"/>
    </row>
    <row r="801" spans="1:26" ht="15.75" customHeight="1" x14ac:dyDescent="0.2">
      <c r="A801" s="12"/>
      <c r="B801" s="10"/>
      <c r="C801" s="11"/>
      <c r="D801" s="13"/>
      <c r="E801" s="13"/>
      <c r="F801" s="13"/>
      <c r="G801" s="2"/>
      <c r="H801" s="2"/>
      <c r="I801" s="13"/>
      <c r="J801" s="13"/>
      <c r="K801" s="13"/>
      <c r="L801" s="14"/>
      <c r="M801" s="4"/>
      <c r="N801" s="2"/>
      <c r="O801" s="4"/>
      <c r="P801" s="2"/>
      <c r="Q801" s="2"/>
      <c r="R801" s="4"/>
      <c r="S801" s="2"/>
      <c r="T801" s="2"/>
      <c r="U801" s="1"/>
      <c r="V801" s="2"/>
      <c r="W801" s="2"/>
      <c r="X801" s="2"/>
      <c r="Y801" s="2"/>
      <c r="Z801" s="2"/>
    </row>
    <row r="802" spans="1:26" ht="15.75" customHeight="1" x14ac:dyDescent="0.2">
      <c r="A802" s="12"/>
      <c r="B802" s="10"/>
      <c r="C802" s="11"/>
      <c r="D802" s="13"/>
      <c r="E802" s="13"/>
      <c r="F802" s="13"/>
      <c r="G802" s="2"/>
      <c r="H802" s="2"/>
      <c r="I802" s="13"/>
      <c r="J802" s="13"/>
      <c r="K802" s="13"/>
      <c r="L802" s="14"/>
      <c r="M802" s="4"/>
      <c r="N802" s="2"/>
      <c r="O802" s="4"/>
      <c r="P802" s="2"/>
      <c r="Q802" s="2"/>
      <c r="R802" s="4"/>
      <c r="S802" s="2"/>
      <c r="T802" s="2"/>
      <c r="U802" s="1"/>
      <c r="V802" s="2"/>
      <c r="W802" s="2"/>
      <c r="X802" s="2"/>
      <c r="Y802" s="2"/>
      <c r="Z802" s="2"/>
    </row>
    <row r="803" spans="1:26" ht="15.75" customHeight="1" x14ac:dyDescent="0.2">
      <c r="A803" s="12"/>
      <c r="B803" s="10"/>
      <c r="C803" s="11"/>
      <c r="D803" s="13"/>
      <c r="E803" s="13"/>
      <c r="F803" s="13"/>
      <c r="G803" s="2"/>
      <c r="H803" s="2"/>
      <c r="I803" s="13"/>
      <c r="J803" s="13"/>
      <c r="K803" s="13"/>
      <c r="L803" s="14"/>
      <c r="M803" s="4"/>
      <c r="N803" s="2"/>
      <c r="O803" s="4"/>
      <c r="P803" s="2"/>
      <c r="Q803" s="2"/>
      <c r="R803" s="4"/>
      <c r="S803" s="2"/>
      <c r="T803" s="2"/>
      <c r="U803" s="1"/>
      <c r="V803" s="2"/>
      <c r="W803" s="2"/>
      <c r="X803" s="2"/>
      <c r="Y803" s="2"/>
      <c r="Z803" s="2"/>
    </row>
    <row r="804" spans="1:26" ht="15.75" customHeight="1" x14ac:dyDescent="0.2">
      <c r="A804" s="12"/>
      <c r="B804" s="10"/>
      <c r="C804" s="11"/>
      <c r="D804" s="13"/>
      <c r="E804" s="13"/>
      <c r="F804" s="13"/>
      <c r="G804" s="2"/>
      <c r="H804" s="2"/>
      <c r="I804" s="13"/>
      <c r="J804" s="13"/>
      <c r="K804" s="13"/>
      <c r="L804" s="14"/>
      <c r="M804" s="4"/>
      <c r="N804" s="2"/>
      <c r="O804" s="4"/>
      <c r="P804" s="2"/>
      <c r="Q804" s="2"/>
      <c r="R804" s="4"/>
      <c r="S804" s="2"/>
      <c r="T804" s="2"/>
      <c r="U804" s="1"/>
      <c r="V804" s="2"/>
      <c r="W804" s="2"/>
      <c r="X804" s="2"/>
      <c r="Y804" s="2"/>
      <c r="Z804" s="2"/>
    </row>
    <row r="805" spans="1:26" ht="15.75" customHeight="1" x14ac:dyDescent="0.2">
      <c r="A805" s="12"/>
      <c r="B805" s="10"/>
      <c r="C805" s="11"/>
      <c r="D805" s="13"/>
      <c r="E805" s="13"/>
      <c r="F805" s="13"/>
      <c r="G805" s="2"/>
      <c r="H805" s="2"/>
      <c r="I805" s="13"/>
      <c r="J805" s="13"/>
      <c r="K805" s="13"/>
      <c r="L805" s="14"/>
      <c r="M805" s="4"/>
      <c r="N805" s="2"/>
      <c r="O805" s="4"/>
      <c r="P805" s="2"/>
      <c r="Q805" s="2"/>
      <c r="R805" s="4"/>
      <c r="S805" s="2"/>
      <c r="T805" s="2"/>
      <c r="U805" s="1"/>
      <c r="V805" s="2"/>
      <c r="W805" s="2"/>
      <c r="X805" s="2"/>
      <c r="Y805" s="2"/>
      <c r="Z805" s="2"/>
    </row>
    <row r="806" spans="1:26" ht="15.75" customHeight="1" x14ac:dyDescent="0.2">
      <c r="A806" s="12"/>
      <c r="B806" s="10"/>
      <c r="C806" s="11"/>
      <c r="D806" s="13"/>
      <c r="E806" s="13"/>
      <c r="F806" s="13"/>
      <c r="G806" s="2"/>
      <c r="H806" s="2"/>
      <c r="I806" s="13"/>
      <c r="J806" s="13"/>
      <c r="K806" s="13"/>
      <c r="L806" s="14"/>
      <c r="M806" s="4"/>
      <c r="N806" s="2"/>
      <c r="O806" s="4"/>
      <c r="P806" s="2"/>
      <c r="Q806" s="2"/>
      <c r="R806" s="4"/>
      <c r="S806" s="2"/>
      <c r="T806" s="2"/>
      <c r="U806" s="1"/>
      <c r="V806" s="2"/>
      <c r="W806" s="2"/>
      <c r="X806" s="2"/>
      <c r="Y806" s="2"/>
      <c r="Z806" s="2"/>
    </row>
    <row r="807" spans="1:26" ht="15.75" customHeight="1" x14ac:dyDescent="0.2">
      <c r="A807" s="12"/>
      <c r="B807" s="10"/>
      <c r="C807" s="11"/>
      <c r="D807" s="13"/>
      <c r="E807" s="13"/>
      <c r="F807" s="13"/>
      <c r="G807" s="2"/>
      <c r="H807" s="2"/>
      <c r="I807" s="13"/>
      <c r="J807" s="13"/>
      <c r="K807" s="13"/>
      <c r="L807" s="14"/>
      <c r="M807" s="4"/>
      <c r="N807" s="2"/>
      <c r="O807" s="4"/>
      <c r="P807" s="2"/>
      <c r="Q807" s="2"/>
      <c r="R807" s="4"/>
      <c r="S807" s="2"/>
      <c r="T807" s="2"/>
      <c r="U807" s="1"/>
      <c r="V807" s="2"/>
      <c r="W807" s="2"/>
      <c r="X807" s="2"/>
      <c r="Y807" s="2"/>
      <c r="Z807" s="2"/>
    </row>
    <row r="808" spans="1:26" ht="15.75" customHeight="1" x14ac:dyDescent="0.2">
      <c r="A808" s="12"/>
      <c r="B808" s="10"/>
      <c r="C808" s="11"/>
      <c r="D808" s="13"/>
      <c r="E808" s="13"/>
      <c r="F808" s="13"/>
      <c r="G808" s="2"/>
      <c r="H808" s="2"/>
      <c r="I808" s="13"/>
      <c r="J808" s="13"/>
      <c r="K808" s="13"/>
      <c r="L808" s="14"/>
      <c r="M808" s="4"/>
      <c r="N808" s="2"/>
      <c r="O808" s="4"/>
      <c r="P808" s="2"/>
      <c r="Q808" s="2"/>
      <c r="R808" s="4"/>
      <c r="S808" s="2"/>
      <c r="T808" s="2"/>
      <c r="U808" s="1"/>
      <c r="V808" s="2"/>
      <c r="W808" s="2"/>
      <c r="X808" s="2"/>
      <c r="Y808" s="2"/>
      <c r="Z808" s="2"/>
    </row>
    <row r="809" spans="1:26" ht="15.75" customHeight="1" x14ac:dyDescent="0.2">
      <c r="A809" s="12"/>
      <c r="B809" s="10"/>
      <c r="C809" s="11"/>
      <c r="D809" s="13"/>
      <c r="E809" s="13"/>
      <c r="F809" s="13"/>
      <c r="G809" s="2"/>
      <c r="H809" s="2"/>
      <c r="I809" s="13"/>
      <c r="J809" s="13"/>
      <c r="K809" s="13"/>
      <c r="L809" s="14"/>
      <c r="M809" s="4"/>
      <c r="N809" s="2"/>
      <c r="O809" s="4"/>
      <c r="P809" s="2"/>
      <c r="Q809" s="2"/>
      <c r="R809" s="4"/>
      <c r="S809" s="2"/>
      <c r="T809" s="2"/>
      <c r="U809" s="1"/>
      <c r="V809" s="2"/>
      <c r="W809" s="2"/>
      <c r="X809" s="2"/>
      <c r="Y809" s="2"/>
      <c r="Z809" s="2"/>
    </row>
    <row r="810" spans="1:26" ht="15.75" customHeight="1" x14ac:dyDescent="0.2">
      <c r="A810" s="12"/>
      <c r="B810" s="10"/>
      <c r="C810" s="11"/>
      <c r="D810" s="13"/>
      <c r="E810" s="13"/>
      <c r="F810" s="13"/>
      <c r="G810" s="2"/>
      <c r="H810" s="2"/>
      <c r="I810" s="13"/>
      <c r="J810" s="13"/>
      <c r="K810" s="13"/>
      <c r="L810" s="14"/>
      <c r="M810" s="4"/>
      <c r="N810" s="2"/>
      <c r="O810" s="4"/>
      <c r="P810" s="2"/>
      <c r="Q810" s="2"/>
      <c r="R810" s="4"/>
      <c r="S810" s="2"/>
      <c r="T810" s="2"/>
      <c r="U810" s="1"/>
      <c r="V810" s="2"/>
      <c r="W810" s="2"/>
      <c r="X810" s="2"/>
      <c r="Y810" s="2"/>
      <c r="Z810" s="2"/>
    </row>
    <row r="811" spans="1:26" ht="15.75" customHeight="1" x14ac:dyDescent="0.2">
      <c r="A811" s="12"/>
      <c r="B811" s="10"/>
      <c r="C811" s="11"/>
      <c r="D811" s="13"/>
      <c r="E811" s="13"/>
      <c r="F811" s="13"/>
      <c r="G811" s="2"/>
      <c r="H811" s="2"/>
      <c r="I811" s="13"/>
      <c r="J811" s="13"/>
      <c r="K811" s="13"/>
      <c r="L811" s="14"/>
      <c r="M811" s="4"/>
      <c r="N811" s="2"/>
      <c r="O811" s="4"/>
      <c r="P811" s="2"/>
      <c r="Q811" s="2"/>
      <c r="R811" s="4"/>
      <c r="S811" s="2"/>
      <c r="T811" s="2"/>
      <c r="U811" s="1"/>
      <c r="V811" s="2"/>
      <c r="W811" s="2"/>
      <c r="X811" s="2"/>
      <c r="Y811" s="2"/>
      <c r="Z811" s="2"/>
    </row>
    <row r="812" spans="1:26" ht="15.75" customHeight="1" x14ac:dyDescent="0.2">
      <c r="A812" s="12"/>
      <c r="B812" s="10"/>
      <c r="C812" s="11"/>
      <c r="D812" s="13"/>
      <c r="E812" s="13"/>
      <c r="F812" s="13"/>
      <c r="G812" s="2"/>
      <c r="H812" s="2"/>
      <c r="I812" s="13"/>
      <c r="J812" s="13"/>
      <c r="K812" s="13"/>
      <c r="L812" s="14"/>
      <c r="M812" s="4"/>
      <c r="N812" s="2"/>
      <c r="O812" s="4"/>
      <c r="P812" s="2"/>
      <c r="Q812" s="2"/>
      <c r="R812" s="4"/>
      <c r="S812" s="2"/>
      <c r="T812" s="2"/>
      <c r="U812" s="1"/>
      <c r="V812" s="2"/>
      <c r="W812" s="2"/>
      <c r="X812" s="2"/>
      <c r="Y812" s="2"/>
      <c r="Z812" s="2"/>
    </row>
    <row r="813" spans="1:26" ht="15.75" customHeight="1" x14ac:dyDescent="0.2">
      <c r="A813" s="12"/>
      <c r="B813" s="10"/>
      <c r="C813" s="11"/>
      <c r="D813" s="13"/>
      <c r="E813" s="13"/>
      <c r="F813" s="13"/>
      <c r="G813" s="2"/>
      <c r="H813" s="2"/>
      <c r="I813" s="13"/>
      <c r="J813" s="13"/>
      <c r="K813" s="13"/>
      <c r="L813" s="14"/>
      <c r="M813" s="4"/>
      <c r="N813" s="2"/>
      <c r="O813" s="4"/>
      <c r="P813" s="2"/>
      <c r="Q813" s="2"/>
      <c r="R813" s="4"/>
      <c r="S813" s="2"/>
      <c r="T813" s="2"/>
      <c r="U813" s="1"/>
      <c r="V813" s="2"/>
      <c r="W813" s="2"/>
      <c r="X813" s="2"/>
      <c r="Y813" s="2"/>
      <c r="Z813" s="2"/>
    </row>
    <row r="814" spans="1:26" ht="15.75" customHeight="1" x14ac:dyDescent="0.2">
      <c r="A814" s="12"/>
      <c r="B814" s="10"/>
      <c r="C814" s="11"/>
      <c r="D814" s="13"/>
      <c r="E814" s="13"/>
      <c r="F814" s="13"/>
      <c r="G814" s="2"/>
      <c r="H814" s="2"/>
      <c r="I814" s="13"/>
      <c r="J814" s="13"/>
      <c r="K814" s="13"/>
      <c r="L814" s="14"/>
      <c r="M814" s="4"/>
      <c r="N814" s="2"/>
      <c r="O814" s="4"/>
      <c r="P814" s="2"/>
      <c r="Q814" s="2"/>
      <c r="R814" s="4"/>
      <c r="S814" s="2"/>
      <c r="T814" s="2"/>
      <c r="U814" s="1"/>
      <c r="V814" s="2"/>
      <c r="W814" s="2"/>
      <c r="X814" s="2"/>
      <c r="Y814" s="2"/>
      <c r="Z814" s="2"/>
    </row>
    <row r="815" spans="1:26" ht="15.75" customHeight="1" x14ac:dyDescent="0.2">
      <c r="A815" s="12"/>
      <c r="B815" s="10"/>
      <c r="C815" s="11"/>
      <c r="D815" s="13"/>
      <c r="E815" s="13"/>
      <c r="F815" s="13"/>
      <c r="G815" s="2"/>
      <c r="H815" s="2"/>
      <c r="I815" s="13"/>
      <c r="J815" s="13"/>
      <c r="K815" s="13"/>
      <c r="L815" s="14"/>
      <c r="M815" s="4"/>
      <c r="N815" s="2"/>
      <c r="O815" s="4"/>
      <c r="P815" s="2"/>
      <c r="Q815" s="2"/>
      <c r="R815" s="4"/>
      <c r="S815" s="2"/>
      <c r="T815" s="2"/>
      <c r="U815" s="1"/>
      <c r="V815" s="2"/>
      <c r="W815" s="2"/>
      <c r="X815" s="2"/>
      <c r="Y815" s="2"/>
      <c r="Z815" s="2"/>
    </row>
    <row r="816" spans="1:26" ht="15.75" customHeight="1" x14ac:dyDescent="0.2">
      <c r="A816" s="12"/>
      <c r="B816" s="10"/>
      <c r="C816" s="11"/>
      <c r="D816" s="13"/>
      <c r="E816" s="13"/>
      <c r="F816" s="13"/>
      <c r="G816" s="2"/>
      <c r="H816" s="2"/>
      <c r="I816" s="13"/>
      <c r="J816" s="13"/>
      <c r="K816" s="13"/>
      <c r="L816" s="14"/>
      <c r="M816" s="4"/>
      <c r="N816" s="2"/>
      <c r="O816" s="4"/>
      <c r="P816" s="2"/>
      <c r="Q816" s="2"/>
      <c r="R816" s="4"/>
      <c r="S816" s="2"/>
      <c r="T816" s="2"/>
      <c r="U816" s="1"/>
      <c r="V816" s="2"/>
      <c r="W816" s="2"/>
      <c r="X816" s="2"/>
      <c r="Y816" s="2"/>
      <c r="Z816" s="2"/>
    </row>
    <row r="817" spans="1:26" ht="15.75" customHeight="1" x14ac:dyDescent="0.2">
      <c r="A817" s="12"/>
      <c r="B817" s="10"/>
      <c r="C817" s="11"/>
      <c r="D817" s="13"/>
      <c r="E817" s="13"/>
      <c r="F817" s="13"/>
      <c r="G817" s="2"/>
      <c r="H817" s="2"/>
      <c r="I817" s="13"/>
      <c r="J817" s="13"/>
      <c r="K817" s="13"/>
      <c r="L817" s="14"/>
      <c r="M817" s="4"/>
      <c r="N817" s="2"/>
      <c r="O817" s="4"/>
      <c r="P817" s="2"/>
      <c r="Q817" s="2"/>
      <c r="R817" s="4"/>
      <c r="S817" s="2"/>
      <c r="T817" s="2"/>
      <c r="U817" s="1"/>
      <c r="V817" s="2"/>
      <c r="W817" s="2"/>
      <c r="X817" s="2"/>
      <c r="Y817" s="2"/>
      <c r="Z817" s="2"/>
    </row>
    <row r="818" spans="1:26" ht="15.75" customHeight="1" x14ac:dyDescent="0.2">
      <c r="A818" s="12"/>
      <c r="B818" s="10"/>
      <c r="C818" s="11"/>
      <c r="D818" s="13"/>
      <c r="E818" s="13"/>
      <c r="F818" s="13"/>
      <c r="G818" s="2"/>
      <c r="H818" s="2"/>
      <c r="I818" s="13"/>
      <c r="J818" s="13"/>
      <c r="K818" s="13"/>
      <c r="L818" s="14"/>
      <c r="M818" s="4"/>
      <c r="N818" s="2"/>
      <c r="O818" s="4"/>
      <c r="P818" s="2"/>
      <c r="Q818" s="2"/>
      <c r="R818" s="4"/>
      <c r="S818" s="2"/>
      <c r="T818" s="2"/>
      <c r="U818" s="1"/>
      <c r="V818" s="2"/>
      <c r="W818" s="2"/>
      <c r="X818" s="2"/>
      <c r="Y818" s="2"/>
      <c r="Z818" s="2"/>
    </row>
    <row r="819" spans="1:26" ht="15.75" customHeight="1" x14ac:dyDescent="0.2">
      <c r="A819" s="12"/>
      <c r="B819" s="10"/>
      <c r="C819" s="11"/>
      <c r="D819" s="13"/>
      <c r="E819" s="13"/>
      <c r="F819" s="13"/>
      <c r="G819" s="2"/>
      <c r="H819" s="2"/>
      <c r="I819" s="13"/>
      <c r="J819" s="13"/>
      <c r="K819" s="13"/>
      <c r="L819" s="14"/>
      <c r="M819" s="4"/>
      <c r="N819" s="2"/>
      <c r="O819" s="4"/>
      <c r="P819" s="2"/>
      <c r="Q819" s="2"/>
      <c r="R819" s="4"/>
      <c r="S819" s="2"/>
      <c r="T819" s="2"/>
      <c r="U819" s="1"/>
      <c r="V819" s="2"/>
      <c r="W819" s="2"/>
      <c r="X819" s="2"/>
      <c r="Y819" s="2"/>
      <c r="Z819" s="2"/>
    </row>
    <row r="820" spans="1:26" ht="15.75" customHeight="1" x14ac:dyDescent="0.2">
      <c r="A820" s="12"/>
      <c r="B820" s="10"/>
      <c r="C820" s="11"/>
      <c r="D820" s="13"/>
      <c r="E820" s="13"/>
      <c r="F820" s="13"/>
      <c r="G820" s="2"/>
      <c r="H820" s="2"/>
      <c r="I820" s="13"/>
      <c r="J820" s="13"/>
      <c r="K820" s="13"/>
      <c r="L820" s="14"/>
      <c r="M820" s="4"/>
      <c r="N820" s="2"/>
      <c r="O820" s="4"/>
      <c r="P820" s="2"/>
      <c r="Q820" s="2"/>
      <c r="R820" s="4"/>
      <c r="S820" s="2"/>
      <c r="T820" s="2"/>
      <c r="U820" s="1"/>
      <c r="V820" s="2"/>
      <c r="W820" s="2"/>
      <c r="X820" s="2"/>
      <c r="Y820" s="2"/>
      <c r="Z820" s="2"/>
    </row>
    <row r="821" spans="1:26" ht="15.75" customHeight="1" x14ac:dyDescent="0.2">
      <c r="A821" s="12"/>
      <c r="B821" s="10"/>
      <c r="C821" s="11"/>
      <c r="D821" s="13"/>
      <c r="E821" s="13"/>
      <c r="F821" s="13"/>
      <c r="G821" s="2"/>
      <c r="H821" s="2"/>
      <c r="I821" s="13"/>
      <c r="J821" s="13"/>
      <c r="K821" s="13"/>
      <c r="L821" s="14"/>
      <c r="M821" s="4"/>
      <c r="N821" s="2"/>
      <c r="O821" s="4"/>
      <c r="P821" s="2"/>
      <c r="Q821" s="2"/>
      <c r="R821" s="4"/>
      <c r="S821" s="2"/>
      <c r="T821" s="2"/>
      <c r="U821" s="1"/>
      <c r="V821" s="2"/>
      <c r="W821" s="2"/>
      <c r="X821" s="2"/>
      <c r="Y821" s="2"/>
      <c r="Z821" s="2"/>
    </row>
    <row r="822" spans="1:26" ht="15.75" customHeight="1" x14ac:dyDescent="0.2">
      <c r="A822" s="12"/>
      <c r="B822" s="10"/>
      <c r="C822" s="11"/>
      <c r="D822" s="13"/>
      <c r="E822" s="13"/>
      <c r="F822" s="13"/>
      <c r="G822" s="2"/>
      <c r="H822" s="2"/>
      <c r="I822" s="13"/>
      <c r="J822" s="13"/>
      <c r="K822" s="13"/>
      <c r="L822" s="14"/>
      <c r="M822" s="4"/>
      <c r="N822" s="2"/>
      <c r="O822" s="4"/>
      <c r="P822" s="2"/>
      <c r="Q822" s="2"/>
      <c r="R822" s="4"/>
      <c r="S822" s="2"/>
      <c r="T822" s="2"/>
      <c r="U822" s="1"/>
      <c r="V822" s="2"/>
      <c r="W822" s="2"/>
      <c r="X822" s="2"/>
      <c r="Y822" s="2"/>
      <c r="Z822" s="2"/>
    </row>
    <row r="823" spans="1:26" ht="15.75" customHeight="1" x14ac:dyDescent="0.2">
      <c r="A823" s="12"/>
      <c r="B823" s="10"/>
      <c r="C823" s="11"/>
      <c r="D823" s="13"/>
      <c r="E823" s="13"/>
      <c r="F823" s="13"/>
      <c r="G823" s="2"/>
      <c r="H823" s="2"/>
      <c r="I823" s="13"/>
      <c r="J823" s="13"/>
      <c r="K823" s="13"/>
      <c r="L823" s="14"/>
      <c r="M823" s="4"/>
      <c r="N823" s="2"/>
      <c r="O823" s="4"/>
      <c r="P823" s="2"/>
      <c r="Q823" s="2"/>
      <c r="R823" s="4"/>
      <c r="S823" s="2"/>
      <c r="T823" s="2"/>
      <c r="U823" s="1"/>
      <c r="V823" s="2"/>
      <c r="W823" s="2"/>
      <c r="X823" s="2"/>
      <c r="Y823" s="2"/>
      <c r="Z823" s="2"/>
    </row>
    <row r="824" spans="1:26" ht="15.75" customHeight="1" x14ac:dyDescent="0.2">
      <c r="A824" s="12"/>
      <c r="B824" s="10"/>
      <c r="C824" s="11"/>
      <c r="D824" s="13"/>
      <c r="E824" s="13"/>
      <c r="F824" s="13"/>
      <c r="G824" s="2"/>
      <c r="H824" s="2"/>
      <c r="I824" s="13"/>
      <c r="J824" s="13"/>
      <c r="K824" s="13"/>
      <c r="L824" s="14"/>
      <c r="M824" s="4"/>
      <c r="N824" s="2"/>
      <c r="O824" s="4"/>
      <c r="P824" s="2"/>
      <c r="Q824" s="2"/>
      <c r="R824" s="4"/>
      <c r="S824" s="2"/>
      <c r="T824" s="2"/>
      <c r="U824" s="1"/>
      <c r="V824" s="2"/>
      <c r="W824" s="2"/>
      <c r="X824" s="2"/>
      <c r="Y824" s="2"/>
      <c r="Z824" s="2"/>
    </row>
    <row r="825" spans="1:26" ht="15.75" customHeight="1" x14ac:dyDescent="0.2">
      <c r="A825" s="12"/>
      <c r="B825" s="10"/>
      <c r="C825" s="11"/>
      <c r="D825" s="13"/>
      <c r="E825" s="13"/>
      <c r="F825" s="13"/>
      <c r="G825" s="2"/>
      <c r="H825" s="2"/>
      <c r="I825" s="13"/>
      <c r="J825" s="13"/>
      <c r="K825" s="13"/>
      <c r="L825" s="14"/>
      <c r="M825" s="4"/>
      <c r="N825" s="2"/>
      <c r="O825" s="4"/>
      <c r="P825" s="2"/>
      <c r="Q825" s="2"/>
      <c r="R825" s="4"/>
      <c r="S825" s="2"/>
      <c r="T825" s="2"/>
      <c r="U825" s="1"/>
      <c r="V825" s="2"/>
      <c r="W825" s="2"/>
      <c r="X825" s="2"/>
      <c r="Y825" s="2"/>
      <c r="Z825" s="2"/>
    </row>
    <row r="826" spans="1:26" ht="15.75" customHeight="1" x14ac:dyDescent="0.2">
      <c r="A826" s="12"/>
      <c r="B826" s="10"/>
      <c r="C826" s="11"/>
      <c r="D826" s="13"/>
      <c r="E826" s="13"/>
      <c r="F826" s="13"/>
      <c r="G826" s="2"/>
      <c r="H826" s="2"/>
      <c r="I826" s="13"/>
      <c r="J826" s="13"/>
      <c r="K826" s="13"/>
      <c r="L826" s="14"/>
      <c r="M826" s="4"/>
      <c r="N826" s="2"/>
      <c r="O826" s="4"/>
      <c r="P826" s="2"/>
      <c r="Q826" s="2"/>
      <c r="R826" s="4"/>
      <c r="S826" s="2"/>
      <c r="T826" s="2"/>
      <c r="U826" s="1"/>
      <c r="V826" s="2"/>
      <c r="W826" s="2"/>
      <c r="X826" s="2"/>
      <c r="Y826" s="2"/>
      <c r="Z826" s="2"/>
    </row>
    <row r="827" spans="1:26" ht="15.75" customHeight="1" x14ac:dyDescent="0.2">
      <c r="A827" s="12"/>
      <c r="B827" s="10"/>
      <c r="C827" s="11"/>
      <c r="D827" s="13"/>
      <c r="E827" s="13"/>
      <c r="F827" s="13"/>
      <c r="G827" s="2"/>
      <c r="H827" s="2"/>
      <c r="I827" s="13"/>
      <c r="J827" s="13"/>
      <c r="K827" s="13"/>
      <c r="L827" s="14"/>
      <c r="M827" s="4"/>
      <c r="N827" s="2"/>
      <c r="O827" s="4"/>
      <c r="P827" s="2"/>
      <c r="Q827" s="2"/>
      <c r="R827" s="4"/>
      <c r="S827" s="2"/>
      <c r="T827" s="2"/>
      <c r="U827" s="1"/>
      <c r="V827" s="2"/>
      <c r="W827" s="2"/>
      <c r="X827" s="2"/>
      <c r="Y827" s="2"/>
      <c r="Z827" s="2"/>
    </row>
    <row r="828" spans="1:26" ht="15.75" customHeight="1" x14ac:dyDescent="0.2">
      <c r="A828" s="12"/>
      <c r="B828" s="10"/>
      <c r="C828" s="11"/>
      <c r="D828" s="13"/>
      <c r="E828" s="13"/>
      <c r="F828" s="13"/>
      <c r="G828" s="2"/>
      <c r="H828" s="2"/>
      <c r="I828" s="13"/>
      <c r="J828" s="13"/>
      <c r="K828" s="13"/>
      <c r="L828" s="14"/>
      <c r="M828" s="4"/>
      <c r="N828" s="2"/>
      <c r="O828" s="4"/>
      <c r="P828" s="2"/>
      <c r="Q828" s="2"/>
      <c r="R828" s="4"/>
      <c r="S828" s="2"/>
      <c r="T828" s="2"/>
      <c r="U828" s="1"/>
      <c r="V828" s="2"/>
      <c r="W828" s="2"/>
      <c r="X828" s="2"/>
      <c r="Y828" s="2"/>
      <c r="Z828" s="2"/>
    </row>
    <row r="829" spans="1:26" ht="15.75" customHeight="1" x14ac:dyDescent="0.2">
      <c r="A829" s="12"/>
      <c r="B829" s="10"/>
      <c r="C829" s="11"/>
      <c r="D829" s="13"/>
      <c r="E829" s="13"/>
      <c r="F829" s="13"/>
      <c r="G829" s="2"/>
      <c r="H829" s="2"/>
      <c r="I829" s="13"/>
      <c r="J829" s="13"/>
      <c r="K829" s="13"/>
      <c r="L829" s="14"/>
      <c r="M829" s="4"/>
      <c r="N829" s="2"/>
      <c r="O829" s="4"/>
      <c r="P829" s="2"/>
      <c r="Q829" s="2"/>
      <c r="R829" s="4"/>
      <c r="S829" s="2"/>
      <c r="T829" s="2"/>
      <c r="U829" s="1"/>
      <c r="V829" s="2"/>
      <c r="W829" s="2"/>
      <c r="X829" s="2"/>
      <c r="Y829" s="2"/>
      <c r="Z829" s="2"/>
    </row>
    <row r="830" spans="1:26" ht="15.75" customHeight="1" x14ac:dyDescent="0.2">
      <c r="A830" s="12"/>
      <c r="B830" s="10"/>
      <c r="C830" s="11"/>
      <c r="D830" s="13"/>
      <c r="E830" s="13"/>
      <c r="F830" s="13"/>
      <c r="G830" s="2"/>
      <c r="H830" s="2"/>
      <c r="I830" s="13"/>
      <c r="J830" s="13"/>
      <c r="K830" s="13"/>
      <c r="L830" s="14"/>
      <c r="M830" s="4"/>
      <c r="N830" s="2"/>
      <c r="O830" s="4"/>
      <c r="P830" s="2"/>
      <c r="Q830" s="2"/>
      <c r="R830" s="4"/>
      <c r="S830" s="2"/>
      <c r="T830" s="2"/>
      <c r="U830" s="1"/>
      <c r="V830" s="2"/>
      <c r="W830" s="2"/>
      <c r="X830" s="2"/>
      <c r="Y830" s="2"/>
      <c r="Z830" s="2"/>
    </row>
    <row r="831" spans="1:26" ht="15.75" customHeight="1" x14ac:dyDescent="0.2">
      <c r="A831" s="12"/>
      <c r="B831" s="10"/>
      <c r="C831" s="11"/>
      <c r="D831" s="13"/>
      <c r="E831" s="13"/>
      <c r="F831" s="13"/>
      <c r="G831" s="2"/>
      <c r="H831" s="2"/>
      <c r="I831" s="13"/>
      <c r="J831" s="13"/>
      <c r="K831" s="13"/>
      <c r="L831" s="14"/>
      <c r="M831" s="4"/>
      <c r="N831" s="2"/>
      <c r="O831" s="4"/>
      <c r="P831" s="2"/>
      <c r="Q831" s="2"/>
      <c r="R831" s="4"/>
      <c r="S831" s="2"/>
      <c r="T831" s="2"/>
      <c r="U831" s="1"/>
      <c r="V831" s="2"/>
      <c r="W831" s="2"/>
      <c r="X831" s="2"/>
      <c r="Y831" s="2"/>
      <c r="Z831" s="2"/>
    </row>
    <row r="832" spans="1:26" ht="15.75" customHeight="1" x14ac:dyDescent="0.2">
      <c r="A832" s="12"/>
      <c r="B832" s="10"/>
      <c r="C832" s="11"/>
      <c r="D832" s="13"/>
      <c r="E832" s="13"/>
      <c r="F832" s="13"/>
      <c r="G832" s="2"/>
      <c r="H832" s="2"/>
      <c r="I832" s="13"/>
      <c r="J832" s="13"/>
      <c r="K832" s="13"/>
      <c r="L832" s="14"/>
      <c r="M832" s="4"/>
      <c r="N832" s="2"/>
      <c r="O832" s="4"/>
      <c r="P832" s="2"/>
      <c r="Q832" s="2"/>
      <c r="R832" s="4"/>
      <c r="S832" s="2"/>
      <c r="T832" s="2"/>
      <c r="U832" s="1"/>
      <c r="V832" s="2"/>
      <c r="W832" s="2"/>
      <c r="X832" s="2"/>
      <c r="Y832" s="2"/>
      <c r="Z832" s="2"/>
    </row>
    <row r="833" spans="1:26" ht="15.75" customHeight="1" x14ac:dyDescent="0.2">
      <c r="A833" s="12"/>
      <c r="B833" s="10"/>
      <c r="C833" s="11"/>
      <c r="D833" s="13"/>
      <c r="E833" s="13"/>
      <c r="F833" s="13"/>
      <c r="G833" s="2"/>
      <c r="H833" s="2"/>
      <c r="I833" s="13"/>
      <c r="J833" s="13"/>
      <c r="K833" s="13"/>
      <c r="L833" s="14"/>
      <c r="M833" s="4"/>
      <c r="N833" s="2"/>
      <c r="O833" s="4"/>
      <c r="P833" s="2"/>
      <c r="Q833" s="2"/>
      <c r="R833" s="4"/>
      <c r="S833" s="2"/>
      <c r="T833" s="2"/>
      <c r="U833" s="1"/>
      <c r="V833" s="2"/>
      <c r="W833" s="2"/>
      <c r="X833" s="2"/>
      <c r="Y833" s="2"/>
      <c r="Z833" s="2"/>
    </row>
    <row r="834" spans="1:26" ht="15.75" customHeight="1" x14ac:dyDescent="0.2">
      <c r="A834" s="12"/>
      <c r="B834" s="10"/>
      <c r="C834" s="11"/>
      <c r="D834" s="13"/>
      <c r="E834" s="13"/>
      <c r="F834" s="13"/>
      <c r="G834" s="2"/>
      <c r="H834" s="2"/>
      <c r="I834" s="13"/>
      <c r="J834" s="13"/>
      <c r="K834" s="13"/>
      <c r="L834" s="14"/>
      <c r="M834" s="4"/>
      <c r="N834" s="2"/>
      <c r="O834" s="4"/>
      <c r="P834" s="2"/>
      <c r="Q834" s="2"/>
      <c r="R834" s="4"/>
      <c r="S834" s="2"/>
      <c r="T834" s="2"/>
      <c r="U834" s="1"/>
      <c r="V834" s="2"/>
      <c r="W834" s="2"/>
      <c r="X834" s="2"/>
      <c r="Y834" s="2"/>
      <c r="Z834" s="2"/>
    </row>
    <row r="835" spans="1:26" ht="15.75" customHeight="1" x14ac:dyDescent="0.2">
      <c r="A835" s="12"/>
      <c r="B835" s="10"/>
      <c r="C835" s="11"/>
      <c r="D835" s="13"/>
      <c r="E835" s="13"/>
      <c r="F835" s="13"/>
      <c r="G835" s="2"/>
      <c r="H835" s="2"/>
      <c r="I835" s="13"/>
      <c r="J835" s="13"/>
      <c r="K835" s="13"/>
      <c r="L835" s="14"/>
      <c r="M835" s="4"/>
      <c r="N835" s="2"/>
      <c r="O835" s="4"/>
      <c r="P835" s="2"/>
      <c r="Q835" s="2"/>
      <c r="R835" s="4"/>
      <c r="S835" s="2"/>
      <c r="T835" s="2"/>
      <c r="U835" s="1"/>
      <c r="V835" s="2"/>
      <c r="W835" s="2"/>
      <c r="X835" s="2"/>
      <c r="Y835" s="2"/>
      <c r="Z835" s="2"/>
    </row>
    <row r="836" spans="1:26" ht="15.75" customHeight="1" x14ac:dyDescent="0.2">
      <c r="A836" s="12"/>
      <c r="B836" s="10"/>
      <c r="C836" s="11"/>
      <c r="D836" s="13"/>
      <c r="E836" s="13"/>
      <c r="F836" s="13"/>
      <c r="G836" s="2"/>
      <c r="H836" s="2"/>
      <c r="I836" s="13"/>
      <c r="J836" s="13"/>
      <c r="K836" s="13"/>
      <c r="L836" s="14"/>
      <c r="M836" s="4"/>
      <c r="N836" s="2"/>
      <c r="O836" s="4"/>
      <c r="P836" s="2"/>
      <c r="Q836" s="2"/>
      <c r="R836" s="4"/>
      <c r="S836" s="2"/>
      <c r="T836" s="2"/>
      <c r="U836" s="1"/>
      <c r="V836" s="2"/>
      <c r="W836" s="2"/>
      <c r="X836" s="2"/>
      <c r="Y836" s="2"/>
      <c r="Z836" s="2"/>
    </row>
    <row r="837" spans="1:26" ht="15.75" customHeight="1" x14ac:dyDescent="0.2">
      <c r="A837" s="12"/>
      <c r="B837" s="10"/>
      <c r="C837" s="11"/>
      <c r="D837" s="13"/>
      <c r="E837" s="13"/>
      <c r="F837" s="13"/>
      <c r="G837" s="2"/>
      <c r="H837" s="2"/>
      <c r="I837" s="13"/>
      <c r="J837" s="13"/>
      <c r="K837" s="13"/>
      <c r="L837" s="14"/>
      <c r="M837" s="4"/>
      <c r="N837" s="2"/>
      <c r="O837" s="4"/>
      <c r="P837" s="2"/>
      <c r="Q837" s="2"/>
      <c r="R837" s="4"/>
      <c r="S837" s="2"/>
      <c r="T837" s="2"/>
      <c r="U837" s="1"/>
      <c r="V837" s="2"/>
      <c r="W837" s="2"/>
      <c r="X837" s="2"/>
      <c r="Y837" s="2"/>
      <c r="Z837" s="2"/>
    </row>
    <row r="838" spans="1:26" ht="15.75" customHeight="1" x14ac:dyDescent="0.2">
      <c r="A838" s="12"/>
      <c r="B838" s="10"/>
      <c r="C838" s="11"/>
      <c r="D838" s="13"/>
      <c r="E838" s="13"/>
      <c r="F838" s="13"/>
      <c r="G838" s="2"/>
      <c r="H838" s="2"/>
      <c r="I838" s="13"/>
      <c r="J838" s="13"/>
      <c r="K838" s="13"/>
      <c r="L838" s="14"/>
      <c r="M838" s="4"/>
      <c r="N838" s="2"/>
      <c r="O838" s="4"/>
      <c r="P838" s="2"/>
      <c r="Q838" s="2"/>
      <c r="R838" s="4"/>
      <c r="S838" s="2"/>
      <c r="T838" s="2"/>
      <c r="U838" s="1"/>
      <c r="V838" s="2"/>
      <c r="W838" s="2"/>
      <c r="X838" s="2"/>
      <c r="Y838" s="2"/>
      <c r="Z838" s="2"/>
    </row>
    <row r="839" spans="1:26" ht="15.75" customHeight="1" x14ac:dyDescent="0.2">
      <c r="A839" s="12"/>
      <c r="B839" s="10"/>
      <c r="C839" s="11"/>
      <c r="D839" s="13"/>
      <c r="E839" s="13"/>
      <c r="F839" s="13"/>
      <c r="G839" s="2"/>
      <c r="H839" s="2"/>
      <c r="I839" s="13"/>
      <c r="J839" s="13"/>
      <c r="K839" s="13"/>
      <c r="L839" s="14"/>
      <c r="M839" s="4"/>
      <c r="N839" s="2"/>
      <c r="O839" s="4"/>
      <c r="P839" s="2"/>
      <c r="Q839" s="2"/>
      <c r="R839" s="4"/>
      <c r="S839" s="2"/>
      <c r="T839" s="2"/>
      <c r="U839" s="1"/>
      <c r="V839" s="2"/>
      <c r="W839" s="2"/>
      <c r="X839" s="2"/>
      <c r="Y839" s="2"/>
      <c r="Z839" s="2"/>
    </row>
    <row r="840" spans="1:26" ht="15.75" customHeight="1" x14ac:dyDescent="0.2">
      <c r="A840" s="12"/>
      <c r="B840" s="10"/>
      <c r="C840" s="11"/>
      <c r="D840" s="13"/>
      <c r="E840" s="13"/>
      <c r="F840" s="13"/>
      <c r="G840" s="2"/>
      <c r="H840" s="2"/>
      <c r="I840" s="13"/>
      <c r="J840" s="13"/>
      <c r="K840" s="13"/>
      <c r="L840" s="14"/>
      <c r="M840" s="4"/>
      <c r="N840" s="2"/>
      <c r="O840" s="4"/>
      <c r="P840" s="2"/>
      <c r="Q840" s="2"/>
      <c r="R840" s="4"/>
      <c r="S840" s="2"/>
      <c r="T840" s="2"/>
      <c r="U840" s="1"/>
      <c r="V840" s="2"/>
      <c r="W840" s="2"/>
      <c r="X840" s="2"/>
      <c r="Y840" s="2"/>
      <c r="Z840" s="2"/>
    </row>
    <row r="841" spans="1:26" ht="15.75" customHeight="1" x14ac:dyDescent="0.2">
      <c r="A841" s="12"/>
      <c r="B841" s="10"/>
      <c r="C841" s="11"/>
      <c r="D841" s="13"/>
      <c r="E841" s="13"/>
      <c r="F841" s="13"/>
      <c r="G841" s="2"/>
      <c r="H841" s="2"/>
      <c r="I841" s="13"/>
      <c r="J841" s="13"/>
      <c r="K841" s="13"/>
      <c r="L841" s="14"/>
      <c r="M841" s="4"/>
      <c r="N841" s="2"/>
      <c r="O841" s="4"/>
      <c r="P841" s="2"/>
      <c r="Q841" s="2"/>
      <c r="R841" s="4"/>
      <c r="S841" s="2"/>
      <c r="T841" s="2"/>
      <c r="U841" s="1"/>
      <c r="V841" s="2"/>
      <c r="W841" s="2"/>
      <c r="X841" s="2"/>
      <c r="Y841" s="2"/>
      <c r="Z841" s="2"/>
    </row>
    <row r="842" spans="1:26" ht="15.75" customHeight="1" x14ac:dyDescent="0.2">
      <c r="A842" s="12"/>
      <c r="B842" s="10"/>
      <c r="C842" s="11"/>
      <c r="D842" s="13"/>
      <c r="E842" s="13"/>
      <c r="F842" s="13"/>
      <c r="G842" s="2"/>
      <c r="H842" s="2"/>
      <c r="I842" s="13"/>
      <c r="J842" s="13"/>
      <c r="K842" s="13"/>
      <c r="L842" s="14"/>
      <c r="M842" s="4"/>
      <c r="N842" s="2"/>
      <c r="O842" s="4"/>
      <c r="P842" s="2"/>
      <c r="Q842" s="2"/>
      <c r="R842" s="4"/>
      <c r="S842" s="2"/>
      <c r="T842" s="2"/>
      <c r="U842" s="1"/>
      <c r="V842" s="2"/>
      <c r="W842" s="2"/>
      <c r="X842" s="2"/>
      <c r="Y842" s="2"/>
      <c r="Z842" s="2"/>
    </row>
    <row r="843" spans="1:26" ht="15.75" customHeight="1" x14ac:dyDescent="0.2">
      <c r="A843" s="12"/>
      <c r="B843" s="10"/>
      <c r="C843" s="11"/>
      <c r="D843" s="13"/>
      <c r="E843" s="13"/>
      <c r="F843" s="13"/>
      <c r="G843" s="2"/>
      <c r="H843" s="2"/>
      <c r="I843" s="13"/>
      <c r="J843" s="13"/>
      <c r="K843" s="13"/>
      <c r="L843" s="14"/>
      <c r="M843" s="4"/>
      <c r="N843" s="2"/>
      <c r="O843" s="4"/>
      <c r="P843" s="2"/>
      <c r="Q843" s="2"/>
      <c r="R843" s="4"/>
      <c r="S843" s="2"/>
      <c r="T843" s="2"/>
      <c r="U843" s="1"/>
      <c r="V843" s="2"/>
      <c r="W843" s="2"/>
      <c r="X843" s="2"/>
      <c r="Y843" s="2"/>
      <c r="Z843" s="2"/>
    </row>
    <row r="844" spans="1:26" ht="15.75" customHeight="1" x14ac:dyDescent="0.2">
      <c r="A844" s="12"/>
      <c r="B844" s="10"/>
      <c r="C844" s="11"/>
      <c r="D844" s="13"/>
      <c r="E844" s="13"/>
      <c r="F844" s="13"/>
      <c r="G844" s="2"/>
      <c r="H844" s="2"/>
      <c r="I844" s="13"/>
      <c r="J844" s="13"/>
      <c r="K844" s="13"/>
      <c r="L844" s="14"/>
      <c r="M844" s="4"/>
      <c r="N844" s="2"/>
      <c r="O844" s="4"/>
      <c r="P844" s="2"/>
      <c r="Q844" s="2"/>
      <c r="R844" s="4"/>
      <c r="S844" s="2"/>
      <c r="T844" s="2"/>
      <c r="U844" s="1"/>
      <c r="V844" s="2"/>
      <c r="W844" s="2"/>
      <c r="X844" s="2"/>
      <c r="Y844" s="2"/>
      <c r="Z844" s="2"/>
    </row>
    <row r="845" spans="1:26" ht="15.75" customHeight="1" x14ac:dyDescent="0.2">
      <c r="A845" s="12"/>
      <c r="B845" s="10"/>
      <c r="C845" s="11"/>
      <c r="D845" s="13"/>
      <c r="E845" s="13"/>
      <c r="F845" s="13"/>
      <c r="G845" s="2"/>
      <c r="H845" s="2"/>
      <c r="I845" s="13"/>
      <c r="J845" s="13"/>
      <c r="K845" s="13"/>
      <c r="L845" s="14"/>
      <c r="M845" s="4"/>
      <c r="N845" s="2"/>
      <c r="O845" s="4"/>
      <c r="P845" s="2"/>
      <c r="Q845" s="2"/>
      <c r="R845" s="4"/>
      <c r="S845" s="2"/>
      <c r="T845" s="2"/>
      <c r="U845" s="1"/>
      <c r="V845" s="2"/>
      <c r="W845" s="2"/>
      <c r="X845" s="2"/>
      <c r="Y845" s="2"/>
      <c r="Z845" s="2"/>
    </row>
    <row r="846" spans="1:26" ht="15.75" customHeight="1" x14ac:dyDescent="0.2">
      <c r="A846" s="12"/>
      <c r="B846" s="10"/>
      <c r="C846" s="11"/>
      <c r="D846" s="13"/>
      <c r="E846" s="13"/>
      <c r="F846" s="13"/>
      <c r="G846" s="2"/>
      <c r="H846" s="2"/>
      <c r="I846" s="13"/>
      <c r="J846" s="13"/>
      <c r="K846" s="13"/>
      <c r="L846" s="14"/>
      <c r="M846" s="4"/>
      <c r="N846" s="2"/>
      <c r="O846" s="4"/>
      <c r="P846" s="2"/>
      <c r="Q846" s="2"/>
      <c r="R846" s="4"/>
      <c r="S846" s="2"/>
      <c r="T846" s="2"/>
      <c r="U846" s="1"/>
      <c r="V846" s="2"/>
      <c r="W846" s="2"/>
      <c r="X846" s="2"/>
      <c r="Y846" s="2"/>
      <c r="Z846" s="2"/>
    </row>
    <row r="847" spans="1:26" ht="15.75" customHeight="1" x14ac:dyDescent="0.2">
      <c r="A847" s="12"/>
      <c r="B847" s="10"/>
      <c r="C847" s="11"/>
      <c r="D847" s="13"/>
      <c r="E847" s="13"/>
      <c r="F847" s="13"/>
      <c r="G847" s="2"/>
      <c r="H847" s="2"/>
      <c r="I847" s="13"/>
      <c r="J847" s="13"/>
      <c r="K847" s="13"/>
      <c r="L847" s="14"/>
      <c r="M847" s="4"/>
      <c r="N847" s="2"/>
      <c r="O847" s="4"/>
      <c r="P847" s="2"/>
      <c r="Q847" s="2"/>
      <c r="R847" s="4"/>
      <c r="S847" s="2"/>
      <c r="T847" s="2"/>
      <c r="U847" s="1"/>
      <c r="V847" s="2"/>
      <c r="W847" s="2"/>
      <c r="X847" s="2"/>
      <c r="Y847" s="2"/>
      <c r="Z847" s="2"/>
    </row>
    <row r="848" spans="1:26" ht="15.75" customHeight="1" x14ac:dyDescent="0.2">
      <c r="A848" s="12"/>
      <c r="B848" s="10"/>
      <c r="C848" s="11"/>
      <c r="D848" s="13"/>
      <c r="E848" s="13"/>
      <c r="F848" s="13"/>
      <c r="G848" s="2"/>
      <c r="H848" s="2"/>
      <c r="I848" s="13"/>
      <c r="J848" s="13"/>
      <c r="K848" s="13"/>
      <c r="L848" s="14"/>
      <c r="M848" s="4"/>
      <c r="N848" s="2"/>
      <c r="O848" s="4"/>
      <c r="P848" s="2"/>
      <c r="Q848" s="2"/>
      <c r="R848" s="4"/>
      <c r="S848" s="2"/>
      <c r="T848" s="2"/>
      <c r="U848" s="1"/>
      <c r="V848" s="2"/>
      <c r="W848" s="2"/>
      <c r="X848" s="2"/>
      <c r="Y848" s="2"/>
      <c r="Z848" s="2"/>
    </row>
    <row r="849" spans="1:26" ht="15.75" customHeight="1" x14ac:dyDescent="0.2">
      <c r="A849" s="12"/>
      <c r="B849" s="10"/>
      <c r="C849" s="11"/>
      <c r="D849" s="13"/>
      <c r="E849" s="13"/>
      <c r="F849" s="13"/>
      <c r="G849" s="2"/>
      <c r="H849" s="2"/>
      <c r="I849" s="13"/>
      <c r="J849" s="13"/>
      <c r="K849" s="13"/>
      <c r="L849" s="14"/>
      <c r="M849" s="4"/>
      <c r="N849" s="2"/>
      <c r="O849" s="4"/>
      <c r="P849" s="2"/>
      <c r="Q849" s="2"/>
      <c r="R849" s="4"/>
      <c r="S849" s="2"/>
      <c r="T849" s="2"/>
      <c r="U849" s="1"/>
      <c r="V849" s="2"/>
      <c r="W849" s="2"/>
      <c r="X849" s="2"/>
      <c r="Y849" s="2"/>
      <c r="Z849" s="2"/>
    </row>
    <row r="850" spans="1:26" ht="15.75" customHeight="1" x14ac:dyDescent="0.2">
      <c r="A850" s="12"/>
      <c r="B850" s="10"/>
      <c r="C850" s="11"/>
      <c r="D850" s="13"/>
      <c r="E850" s="13"/>
      <c r="F850" s="13"/>
      <c r="G850" s="2"/>
      <c r="H850" s="2"/>
      <c r="I850" s="13"/>
      <c r="J850" s="13"/>
      <c r="K850" s="13"/>
      <c r="L850" s="14"/>
      <c r="M850" s="4"/>
      <c r="N850" s="2"/>
      <c r="O850" s="4"/>
      <c r="P850" s="2"/>
      <c r="Q850" s="2"/>
      <c r="R850" s="4"/>
      <c r="S850" s="2"/>
      <c r="T850" s="2"/>
      <c r="U850" s="1"/>
      <c r="V850" s="2"/>
      <c r="W850" s="2"/>
      <c r="X850" s="2"/>
      <c r="Y850" s="2"/>
      <c r="Z850" s="2"/>
    </row>
    <row r="851" spans="1:26" ht="15.75" customHeight="1" x14ac:dyDescent="0.2">
      <c r="A851" s="12"/>
      <c r="B851" s="10"/>
      <c r="C851" s="11"/>
      <c r="D851" s="13"/>
      <c r="E851" s="13"/>
      <c r="F851" s="13"/>
      <c r="G851" s="2"/>
      <c r="H851" s="2"/>
      <c r="I851" s="13"/>
      <c r="J851" s="13"/>
      <c r="K851" s="13"/>
      <c r="L851" s="14"/>
      <c r="M851" s="4"/>
      <c r="N851" s="2"/>
      <c r="O851" s="4"/>
      <c r="P851" s="2"/>
      <c r="Q851" s="2"/>
      <c r="R851" s="4"/>
      <c r="S851" s="2"/>
      <c r="T851" s="2"/>
      <c r="U851" s="1"/>
      <c r="V851" s="2"/>
      <c r="W851" s="2"/>
      <c r="X851" s="2"/>
      <c r="Y851" s="2"/>
      <c r="Z851" s="2"/>
    </row>
    <row r="852" spans="1:26" ht="15.75" customHeight="1" x14ac:dyDescent="0.2">
      <c r="A852" s="12"/>
      <c r="B852" s="10"/>
      <c r="C852" s="11"/>
      <c r="D852" s="13"/>
      <c r="E852" s="13"/>
      <c r="F852" s="13"/>
      <c r="G852" s="2"/>
      <c r="H852" s="2"/>
      <c r="I852" s="13"/>
      <c r="J852" s="13"/>
      <c r="K852" s="13"/>
      <c r="L852" s="14"/>
      <c r="M852" s="4"/>
      <c r="N852" s="2"/>
      <c r="O852" s="4"/>
      <c r="P852" s="2"/>
      <c r="Q852" s="2"/>
      <c r="R852" s="4"/>
      <c r="S852" s="2"/>
      <c r="T852" s="2"/>
      <c r="U852" s="1"/>
      <c r="V852" s="2"/>
      <c r="W852" s="2"/>
      <c r="X852" s="2"/>
      <c r="Y852" s="2"/>
      <c r="Z852" s="2"/>
    </row>
    <row r="853" spans="1:26" ht="15.75" customHeight="1" x14ac:dyDescent="0.2">
      <c r="A853" s="12"/>
      <c r="B853" s="10"/>
      <c r="C853" s="11"/>
      <c r="D853" s="13"/>
      <c r="E853" s="13"/>
      <c r="F853" s="13"/>
      <c r="G853" s="2"/>
      <c r="H853" s="2"/>
      <c r="I853" s="13"/>
      <c r="J853" s="13"/>
      <c r="K853" s="13"/>
      <c r="L853" s="14"/>
      <c r="M853" s="4"/>
      <c r="N853" s="2"/>
      <c r="O853" s="4"/>
      <c r="P853" s="2"/>
      <c r="Q853" s="2"/>
      <c r="R853" s="4"/>
      <c r="S853" s="2"/>
      <c r="T853" s="2"/>
      <c r="U853" s="1"/>
      <c r="V853" s="2"/>
      <c r="W853" s="2"/>
      <c r="X853" s="2"/>
      <c r="Y853" s="2"/>
      <c r="Z853" s="2"/>
    </row>
    <row r="854" spans="1:26" ht="15.75" customHeight="1" x14ac:dyDescent="0.2">
      <c r="A854" s="12"/>
      <c r="B854" s="10"/>
      <c r="C854" s="11"/>
      <c r="D854" s="13"/>
      <c r="E854" s="13"/>
      <c r="F854" s="13"/>
      <c r="G854" s="2"/>
      <c r="H854" s="2"/>
      <c r="I854" s="13"/>
      <c r="J854" s="13"/>
      <c r="K854" s="13"/>
      <c r="L854" s="14"/>
      <c r="M854" s="4"/>
      <c r="N854" s="2"/>
      <c r="O854" s="4"/>
      <c r="P854" s="2"/>
      <c r="Q854" s="2"/>
      <c r="R854" s="4"/>
      <c r="S854" s="2"/>
      <c r="T854" s="2"/>
      <c r="U854" s="1"/>
      <c r="V854" s="2"/>
      <c r="W854" s="2"/>
      <c r="X854" s="2"/>
      <c r="Y854" s="2"/>
      <c r="Z854" s="2"/>
    </row>
    <row r="855" spans="1:26" ht="15.75" customHeight="1" x14ac:dyDescent="0.2">
      <c r="A855" s="12"/>
      <c r="B855" s="10"/>
      <c r="C855" s="11"/>
      <c r="D855" s="13"/>
      <c r="E855" s="13"/>
      <c r="F855" s="13"/>
      <c r="G855" s="2"/>
      <c r="H855" s="2"/>
      <c r="I855" s="13"/>
      <c r="J855" s="13"/>
      <c r="K855" s="13"/>
      <c r="L855" s="14"/>
      <c r="M855" s="4"/>
      <c r="N855" s="2"/>
      <c r="O855" s="4"/>
      <c r="P855" s="2"/>
      <c r="Q855" s="2"/>
      <c r="R855" s="4"/>
      <c r="S855" s="2"/>
      <c r="T855" s="2"/>
      <c r="U855" s="1"/>
      <c r="V855" s="2"/>
      <c r="W855" s="2"/>
      <c r="X855" s="2"/>
      <c r="Y855" s="2"/>
      <c r="Z855" s="2"/>
    </row>
    <row r="856" spans="1:26" ht="15.75" customHeight="1" x14ac:dyDescent="0.2">
      <c r="A856" s="12"/>
      <c r="B856" s="10"/>
      <c r="C856" s="11"/>
      <c r="D856" s="13"/>
      <c r="E856" s="13"/>
      <c r="F856" s="13"/>
      <c r="G856" s="2"/>
      <c r="H856" s="2"/>
      <c r="I856" s="13"/>
      <c r="J856" s="13"/>
      <c r="K856" s="13"/>
      <c r="L856" s="14"/>
      <c r="M856" s="4"/>
      <c r="N856" s="2"/>
      <c r="O856" s="4"/>
      <c r="P856" s="2"/>
      <c r="Q856" s="2"/>
      <c r="R856" s="4"/>
      <c r="S856" s="2"/>
      <c r="T856" s="2"/>
      <c r="U856" s="1"/>
      <c r="V856" s="2"/>
      <c r="W856" s="2"/>
      <c r="X856" s="2"/>
      <c r="Y856" s="2"/>
      <c r="Z856" s="2"/>
    </row>
    <row r="857" spans="1:26" ht="15.75" customHeight="1" x14ac:dyDescent="0.2">
      <c r="A857" s="12"/>
      <c r="B857" s="10"/>
      <c r="C857" s="11"/>
      <c r="D857" s="13"/>
      <c r="E857" s="13"/>
      <c r="F857" s="13"/>
      <c r="G857" s="2"/>
      <c r="H857" s="2"/>
      <c r="I857" s="13"/>
      <c r="J857" s="13"/>
      <c r="K857" s="13"/>
      <c r="L857" s="14"/>
      <c r="M857" s="4"/>
      <c r="N857" s="2"/>
      <c r="O857" s="4"/>
      <c r="P857" s="2"/>
      <c r="Q857" s="2"/>
      <c r="R857" s="4"/>
      <c r="S857" s="2"/>
      <c r="T857" s="2"/>
      <c r="U857" s="1"/>
      <c r="V857" s="2"/>
      <c r="W857" s="2"/>
      <c r="X857" s="2"/>
      <c r="Y857" s="2"/>
      <c r="Z857" s="2"/>
    </row>
    <row r="858" spans="1:26" ht="15.75" customHeight="1" x14ac:dyDescent="0.2">
      <c r="A858" s="12"/>
      <c r="B858" s="10"/>
      <c r="C858" s="11"/>
      <c r="D858" s="13"/>
      <c r="E858" s="13"/>
      <c r="F858" s="13"/>
      <c r="G858" s="2"/>
      <c r="H858" s="2"/>
      <c r="I858" s="13"/>
      <c r="J858" s="13"/>
      <c r="K858" s="13"/>
      <c r="L858" s="14"/>
      <c r="M858" s="4"/>
      <c r="N858" s="2"/>
      <c r="O858" s="4"/>
      <c r="P858" s="2"/>
      <c r="Q858" s="2"/>
      <c r="R858" s="4"/>
      <c r="S858" s="2"/>
      <c r="T858" s="2"/>
      <c r="U858" s="1"/>
      <c r="V858" s="2"/>
      <c r="W858" s="2"/>
      <c r="X858" s="2"/>
      <c r="Y858" s="2"/>
      <c r="Z858" s="2"/>
    </row>
    <row r="859" spans="1:26" ht="15.75" customHeight="1" x14ac:dyDescent="0.2">
      <c r="A859" s="12"/>
      <c r="B859" s="10"/>
      <c r="C859" s="11"/>
      <c r="D859" s="13"/>
      <c r="E859" s="13"/>
      <c r="F859" s="13"/>
      <c r="G859" s="2"/>
      <c r="H859" s="2"/>
      <c r="I859" s="13"/>
      <c r="J859" s="13"/>
      <c r="K859" s="13"/>
      <c r="L859" s="14"/>
      <c r="M859" s="4"/>
      <c r="N859" s="2"/>
      <c r="O859" s="4"/>
      <c r="P859" s="2"/>
      <c r="Q859" s="2"/>
      <c r="R859" s="4"/>
      <c r="S859" s="2"/>
      <c r="T859" s="2"/>
      <c r="U859" s="1"/>
      <c r="V859" s="2"/>
      <c r="W859" s="2"/>
      <c r="X859" s="2"/>
      <c r="Y859" s="2"/>
      <c r="Z859" s="2"/>
    </row>
    <row r="860" spans="1:26" ht="15.75" customHeight="1" x14ac:dyDescent="0.2">
      <c r="A860" s="12"/>
      <c r="B860" s="10"/>
      <c r="C860" s="11"/>
      <c r="D860" s="13"/>
      <c r="E860" s="13"/>
      <c r="F860" s="13"/>
      <c r="G860" s="2"/>
      <c r="H860" s="2"/>
      <c r="I860" s="13"/>
      <c r="J860" s="13"/>
      <c r="K860" s="13"/>
      <c r="L860" s="14"/>
      <c r="M860" s="4"/>
      <c r="N860" s="2"/>
      <c r="O860" s="4"/>
      <c r="P860" s="2"/>
      <c r="Q860" s="2"/>
      <c r="R860" s="4"/>
      <c r="S860" s="2"/>
      <c r="T860" s="2"/>
      <c r="U860" s="1"/>
      <c r="V860" s="2"/>
      <c r="W860" s="2"/>
      <c r="X860" s="2"/>
      <c r="Y860" s="2"/>
      <c r="Z860" s="2"/>
    </row>
    <row r="861" spans="1:26" ht="15.75" customHeight="1" x14ac:dyDescent="0.2">
      <c r="A861" s="12"/>
      <c r="B861" s="10"/>
      <c r="C861" s="11"/>
      <c r="D861" s="13"/>
      <c r="E861" s="13"/>
      <c r="F861" s="13"/>
      <c r="G861" s="2"/>
      <c r="H861" s="2"/>
      <c r="I861" s="13"/>
      <c r="J861" s="13"/>
      <c r="K861" s="13"/>
      <c r="L861" s="14"/>
      <c r="M861" s="4"/>
      <c r="N861" s="2"/>
      <c r="O861" s="4"/>
      <c r="P861" s="2"/>
      <c r="Q861" s="2"/>
      <c r="R861" s="4"/>
      <c r="S861" s="2"/>
      <c r="T861" s="2"/>
      <c r="U861" s="1"/>
      <c r="V861" s="2"/>
      <c r="W861" s="2"/>
      <c r="X861" s="2"/>
      <c r="Y861" s="2"/>
      <c r="Z861" s="2"/>
    </row>
    <row r="862" spans="1:26" ht="15.75" customHeight="1" x14ac:dyDescent="0.2">
      <c r="A862" s="12"/>
      <c r="B862" s="10"/>
      <c r="C862" s="11"/>
      <c r="D862" s="13"/>
      <c r="E862" s="13"/>
      <c r="F862" s="13"/>
      <c r="G862" s="2"/>
      <c r="H862" s="2"/>
      <c r="I862" s="13"/>
      <c r="J862" s="13"/>
      <c r="K862" s="13"/>
      <c r="L862" s="14"/>
      <c r="M862" s="4"/>
      <c r="N862" s="2"/>
      <c r="O862" s="4"/>
      <c r="P862" s="2"/>
      <c r="Q862" s="2"/>
      <c r="R862" s="4"/>
      <c r="S862" s="2"/>
      <c r="T862" s="2"/>
      <c r="U862" s="1"/>
      <c r="V862" s="2"/>
      <c r="W862" s="2"/>
      <c r="X862" s="2"/>
      <c r="Y862" s="2"/>
      <c r="Z862" s="2"/>
    </row>
    <row r="863" spans="1:26" ht="15.75" customHeight="1" x14ac:dyDescent="0.2">
      <c r="A863" s="12"/>
      <c r="B863" s="10"/>
      <c r="C863" s="11"/>
      <c r="D863" s="13"/>
      <c r="E863" s="13"/>
      <c r="F863" s="13"/>
      <c r="G863" s="2"/>
      <c r="H863" s="2"/>
      <c r="I863" s="13"/>
      <c r="J863" s="13"/>
      <c r="K863" s="13"/>
      <c r="L863" s="14"/>
      <c r="M863" s="4"/>
      <c r="N863" s="2"/>
      <c r="O863" s="4"/>
      <c r="P863" s="2"/>
      <c r="Q863" s="2"/>
      <c r="R863" s="4"/>
      <c r="S863" s="2"/>
      <c r="T863" s="2"/>
      <c r="U863" s="1"/>
      <c r="V863" s="2"/>
      <c r="W863" s="2"/>
      <c r="X863" s="2"/>
      <c r="Y863" s="2"/>
      <c r="Z863" s="2"/>
    </row>
    <row r="864" spans="1:26" ht="15.75" customHeight="1" x14ac:dyDescent="0.2">
      <c r="A864" s="12"/>
      <c r="B864" s="10"/>
      <c r="C864" s="11"/>
      <c r="D864" s="13"/>
      <c r="E864" s="13"/>
      <c r="F864" s="13"/>
      <c r="G864" s="2"/>
      <c r="H864" s="2"/>
      <c r="I864" s="13"/>
      <c r="J864" s="13"/>
      <c r="K864" s="13"/>
      <c r="L864" s="14"/>
      <c r="M864" s="4"/>
      <c r="N864" s="2"/>
      <c r="O864" s="4"/>
      <c r="P864" s="2"/>
      <c r="Q864" s="2"/>
      <c r="R864" s="4"/>
      <c r="S864" s="2"/>
      <c r="T864" s="2"/>
      <c r="U864" s="1"/>
      <c r="V864" s="2"/>
      <c r="W864" s="2"/>
      <c r="X864" s="2"/>
      <c r="Y864" s="2"/>
      <c r="Z864" s="2"/>
    </row>
    <row r="865" spans="1:26" ht="15.75" customHeight="1" x14ac:dyDescent="0.2">
      <c r="A865" s="12"/>
      <c r="B865" s="10"/>
      <c r="C865" s="11"/>
      <c r="D865" s="13"/>
      <c r="E865" s="13"/>
      <c r="F865" s="13"/>
      <c r="G865" s="2"/>
      <c r="H865" s="2"/>
      <c r="I865" s="13"/>
      <c r="J865" s="13"/>
      <c r="K865" s="13"/>
      <c r="L865" s="14"/>
      <c r="M865" s="4"/>
      <c r="N865" s="2"/>
      <c r="O865" s="4"/>
      <c r="P865" s="2"/>
      <c r="Q865" s="2"/>
      <c r="R865" s="4"/>
      <c r="S865" s="2"/>
      <c r="T865" s="2"/>
      <c r="U865" s="1"/>
      <c r="V865" s="2"/>
      <c r="W865" s="2"/>
      <c r="X865" s="2"/>
      <c r="Y865" s="2"/>
      <c r="Z865" s="2"/>
    </row>
    <row r="866" spans="1:26" ht="15.75" customHeight="1" x14ac:dyDescent="0.2">
      <c r="A866" s="12"/>
      <c r="B866" s="10"/>
      <c r="C866" s="11"/>
      <c r="D866" s="13"/>
      <c r="E866" s="13"/>
      <c r="F866" s="13"/>
      <c r="G866" s="2"/>
      <c r="H866" s="2"/>
      <c r="I866" s="13"/>
      <c r="J866" s="13"/>
      <c r="K866" s="13"/>
      <c r="L866" s="14"/>
      <c r="M866" s="4"/>
      <c r="N866" s="2"/>
      <c r="O866" s="4"/>
      <c r="P866" s="2"/>
      <c r="Q866" s="2"/>
      <c r="R866" s="4"/>
      <c r="S866" s="2"/>
      <c r="T866" s="2"/>
      <c r="U866" s="1"/>
      <c r="V866" s="2"/>
      <c r="W866" s="2"/>
      <c r="X866" s="2"/>
      <c r="Y866" s="2"/>
      <c r="Z866" s="2"/>
    </row>
    <row r="867" spans="1:26" ht="15.75" customHeight="1" x14ac:dyDescent="0.2">
      <c r="A867" s="12"/>
      <c r="B867" s="10"/>
      <c r="C867" s="11"/>
      <c r="D867" s="13"/>
      <c r="E867" s="13"/>
      <c r="F867" s="13"/>
      <c r="G867" s="2"/>
      <c r="H867" s="2"/>
      <c r="I867" s="13"/>
      <c r="J867" s="13"/>
      <c r="K867" s="13"/>
      <c r="L867" s="14"/>
      <c r="M867" s="4"/>
      <c r="N867" s="2"/>
      <c r="O867" s="4"/>
      <c r="P867" s="2"/>
      <c r="Q867" s="2"/>
      <c r="R867" s="4"/>
      <c r="S867" s="2"/>
      <c r="T867" s="2"/>
      <c r="U867" s="1"/>
      <c r="V867" s="2"/>
      <c r="W867" s="2"/>
      <c r="X867" s="2"/>
      <c r="Y867" s="2"/>
      <c r="Z867" s="2"/>
    </row>
    <row r="868" spans="1:26" ht="15.75" customHeight="1" x14ac:dyDescent="0.2">
      <c r="A868" s="12"/>
      <c r="B868" s="10"/>
      <c r="C868" s="11"/>
      <c r="D868" s="13"/>
      <c r="E868" s="13"/>
      <c r="F868" s="13"/>
      <c r="G868" s="2"/>
      <c r="H868" s="2"/>
      <c r="I868" s="13"/>
      <c r="J868" s="13"/>
      <c r="K868" s="13"/>
      <c r="L868" s="14"/>
      <c r="M868" s="4"/>
      <c r="N868" s="2"/>
      <c r="O868" s="4"/>
      <c r="P868" s="2"/>
      <c r="Q868" s="2"/>
      <c r="R868" s="4"/>
      <c r="S868" s="2"/>
      <c r="T868" s="2"/>
      <c r="U868" s="1"/>
      <c r="V868" s="2"/>
      <c r="W868" s="2"/>
      <c r="X868" s="2"/>
      <c r="Y868" s="2"/>
      <c r="Z868" s="2"/>
    </row>
    <row r="869" spans="1:26" ht="15.75" customHeight="1" x14ac:dyDescent="0.2">
      <c r="A869" s="12"/>
      <c r="B869" s="10"/>
      <c r="C869" s="11"/>
      <c r="D869" s="13"/>
      <c r="E869" s="13"/>
      <c r="F869" s="13"/>
      <c r="G869" s="2"/>
      <c r="H869" s="2"/>
      <c r="I869" s="13"/>
      <c r="J869" s="13"/>
      <c r="K869" s="13"/>
      <c r="L869" s="14"/>
      <c r="M869" s="4"/>
      <c r="N869" s="2"/>
      <c r="O869" s="4"/>
      <c r="P869" s="2"/>
      <c r="Q869" s="2"/>
      <c r="R869" s="4"/>
      <c r="S869" s="2"/>
      <c r="T869" s="2"/>
      <c r="U869" s="1"/>
      <c r="V869" s="2"/>
      <c r="W869" s="2"/>
      <c r="X869" s="2"/>
      <c r="Y869" s="2"/>
      <c r="Z869" s="2"/>
    </row>
    <row r="870" spans="1:26" ht="15.75" customHeight="1" x14ac:dyDescent="0.2">
      <c r="A870" s="12"/>
      <c r="B870" s="10"/>
      <c r="C870" s="11"/>
      <c r="D870" s="13"/>
      <c r="E870" s="13"/>
      <c r="F870" s="13"/>
      <c r="G870" s="2"/>
      <c r="H870" s="2"/>
      <c r="I870" s="13"/>
      <c r="J870" s="13"/>
      <c r="K870" s="13"/>
      <c r="L870" s="14"/>
      <c r="M870" s="4"/>
      <c r="N870" s="2"/>
      <c r="O870" s="4"/>
      <c r="P870" s="2"/>
      <c r="Q870" s="2"/>
      <c r="R870" s="4"/>
      <c r="S870" s="2"/>
      <c r="T870" s="2"/>
      <c r="U870" s="1"/>
      <c r="V870" s="2"/>
      <c r="W870" s="2"/>
      <c r="X870" s="2"/>
      <c r="Y870" s="2"/>
      <c r="Z870" s="2"/>
    </row>
    <row r="871" spans="1:26" ht="15.75" customHeight="1" x14ac:dyDescent="0.2">
      <c r="A871" s="12"/>
      <c r="B871" s="10"/>
      <c r="C871" s="11"/>
      <c r="D871" s="13"/>
      <c r="E871" s="13"/>
      <c r="F871" s="13"/>
      <c r="G871" s="2"/>
      <c r="H871" s="2"/>
      <c r="I871" s="13"/>
      <c r="J871" s="13"/>
      <c r="K871" s="13"/>
      <c r="L871" s="14"/>
      <c r="M871" s="4"/>
      <c r="N871" s="2"/>
      <c r="O871" s="4"/>
      <c r="P871" s="2"/>
      <c r="Q871" s="2"/>
      <c r="R871" s="4"/>
      <c r="S871" s="2"/>
      <c r="T871" s="2"/>
      <c r="U871" s="1"/>
      <c r="V871" s="2"/>
      <c r="W871" s="2"/>
      <c r="X871" s="2"/>
      <c r="Y871" s="2"/>
      <c r="Z871" s="2"/>
    </row>
    <row r="872" spans="1:26" ht="15.75" customHeight="1" x14ac:dyDescent="0.2">
      <c r="A872" s="12"/>
      <c r="B872" s="10"/>
      <c r="C872" s="11"/>
      <c r="D872" s="13"/>
      <c r="E872" s="13"/>
      <c r="F872" s="13"/>
      <c r="G872" s="2"/>
      <c r="H872" s="2"/>
      <c r="I872" s="13"/>
      <c r="J872" s="13"/>
      <c r="K872" s="13"/>
      <c r="L872" s="14"/>
      <c r="M872" s="4"/>
      <c r="N872" s="2"/>
      <c r="O872" s="4"/>
      <c r="P872" s="2"/>
      <c r="Q872" s="2"/>
      <c r="R872" s="4"/>
      <c r="S872" s="2"/>
      <c r="T872" s="2"/>
      <c r="U872" s="1"/>
      <c r="V872" s="2"/>
      <c r="W872" s="2"/>
      <c r="X872" s="2"/>
      <c r="Y872" s="2"/>
      <c r="Z872" s="2"/>
    </row>
    <row r="873" spans="1:26" ht="15.75" customHeight="1" x14ac:dyDescent="0.2">
      <c r="A873" s="12"/>
      <c r="B873" s="10"/>
      <c r="C873" s="11"/>
      <c r="D873" s="13"/>
      <c r="E873" s="13"/>
      <c r="F873" s="13"/>
      <c r="G873" s="2"/>
      <c r="H873" s="2"/>
      <c r="I873" s="13"/>
      <c r="J873" s="13"/>
      <c r="K873" s="13"/>
      <c r="L873" s="14"/>
      <c r="M873" s="4"/>
      <c r="N873" s="2"/>
      <c r="O873" s="4"/>
      <c r="P873" s="2"/>
      <c r="Q873" s="2"/>
      <c r="R873" s="4"/>
      <c r="S873" s="2"/>
      <c r="T873" s="2"/>
      <c r="U873" s="1"/>
      <c r="V873" s="2"/>
      <c r="W873" s="2"/>
      <c r="X873" s="2"/>
      <c r="Y873" s="2"/>
      <c r="Z873" s="2"/>
    </row>
    <row r="874" spans="1:26" ht="15.75" customHeight="1" x14ac:dyDescent="0.2">
      <c r="A874" s="12"/>
      <c r="B874" s="10"/>
      <c r="C874" s="11"/>
      <c r="D874" s="13"/>
      <c r="E874" s="13"/>
      <c r="F874" s="13"/>
      <c r="G874" s="2"/>
      <c r="H874" s="2"/>
      <c r="I874" s="13"/>
      <c r="J874" s="13"/>
      <c r="K874" s="13"/>
      <c r="L874" s="14"/>
      <c r="M874" s="4"/>
      <c r="N874" s="2"/>
      <c r="O874" s="4"/>
      <c r="P874" s="2"/>
      <c r="Q874" s="2"/>
      <c r="R874" s="4"/>
      <c r="S874" s="2"/>
      <c r="T874" s="2"/>
      <c r="U874" s="1"/>
      <c r="V874" s="2"/>
      <c r="W874" s="2"/>
      <c r="X874" s="2"/>
      <c r="Y874" s="2"/>
      <c r="Z874" s="2"/>
    </row>
    <row r="875" spans="1:26" ht="15.75" customHeight="1" x14ac:dyDescent="0.2">
      <c r="A875" s="12"/>
      <c r="B875" s="10"/>
      <c r="C875" s="11"/>
      <c r="D875" s="13"/>
      <c r="E875" s="13"/>
      <c r="F875" s="13"/>
      <c r="G875" s="2"/>
      <c r="H875" s="2"/>
      <c r="I875" s="13"/>
      <c r="J875" s="13"/>
      <c r="K875" s="13"/>
      <c r="L875" s="14"/>
      <c r="M875" s="4"/>
      <c r="N875" s="2"/>
      <c r="O875" s="4"/>
      <c r="P875" s="2"/>
      <c r="Q875" s="2"/>
      <c r="R875" s="4"/>
      <c r="S875" s="2"/>
      <c r="T875" s="2"/>
      <c r="U875" s="1"/>
      <c r="V875" s="2"/>
      <c r="W875" s="2"/>
      <c r="X875" s="2"/>
      <c r="Y875" s="2"/>
      <c r="Z875" s="2"/>
    </row>
    <row r="876" spans="1:26" ht="15.75" customHeight="1" x14ac:dyDescent="0.2">
      <c r="A876" s="12"/>
      <c r="B876" s="10"/>
      <c r="C876" s="11"/>
      <c r="D876" s="13"/>
      <c r="E876" s="13"/>
      <c r="F876" s="13"/>
      <c r="G876" s="2"/>
      <c r="H876" s="2"/>
      <c r="I876" s="13"/>
      <c r="J876" s="13"/>
      <c r="K876" s="13"/>
      <c r="L876" s="14"/>
      <c r="M876" s="4"/>
      <c r="N876" s="2"/>
      <c r="O876" s="4"/>
      <c r="P876" s="2"/>
      <c r="Q876" s="2"/>
      <c r="R876" s="4"/>
      <c r="S876" s="2"/>
      <c r="T876" s="2"/>
      <c r="U876" s="1"/>
      <c r="V876" s="2"/>
      <c r="W876" s="2"/>
      <c r="X876" s="2"/>
      <c r="Y876" s="2"/>
      <c r="Z876" s="2"/>
    </row>
    <row r="877" spans="1:26" ht="15.75" customHeight="1" x14ac:dyDescent="0.2">
      <c r="A877" s="12"/>
      <c r="B877" s="10"/>
      <c r="C877" s="11"/>
      <c r="D877" s="13"/>
      <c r="E877" s="13"/>
      <c r="F877" s="13"/>
      <c r="G877" s="2"/>
      <c r="H877" s="2"/>
      <c r="I877" s="13"/>
      <c r="J877" s="13"/>
      <c r="K877" s="13"/>
      <c r="L877" s="14"/>
      <c r="M877" s="4"/>
      <c r="N877" s="2"/>
      <c r="O877" s="4"/>
      <c r="P877" s="2"/>
      <c r="Q877" s="2"/>
      <c r="R877" s="4"/>
      <c r="S877" s="2"/>
      <c r="T877" s="2"/>
      <c r="U877" s="1"/>
      <c r="V877" s="2"/>
      <c r="W877" s="2"/>
      <c r="X877" s="2"/>
      <c r="Y877" s="2"/>
      <c r="Z877" s="2"/>
    </row>
    <row r="878" spans="1:26" ht="15.75" customHeight="1" x14ac:dyDescent="0.2">
      <c r="A878" s="12"/>
      <c r="B878" s="10"/>
      <c r="C878" s="11"/>
      <c r="D878" s="13"/>
      <c r="E878" s="13"/>
      <c r="F878" s="13"/>
      <c r="G878" s="2"/>
      <c r="H878" s="2"/>
      <c r="I878" s="13"/>
      <c r="J878" s="13"/>
      <c r="K878" s="13"/>
      <c r="L878" s="14"/>
      <c r="M878" s="4"/>
      <c r="N878" s="2"/>
      <c r="O878" s="4"/>
      <c r="P878" s="2"/>
      <c r="Q878" s="2"/>
      <c r="R878" s="4"/>
      <c r="S878" s="2"/>
      <c r="T878" s="2"/>
      <c r="U878" s="1"/>
      <c r="V878" s="2"/>
      <c r="W878" s="2"/>
      <c r="X878" s="2"/>
      <c r="Y878" s="2"/>
      <c r="Z878" s="2"/>
    </row>
    <row r="879" spans="1:26" ht="15.75" customHeight="1" x14ac:dyDescent="0.2">
      <c r="A879" s="12"/>
      <c r="B879" s="10"/>
      <c r="C879" s="11"/>
      <c r="D879" s="13"/>
      <c r="E879" s="13"/>
      <c r="F879" s="13"/>
      <c r="G879" s="2"/>
      <c r="H879" s="2"/>
      <c r="I879" s="13"/>
      <c r="J879" s="13"/>
      <c r="K879" s="13"/>
      <c r="L879" s="14"/>
      <c r="M879" s="4"/>
      <c r="N879" s="2"/>
      <c r="O879" s="4"/>
      <c r="P879" s="2"/>
      <c r="Q879" s="2"/>
      <c r="R879" s="4"/>
      <c r="S879" s="2"/>
      <c r="T879" s="2"/>
      <c r="U879" s="1"/>
      <c r="V879" s="2"/>
      <c r="W879" s="2"/>
      <c r="X879" s="2"/>
      <c r="Y879" s="2"/>
      <c r="Z879" s="2"/>
    </row>
    <row r="880" spans="1:26" ht="15.75" customHeight="1" x14ac:dyDescent="0.2">
      <c r="A880" s="12"/>
      <c r="B880" s="10"/>
      <c r="C880" s="11"/>
      <c r="D880" s="13"/>
      <c r="E880" s="13"/>
      <c r="F880" s="13"/>
      <c r="G880" s="2"/>
      <c r="H880" s="2"/>
      <c r="I880" s="13"/>
      <c r="J880" s="13"/>
      <c r="K880" s="13"/>
      <c r="L880" s="14"/>
      <c r="M880" s="4"/>
      <c r="N880" s="2"/>
      <c r="O880" s="4"/>
      <c r="P880" s="2"/>
      <c r="Q880" s="2"/>
      <c r="R880" s="4"/>
      <c r="S880" s="2"/>
      <c r="T880" s="2"/>
      <c r="U880" s="1"/>
      <c r="V880" s="2"/>
      <c r="W880" s="2"/>
      <c r="X880" s="2"/>
      <c r="Y880" s="2"/>
      <c r="Z880" s="2"/>
    </row>
    <row r="881" spans="1:26" ht="15.75" customHeight="1" x14ac:dyDescent="0.2">
      <c r="A881" s="12"/>
      <c r="B881" s="10"/>
      <c r="C881" s="11"/>
      <c r="D881" s="13"/>
      <c r="E881" s="13"/>
      <c r="F881" s="13"/>
      <c r="G881" s="2"/>
      <c r="H881" s="2"/>
      <c r="I881" s="13"/>
      <c r="J881" s="13"/>
      <c r="K881" s="13"/>
      <c r="L881" s="14"/>
      <c r="M881" s="4"/>
      <c r="N881" s="2"/>
      <c r="O881" s="4"/>
      <c r="P881" s="2"/>
      <c r="Q881" s="2"/>
      <c r="R881" s="4"/>
      <c r="S881" s="2"/>
      <c r="T881" s="2"/>
      <c r="U881" s="1"/>
      <c r="V881" s="2"/>
      <c r="W881" s="2"/>
      <c r="X881" s="2"/>
      <c r="Y881" s="2"/>
      <c r="Z881" s="2"/>
    </row>
    <row r="882" spans="1:26" ht="15.75" customHeight="1" x14ac:dyDescent="0.2">
      <c r="A882" s="12"/>
      <c r="B882" s="10"/>
      <c r="C882" s="11"/>
      <c r="D882" s="13"/>
      <c r="E882" s="13"/>
      <c r="F882" s="13"/>
      <c r="G882" s="2"/>
      <c r="H882" s="2"/>
      <c r="I882" s="13"/>
      <c r="J882" s="13"/>
      <c r="K882" s="13"/>
      <c r="L882" s="14"/>
      <c r="M882" s="4"/>
      <c r="N882" s="2"/>
      <c r="O882" s="4"/>
      <c r="P882" s="2"/>
      <c r="Q882" s="2"/>
      <c r="R882" s="4"/>
      <c r="S882" s="2"/>
      <c r="T882" s="2"/>
      <c r="U882" s="1"/>
      <c r="V882" s="2"/>
      <c r="W882" s="2"/>
      <c r="X882" s="2"/>
      <c r="Y882" s="2"/>
      <c r="Z882" s="2"/>
    </row>
    <row r="883" spans="1:26" ht="15.75" customHeight="1" x14ac:dyDescent="0.2">
      <c r="A883" s="12"/>
      <c r="B883" s="10"/>
      <c r="C883" s="11"/>
      <c r="D883" s="13"/>
      <c r="E883" s="13"/>
      <c r="F883" s="13"/>
      <c r="G883" s="2"/>
      <c r="H883" s="2"/>
      <c r="I883" s="13"/>
      <c r="J883" s="13"/>
      <c r="K883" s="13"/>
      <c r="L883" s="14"/>
      <c r="M883" s="4"/>
      <c r="N883" s="2"/>
      <c r="O883" s="4"/>
      <c r="P883" s="2"/>
      <c r="Q883" s="2"/>
      <c r="R883" s="4"/>
      <c r="S883" s="2"/>
      <c r="T883" s="2"/>
      <c r="U883" s="1"/>
      <c r="V883" s="2"/>
      <c r="W883" s="2"/>
      <c r="X883" s="2"/>
      <c r="Y883" s="2"/>
      <c r="Z883" s="2"/>
    </row>
    <row r="884" spans="1:26" ht="15.75" customHeight="1" x14ac:dyDescent="0.2">
      <c r="A884" s="12"/>
      <c r="B884" s="10"/>
      <c r="C884" s="11"/>
      <c r="D884" s="13"/>
      <c r="E884" s="13"/>
      <c r="F884" s="13"/>
      <c r="G884" s="2"/>
      <c r="H884" s="2"/>
      <c r="I884" s="13"/>
      <c r="J884" s="13"/>
      <c r="K884" s="13"/>
      <c r="L884" s="14"/>
      <c r="M884" s="4"/>
      <c r="N884" s="2"/>
      <c r="O884" s="4"/>
      <c r="P884" s="2"/>
      <c r="Q884" s="2"/>
      <c r="R884" s="4"/>
      <c r="S884" s="2"/>
      <c r="T884" s="2"/>
      <c r="U884" s="1"/>
      <c r="V884" s="2"/>
      <c r="W884" s="2"/>
      <c r="X884" s="2"/>
      <c r="Y884" s="2"/>
      <c r="Z884" s="2"/>
    </row>
    <row r="885" spans="1:26" ht="15.75" customHeight="1" x14ac:dyDescent="0.2">
      <c r="A885" s="12"/>
      <c r="B885" s="10"/>
      <c r="C885" s="11"/>
      <c r="D885" s="13"/>
      <c r="E885" s="13"/>
      <c r="F885" s="13"/>
      <c r="G885" s="2"/>
      <c r="H885" s="2"/>
      <c r="I885" s="13"/>
      <c r="J885" s="13"/>
      <c r="K885" s="13"/>
      <c r="L885" s="14"/>
      <c r="M885" s="4"/>
      <c r="N885" s="2"/>
      <c r="O885" s="4"/>
      <c r="P885" s="2"/>
      <c r="Q885" s="2"/>
      <c r="R885" s="4"/>
      <c r="S885" s="2"/>
      <c r="T885" s="2"/>
      <c r="U885" s="1"/>
      <c r="V885" s="2"/>
      <c r="W885" s="2"/>
      <c r="X885" s="2"/>
      <c r="Y885" s="2"/>
      <c r="Z885" s="2"/>
    </row>
    <row r="886" spans="1:26" ht="15.75" customHeight="1" x14ac:dyDescent="0.2">
      <c r="A886" s="12"/>
      <c r="B886" s="10"/>
      <c r="C886" s="11"/>
      <c r="D886" s="13"/>
      <c r="E886" s="13"/>
      <c r="F886" s="13"/>
      <c r="G886" s="2"/>
      <c r="H886" s="2"/>
      <c r="I886" s="13"/>
      <c r="J886" s="13"/>
      <c r="K886" s="13"/>
      <c r="L886" s="14"/>
      <c r="M886" s="4"/>
      <c r="N886" s="2"/>
      <c r="O886" s="4"/>
      <c r="P886" s="2"/>
      <c r="Q886" s="2"/>
      <c r="R886" s="4"/>
      <c r="S886" s="2"/>
      <c r="T886" s="2"/>
      <c r="U886" s="1"/>
      <c r="V886" s="2"/>
      <c r="W886" s="2"/>
      <c r="X886" s="2"/>
      <c r="Y886" s="2"/>
      <c r="Z886" s="2"/>
    </row>
    <row r="887" spans="1:26" ht="15.75" customHeight="1" x14ac:dyDescent="0.2">
      <c r="A887" s="12"/>
      <c r="B887" s="10"/>
      <c r="C887" s="11"/>
      <c r="D887" s="13"/>
      <c r="E887" s="13"/>
      <c r="F887" s="13"/>
      <c r="G887" s="2"/>
      <c r="H887" s="2"/>
      <c r="I887" s="13"/>
      <c r="J887" s="13"/>
      <c r="K887" s="13"/>
      <c r="L887" s="14"/>
      <c r="M887" s="4"/>
      <c r="N887" s="2"/>
      <c r="O887" s="4"/>
      <c r="P887" s="2"/>
      <c r="Q887" s="2"/>
      <c r="R887" s="4"/>
      <c r="S887" s="2"/>
      <c r="T887" s="2"/>
      <c r="U887" s="1"/>
      <c r="V887" s="2"/>
      <c r="W887" s="2"/>
      <c r="X887" s="2"/>
      <c r="Y887" s="2"/>
      <c r="Z887" s="2"/>
    </row>
    <row r="888" spans="1:26" ht="15.75" customHeight="1" x14ac:dyDescent="0.2">
      <c r="A888" s="12"/>
      <c r="B888" s="10"/>
      <c r="C888" s="11"/>
      <c r="D888" s="13"/>
      <c r="E888" s="13"/>
      <c r="F888" s="13"/>
      <c r="G888" s="2"/>
      <c r="H888" s="2"/>
      <c r="I888" s="13"/>
      <c r="J888" s="13"/>
      <c r="K888" s="13"/>
      <c r="L888" s="14"/>
      <c r="M888" s="4"/>
      <c r="N888" s="2"/>
      <c r="O888" s="4"/>
      <c r="P888" s="2"/>
      <c r="Q888" s="2"/>
      <c r="R888" s="4"/>
      <c r="S888" s="2"/>
      <c r="T888" s="2"/>
      <c r="U888" s="1"/>
      <c r="V888" s="2"/>
      <c r="W888" s="2"/>
      <c r="X888" s="2"/>
      <c r="Y888" s="2"/>
      <c r="Z888" s="2"/>
    </row>
    <row r="889" spans="1:26" ht="15.75" customHeight="1" x14ac:dyDescent="0.2">
      <c r="A889" s="12"/>
      <c r="B889" s="10"/>
      <c r="C889" s="11"/>
      <c r="D889" s="13"/>
      <c r="E889" s="13"/>
      <c r="F889" s="13"/>
      <c r="G889" s="2"/>
      <c r="H889" s="2"/>
      <c r="I889" s="13"/>
      <c r="J889" s="13"/>
      <c r="K889" s="13"/>
      <c r="L889" s="14"/>
      <c r="M889" s="4"/>
      <c r="N889" s="2"/>
      <c r="O889" s="4"/>
      <c r="P889" s="2"/>
      <c r="Q889" s="2"/>
      <c r="R889" s="4"/>
      <c r="S889" s="2"/>
      <c r="T889" s="2"/>
      <c r="U889" s="1"/>
      <c r="V889" s="2"/>
      <c r="W889" s="2"/>
      <c r="X889" s="2"/>
      <c r="Y889" s="2"/>
      <c r="Z889" s="2"/>
    </row>
    <row r="890" spans="1:26" ht="15.75" customHeight="1" x14ac:dyDescent="0.2">
      <c r="A890" s="12"/>
      <c r="B890" s="10"/>
      <c r="C890" s="11"/>
      <c r="D890" s="13"/>
      <c r="E890" s="13"/>
      <c r="F890" s="13"/>
      <c r="G890" s="2"/>
      <c r="H890" s="2"/>
      <c r="I890" s="13"/>
      <c r="J890" s="13"/>
      <c r="K890" s="13"/>
      <c r="L890" s="14"/>
      <c r="M890" s="4"/>
      <c r="N890" s="2"/>
      <c r="O890" s="4"/>
      <c r="P890" s="2"/>
      <c r="Q890" s="2"/>
      <c r="R890" s="4"/>
      <c r="S890" s="2"/>
      <c r="T890" s="2"/>
      <c r="U890" s="1"/>
      <c r="V890" s="2"/>
      <c r="W890" s="2"/>
      <c r="X890" s="2"/>
      <c r="Y890" s="2"/>
      <c r="Z890" s="2"/>
    </row>
    <row r="891" spans="1:26" ht="15.75" customHeight="1" x14ac:dyDescent="0.2">
      <c r="A891" s="12"/>
      <c r="B891" s="10"/>
      <c r="C891" s="11"/>
      <c r="D891" s="13"/>
      <c r="E891" s="13"/>
      <c r="F891" s="13"/>
      <c r="G891" s="2"/>
      <c r="H891" s="2"/>
      <c r="I891" s="13"/>
      <c r="J891" s="13"/>
      <c r="K891" s="13"/>
      <c r="L891" s="14"/>
      <c r="M891" s="4"/>
      <c r="N891" s="2"/>
      <c r="O891" s="4"/>
      <c r="P891" s="2"/>
      <c r="Q891" s="2"/>
      <c r="R891" s="4"/>
      <c r="S891" s="2"/>
      <c r="T891" s="2"/>
      <c r="U891" s="1"/>
      <c r="V891" s="2"/>
      <c r="W891" s="2"/>
      <c r="X891" s="2"/>
      <c r="Y891" s="2"/>
      <c r="Z891" s="2"/>
    </row>
    <row r="892" spans="1:26" ht="15.75" customHeight="1" x14ac:dyDescent="0.2">
      <c r="A892" s="12"/>
      <c r="B892" s="10"/>
      <c r="C892" s="11"/>
      <c r="D892" s="13"/>
      <c r="E892" s="13"/>
      <c r="F892" s="13"/>
      <c r="G892" s="2"/>
      <c r="H892" s="2"/>
      <c r="I892" s="13"/>
      <c r="J892" s="13"/>
      <c r="K892" s="13"/>
      <c r="L892" s="14"/>
      <c r="M892" s="4"/>
      <c r="N892" s="2"/>
      <c r="O892" s="4"/>
      <c r="P892" s="2"/>
      <c r="Q892" s="2"/>
      <c r="R892" s="4"/>
      <c r="S892" s="2"/>
      <c r="T892" s="2"/>
      <c r="U892" s="1"/>
      <c r="V892" s="2"/>
      <c r="W892" s="2"/>
      <c r="X892" s="2"/>
      <c r="Y892" s="2"/>
      <c r="Z892" s="2"/>
    </row>
    <row r="893" spans="1:26" ht="15.75" customHeight="1" x14ac:dyDescent="0.2">
      <c r="A893" s="12"/>
      <c r="B893" s="10"/>
      <c r="C893" s="11"/>
      <c r="D893" s="13"/>
      <c r="E893" s="13"/>
      <c r="F893" s="13"/>
      <c r="G893" s="2"/>
      <c r="H893" s="2"/>
      <c r="I893" s="13"/>
      <c r="J893" s="13"/>
      <c r="K893" s="13"/>
      <c r="L893" s="14"/>
      <c r="M893" s="4"/>
      <c r="N893" s="2"/>
      <c r="O893" s="4"/>
      <c r="P893" s="2"/>
      <c r="Q893" s="2"/>
      <c r="R893" s="4"/>
      <c r="S893" s="2"/>
      <c r="T893" s="2"/>
      <c r="U893" s="1"/>
      <c r="V893" s="2"/>
      <c r="W893" s="2"/>
      <c r="X893" s="2"/>
      <c r="Y893" s="2"/>
      <c r="Z893" s="2"/>
    </row>
    <row r="894" spans="1:26" ht="15.75" customHeight="1" x14ac:dyDescent="0.2">
      <c r="A894" s="12"/>
      <c r="B894" s="10"/>
      <c r="C894" s="11"/>
      <c r="D894" s="13"/>
      <c r="E894" s="13"/>
      <c r="F894" s="13"/>
      <c r="G894" s="2"/>
      <c r="H894" s="2"/>
      <c r="I894" s="13"/>
      <c r="J894" s="13"/>
      <c r="K894" s="13"/>
      <c r="L894" s="14"/>
      <c r="M894" s="4"/>
      <c r="N894" s="2"/>
      <c r="O894" s="4"/>
      <c r="P894" s="2"/>
      <c r="Q894" s="2"/>
      <c r="R894" s="4"/>
      <c r="S894" s="2"/>
      <c r="T894" s="2"/>
      <c r="U894" s="1"/>
      <c r="V894" s="2"/>
      <c r="W894" s="2"/>
      <c r="X894" s="2"/>
      <c r="Y894" s="2"/>
      <c r="Z894" s="2"/>
    </row>
    <row r="895" spans="1:26" ht="15.75" customHeight="1" x14ac:dyDescent="0.2">
      <c r="A895" s="12"/>
      <c r="B895" s="10"/>
      <c r="C895" s="11"/>
      <c r="D895" s="13"/>
      <c r="E895" s="13"/>
      <c r="F895" s="13"/>
      <c r="G895" s="2"/>
      <c r="H895" s="2"/>
      <c r="I895" s="13"/>
      <c r="J895" s="13"/>
      <c r="K895" s="13"/>
      <c r="L895" s="14"/>
      <c r="M895" s="4"/>
      <c r="N895" s="2"/>
      <c r="O895" s="4"/>
      <c r="P895" s="2"/>
      <c r="Q895" s="2"/>
      <c r="R895" s="4"/>
      <c r="S895" s="2"/>
      <c r="T895" s="2"/>
      <c r="U895" s="1"/>
      <c r="V895" s="2"/>
      <c r="W895" s="2"/>
      <c r="X895" s="2"/>
      <c r="Y895" s="2"/>
      <c r="Z895" s="2"/>
    </row>
    <row r="896" spans="1:26" ht="15.75" customHeight="1" x14ac:dyDescent="0.2">
      <c r="A896" s="12"/>
      <c r="B896" s="10"/>
      <c r="C896" s="11"/>
      <c r="D896" s="13"/>
      <c r="E896" s="13"/>
      <c r="F896" s="13"/>
      <c r="G896" s="2"/>
      <c r="H896" s="2"/>
      <c r="I896" s="13"/>
      <c r="J896" s="13"/>
      <c r="K896" s="13"/>
      <c r="L896" s="14"/>
      <c r="M896" s="4"/>
      <c r="N896" s="2"/>
      <c r="O896" s="4"/>
      <c r="P896" s="2"/>
      <c r="Q896" s="2"/>
      <c r="R896" s="4"/>
      <c r="S896" s="2"/>
      <c r="T896" s="2"/>
      <c r="U896" s="1"/>
      <c r="V896" s="2"/>
      <c r="W896" s="2"/>
      <c r="X896" s="2"/>
      <c r="Y896" s="2"/>
      <c r="Z896" s="2"/>
    </row>
    <row r="897" spans="1:26" ht="15.75" customHeight="1" x14ac:dyDescent="0.2">
      <c r="A897" s="12"/>
      <c r="B897" s="10"/>
      <c r="C897" s="11"/>
      <c r="D897" s="13"/>
      <c r="E897" s="13"/>
      <c r="F897" s="13"/>
      <c r="G897" s="2"/>
      <c r="H897" s="2"/>
      <c r="I897" s="13"/>
      <c r="J897" s="13"/>
      <c r="K897" s="13"/>
      <c r="L897" s="14"/>
      <c r="M897" s="4"/>
      <c r="N897" s="2"/>
      <c r="O897" s="4"/>
      <c r="P897" s="2"/>
      <c r="Q897" s="2"/>
      <c r="R897" s="4"/>
      <c r="S897" s="2"/>
      <c r="T897" s="2"/>
      <c r="U897" s="1"/>
      <c r="V897" s="2"/>
      <c r="W897" s="2"/>
      <c r="X897" s="2"/>
      <c r="Y897" s="2"/>
      <c r="Z897" s="2"/>
    </row>
    <row r="898" spans="1:26" ht="15.75" customHeight="1" x14ac:dyDescent="0.2">
      <c r="A898" s="12"/>
      <c r="B898" s="10"/>
      <c r="C898" s="11"/>
      <c r="D898" s="13"/>
      <c r="E898" s="13"/>
      <c r="F898" s="13"/>
      <c r="G898" s="2"/>
      <c r="H898" s="2"/>
      <c r="I898" s="13"/>
      <c r="J898" s="13"/>
      <c r="K898" s="13"/>
      <c r="L898" s="14"/>
      <c r="M898" s="4"/>
      <c r="N898" s="2"/>
      <c r="O898" s="4"/>
      <c r="P898" s="2"/>
      <c r="Q898" s="2"/>
      <c r="R898" s="4"/>
      <c r="S898" s="2"/>
      <c r="T898" s="2"/>
      <c r="U898" s="1"/>
      <c r="V898" s="2"/>
      <c r="W898" s="2"/>
      <c r="X898" s="2"/>
      <c r="Y898" s="2"/>
      <c r="Z898" s="2"/>
    </row>
    <row r="899" spans="1:26" ht="15.75" customHeight="1" x14ac:dyDescent="0.2">
      <c r="A899" s="12"/>
      <c r="B899" s="10"/>
      <c r="C899" s="11"/>
      <c r="D899" s="13"/>
      <c r="E899" s="13"/>
      <c r="F899" s="13"/>
      <c r="G899" s="2"/>
      <c r="H899" s="2"/>
      <c r="I899" s="13"/>
      <c r="J899" s="13"/>
      <c r="K899" s="13"/>
      <c r="L899" s="14"/>
      <c r="M899" s="4"/>
      <c r="N899" s="2"/>
      <c r="O899" s="4"/>
      <c r="P899" s="2"/>
      <c r="Q899" s="2"/>
      <c r="R899" s="4"/>
      <c r="S899" s="2"/>
      <c r="T899" s="2"/>
      <c r="U899" s="1"/>
      <c r="V899" s="2"/>
      <c r="W899" s="2"/>
      <c r="X899" s="2"/>
      <c r="Y899" s="2"/>
      <c r="Z899" s="2"/>
    </row>
    <row r="900" spans="1:26" ht="15.75" customHeight="1" x14ac:dyDescent="0.2">
      <c r="A900" s="12"/>
      <c r="B900" s="10"/>
      <c r="C900" s="11"/>
      <c r="D900" s="13"/>
      <c r="E900" s="13"/>
      <c r="F900" s="13"/>
      <c r="G900" s="2"/>
      <c r="H900" s="2"/>
      <c r="I900" s="13"/>
      <c r="J900" s="13"/>
      <c r="K900" s="13"/>
      <c r="L900" s="14"/>
      <c r="M900" s="4"/>
      <c r="N900" s="2"/>
      <c r="O900" s="4"/>
      <c r="P900" s="2"/>
      <c r="Q900" s="2"/>
      <c r="R900" s="4"/>
      <c r="S900" s="2"/>
      <c r="T900" s="2"/>
      <c r="U900" s="1"/>
      <c r="V900" s="2"/>
      <c r="W900" s="2"/>
      <c r="X900" s="2"/>
      <c r="Y900" s="2"/>
      <c r="Z900" s="2"/>
    </row>
    <row r="901" spans="1:26" ht="15.75" customHeight="1" x14ac:dyDescent="0.2">
      <c r="A901" s="12"/>
      <c r="B901" s="10"/>
      <c r="C901" s="11"/>
      <c r="D901" s="13"/>
      <c r="E901" s="13"/>
      <c r="F901" s="13"/>
      <c r="G901" s="2"/>
      <c r="H901" s="2"/>
      <c r="I901" s="13"/>
      <c r="J901" s="13"/>
      <c r="K901" s="13"/>
      <c r="L901" s="14"/>
      <c r="M901" s="4"/>
      <c r="N901" s="2"/>
      <c r="O901" s="4"/>
      <c r="P901" s="2"/>
      <c r="Q901" s="2"/>
      <c r="R901" s="4"/>
      <c r="S901" s="2"/>
      <c r="T901" s="2"/>
      <c r="U901" s="1"/>
      <c r="V901" s="2"/>
      <c r="W901" s="2"/>
      <c r="X901" s="2"/>
      <c r="Y901" s="2"/>
      <c r="Z901" s="2"/>
    </row>
    <row r="902" spans="1:26" ht="15.75" customHeight="1" x14ac:dyDescent="0.2">
      <c r="A902" s="12"/>
      <c r="B902" s="10"/>
      <c r="C902" s="11"/>
      <c r="D902" s="13"/>
      <c r="E902" s="13"/>
      <c r="F902" s="13"/>
      <c r="G902" s="2"/>
      <c r="H902" s="2"/>
      <c r="I902" s="13"/>
      <c r="J902" s="13"/>
      <c r="K902" s="13"/>
      <c r="L902" s="14"/>
      <c r="M902" s="4"/>
      <c r="N902" s="2"/>
      <c r="O902" s="4"/>
      <c r="P902" s="2"/>
      <c r="Q902" s="2"/>
      <c r="R902" s="4"/>
      <c r="S902" s="2"/>
      <c r="T902" s="2"/>
      <c r="U902" s="1"/>
      <c r="V902" s="2"/>
      <c r="W902" s="2"/>
      <c r="X902" s="2"/>
      <c r="Y902" s="2"/>
      <c r="Z902" s="2"/>
    </row>
    <row r="903" spans="1:26" ht="15.75" customHeight="1" x14ac:dyDescent="0.2">
      <c r="A903" s="12"/>
      <c r="B903" s="10"/>
      <c r="C903" s="11"/>
      <c r="D903" s="13"/>
      <c r="E903" s="13"/>
      <c r="F903" s="13"/>
      <c r="G903" s="2"/>
      <c r="H903" s="2"/>
      <c r="I903" s="13"/>
      <c r="J903" s="13"/>
      <c r="K903" s="13"/>
      <c r="L903" s="14"/>
      <c r="M903" s="4"/>
      <c r="N903" s="2"/>
      <c r="O903" s="4"/>
      <c r="P903" s="2"/>
      <c r="Q903" s="2"/>
      <c r="R903" s="4"/>
      <c r="S903" s="2"/>
      <c r="T903" s="2"/>
      <c r="U903" s="1"/>
      <c r="V903" s="2"/>
      <c r="W903" s="2"/>
      <c r="X903" s="2"/>
      <c r="Y903" s="2"/>
      <c r="Z903" s="2"/>
    </row>
    <row r="904" spans="1:26" ht="15.75" customHeight="1" x14ac:dyDescent="0.2">
      <c r="A904" s="12"/>
      <c r="B904" s="10"/>
      <c r="C904" s="11"/>
      <c r="D904" s="13"/>
      <c r="E904" s="13"/>
      <c r="F904" s="13"/>
      <c r="G904" s="2"/>
      <c r="H904" s="2"/>
      <c r="I904" s="13"/>
      <c r="J904" s="13"/>
      <c r="K904" s="13"/>
      <c r="L904" s="14"/>
      <c r="M904" s="4"/>
      <c r="N904" s="2"/>
      <c r="O904" s="4"/>
      <c r="P904" s="2"/>
      <c r="Q904" s="2"/>
      <c r="R904" s="4"/>
      <c r="S904" s="2"/>
      <c r="T904" s="2"/>
      <c r="U904" s="1"/>
      <c r="V904" s="2"/>
      <c r="W904" s="2"/>
      <c r="X904" s="2"/>
      <c r="Y904" s="2"/>
      <c r="Z904" s="2"/>
    </row>
    <row r="905" spans="1:26" ht="15.75" customHeight="1" x14ac:dyDescent="0.2">
      <c r="A905" s="12"/>
      <c r="B905" s="10"/>
      <c r="C905" s="11"/>
      <c r="D905" s="13"/>
      <c r="E905" s="13"/>
      <c r="F905" s="13"/>
      <c r="G905" s="2"/>
      <c r="H905" s="2"/>
      <c r="I905" s="13"/>
      <c r="J905" s="13"/>
      <c r="K905" s="13"/>
      <c r="L905" s="14"/>
      <c r="M905" s="4"/>
      <c r="N905" s="2"/>
      <c r="O905" s="4"/>
      <c r="P905" s="2"/>
      <c r="Q905" s="2"/>
      <c r="R905" s="4"/>
      <c r="S905" s="2"/>
      <c r="T905" s="2"/>
      <c r="U905" s="1"/>
      <c r="V905" s="2"/>
      <c r="W905" s="2"/>
      <c r="X905" s="2"/>
      <c r="Y905" s="2"/>
      <c r="Z905" s="2"/>
    </row>
    <row r="906" spans="1:26" ht="15.75" customHeight="1" x14ac:dyDescent="0.2">
      <c r="A906" s="12"/>
      <c r="B906" s="10"/>
      <c r="C906" s="11"/>
      <c r="D906" s="13"/>
      <c r="E906" s="13"/>
      <c r="F906" s="13"/>
      <c r="G906" s="2"/>
      <c r="H906" s="2"/>
      <c r="I906" s="13"/>
      <c r="J906" s="13"/>
      <c r="K906" s="13"/>
      <c r="L906" s="14"/>
      <c r="M906" s="4"/>
      <c r="N906" s="2"/>
      <c r="O906" s="4"/>
      <c r="P906" s="2"/>
      <c r="Q906" s="2"/>
      <c r="R906" s="4"/>
      <c r="S906" s="2"/>
      <c r="T906" s="2"/>
      <c r="U906" s="1"/>
      <c r="V906" s="2"/>
      <c r="W906" s="2"/>
      <c r="X906" s="2"/>
      <c r="Y906" s="2"/>
      <c r="Z906" s="2"/>
    </row>
    <row r="907" spans="1:26" ht="15.75" customHeight="1" x14ac:dyDescent="0.2">
      <c r="A907" s="12"/>
      <c r="B907" s="10"/>
      <c r="C907" s="11"/>
      <c r="D907" s="13"/>
      <c r="E907" s="13"/>
      <c r="F907" s="13"/>
      <c r="G907" s="2"/>
      <c r="H907" s="2"/>
      <c r="I907" s="13"/>
      <c r="J907" s="13"/>
      <c r="K907" s="13"/>
      <c r="L907" s="14"/>
      <c r="M907" s="4"/>
      <c r="N907" s="2"/>
      <c r="O907" s="4"/>
      <c r="P907" s="2"/>
      <c r="Q907" s="2"/>
      <c r="R907" s="4"/>
      <c r="S907" s="2"/>
      <c r="T907" s="2"/>
      <c r="U907" s="1"/>
      <c r="V907" s="2"/>
      <c r="W907" s="2"/>
      <c r="X907" s="2"/>
      <c r="Y907" s="2"/>
      <c r="Z907" s="2"/>
    </row>
    <row r="908" spans="1:26" ht="15.75" customHeight="1" x14ac:dyDescent="0.2">
      <c r="A908" s="12"/>
      <c r="B908" s="10"/>
      <c r="C908" s="11"/>
      <c r="D908" s="13"/>
      <c r="E908" s="13"/>
      <c r="F908" s="13"/>
      <c r="G908" s="2"/>
      <c r="H908" s="2"/>
      <c r="I908" s="13"/>
      <c r="J908" s="13"/>
      <c r="K908" s="13"/>
      <c r="L908" s="14"/>
      <c r="M908" s="4"/>
      <c r="N908" s="2"/>
      <c r="O908" s="4"/>
      <c r="P908" s="2"/>
      <c r="Q908" s="2"/>
      <c r="R908" s="4"/>
      <c r="S908" s="2"/>
      <c r="T908" s="2"/>
      <c r="U908" s="1"/>
      <c r="V908" s="2"/>
      <c r="W908" s="2"/>
      <c r="X908" s="2"/>
      <c r="Y908" s="2"/>
      <c r="Z908" s="2"/>
    </row>
    <row r="909" spans="1:26" ht="15.75" customHeight="1" x14ac:dyDescent="0.2">
      <c r="A909" s="12"/>
      <c r="B909" s="10"/>
      <c r="C909" s="11"/>
      <c r="D909" s="13"/>
      <c r="E909" s="13"/>
      <c r="F909" s="13"/>
      <c r="G909" s="2"/>
      <c r="H909" s="2"/>
      <c r="I909" s="13"/>
      <c r="J909" s="13"/>
      <c r="K909" s="13"/>
      <c r="L909" s="14"/>
      <c r="M909" s="4"/>
      <c r="N909" s="2"/>
      <c r="O909" s="4"/>
      <c r="P909" s="2"/>
      <c r="Q909" s="2"/>
      <c r="R909" s="4"/>
      <c r="S909" s="2"/>
      <c r="T909" s="2"/>
      <c r="U909" s="1"/>
      <c r="V909" s="2"/>
      <c r="W909" s="2"/>
      <c r="X909" s="2"/>
      <c r="Y909" s="2"/>
      <c r="Z909" s="2"/>
    </row>
    <row r="910" spans="1:26" ht="15.75" customHeight="1" x14ac:dyDescent="0.2">
      <c r="A910" s="12"/>
      <c r="B910" s="10"/>
      <c r="C910" s="11"/>
      <c r="D910" s="13"/>
      <c r="E910" s="13"/>
      <c r="F910" s="13"/>
      <c r="G910" s="2"/>
      <c r="H910" s="2"/>
      <c r="I910" s="13"/>
      <c r="J910" s="13"/>
      <c r="K910" s="13"/>
      <c r="L910" s="14"/>
      <c r="M910" s="4"/>
      <c r="N910" s="2"/>
      <c r="O910" s="4"/>
      <c r="P910" s="2"/>
      <c r="Q910" s="2"/>
      <c r="R910" s="4"/>
      <c r="S910" s="2"/>
      <c r="T910" s="2"/>
      <c r="U910" s="1"/>
      <c r="V910" s="2"/>
      <c r="W910" s="2"/>
      <c r="X910" s="2"/>
      <c r="Y910" s="2"/>
      <c r="Z910" s="2"/>
    </row>
    <row r="911" spans="1:26" ht="15.75" customHeight="1" x14ac:dyDescent="0.2">
      <c r="A911" s="12"/>
      <c r="B911" s="10"/>
      <c r="C911" s="11"/>
      <c r="D911" s="13"/>
      <c r="E911" s="13"/>
      <c r="F911" s="13"/>
      <c r="G911" s="2"/>
      <c r="H911" s="2"/>
      <c r="I911" s="13"/>
      <c r="J911" s="13"/>
      <c r="K911" s="13"/>
      <c r="L911" s="14"/>
      <c r="M911" s="4"/>
      <c r="N911" s="2"/>
      <c r="O911" s="4"/>
      <c r="P911" s="2"/>
      <c r="Q911" s="2"/>
      <c r="R911" s="4"/>
      <c r="S911" s="2"/>
      <c r="T911" s="2"/>
      <c r="U911" s="1"/>
      <c r="V911" s="2"/>
      <c r="W911" s="2"/>
      <c r="X911" s="2"/>
      <c r="Y911" s="2"/>
      <c r="Z911" s="2"/>
    </row>
    <row r="912" spans="1:26" ht="15.75" customHeight="1" x14ac:dyDescent="0.2">
      <c r="A912" s="12"/>
      <c r="B912" s="10"/>
      <c r="C912" s="11"/>
      <c r="D912" s="13"/>
      <c r="E912" s="13"/>
      <c r="F912" s="13"/>
      <c r="G912" s="2"/>
      <c r="H912" s="2"/>
      <c r="I912" s="13"/>
      <c r="J912" s="13"/>
      <c r="K912" s="13"/>
      <c r="L912" s="14"/>
      <c r="M912" s="4"/>
      <c r="N912" s="2"/>
      <c r="O912" s="4"/>
      <c r="P912" s="2"/>
      <c r="Q912" s="2"/>
      <c r="R912" s="4"/>
      <c r="S912" s="2"/>
      <c r="T912" s="2"/>
      <c r="U912" s="1"/>
      <c r="V912" s="2"/>
      <c r="W912" s="2"/>
      <c r="X912" s="2"/>
      <c r="Y912" s="2"/>
      <c r="Z912" s="2"/>
    </row>
    <row r="913" spans="1:26" ht="15.75" customHeight="1" x14ac:dyDescent="0.2">
      <c r="A913" s="12"/>
      <c r="B913" s="10"/>
      <c r="C913" s="11"/>
      <c r="D913" s="13"/>
      <c r="E913" s="13"/>
      <c r="F913" s="13"/>
      <c r="G913" s="2"/>
      <c r="H913" s="2"/>
      <c r="I913" s="13"/>
      <c r="J913" s="13"/>
      <c r="K913" s="13"/>
      <c r="L913" s="14"/>
      <c r="M913" s="4"/>
      <c r="N913" s="2"/>
      <c r="O913" s="4"/>
      <c r="P913" s="2"/>
      <c r="Q913" s="2"/>
      <c r="R913" s="4"/>
      <c r="S913" s="2"/>
      <c r="T913" s="2"/>
      <c r="U913" s="1"/>
      <c r="V913" s="2"/>
      <c r="W913" s="2"/>
      <c r="X913" s="2"/>
      <c r="Y913" s="2"/>
      <c r="Z913" s="2"/>
    </row>
    <row r="914" spans="1:26" ht="15.75" customHeight="1" x14ac:dyDescent="0.2">
      <c r="A914" s="12"/>
      <c r="B914" s="10"/>
      <c r="C914" s="11"/>
      <c r="D914" s="13"/>
      <c r="E914" s="13"/>
      <c r="F914" s="13"/>
      <c r="G914" s="2"/>
      <c r="H914" s="2"/>
      <c r="I914" s="13"/>
      <c r="J914" s="13"/>
      <c r="K914" s="13"/>
      <c r="L914" s="14"/>
      <c r="M914" s="4"/>
      <c r="N914" s="2"/>
      <c r="O914" s="4"/>
      <c r="P914" s="2"/>
      <c r="Q914" s="2"/>
      <c r="R914" s="4"/>
      <c r="S914" s="2"/>
      <c r="T914" s="2"/>
      <c r="U914" s="1"/>
      <c r="V914" s="2"/>
      <c r="W914" s="2"/>
      <c r="X914" s="2"/>
      <c r="Y914" s="2"/>
      <c r="Z914" s="2"/>
    </row>
    <row r="915" spans="1:26" ht="15.75" customHeight="1" x14ac:dyDescent="0.2">
      <c r="A915" s="12"/>
      <c r="B915" s="10"/>
      <c r="C915" s="11"/>
      <c r="D915" s="13"/>
      <c r="E915" s="13"/>
      <c r="F915" s="13"/>
      <c r="G915" s="2"/>
      <c r="H915" s="2"/>
      <c r="I915" s="13"/>
      <c r="J915" s="13"/>
      <c r="K915" s="13"/>
      <c r="L915" s="14"/>
      <c r="M915" s="4"/>
      <c r="N915" s="2"/>
      <c r="O915" s="4"/>
      <c r="P915" s="2"/>
      <c r="Q915" s="2"/>
      <c r="R915" s="4"/>
      <c r="S915" s="2"/>
      <c r="T915" s="2"/>
      <c r="U915" s="1"/>
      <c r="V915" s="2"/>
      <c r="W915" s="2"/>
      <c r="X915" s="2"/>
      <c r="Y915" s="2"/>
      <c r="Z915" s="2"/>
    </row>
    <row r="916" spans="1:26" ht="15.75" customHeight="1" x14ac:dyDescent="0.2">
      <c r="A916" s="12"/>
      <c r="B916" s="10"/>
      <c r="C916" s="11"/>
      <c r="D916" s="13"/>
      <c r="E916" s="13"/>
      <c r="F916" s="13"/>
      <c r="G916" s="2"/>
      <c r="H916" s="2"/>
      <c r="I916" s="13"/>
      <c r="J916" s="13"/>
      <c r="K916" s="13"/>
      <c r="L916" s="14"/>
      <c r="M916" s="4"/>
      <c r="N916" s="2"/>
      <c r="O916" s="4"/>
      <c r="P916" s="2"/>
      <c r="Q916" s="2"/>
      <c r="R916" s="4"/>
      <c r="S916" s="2"/>
      <c r="T916" s="2"/>
      <c r="U916" s="1"/>
      <c r="V916" s="2"/>
      <c r="W916" s="2"/>
      <c r="X916" s="2"/>
      <c r="Y916" s="2"/>
      <c r="Z916" s="2"/>
    </row>
    <row r="917" spans="1:26" ht="15.75" customHeight="1" x14ac:dyDescent="0.2">
      <c r="A917" s="12"/>
      <c r="B917" s="10"/>
      <c r="C917" s="11"/>
      <c r="D917" s="13"/>
      <c r="E917" s="13"/>
      <c r="F917" s="13"/>
      <c r="G917" s="2"/>
      <c r="H917" s="2"/>
      <c r="I917" s="13"/>
      <c r="J917" s="13"/>
      <c r="K917" s="13"/>
      <c r="L917" s="14"/>
      <c r="M917" s="4"/>
      <c r="N917" s="2"/>
      <c r="O917" s="4"/>
      <c r="P917" s="2"/>
      <c r="Q917" s="2"/>
      <c r="R917" s="4"/>
      <c r="S917" s="2"/>
      <c r="T917" s="2"/>
      <c r="U917" s="1"/>
      <c r="V917" s="2"/>
      <c r="W917" s="2"/>
      <c r="X917" s="2"/>
      <c r="Y917" s="2"/>
      <c r="Z917" s="2"/>
    </row>
    <row r="918" spans="1:26" ht="15.75" customHeight="1" x14ac:dyDescent="0.2">
      <c r="A918" s="12"/>
      <c r="B918" s="10"/>
      <c r="C918" s="11"/>
      <c r="D918" s="13"/>
      <c r="E918" s="13"/>
      <c r="F918" s="13"/>
      <c r="G918" s="2"/>
      <c r="H918" s="2"/>
      <c r="I918" s="13"/>
      <c r="J918" s="13"/>
      <c r="K918" s="13"/>
      <c r="L918" s="14"/>
      <c r="M918" s="4"/>
      <c r="N918" s="2"/>
      <c r="O918" s="4"/>
      <c r="P918" s="2"/>
      <c r="Q918" s="2"/>
      <c r="R918" s="4"/>
      <c r="S918" s="2"/>
      <c r="T918" s="2"/>
      <c r="U918" s="1"/>
      <c r="V918" s="2"/>
      <c r="W918" s="2"/>
      <c r="X918" s="2"/>
      <c r="Y918" s="2"/>
      <c r="Z918" s="2"/>
    </row>
    <row r="919" spans="1:26" ht="15.75" customHeight="1" x14ac:dyDescent="0.2">
      <c r="A919" s="12"/>
      <c r="B919" s="10"/>
      <c r="C919" s="11"/>
      <c r="D919" s="13"/>
      <c r="E919" s="13"/>
      <c r="F919" s="13"/>
      <c r="G919" s="2"/>
      <c r="H919" s="2"/>
      <c r="I919" s="13"/>
      <c r="J919" s="13"/>
      <c r="K919" s="13"/>
      <c r="L919" s="14"/>
      <c r="M919" s="4"/>
      <c r="N919" s="2"/>
      <c r="O919" s="4"/>
      <c r="P919" s="2"/>
      <c r="Q919" s="2"/>
      <c r="R919" s="4"/>
      <c r="S919" s="2"/>
      <c r="T919" s="2"/>
      <c r="U919" s="1"/>
      <c r="V919" s="2"/>
      <c r="W919" s="2"/>
      <c r="X919" s="2"/>
      <c r="Y919" s="2"/>
      <c r="Z919" s="2"/>
    </row>
    <row r="920" spans="1:26" ht="15.75" customHeight="1" x14ac:dyDescent="0.2">
      <c r="A920" s="12"/>
      <c r="B920" s="10"/>
      <c r="C920" s="11"/>
      <c r="D920" s="13"/>
      <c r="E920" s="13"/>
      <c r="F920" s="13"/>
      <c r="G920" s="2"/>
      <c r="H920" s="2"/>
      <c r="I920" s="13"/>
      <c r="J920" s="13"/>
      <c r="K920" s="13"/>
      <c r="L920" s="14"/>
      <c r="M920" s="4"/>
      <c r="N920" s="2"/>
      <c r="O920" s="4"/>
      <c r="P920" s="2"/>
      <c r="Q920" s="2"/>
      <c r="R920" s="4"/>
      <c r="S920" s="2"/>
      <c r="T920" s="2"/>
      <c r="U920" s="1"/>
      <c r="V920" s="2"/>
      <c r="W920" s="2"/>
      <c r="X920" s="2"/>
      <c r="Y920" s="2"/>
      <c r="Z920" s="2"/>
    </row>
    <row r="921" spans="1:26" ht="15.75" customHeight="1" x14ac:dyDescent="0.2">
      <c r="A921" s="12"/>
      <c r="B921" s="10"/>
      <c r="C921" s="11"/>
      <c r="D921" s="13"/>
      <c r="E921" s="13"/>
      <c r="F921" s="13"/>
      <c r="G921" s="2"/>
      <c r="H921" s="2"/>
      <c r="I921" s="13"/>
      <c r="J921" s="13"/>
      <c r="K921" s="13"/>
      <c r="L921" s="14"/>
      <c r="M921" s="4"/>
      <c r="N921" s="2"/>
      <c r="O921" s="4"/>
      <c r="P921" s="2"/>
      <c r="Q921" s="2"/>
      <c r="R921" s="4"/>
      <c r="S921" s="2"/>
      <c r="T921" s="2"/>
      <c r="U921" s="1"/>
      <c r="V921" s="2"/>
      <c r="W921" s="2"/>
      <c r="X921" s="2"/>
      <c r="Y921" s="2"/>
      <c r="Z921" s="2"/>
    </row>
    <row r="922" spans="1:26" ht="15.75" customHeight="1" x14ac:dyDescent="0.2">
      <c r="A922" s="12"/>
      <c r="B922" s="10"/>
      <c r="C922" s="11"/>
      <c r="D922" s="13"/>
      <c r="E922" s="13"/>
      <c r="F922" s="13"/>
      <c r="G922" s="2"/>
      <c r="H922" s="2"/>
      <c r="I922" s="13"/>
      <c r="J922" s="13"/>
      <c r="K922" s="13"/>
      <c r="L922" s="14"/>
      <c r="M922" s="4"/>
      <c r="N922" s="2"/>
      <c r="O922" s="4"/>
      <c r="P922" s="2"/>
      <c r="Q922" s="2"/>
      <c r="R922" s="4"/>
      <c r="S922" s="2"/>
      <c r="T922" s="2"/>
      <c r="U922" s="1"/>
      <c r="V922" s="2"/>
      <c r="W922" s="2"/>
      <c r="X922" s="2"/>
      <c r="Y922" s="2"/>
      <c r="Z922" s="2"/>
    </row>
    <row r="923" spans="1:26" ht="15.75" customHeight="1" x14ac:dyDescent="0.2">
      <c r="A923" s="12"/>
      <c r="B923" s="10"/>
      <c r="C923" s="11"/>
      <c r="D923" s="13"/>
      <c r="E923" s="13"/>
      <c r="F923" s="13"/>
      <c r="G923" s="2"/>
      <c r="H923" s="2"/>
      <c r="I923" s="13"/>
      <c r="J923" s="13"/>
      <c r="K923" s="13"/>
      <c r="L923" s="14"/>
      <c r="M923" s="4"/>
      <c r="N923" s="2"/>
      <c r="O923" s="4"/>
      <c r="P923" s="2"/>
      <c r="Q923" s="2"/>
      <c r="R923" s="4"/>
      <c r="S923" s="2"/>
      <c r="T923" s="2"/>
      <c r="U923" s="1"/>
      <c r="V923" s="2"/>
      <c r="W923" s="2"/>
      <c r="X923" s="2"/>
      <c r="Y923" s="2"/>
      <c r="Z923" s="2"/>
    </row>
    <row r="924" spans="1:26" ht="15.75" customHeight="1" x14ac:dyDescent="0.2">
      <c r="A924" s="12"/>
      <c r="B924" s="10"/>
      <c r="C924" s="11"/>
      <c r="D924" s="13"/>
      <c r="E924" s="13"/>
      <c r="F924" s="13"/>
      <c r="G924" s="2"/>
      <c r="H924" s="2"/>
      <c r="I924" s="13"/>
      <c r="J924" s="13"/>
      <c r="K924" s="13"/>
      <c r="L924" s="14"/>
      <c r="M924" s="4"/>
      <c r="N924" s="2"/>
      <c r="O924" s="4"/>
      <c r="P924" s="2"/>
      <c r="Q924" s="2"/>
      <c r="R924" s="4"/>
      <c r="S924" s="2"/>
      <c r="T924" s="2"/>
      <c r="U924" s="1"/>
      <c r="V924" s="2"/>
      <c r="W924" s="2"/>
      <c r="X924" s="2"/>
      <c r="Y924" s="2"/>
      <c r="Z924" s="2"/>
    </row>
    <row r="925" spans="1:26" ht="15.75" customHeight="1" x14ac:dyDescent="0.2">
      <c r="A925" s="12"/>
      <c r="B925" s="10"/>
      <c r="C925" s="11"/>
      <c r="D925" s="13"/>
      <c r="E925" s="13"/>
      <c r="F925" s="13"/>
      <c r="G925" s="2"/>
      <c r="H925" s="2"/>
      <c r="I925" s="13"/>
      <c r="J925" s="13"/>
      <c r="K925" s="13"/>
      <c r="L925" s="14"/>
      <c r="M925" s="4"/>
      <c r="N925" s="2"/>
      <c r="O925" s="4"/>
      <c r="P925" s="2"/>
      <c r="Q925" s="2"/>
      <c r="R925" s="4"/>
      <c r="S925" s="2"/>
      <c r="T925" s="2"/>
      <c r="U925" s="1"/>
      <c r="V925" s="2"/>
      <c r="W925" s="2"/>
      <c r="X925" s="2"/>
      <c r="Y925" s="2"/>
      <c r="Z925" s="2"/>
    </row>
    <row r="926" spans="1:26" ht="15.75" customHeight="1" x14ac:dyDescent="0.2">
      <c r="A926" s="12"/>
      <c r="B926" s="10"/>
      <c r="C926" s="11"/>
      <c r="D926" s="13"/>
      <c r="E926" s="13"/>
      <c r="F926" s="13"/>
      <c r="G926" s="2"/>
      <c r="H926" s="2"/>
      <c r="I926" s="13"/>
      <c r="J926" s="13"/>
      <c r="K926" s="13"/>
      <c r="L926" s="14"/>
      <c r="M926" s="4"/>
      <c r="N926" s="2"/>
      <c r="O926" s="4"/>
      <c r="P926" s="2"/>
      <c r="Q926" s="2"/>
      <c r="R926" s="4"/>
      <c r="S926" s="2"/>
      <c r="T926" s="2"/>
      <c r="U926" s="1"/>
      <c r="V926" s="2"/>
      <c r="W926" s="2"/>
      <c r="X926" s="2"/>
      <c r="Y926" s="2"/>
      <c r="Z926" s="2"/>
    </row>
    <row r="927" spans="1:26" ht="15.75" customHeight="1" x14ac:dyDescent="0.2">
      <c r="A927" s="12"/>
      <c r="B927" s="10"/>
      <c r="C927" s="11"/>
      <c r="D927" s="13"/>
      <c r="E927" s="13"/>
      <c r="F927" s="13"/>
      <c r="G927" s="2"/>
      <c r="H927" s="2"/>
      <c r="I927" s="13"/>
      <c r="J927" s="13"/>
      <c r="K927" s="13"/>
      <c r="L927" s="14"/>
      <c r="M927" s="4"/>
      <c r="N927" s="2"/>
      <c r="O927" s="4"/>
      <c r="P927" s="2"/>
      <c r="Q927" s="2"/>
      <c r="R927" s="4"/>
      <c r="S927" s="2"/>
      <c r="T927" s="2"/>
      <c r="U927" s="1"/>
      <c r="V927" s="2"/>
      <c r="W927" s="2"/>
      <c r="X927" s="2"/>
      <c r="Y927" s="2"/>
      <c r="Z927" s="2"/>
    </row>
    <row r="928" spans="1:26" ht="15.75" customHeight="1" x14ac:dyDescent="0.2">
      <c r="A928" s="12"/>
      <c r="B928" s="10"/>
      <c r="C928" s="11"/>
      <c r="D928" s="13"/>
      <c r="E928" s="13"/>
      <c r="F928" s="13"/>
      <c r="G928" s="2"/>
      <c r="H928" s="2"/>
      <c r="I928" s="13"/>
      <c r="J928" s="13"/>
      <c r="K928" s="13"/>
      <c r="L928" s="14"/>
      <c r="M928" s="4"/>
      <c r="N928" s="2"/>
      <c r="O928" s="4"/>
      <c r="P928" s="2"/>
      <c r="Q928" s="2"/>
      <c r="R928" s="4"/>
      <c r="S928" s="2"/>
      <c r="T928" s="2"/>
      <c r="U928" s="1"/>
      <c r="V928" s="2"/>
      <c r="W928" s="2"/>
      <c r="X928" s="2"/>
      <c r="Y928" s="2"/>
      <c r="Z928" s="2"/>
    </row>
    <row r="929" spans="1:26" ht="15.75" customHeight="1" x14ac:dyDescent="0.2">
      <c r="A929" s="12"/>
      <c r="B929" s="10"/>
      <c r="C929" s="11"/>
      <c r="D929" s="13"/>
      <c r="E929" s="13"/>
      <c r="F929" s="13"/>
      <c r="G929" s="2"/>
      <c r="H929" s="2"/>
      <c r="I929" s="13"/>
      <c r="J929" s="13"/>
      <c r="K929" s="13"/>
      <c r="L929" s="14"/>
      <c r="M929" s="4"/>
      <c r="N929" s="2"/>
      <c r="O929" s="4"/>
      <c r="P929" s="2"/>
      <c r="Q929" s="2"/>
      <c r="R929" s="4"/>
      <c r="S929" s="2"/>
      <c r="T929" s="2"/>
      <c r="U929" s="1"/>
      <c r="V929" s="2"/>
      <c r="W929" s="2"/>
      <c r="X929" s="2"/>
      <c r="Y929" s="2"/>
      <c r="Z929" s="2"/>
    </row>
    <row r="930" spans="1:26" ht="15.75" customHeight="1" x14ac:dyDescent="0.2">
      <c r="A930" s="12"/>
      <c r="B930" s="10"/>
      <c r="C930" s="11"/>
      <c r="D930" s="13"/>
      <c r="E930" s="13"/>
      <c r="F930" s="13"/>
      <c r="G930" s="2"/>
      <c r="H930" s="2"/>
      <c r="I930" s="13"/>
      <c r="J930" s="13"/>
      <c r="K930" s="13"/>
      <c r="L930" s="14"/>
      <c r="M930" s="4"/>
      <c r="N930" s="2"/>
      <c r="O930" s="4"/>
      <c r="P930" s="2"/>
      <c r="Q930" s="2"/>
      <c r="R930" s="4"/>
      <c r="S930" s="2"/>
      <c r="T930" s="2"/>
      <c r="U930" s="1"/>
      <c r="V930" s="2"/>
      <c r="W930" s="2"/>
      <c r="X930" s="2"/>
      <c r="Y930" s="2"/>
      <c r="Z930" s="2"/>
    </row>
    <row r="931" spans="1:26" ht="15.75" customHeight="1" x14ac:dyDescent="0.2">
      <c r="A931" s="12"/>
      <c r="B931" s="10"/>
      <c r="C931" s="11"/>
      <c r="D931" s="13"/>
      <c r="E931" s="13"/>
      <c r="F931" s="13"/>
      <c r="G931" s="2"/>
      <c r="H931" s="2"/>
      <c r="I931" s="13"/>
      <c r="J931" s="13"/>
      <c r="K931" s="13"/>
      <c r="L931" s="14"/>
      <c r="M931" s="4"/>
      <c r="N931" s="2"/>
      <c r="O931" s="4"/>
      <c r="P931" s="2"/>
      <c r="Q931" s="2"/>
      <c r="R931" s="4"/>
      <c r="S931" s="2"/>
      <c r="T931" s="2"/>
      <c r="U931" s="1"/>
      <c r="V931" s="2"/>
      <c r="W931" s="2"/>
      <c r="X931" s="2"/>
      <c r="Y931" s="2"/>
      <c r="Z931" s="2"/>
    </row>
    <row r="932" spans="1:26" ht="15.75" customHeight="1" x14ac:dyDescent="0.2">
      <c r="A932" s="12"/>
      <c r="B932" s="10"/>
      <c r="C932" s="11"/>
      <c r="D932" s="13"/>
      <c r="E932" s="13"/>
      <c r="F932" s="13"/>
      <c r="G932" s="2"/>
      <c r="H932" s="2"/>
      <c r="I932" s="13"/>
      <c r="J932" s="13"/>
      <c r="K932" s="13"/>
      <c r="L932" s="14"/>
      <c r="M932" s="4"/>
      <c r="N932" s="2"/>
      <c r="O932" s="4"/>
      <c r="P932" s="2"/>
      <c r="Q932" s="2"/>
      <c r="R932" s="4"/>
      <c r="S932" s="2"/>
      <c r="T932" s="2"/>
      <c r="U932" s="1"/>
      <c r="V932" s="2"/>
      <c r="W932" s="2"/>
      <c r="X932" s="2"/>
      <c r="Y932" s="2"/>
      <c r="Z932" s="2"/>
    </row>
    <row r="933" spans="1:26" ht="15.75" customHeight="1" x14ac:dyDescent="0.2">
      <c r="A933" s="12"/>
      <c r="B933" s="10"/>
      <c r="C933" s="11"/>
      <c r="D933" s="13"/>
      <c r="E933" s="13"/>
      <c r="F933" s="13"/>
      <c r="G933" s="2"/>
      <c r="H933" s="2"/>
      <c r="I933" s="13"/>
      <c r="J933" s="13"/>
      <c r="K933" s="13"/>
      <c r="L933" s="14"/>
      <c r="M933" s="4"/>
      <c r="N933" s="2"/>
      <c r="O933" s="4"/>
      <c r="P933" s="2"/>
      <c r="Q933" s="2"/>
      <c r="R933" s="4"/>
      <c r="S933" s="2"/>
      <c r="T933" s="2"/>
      <c r="U933" s="1"/>
      <c r="V933" s="2"/>
      <c r="W933" s="2"/>
      <c r="X933" s="2"/>
      <c r="Y933" s="2"/>
      <c r="Z933" s="2"/>
    </row>
    <row r="934" spans="1:26" ht="15.75" customHeight="1" x14ac:dyDescent="0.2">
      <c r="A934" s="12"/>
      <c r="B934" s="10"/>
      <c r="C934" s="11"/>
      <c r="D934" s="13"/>
      <c r="E934" s="13"/>
      <c r="F934" s="13"/>
      <c r="G934" s="2"/>
      <c r="H934" s="2"/>
      <c r="I934" s="13"/>
      <c r="J934" s="13"/>
      <c r="K934" s="13"/>
      <c r="L934" s="14"/>
      <c r="M934" s="4"/>
      <c r="N934" s="2"/>
      <c r="O934" s="4"/>
      <c r="P934" s="2"/>
      <c r="Q934" s="2"/>
      <c r="R934" s="4"/>
      <c r="S934" s="2"/>
      <c r="T934" s="2"/>
      <c r="U934" s="1"/>
      <c r="V934" s="2"/>
      <c r="W934" s="2"/>
      <c r="X934" s="2"/>
      <c r="Y934" s="2"/>
      <c r="Z934" s="2"/>
    </row>
    <row r="935" spans="1:26" ht="15.75" customHeight="1" x14ac:dyDescent="0.2">
      <c r="A935" s="12"/>
      <c r="B935" s="10"/>
      <c r="C935" s="11"/>
      <c r="D935" s="13"/>
      <c r="E935" s="13"/>
      <c r="F935" s="13"/>
      <c r="G935" s="2"/>
      <c r="H935" s="2"/>
      <c r="I935" s="13"/>
      <c r="J935" s="13"/>
      <c r="K935" s="13"/>
      <c r="L935" s="14"/>
      <c r="M935" s="4"/>
      <c r="N935" s="2"/>
      <c r="O935" s="4"/>
      <c r="P935" s="2"/>
      <c r="Q935" s="2"/>
      <c r="R935" s="4"/>
      <c r="S935" s="2"/>
      <c r="T935" s="2"/>
      <c r="U935" s="1"/>
      <c r="V935" s="2"/>
      <c r="W935" s="2"/>
      <c r="X935" s="2"/>
      <c r="Y935" s="2"/>
      <c r="Z935" s="2"/>
    </row>
    <row r="936" spans="1:26" ht="15.75" customHeight="1" x14ac:dyDescent="0.2">
      <c r="A936" s="12"/>
      <c r="B936" s="10"/>
      <c r="C936" s="11"/>
      <c r="D936" s="13"/>
      <c r="E936" s="13"/>
      <c r="F936" s="13"/>
      <c r="G936" s="2"/>
      <c r="H936" s="2"/>
      <c r="I936" s="13"/>
      <c r="J936" s="13"/>
      <c r="K936" s="13"/>
      <c r="L936" s="14"/>
      <c r="M936" s="4"/>
      <c r="N936" s="2"/>
      <c r="O936" s="4"/>
      <c r="P936" s="2"/>
      <c r="Q936" s="2"/>
      <c r="R936" s="4"/>
      <c r="S936" s="2"/>
      <c r="T936" s="2"/>
      <c r="U936" s="1"/>
      <c r="V936" s="2"/>
      <c r="W936" s="2"/>
      <c r="X936" s="2"/>
      <c r="Y936" s="2"/>
      <c r="Z936" s="2"/>
    </row>
    <row r="937" spans="1:26" ht="15.75" customHeight="1" x14ac:dyDescent="0.2">
      <c r="A937" s="12"/>
      <c r="B937" s="10"/>
      <c r="C937" s="11"/>
      <c r="D937" s="13"/>
      <c r="E937" s="13"/>
      <c r="F937" s="13"/>
      <c r="G937" s="2"/>
      <c r="H937" s="2"/>
      <c r="I937" s="13"/>
      <c r="J937" s="13"/>
      <c r="K937" s="13"/>
      <c r="L937" s="14"/>
      <c r="M937" s="4"/>
      <c r="N937" s="2"/>
      <c r="O937" s="4"/>
      <c r="P937" s="2"/>
      <c r="Q937" s="2"/>
      <c r="R937" s="4"/>
      <c r="S937" s="2"/>
      <c r="T937" s="2"/>
      <c r="U937" s="1"/>
      <c r="V937" s="2"/>
      <c r="W937" s="2"/>
      <c r="X937" s="2"/>
      <c r="Y937" s="2"/>
      <c r="Z937" s="2"/>
    </row>
    <row r="938" spans="1:26" ht="15.75" customHeight="1" x14ac:dyDescent="0.2">
      <c r="A938" s="12"/>
      <c r="B938" s="10"/>
      <c r="C938" s="11"/>
      <c r="D938" s="13"/>
      <c r="E938" s="13"/>
      <c r="F938" s="13"/>
      <c r="G938" s="2"/>
      <c r="H938" s="2"/>
      <c r="I938" s="13"/>
      <c r="J938" s="13"/>
      <c r="K938" s="13"/>
      <c r="L938" s="14"/>
      <c r="M938" s="4"/>
      <c r="N938" s="2"/>
      <c r="O938" s="4"/>
      <c r="P938" s="2"/>
      <c r="Q938" s="2"/>
      <c r="R938" s="4"/>
      <c r="S938" s="2"/>
      <c r="T938" s="2"/>
      <c r="U938" s="1"/>
      <c r="V938" s="2"/>
      <c r="W938" s="2"/>
      <c r="X938" s="2"/>
      <c r="Y938" s="2"/>
      <c r="Z938" s="2"/>
    </row>
    <row r="939" spans="1:26" ht="15.75" customHeight="1" x14ac:dyDescent="0.2">
      <c r="A939" s="12"/>
      <c r="B939" s="10"/>
      <c r="C939" s="11"/>
      <c r="D939" s="13"/>
      <c r="E939" s="13"/>
      <c r="F939" s="13"/>
      <c r="G939" s="2"/>
      <c r="H939" s="2"/>
      <c r="I939" s="13"/>
      <c r="J939" s="13"/>
      <c r="K939" s="13"/>
      <c r="L939" s="14"/>
      <c r="M939" s="4"/>
      <c r="N939" s="2"/>
      <c r="O939" s="4"/>
      <c r="P939" s="2"/>
      <c r="Q939" s="2"/>
      <c r="R939" s="4"/>
      <c r="S939" s="2"/>
      <c r="T939" s="2"/>
      <c r="U939" s="1"/>
      <c r="V939" s="2"/>
      <c r="W939" s="2"/>
      <c r="X939" s="2"/>
      <c r="Y939" s="2"/>
      <c r="Z939" s="2"/>
    </row>
    <row r="940" spans="1:26" ht="15.75" customHeight="1" x14ac:dyDescent="0.2">
      <c r="A940" s="12"/>
      <c r="B940" s="10"/>
      <c r="C940" s="11"/>
      <c r="D940" s="13"/>
      <c r="E940" s="13"/>
      <c r="F940" s="13"/>
      <c r="G940" s="2"/>
      <c r="H940" s="2"/>
      <c r="I940" s="13"/>
      <c r="J940" s="13"/>
      <c r="K940" s="13"/>
      <c r="L940" s="14"/>
      <c r="M940" s="4"/>
      <c r="N940" s="2"/>
      <c r="O940" s="4"/>
      <c r="P940" s="2"/>
      <c r="Q940" s="2"/>
      <c r="R940" s="4"/>
      <c r="S940" s="2"/>
      <c r="T940" s="2"/>
      <c r="U940" s="1"/>
      <c r="V940" s="2"/>
      <c r="W940" s="2"/>
      <c r="X940" s="2"/>
      <c r="Y940" s="2"/>
      <c r="Z940" s="2"/>
    </row>
    <row r="941" spans="1:26" ht="15.75" customHeight="1" x14ac:dyDescent="0.2">
      <c r="A941" s="12"/>
      <c r="B941" s="10"/>
      <c r="C941" s="11"/>
      <c r="D941" s="13"/>
      <c r="E941" s="13"/>
      <c r="F941" s="13"/>
      <c r="G941" s="2"/>
      <c r="H941" s="2"/>
      <c r="I941" s="13"/>
      <c r="J941" s="13"/>
      <c r="K941" s="13"/>
      <c r="L941" s="14"/>
      <c r="M941" s="4"/>
      <c r="N941" s="2"/>
      <c r="O941" s="4"/>
      <c r="P941" s="2"/>
      <c r="Q941" s="2"/>
      <c r="R941" s="4"/>
      <c r="S941" s="2"/>
      <c r="T941" s="2"/>
      <c r="U941" s="1"/>
      <c r="V941" s="2"/>
      <c r="W941" s="2"/>
      <c r="X941" s="2"/>
      <c r="Y941" s="2"/>
      <c r="Z941" s="2"/>
    </row>
    <row r="942" spans="1:26" ht="15.75" customHeight="1" x14ac:dyDescent="0.2">
      <c r="A942" s="12"/>
      <c r="B942" s="10"/>
      <c r="C942" s="11"/>
      <c r="D942" s="13"/>
      <c r="E942" s="13"/>
      <c r="F942" s="13"/>
      <c r="G942" s="2"/>
      <c r="H942" s="2"/>
      <c r="I942" s="13"/>
      <c r="J942" s="13"/>
      <c r="K942" s="13"/>
      <c r="L942" s="14"/>
      <c r="M942" s="4"/>
      <c r="N942" s="2"/>
      <c r="O942" s="4"/>
      <c r="P942" s="2"/>
      <c r="Q942" s="2"/>
      <c r="R942" s="4"/>
      <c r="S942" s="2"/>
      <c r="T942" s="2"/>
      <c r="U942" s="1"/>
      <c r="V942" s="2"/>
      <c r="W942" s="2"/>
      <c r="X942" s="2"/>
      <c r="Y942" s="2"/>
      <c r="Z942" s="2"/>
    </row>
    <row r="943" spans="1:26" ht="15.75" customHeight="1" x14ac:dyDescent="0.2">
      <c r="A943" s="12"/>
      <c r="B943" s="10"/>
      <c r="C943" s="11"/>
      <c r="D943" s="13"/>
      <c r="E943" s="13"/>
      <c r="F943" s="13"/>
      <c r="G943" s="2"/>
      <c r="H943" s="2"/>
      <c r="I943" s="13"/>
      <c r="J943" s="13"/>
      <c r="K943" s="13"/>
      <c r="L943" s="14"/>
      <c r="M943" s="4"/>
      <c r="N943" s="2"/>
      <c r="O943" s="4"/>
      <c r="P943" s="2"/>
      <c r="Q943" s="2"/>
      <c r="R943" s="4"/>
      <c r="S943" s="2"/>
      <c r="T943" s="2"/>
      <c r="U943" s="1"/>
      <c r="V943" s="2"/>
      <c r="W943" s="2"/>
      <c r="X943" s="2"/>
      <c r="Y943" s="2"/>
      <c r="Z943" s="2"/>
    </row>
    <row r="944" spans="1:26" ht="15.75" customHeight="1" x14ac:dyDescent="0.2">
      <c r="A944" s="12"/>
      <c r="B944" s="10"/>
      <c r="C944" s="11"/>
      <c r="D944" s="13"/>
      <c r="E944" s="13"/>
      <c r="F944" s="13"/>
      <c r="G944" s="2"/>
      <c r="H944" s="2"/>
      <c r="I944" s="13"/>
      <c r="J944" s="13"/>
      <c r="K944" s="13"/>
      <c r="L944" s="14"/>
      <c r="M944" s="4"/>
      <c r="N944" s="2"/>
      <c r="O944" s="4"/>
      <c r="P944" s="2"/>
      <c r="Q944" s="2"/>
      <c r="R944" s="4"/>
      <c r="S944" s="2"/>
      <c r="T944" s="2"/>
      <c r="U944" s="1"/>
      <c r="V944" s="2"/>
      <c r="W944" s="2"/>
      <c r="X944" s="2"/>
      <c r="Y944" s="2"/>
      <c r="Z944" s="2"/>
    </row>
    <row r="945" spans="1:26" ht="15.75" customHeight="1" x14ac:dyDescent="0.2">
      <c r="A945" s="12"/>
      <c r="B945" s="10"/>
      <c r="C945" s="11"/>
      <c r="D945" s="13"/>
      <c r="E945" s="13"/>
      <c r="F945" s="13"/>
      <c r="G945" s="2"/>
      <c r="H945" s="2"/>
      <c r="I945" s="13"/>
      <c r="J945" s="13"/>
      <c r="K945" s="13"/>
      <c r="L945" s="14"/>
      <c r="M945" s="4"/>
      <c r="N945" s="2"/>
      <c r="O945" s="4"/>
      <c r="P945" s="2"/>
      <c r="Q945" s="2"/>
      <c r="R945" s="4"/>
      <c r="S945" s="2"/>
      <c r="T945" s="2"/>
      <c r="U945" s="1"/>
      <c r="V945" s="2"/>
      <c r="W945" s="2"/>
      <c r="X945" s="2"/>
      <c r="Y945" s="2"/>
      <c r="Z945" s="2"/>
    </row>
    <row r="946" spans="1:26" ht="15.75" customHeight="1" x14ac:dyDescent="0.2">
      <c r="A946" s="12"/>
      <c r="B946" s="10"/>
      <c r="C946" s="11"/>
      <c r="D946" s="13"/>
      <c r="E946" s="13"/>
      <c r="F946" s="13"/>
      <c r="G946" s="2"/>
      <c r="H946" s="2"/>
      <c r="I946" s="13"/>
      <c r="J946" s="13"/>
      <c r="K946" s="13"/>
      <c r="L946" s="14"/>
      <c r="M946" s="4"/>
      <c r="N946" s="2"/>
      <c r="O946" s="4"/>
      <c r="P946" s="2"/>
      <c r="Q946" s="2"/>
      <c r="R946" s="4"/>
      <c r="S946" s="2"/>
      <c r="T946" s="2"/>
      <c r="U946" s="1"/>
      <c r="V946" s="2"/>
      <c r="W946" s="2"/>
      <c r="X946" s="2"/>
      <c r="Y946" s="2"/>
      <c r="Z946" s="2"/>
    </row>
    <row r="947" spans="1:26" ht="15.75" customHeight="1" x14ac:dyDescent="0.2">
      <c r="A947" s="12"/>
      <c r="B947" s="10"/>
      <c r="C947" s="11"/>
      <c r="D947" s="13"/>
      <c r="E947" s="13"/>
      <c r="F947" s="13"/>
      <c r="G947" s="2"/>
      <c r="H947" s="2"/>
      <c r="I947" s="13"/>
      <c r="J947" s="13"/>
      <c r="K947" s="13"/>
      <c r="L947" s="14"/>
      <c r="M947" s="4"/>
      <c r="N947" s="2"/>
      <c r="O947" s="4"/>
      <c r="P947" s="2"/>
      <c r="Q947" s="2"/>
      <c r="R947" s="4"/>
      <c r="S947" s="2"/>
      <c r="T947" s="2"/>
      <c r="U947" s="1"/>
      <c r="V947" s="2"/>
      <c r="W947" s="2"/>
      <c r="X947" s="2"/>
      <c r="Y947" s="2"/>
      <c r="Z947" s="2"/>
    </row>
    <row r="948" spans="1:26" ht="15.75" customHeight="1" x14ac:dyDescent="0.2">
      <c r="A948" s="12"/>
      <c r="B948" s="10"/>
      <c r="C948" s="11"/>
      <c r="D948" s="13"/>
      <c r="E948" s="13"/>
      <c r="F948" s="13"/>
      <c r="G948" s="2"/>
      <c r="H948" s="2"/>
      <c r="I948" s="13"/>
      <c r="J948" s="13"/>
      <c r="K948" s="13"/>
      <c r="L948" s="14"/>
      <c r="M948" s="4"/>
      <c r="N948" s="2"/>
      <c r="O948" s="4"/>
      <c r="P948" s="2"/>
      <c r="Q948" s="2"/>
      <c r="R948" s="4"/>
      <c r="S948" s="2"/>
      <c r="T948" s="2"/>
      <c r="U948" s="1"/>
      <c r="V948" s="2"/>
      <c r="W948" s="2"/>
      <c r="X948" s="2"/>
      <c r="Y948" s="2"/>
      <c r="Z948" s="2"/>
    </row>
    <row r="949" spans="1:26" ht="15.75" customHeight="1" x14ac:dyDescent="0.2">
      <c r="A949" s="12"/>
      <c r="B949" s="10"/>
      <c r="C949" s="11"/>
      <c r="D949" s="13"/>
      <c r="E949" s="13"/>
      <c r="F949" s="13"/>
      <c r="G949" s="2"/>
      <c r="H949" s="2"/>
      <c r="I949" s="13"/>
      <c r="J949" s="13"/>
      <c r="K949" s="13"/>
      <c r="L949" s="14"/>
      <c r="M949" s="4"/>
      <c r="N949" s="2"/>
      <c r="O949" s="4"/>
      <c r="P949" s="2"/>
      <c r="Q949" s="2"/>
      <c r="R949" s="4"/>
      <c r="S949" s="2"/>
      <c r="T949" s="2"/>
      <c r="U949" s="1"/>
      <c r="V949" s="2"/>
      <c r="W949" s="2"/>
      <c r="X949" s="2"/>
      <c r="Y949" s="2"/>
      <c r="Z949" s="2"/>
    </row>
    <row r="950" spans="1:26" ht="15.75" customHeight="1" x14ac:dyDescent="0.2">
      <c r="A950" s="12"/>
      <c r="B950" s="10"/>
      <c r="C950" s="11"/>
      <c r="D950" s="13"/>
      <c r="E950" s="13"/>
      <c r="F950" s="13"/>
      <c r="G950" s="2"/>
      <c r="H950" s="2"/>
      <c r="I950" s="13"/>
      <c r="J950" s="13"/>
      <c r="K950" s="13"/>
      <c r="L950" s="14"/>
      <c r="M950" s="4"/>
      <c r="N950" s="2"/>
      <c r="O950" s="4"/>
      <c r="P950" s="2"/>
      <c r="Q950" s="2"/>
      <c r="R950" s="4"/>
      <c r="S950" s="2"/>
      <c r="T950" s="2"/>
      <c r="U950" s="1"/>
      <c r="V950" s="2"/>
      <c r="W950" s="2"/>
      <c r="X950" s="2"/>
      <c r="Y950" s="2"/>
      <c r="Z950" s="2"/>
    </row>
    <row r="951" spans="1:26" ht="15.75" customHeight="1" x14ac:dyDescent="0.2">
      <c r="A951" s="12"/>
      <c r="B951" s="10"/>
      <c r="C951" s="11"/>
      <c r="D951" s="13"/>
      <c r="E951" s="13"/>
      <c r="F951" s="13"/>
      <c r="G951" s="2"/>
      <c r="H951" s="2"/>
      <c r="I951" s="13"/>
      <c r="J951" s="13"/>
      <c r="K951" s="13"/>
      <c r="L951" s="14"/>
      <c r="M951" s="4"/>
      <c r="N951" s="2"/>
      <c r="O951" s="4"/>
      <c r="P951" s="2"/>
      <c r="Q951" s="2"/>
      <c r="R951" s="4"/>
      <c r="S951" s="2"/>
      <c r="T951" s="2"/>
      <c r="U951" s="1"/>
      <c r="V951" s="2"/>
      <c r="W951" s="2"/>
      <c r="X951" s="2"/>
      <c r="Y951" s="2"/>
      <c r="Z951" s="2"/>
    </row>
    <row r="952" spans="1:26" ht="15.75" customHeight="1" x14ac:dyDescent="0.2">
      <c r="A952" s="12"/>
      <c r="B952" s="10"/>
      <c r="C952" s="11"/>
      <c r="D952" s="13"/>
      <c r="E952" s="13"/>
      <c r="F952" s="13"/>
      <c r="G952" s="2"/>
      <c r="H952" s="2"/>
      <c r="I952" s="13"/>
      <c r="J952" s="13"/>
      <c r="K952" s="13"/>
      <c r="L952" s="14"/>
      <c r="M952" s="4"/>
      <c r="N952" s="2"/>
      <c r="O952" s="4"/>
      <c r="P952" s="2"/>
      <c r="Q952" s="2"/>
      <c r="R952" s="4"/>
      <c r="S952" s="2"/>
      <c r="T952" s="2"/>
      <c r="U952" s="1"/>
      <c r="V952" s="2"/>
      <c r="W952" s="2"/>
      <c r="X952" s="2"/>
      <c r="Y952" s="2"/>
      <c r="Z952" s="2"/>
    </row>
    <row r="953" spans="1:26" ht="15.75" customHeight="1" x14ac:dyDescent="0.2">
      <c r="A953" s="12"/>
      <c r="B953" s="10"/>
      <c r="C953" s="11"/>
      <c r="D953" s="13"/>
      <c r="E953" s="13"/>
      <c r="F953" s="13"/>
      <c r="G953" s="2"/>
      <c r="H953" s="2"/>
      <c r="I953" s="13"/>
      <c r="J953" s="13"/>
      <c r="K953" s="13"/>
      <c r="L953" s="14"/>
      <c r="M953" s="4"/>
      <c r="N953" s="2"/>
      <c r="O953" s="4"/>
      <c r="P953" s="2"/>
      <c r="Q953" s="2"/>
      <c r="R953" s="4"/>
      <c r="S953" s="2"/>
      <c r="T953" s="2"/>
      <c r="U953" s="1"/>
      <c r="V953" s="2"/>
      <c r="W953" s="2"/>
      <c r="X953" s="2"/>
      <c r="Y953" s="2"/>
      <c r="Z953" s="2"/>
    </row>
    <row r="954" spans="1:26" ht="15.75" customHeight="1" x14ac:dyDescent="0.2">
      <c r="A954" s="12"/>
      <c r="B954" s="10"/>
      <c r="C954" s="11"/>
      <c r="D954" s="13"/>
      <c r="E954" s="13"/>
      <c r="F954" s="13"/>
      <c r="G954" s="2"/>
      <c r="H954" s="2"/>
      <c r="I954" s="13"/>
      <c r="J954" s="13"/>
      <c r="K954" s="13"/>
      <c r="L954" s="14"/>
      <c r="M954" s="4"/>
      <c r="N954" s="2"/>
      <c r="O954" s="4"/>
      <c r="P954" s="2"/>
      <c r="Q954" s="2"/>
      <c r="R954" s="4"/>
      <c r="S954" s="2"/>
      <c r="T954" s="2"/>
      <c r="U954" s="1"/>
      <c r="V954" s="2"/>
      <c r="W954" s="2"/>
      <c r="X954" s="2"/>
      <c r="Y954" s="2"/>
      <c r="Z954" s="2"/>
    </row>
    <row r="955" spans="1:26" ht="15.75" customHeight="1" x14ac:dyDescent="0.2">
      <c r="A955" s="12"/>
      <c r="B955" s="10"/>
      <c r="C955" s="11"/>
      <c r="D955" s="13"/>
      <c r="E955" s="13"/>
      <c r="F955" s="13"/>
      <c r="G955" s="2"/>
      <c r="H955" s="2"/>
      <c r="I955" s="13"/>
      <c r="J955" s="13"/>
      <c r="K955" s="13"/>
      <c r="L955" s="14"/>
      <c r="M955" s="4"/>
      <c r="N955" s="2"/>
      <c r="O955" s="4"/>
      <c r="P955" s="2"/>
      <c r="Q955" s="2"/>
      <c r="R955" s="4"/>
      <c r="S955" s="2"/>
      <c r="T955" s="2"/>
      <c r="U955" s="1"/>
      <c r="V955" s="2"/>
      <c r="W955" s="2"/>
      <c r="X955" s="2"/>
      <c r="Y955" s="2"/>
      <c r="Z955" s="2"/>
    </row>
    <row r="956" spans="1:26" ht="15.75" customHeight="1" x14ac:dyDescent="0.2">
      <c r="A956" s="12"/>
      <c r="B956" s="10"/>
      <c r="C956" s="11"/>
      <c r="D956" s="13"/>
      <c r="E956" s="13"/>
      <c r="F956" s="13"/>
      <c r="G956" s="2"/>
      <c r="H956" s="2"/>
      <c r="I956" s="13"/>
      <c r="J956" s="13"/>
      <c r="K956" s="13"/>
      <c r="L956" s="14"/>
      <c r="M956" s="4"/>
      <c r="N956" s="2"/>
      <c r="O956" s="4"/>
      <c r="P956" s="2"/>
      <c r="Q956" s="2"/>
      <c r="R956" s="4"/>
      <c r="S956" s="2"/>
      <c r="T956" s="2"/>
      <c r="U956" s="1"/>
      <c r="V956" s="2"/>
      <c r="W956" s="2"/>
      <c r="X956" s="2"/>
      <c r="Y956" s="2"/>
      <c r="Z956" s="2"/>
    </row>
    <row r="957" spans="1:26" ht="15.75" customHeight="1" x14ac:dyDescent="0.2">
      <c r="A957" s="12"/>
      <c r="B957" s="10"/>
      <c r="C957" s="11"/>
      <c r="D957" s="13"/>
      <c r="E957" s="13"/>
      <c r="F957" s="13"/>
      <c r="G957" s="2"/>
      <c r="H957" s="2"/>
      <c r="I957" s="13"/>
      <c r="J957" s="13"/>
      <c r="K957" s="13"/>
      <c r="L957" s="14"/>
      <c r="M957" s="4"/>
      <c r="N957" s="2"/>
      <c r="O957" s="4"/>
      <c r="P957" s="2"/>
      <c r="Q957" s="2"/>
      <c r="R957" s="4"/>
      <c r="S957" s="2"/>
      <c r="T957" s="2"/>
      <c r="U957" s="1"/>
      <c r="V957" s="2"/>
      <c r="W957" s="2"/>
      <c r="X957" s="2"/>
      <c r="Y957" s="2"/>
      <c r="Z957" s="2"/>
    </row>
    <row r="958" spans="1:26" ht="15.75" customHeight="1" x14ac:dyDescent="0.2">
      <c r="A958" s="12"/>
      <c r="B958" s="10"/>
      <c r="C958" s="11"/>
      <c r="D958" s="13"/>
      <c r="E958" s="13"/>
      <c r="F958" s="13"/>
      <c r="G958" s="2"/>
      <c r="H958" s="2"/>
      <c r="I958" s="13"/>
      <c r="J958" s="13"/>
      <c r="K958" s="13"/>
      <c r="L958" s="14"/>
      <c r="M958" s="4"/>
      <c r="N958" s="2"/>
      <c r="O958" s="4"/>
      <c r="P958" s="2"/>
      <c r="Q958" s="2"/>
      <c r="R958" s="4"/>
      <c r="S958" s="2"/>
      <c r="T958" s="2"/>
      <c r="U958" s="1"/>
      <c r="V958" s="2"/>
      <c r="W958" s="2"/>
      <c r="X958" s="2"/>
      <c r="Y958" s="2"/>
      <c r="Z958" s="2"/>
    </row>
    <row r="959" spans="1:26" ht="15.75" customHeight="1" x14ac:dyDescent="0.2">
      <c r="A959" s="12"/>
      <c r="B959" s="10"/>
      <c r="C959" s="11"/>
      <c r="D959" s="13"/>
      <c r="E959" s="13"/>
      <c r="F959" s="13"/>
      <c r="G959" s="2"/>
      <c r="H959" s="2"/>
      <c r="I959" s="13"/>
      <c r="J959" s="13"/>
      <c r="K959" s="13"/>
      <c r="L959" s="14"/>
      <c r="M959" s="4"/>
      <c r="N959" s="2"/>
      <c r="O959" s="4"/>
      <c r="P959" s="2"/>
      <c r="Q959" s="2"/>
      <c r="R959" s="4"/>
      <c r="S959" s="2"/>
      <c r="T959" s="2"/>
      <c r="U959" s="1"/>
      <c r="V959" s="2"/>
      <c r="W959" s="2"/>
      <c r="X959" s="2"/>
      <c r="Y959" s="2"/>
      <c r="Z959" s="2"/>
    </row>
    <row r="960" spans="1:26" ht="15.75" customHeight="1" x14ac:dyDescent="0.2">
      <c r="A960" s="12"/>
      <c r="B960" s="10"/>
      <c r="C960" s="11"/>
      <c r="D960" s="13"/>
      <c r="E960" s="13"/>
      <c r="F960" s="13"/>
      <c r="G960" s="2"/>
      <c r="H960" s="2"/>
      <c r="I960" s="13"/>
      <c r="J960" s="13"/>
      <c r="K960" s="13"/>
      <c r="L960" s="14"/>
      <c r="M960" s="4"/>
      <c r="N960" s="2"/>
      <c r="O960" s="4"/>
      <c r="P960" s="2"/>
      <c r="Q960" s="2"/>
      <c r="R960" s="4"/>
      <c r="S960" s="2"/>
      <c r="T960" s="2"/>
      <c r="U960" s="1"/>
      <c r="V960" s="2"/>
      <c r="W960" s="2"/>
      <c r="X960" s="2"/>
      <c r="Y960" s="2"/>
      <c r="Z960" s="2"/>
    </row>
    <row r="961" spans="1:26" ht="15.75" customHeight="1" x14ac:dyDescent="0.2">
      <c r="A961" s="12"/>
      <c r="B961" s="10"/>
      <c r="C961" s="11"/>
      <c r="D961" s="13"/>
      <c r="E961" s="13"/>
      <c r="F961" s="13"/>
      <c r="G961" s="2"/>
      <c r="H961" s="2"/>
      <c r="I961" s="13"/>
      <c r="J961" s="13"/>
      <c r="K961" s="13"/>
      <c r="L961" s="14"/>
      <c r="M961" s="4"/>
      <c r="N961" s="2"/>
      <c r="O961" s="4"/>
      <c r="P961" s="2"/>
      <c r="Q961" s="2"/>
      <c r="R961" s="4"/>
      <c r="S961" s="2"/>
      <c r="T961" s="2"/>
      <c r="U961" s="1"/>
      <c r="V961" s="2"/>
      <c r="W961" s="2"/>
      <c r="X961" s="2"/>
      <c r="Y961" s="2"/>
      <c r="Z961" s="2"/>
    </row>
    <row r="962" spans="1:26" ht="15.75" customHeight="1" x14ac:dyDescent="0.2">
      <c r="A962" s="12"/>
      <c r="B962" s="10"/>
      <c r="C962" s="11"/>
      <c r="D962" s="13"/>
      <c r="E962" s="13"/>
      <c r="F962" s="13"/>
      <c r="G962" s="2"/>
      <c r="H962" s="2"/>
      <c r="I962" s="13"/>
      <c r="J962" s="13"/>
      <c r="K962" s="13"/>
      <c r="L962" s="14"/>
      <c r="M962" s="4"/>
      <c r="N962" s="2"/>
      <c r="O962" s="4"/>
      <c r="P962" s="2"/>
      <c r="Q962" s="2"/>
      <c r="R962" s="4"/>
      <c r="S962" s="2"/>
      <c r="T962" s="2"/>
      <c r="U962" s="1"/>
      <c r="V962" s="2"/>
      <c r="W962" s="2"/>
      <c r="X962" s="2"/>
      <c r="Y962" s="2"/>
      <c r="Z962" s="2"/>
    </row>
    <row r="963" spans="1:26" ht="15.75" customHeight="1" x14ac:dyDescent="0.2">
      <c r="A963" s="12"/>
      <c r="B963" s="10"/>
      <c r="C963" s="11"/>
      <c r="D963" s="13"/>
      <c r="E963" s="13"/>
      <c r="F963" s="13"/>
      <c r="G963" s="2"/>
      <c r="H963" s="2"/>
      <c r="I963" s="13"/>
      <c r="J963" s="13"/>
      <c r="K963" s="13"/>
      <c r="L963" s="14"/>
      <c r="M963" s="4"/>
      <c r="N963" s="2"/>
      <c r="O963" s="4"/>
      <c r="P963" s="2"/>
      <c r="Q963" s="2"/>
      <c r="R963" s="4"/>
      <c r="S963" s="2"/>
      <c r="T963" s="2"/>
      <c r="U963" s="1"/>
      <c r="V963" s="2"/>
      <c r="W963" s="2"/>
      <c r="X963" s="2"/>
      <c r="Y963" s="2"/>
      <c r="Z963" s="2"/>
    </row>
    <row r="964" spans="1:26" ht="15.75" customHeight="1" x14ac:dyDescent="0.2">
      <c r="A964" s="12"/>
      <c r="B964" s="10"/>
      <c r="C964" s="11"/>
      <c r="D964" s="13"/>
      <c r="E964" s="13"/>
      <c r="F964" s="13"/>
      <c r="G964" s="2"/>
      <c r="H964" s="2"/>
      <c r="I964" s="13"/>
      <c r="J964" s="13"/>
      <c r="K964" s="13"/>
      <c r="L964" s="14"/>
      <c r="M964" s="4"/>
      <c r="N964" s="2"/>
      <c r="O964" s="4"/>
      <c r="P964" s="2"/>
      <c r="Q964" s="2"/>
      <c r="R964" s="4"/>
      <c r="S964" s="2"/>
      <c r="T964" s="2"/>
      <c r="U964" s="1"/>
      <c r="V964" s="2"/>
      <c r="W964" s="2"/>
      <c r="X964" s="2"/>
      <c r="Y964" s="2"/>
      <c r="Z964" s="2"/>
    </row>
    <row r="965" spans="1:26" ht="15.75" customHeight="1" x14ac:dyDescent="0.2">
      <c r="A965" s="12"/>
      <c r="B965" s="10"/>
      <c r="C965" s="11"/>
      <c r="D965" s="13"/>
      <c r="E965" s="13"/>
      <c r="F965" s="13"/>
      <c r="G965" s="2"/>
      <c r="H965" s="2"/>
      <c r="I965" s="13"/>
      <c r="J965" s="13"/>
      <c r="K965" s="13"/>
      <c r="L965" s="14"/>
      <c r="M965" s="4"/>
      <c r="N965" s="2"/>
      <c r="O965" s="4"/>
      <c r="P965" s="2"/>
      <c r="Q965" s="2"/>
      <c r="R965" s="4"/>
      <c r="S965" s="2"/>
      <c r="T965" s="2"/>
      <c r="U965" s="1"/>
      <c r="V965" s="2"/>
      <c r="W965" s="2"/>
      <c r="X965" s="2"/>
      <c r="Y965" s="2"/>
      <c r="Z965" s="2"/>
    </row>
    <row r="966" spans="1:26" ht="15.75" customHeight="1" x14ac:dyDescent="0.2">
      <c r="A966" s="12"/>
      <c r="B966" s="10"/>
      <c r="C966" s="11"/>
      <c r="D966" s="13"/>
      <c r="E966" s="13"/>
      <c r="F966" s="13"/>
      <c r="G966" s="2"/>
      <c r="H966" s="2"/>
      <c r="I966" s="13"/>
      <c r="J966" s="13"/>
      <c r="K966" s="13"/>
      <c r="L966" s="14"/>
      <c r="M966" s="4"/>
      <c r="N966" s="2"/>
      <c r="O966" s="4"/>
      <c r="P966" s="2"/>
      <c r="Q966" s="2"/>
      <c r="R966" s="4"/>
      <c r="S966" s="2"/>
      <c r="T966" s="2"/>
      <c r="U966" s="1"/>
      <c r="V966" s="2"/>
      <c r="W966" s="2"/>
      <c r="X966" s="2"/>
      <c r="Y966" s="2"/>
      <c r="Z966" s="2"/>
    </row>
    <row r="967" spans="1:26" ht="15.75" customHeight="1" x14ac:dyDescent="0.2">
      <c r="A967" s="12"/>
      <c r="B967" s="10"/>
      <c r="C967" s="11"/>
      <c r="D967" s="13"/>
      <c r="E967" s="13"/>
      <c r="F967" s="13"/>
      <c r="G967" s="2"/>
      <c r="H967" s="2"/>
      <c r="I967" s="13"/>
      <c r="J967" s="13"/>
      <c r="K967" s="13"/>
      <c r="L967" s="14"/>
      <c r="M967" s="4"/>
      <c r="N967" s="2"/>
      <c r="O967" s="4"/>
      <c r="P967" s="2"/>
      <c r="Q967" s="2"/>
      <c r="R967" s="4"/>
      <c r="S967" s="2"/>
      <c r="T967" s="2"/>
      <c r="U967" s="1"/>
      <c r="V967" s="2"/>
      <c r="W967" s="2"/>
      <c r="X967" s="2"/>
      <c r="Y967" s="2"/>
      <c r="Z967" s="2"/>
    </row>
    <row r="968" spans="1:26" ht="15.75" customHeight="1" x14ac:dyDescent="0.2">
      <c r="A968" s="12"/>
      <c r="B968" s="10"/>
      <c r="C968" s="11"/>
      <c r="D968" s="13"/>
      <c r="E968" s="13"/>
      <c r="F968" s="13"/>
      <c r="G968" s="2"/>
      <c r="H968" s="2"/>
      <c r="I968" s="13"/>
      <c r="J968" s="13"/>
      <c r="K968" s="13"/>
      <c r="L968" s="14"/>
      <c r="M968" s="4"/>
      <c r="N968" s="2"/>
      <c r="O968" s="4"/>
      <c r="P968" s="2"/>
      <c r="Q968" s="2"/>
      <c r="R968" s="4"/>
      <c r="S968" s="2"/>
      <c r="T968" s="2"/>
      <c r="U968" s="1"/>
      <c r="V968" s="2"/>
      <c r="W968" s="2"/>
      <c r="X968" s="2"/>
      <c r="Y968" s="2"/>
      <c r="Z968" s="2"/>
    </row>
    <row r="969" spans="1:26" ht="15.75" customHeight="1" x14ac:dyDescent="0.2">
      <c r="A969" s="12"/>
      <c r="B969" s="10"/>
      <c r="C969" s="11"/>
      <c r="D969" s="13"/>
      <c r="E969" s="13"/>
      <c r="F969" s="13"/>
      <c r="G969" s="2"/>
      <c r="H969" s="2"/>
      <c r="I969" s="13"/>
      <c r="J969" s="13"/>
      <c r="K969" s="13"/>
      <c r="L969" s="14"/>
      <c r="M969" s="4"/>
      <c r="N969" s="2"/>
      <c r="O969" s="4"/>
      <c r="P969" s="2"/>
      <c r="Q969" s="2"/>
      <c r="R969" s="4"/>
      <c r="S969" s="2"/>
      <c r="T969" s="2"/>
      <c r="U969" s="1"/>
      <c r="V969" s="2"/>
      <c r="W969" s="2"/>
      <c r="X969" s="2"/>
      <c r="Y969" s="2"/>
      <c r="Z969" s="2"/>
    </row>
    <row r="970" spans="1:26" ht="15.75" customHeight="1" x14ac:dyDescent="0.2">
      <c r="A970" s="12"/>
      <c r="B970" s="10"/>
      <c r="C970" s="11"/>
      <c r="D970" s="13"/>
      <c r="E970" s="13"/>
      <c r="F970" s="13"/>
      <c r="G970" s="2"/>
      <c r="H970" s="2"/>
      <c r="I970" s="13"/>
      <c r="J970" s="13"/>
      <c r="K970" s="13"/>
      <c r="L970" s="14"/>
      <c r="M970" s="4"/>
      <c r="N970" s="2"/>
      <c r="O970" s="4"/>
      <c r="P970" s="2"/>
      <c r="Q970" s="2"/>
      <c r="R970" s="4"/>
      <c r="S970" s="2"/>
      <c r="T970" s="2"/>
      <c r="U970" s="1"/>
      <c r="V970" s="2"/>
      <c r="W970" s="2"/>
      <c r="X970" s="2"/>
      <c r="Y970" s="2"/>
      <c r="Z970" s="2"/>
    </row>
    <row r="971" spans="1:26" ht="15.75" customHeight="1" x14ac:dyDescent="0.2">
      <c r="A971" s="12"/>
      <c r="B971" s="10"/>
      <c r="C971" s="11"/>
      <c r="D971" s="13"/>
      <c r="E971" s="13"/>
      <c r="F971" s="13"/>
      <c r="G971" s="2"/>
      <c r="H971" s="2"/>
      <c r="I971" s="13"/>
      <c r="J971" s="13"/>
      <c r="K971" s="13"/>
      <c r="L971" s="14"/>
      <c r="M971" s="4"/>
      <c r="N971" s="2"/>
      <c r="O971" s="4"/>
      <c r="P971" s="2"/>
      <c r="Q971" s="2"/>
      <c r="R971" s="4"/>
      <c r="S971" s="2"/>
      <c r="T971" s="2"/>
      <c r="U971" s="1"/>
      <c r="V971" s="2"/>
      <c r="W971" s="2"/>
      <c r="X971" s="2"/>
      <c r="Y971" s="2"/>
      <c r="Z971" s="2"/>
    </row>
    <row r="972" spans="1:26" ht="15.75" customHeight="1" x14ac:dyDescent="0.2">
      <c r="A972" s="12"/>
      <c r="B972" s="10"/>
      <c r="C972" s="11"/>
      <c r="D972" s="13"/>
      <c r="E972" s="13"/>
      <c r="F972" s="13"/>
      <c r="G972" s="2"/>
      <c r="H972" s="2"/>
      <c r="I972" s="13"/>
      <c r="J972" s="13"/>
      <c r="K972" s="13"/>
      <c r="L972" s="14"/>
      <c r="M972" s="4"/>
      <c r="N972" s="2"/>
      <c r="O972" s="4"/>
      <c r="P972" s="2"/>
      <c r="Q972" s="2"/>
      <c r="R972" s="4"/>
      <c r="S972" s="2"/>
      <c r="T972" s="2"/>
      <c r="U972" s="1"/>
      <c r="V972" s="2"/>
      <c r="W972" s="2"/>
      <c r="X972" s="2"/>
      <c r="Y972" s="2"/>
      <c r="Z972" s="2"/>
    </row>
    <row r="973" spans="1:26" ht="15.75" customHeight="1" x14ac:dyDescent="0.2">
      <c r="A973" s="12"/>
      <c r="B973" s="10"/>
      <c r="C973" s="11"/>
      <c r="D973" s="13"/>
      <c r="E973" s="13"/>
      <c r="F973" s="13"/>
      <c r="G973" s="2"/>
      <c r="H973" s="2"/>
      <c r="I973" s="13"/>
      <c r="J973" s="13"/>
      <c r="K973" s="13"/>
      <c r="L973" s="14"/>
      <c r="M973" s="4"/>
      <c r="N973" s="2"/>
      <c r="O973" s="4"/>
      <c r="P973" s="2"/>
      <c r="Q973" s="2"/>
      <c r="R973" s="4"/>
      <c r="S973" s="2"/>
      <c r="T973" s="2"/>
      <c r="U973" s="1"/>
      <c r="V973" s="2"/>
      <c r="W973" s="2"/>
      <c r="X973" s="2"/>
      <c r="Y973" s="2"/>
      <c r="Z973" s="2"/>
    </row>
    <row r="974" spans="1:26" ht="15.75" customHeight="1" x14ac:dyDescent="0.2">
      <c r="A974" s="12"/>
      <c r="B974" s="10"/>
      <c r="C974" s="11"/>
      <c r="D974" s="13"/>
      <c r="E974" s="13"/>
      <c r="F974" s="13"/>
      <c r="G974" s="2"/>
      <c r="H974" s="2"/>
      <c r="I974" s="13"/>
      <c r="J974" s="13"/>
      <c r="K974" s="13"/>
      <c r="L974" s="14"/>
      <c r="M974" s="4"/>
      <c r="N974" s="2"/>
      <c r="O974" s="4"/>
      <c r="P974" s="2"/>
      <c r="Q974" s="2"/>
      <c r="R974" s="4"/>
      <c r="S974" s="2"/>
      <c r="T974" s="2"/>
      <c r="U974" s="1"/>
      <c r="V974" s="2"/>
      <c r="W974" s="2"/>
      <c r="X974" s="2"/>
      <c r="Y974" s="2"/>
      <c r="Z974" s="2"/>
    </row>
    <row r="975" spans="1:26" ht="15.75" customHeight="1" x14ac:dyDescent="0.2">
      <c r="A975" s="12"/>
      <c r="B975" s="10"/>
      <c r="C975" s="11"/>
      <c r="D975" s="13"/>
      <c r="E975" s="13"/>
      <c r="F975" s="13"/>
      <c r="G975" s="2"/>
      <c r="H975" s="2"/>
      <c r="I975" s="13"/>
      <c r="J975" s="13"/>
      <c r="K975" s="13"/>
      <c r="L975" s="14"/>
      <c r="M975" s="4"/>
      <c r="N975" s="2"/>
      <c r="O975" s="4"/>
      <c r="P975" s="2"/>
      <c r="Q975" s="2"/>
      <c r="R975" s="4"/>
      <c r="S975" s="2"/>
      <c r="T975" s="2"/>
      <c r="U975" s="1"/>
      <c r="V975" s="2"/>
      <c r="W975" s="2"/>
      <c r="X975" s="2"/>
      <c r="Y975" s="2"/>
      <c r="Z975" s="2"/>
    </row>
    <row r="976" spans="1:26" ht="15.75" customHeight="1" x14ac:dyDescent="0.2">
      <c r="A976" s="12"/>
      <c r="B976" s="10"/>
      <c r="C976" s="11"/>
      <c r="D976" s="13"/>
      <c r="E976" s="13"/>
      <c r="F976" s="13"/>
      <c r="G976" s="2"/>
      <c r="H976" s="2"/>
      <c r="I976" s="13"/>
      <c r="J976" s="13"/>
      <c r="K976" s="13"/>
      <c r="L976" s="14"/>
      <c r="M976" s="4"/>
      <c r="N976" s="2"/>
      <c r="O976" s="4"/>
      <c r="P976" s="2"/>
      <c r="Q976" s="2"/>
      <c r="R976" s="4"/>
      <c r="S976" s="2"/>
      <c r="T976" s="2"/>
      <c r="U976" s="1"/>
      <c r="V976" s="2"/>
      <c r="W976" s="2"/>
      <c r="X976" s="2"/>
      <c r="Y976" s="2"/>
      <c r="Z976" s="2"/>
    </row>
    <row r="977" spans="1:26" ht="15.75" customHeight="1" x14ac:dyDescent="0.2">
      <c r="A977" s="12"/>
      <c r="B977" s="10"/>
      <c r="C977" s="11"/>
      <c r="D977" s="13"/>
      <c r="E977" s="13"/>
      <c r="F977" s="13"/>
      <c r="G977" s="2"/>
      <c r="H977" s="2"/>
      <c r="I977" s="13"/>
      <c r="J977" s="13"/>
      <c r="K977" s="13"/>
      <c r="L977" s="14"/>
      <c r="M977" s="4"/>
      <c r="N977" s="2"/>
      <c r="O977" s="4"/>
      <c r="P977" s="2"/>
      <c r="Q977" s="2"/>
      <c r="R977" s="4"/>
      <c r="S977" s="2"/>
      <c r="T977" s="2"/>
      <c r="U977" s="1"/>
      <c r="V977" s="2"/>
      <c r="W977" s="2"/>
      <c r="X977" s="2"/>
      <c r="Y977" s="2"/>
      <c r="Z977" s="2"/>
    </row>
    <row r="978" spans="1:26" ht="15.75" customHeight="1" x14ac:dyDescent="0.2">
      <c r="A978" s="12"/>
      <c r="B978" s="10"/>
      <c r="C978" s="11"/>
      <c r="D978" s="13"/>
      <c r="E978" s="13"/>
      <c r="F978" s="13"/>
      <c r="G978" s="2"/>
      <c r="H978" s="2"/>
      <c r="I978" s="13"/>
      <c r="J978" s="13"/>
      <c r="K978" s="13"/>
      <c r="L978" s="14"/>
      <c r="M978" s="4"/>
      <c r="N978" s="2"/>
      <c r="O978" s="4"/>
      <c r="P978" s="2"/>
      <c r="Q978" s="2"/>
      <c r="R978" s="4"/>
      <c r="S978" s="2"/>
      <c r="T978" s="2"/>
      <c r="U978" s="1"/>
      <c r="V978" s="2"/>
      <c r="W978" s="2"/>
      <c r="X978" s="2"/>
      <c r="Y978" s="2"/>
      <c r="Z978" s="2"/>
    </row>
    <row r="979" spans="1:26" ht="15.75" customHeight="1" x14ac:dyDescent="0.2">
      <c r="A979" s="12"/>
      <c r="B979" s="10"/>
      <c r="C979" s="11"/>
      <c r="D979" s="13"/>
      <c r="E979" s="13"/>
      <c r="F979" s="13"/>
      <c r="G979" s="2"/>
      <c r="H979" s="2"/>
      <c r="I979" s="13"/>
      <c r="J979" s="13"/>
      <c r="K979" s="13"/>
      <c r="L979" s="14"/>
      <c r="M979" s="4"/>
      <c r="N979" s="2"/>
      <c r="O979" s="4"/>
      <c r="P979" s="2"/>
      <c r="Q979" s="2"/>
      <c r="R979" s="4"/>
      <c r="S979" s="2"/>
      <c r="T979" s="2"/>
      <c r="U979" s="1"/>
      <c r="V979" s="2"/>
      <c r="W979" s="2"/>
      <c r="X979" s="2"/>
      <c r="Y979" s="2"/>
      <c r="Z979" s="2"/>
    </row>
    <row r="980" spans="1:26" ht="15.75" customHeight="1" x14ac:dyDescent="0.2">
      <c r="A980" s="12"/>
      <c r="B980" s="10"/>
      <c r="C980" s="11"/>
      <c r="D980" s="13"/>
      <c r="E980" s="13"/>
      <c r="F980" s="13"/>
      <c r="G980" s="2"/>
      <c r="H980" s="2"/>
      <c r="I980" s="13"/>
      <c r="J980" s="13"/>
      <c r="K980" s="13"/>
      <c r="L980" s="14"/>
      <c r="M980" s="4"/>
      <c r="N980" s="2"/>
      <c r="O980" s="4"/>
      <c r="P980" s="2"/>
      <c r="Q980" s="2"/>
      <c r="R980" s="4"/>
      <c r="S980" s="2"/>
      <c r="T980" s="2"/>
      <c r="U980" s="1"/>
      <c r="V980" s="2"/>
      <c r="W980" s="2"/>
      <c r="X980" s="2"/>
      <c r="Y980" s="2"/>
      <c r="Z980" s="2"/>
    </row>
    <row r="981" spans="1:26" ht="15.75" customHeight="1" x14ac:dyDescent="0.2">
      <c r="A981" s="12"/>
      <c r="B981" s="10"/>
      <c r="C981" s="11"/>
      <c r="D981" s="13"/>
      <c r="E981" s="13"/>
      <c r="F981" s="13"/>
      <c r="G981" s="2"/>
      <c r="H981" s="2"/>
      <c r="I981" s="13"/>
      <c r="J981" s="13"/>
      <c r="K981" s="13"/>
      <c r="L981" s="14"/>
      <c r="M981" s="4"/>
      <c r="N981" s="2"/>
      <c r="O981" s="4"/>
      <c r="P981" s="2"/>
      <c r="Q981" s="2"/>
      <c r="R981" s="4"/>
      <c r="S981" s="2"/>
      <c r="T981" s="2"/>
      <c r="U981" s="1"/>
      <c r="V981" s="2"/>
      <c r="W981" s="2"/>
      <c r="X981" s="2"/>
      <c r="Y981" s="2"/>
      <c r="Z981" s="2"/>
    </row>
    <row r="982" spans="1:26" ht="15.75" customHeight="1" x14ac:dyDescent="0.2">
      <c r="A982" s="12"/>
      <c r="B982" s="10"/>
      <c r="C982" s="11"/>
      <c r="D982" s="13"/>
      <c r="E982" s="13"/>
      <c r="F982" s="13"/>
      <c r="G982" s="2"/>
      <c r="H982" s="2"/>
      <c r="I982" s="13"/>
      <c r="J982" s="13"/>
      <c r="K982" s="13"/>
      <c r="L982" s="14"/>
      <c r="M982" s="4"/>
      <c r="N982" s="2"/>
      <c r="O982" s="4"/>
      <c r="P982" s="2"/>
      <c r="Q982" s="2"/>
      <c r="R982" s="4"/>
      <c r="S982" s="2"/>
      <c r="T982" s="2"/>
      <c r="U982" s="1"/>
      <c r="V982" s="2"/>
      <c r="W982" s="2"/>
      <c r="X982" s="2"/>
      <c r="Y982" s="2"/>
      <c r="Z982" s="2"/>
    </row>
    <row r="983" spans="1:26" ht="15.75" customHeight="1" x14ac:dyDescent="0.2">
      <c r="A983" s="12"/>
      <c r="B983" s="10"/>
      <c r="C983" s="11"/>
      <c r="D983" s="13"/>
      <c r="E983" s="13"/>
      <c r="F983" s="13"/>
      <c r="G983" s="2"/>
      <c r="H983" s="2"/>
      <c r="I983" s="13"/>
      <c r="J983" s="13"/>
      <c r="K983" s="13"/>
      <c r="L983" s="14"/>
      <c r="M983" s="4"/>
      <c r="N983" s="2"/>
      <c r="O983" s="4"/>
      <c r="P983" s="2"/>
      <c r="Q983" s="2"/>
      <c r="R983" s="4"/>
      <c r="S983" s="2"/>
      <c r="T983" s="2"/>
      <c r="U983" s="1"/>
      <c r="V983" s="2"/>
      <c r="W983" s="2"/>
      <c r="X983" s="2"/>
      <c r="Y983" s="2"/>
      <c r="Z983" s="2"/>
    </row>
    <row r="984" spans="1:26" ht="15.75" customHeight="1" x14ac:dyDescent="0.2">
      <c r="A984" s="12"/>
      <c r="B984" s="10"/>
      <c r="C984" s="11"/>
      <c r="D984" s="13"/>
      <c r="E984" s="13"/>
      <c r="F984" s="13"/>
      <c r="G984" s="2"/>
      <c r="H984" s="2"/>
      <c r="I984" s="13"/>
      <c r="J984" s="13"/>
      <c r="K984" s="13"/>
      <c r="L984" s="14"/>
      <c r="M984" s="4"/>
      <c r="N984" s="2"/>
      <c r="O984" s="4"/>
      <c r="P984" s="2"/>
      <c r="Q984" s="2"/>
      <c r="R984" s="4"/>
      <c r="S984" s="2"/>
      <c r="T984" s="2"/>
      <c r="U984" s="1"/>
      <c r="V984" s="2"/>
      <c r="W984" s="2"/>
      <c r="X984" s="2"/>
      <c r="Y984" s="2"/>
      <c r="Z984" s="2"/>
    </row>
    <row r="985" spans="1:26" ht="15.75" customHeight="1" x14ac:dyDescent="0.2">
      <c r="A985" s="12"/>
      <c r="B985" s="10"/>
      <c r="C985" s="11"/>
      <c r="D985" s="13"/>
      <c r="E985" s="13"/>
      <c r="F985" s="13"/>
      <c r="G985" s="2"/>
      <c r="H985" s="2"/>
      <c r="I985" s="13"/>
      <c r="J985" s="13"/>
      <c r="K985" s="13"/>
      <c r="L985" s="14"/>
      <c r="M985" s="4"/>
      <c r="N985" s="2"/>
      <c r="O985" s="4"/>
      <c r="P985" s="2"/>
      <c r="Q985" s="2"/>
      <c r="R985" s="4"/>
      <c r="S985" s="2"/>
      <c r="T985" s="2"/>
      <c r="U985" s="1"/>
      <c r="V985" s="2"/>
      <c r="W985" s="2"/>
      <c r="X985" s="2"/>
      <c r="Y985" s="2"/>
      <c r="Z985" s="2"/>
    </row>
    <row r="986" spans="1:26" ht="15.75" customHeight="1" x14ac:dyDescent="0.2">
      <c r="A986" s="12"/>
      <c r="B986" s="10"/>
      <c r="C986" s="11"/>
      <c r="D986" s="13"/>
      <c r="E986" s="13"/>
      <c r="F986" s="13"/>
      <c r="G986" s="2"/>
      <c r="H986" s="2"/>
      <c r="I986" s="13"/>
      <c r="J986" s="13"/>
      <c r="K986" s="13"/>
      <c r="L986" s="14"/>
      <c r="M986" s="4"/>
      <c r="N986" s="2"/>
      <c r="O986" s="4"/>
      <c r="P986" s="2"/>
      <c r="Q986" s="2"/>
      <c r="R986" s="4"/>
      <c r="S986" s="2"/>
      <c r="T986" s="2"/>
      <c r="U986" s="1"/>
      <c r="V986" s="2"/>
      <c r="W986" s="2"/>
      <c r="X986" s="2"/>
      <c r="Y986" s="2"/>
      <c r="Z986" s="2"/>
    </row>
    <row r="987" spans="1:26" ht="15.75" customHeight="1" x14ac:dyDescent="0.2">
      <c r="A987" s="12"/>
      <c r="B987" s="10"/>
      <c r="C987" s="11"/>
      <c r="D987" s="13"/>
      <c r="E987" s="13"/>
      <c r="F987" s="13"/>
      <c r="G987" s="2"/>
      <c r="H987" s="2"/>
      <c r="I987" s="13"/>
      <c r="J987" s="13"/>
      <c r="K987" s="13"/>
      <c r="L987" s="14"/>
      <c r="M987" s="4"/>
      <c r="N987" s="2"/>
      <c r="O987" s="4"/>
      <c r="P987" s="2"/>
      <c r="Q987" s="2"/>
      <c r="R987" s="4"/>
      <c r="S987" s="2"/>
      <c r="T987" s="2"/>
      <c r="U987" s="1"/>
      <c r="V987" s="2"/>
      <c r="W987" s="2"/>
      <c r="X987" s="2"/>
      <c r="Y987" s="2"/>
      <c r="Z987" s="2"/>
    </row>
    <row r="988" spans="1:26" ht="15.75" customHeight="1" x14ac:dyDescent="0.2">
      <c r="A988" s="12"/>
      <c r="B988" s="10"/>
      <c r="C988" s="11"/>
      <c r="D988" s="13"/>
      <c r="E988" s="13"/>
      <c r="F988" s="13"/>
      <c r="G988" s="2"/>
      <c r="H988" s="2"/>
      <c r="I988" s="13"/>
      <c r="J988" s="13"/>
      <c r="K988" s="13"/>
      <c r="L988" s="14"/>
      <c r="M988" s="4"/>
      <c r="N988" s="2"/>
      <c r="O988" s="4"/>
      <c r="P988" s="2"/>
      <c r="Q988" s="2"/>
      <c r="R988" s="4"/>
      <c r="S988" s="2"/>
      <c r="T988" s="2"/>
      <c r="U988" s="1"/>
      <c r="V988" s="2"/>
      <c r="W988" s="2"/>
      <c r="X988" s="2"/>
      <c r="Y988" s="2"/>
      <c r="Z988" s="2"/>
    </row>
    <row r="989" spans="1:26" ht="15.75" customHeight="1" x14ac:dyDescent="0.2">
      <c r="A989" s="12"/>
      <c r="B989" s="10"/>
      <c r="C989" s="11"/>
      <c r="D989" s="13"/>
      <c r="E989" s="13"/>
      <c r="F989" s="13"/>
      <c r="G989" s="2"/>
      <c r="H989" s="2"/>
      <c r="I989" s="13"/>
      <c r="J989" s="13"/>
      <c r="K989" s="13"/>
      <c r="L989" s="14"/>
      <c r="M989" s="4"/>
      <c r="N989" s="2"/>
      <c r="O989" s="4"/>
      <c r="P989" s="2"/>
      <c r="Q989" s="2"/>
      <c r="R989" s="4"/>
      <c r="S989" s="2"/>
      <c r="T989" s="2"/>
      <c r="U989" s="1"/>
      <c r="V989" s="2"/>
      <c r="W989" s="2"/>
      <c r="X989" s="2"/>
      <c r="Y989" s="2"/>
      <c r="Z989" s="2"/>
    </row>
    <row r="990" spans="1:26" ht="15.75" customHeight="1" x14ac:dyDescent="0.2">
      <c r="A990" s="12"/>
      <c r="B990" s="10"/>
      <c r="C990" s="11"/>
      <c r="D990" s="13"/>
      <c r="E990" s="13"/>
      <c r="F990" s="13"/>
      <c r="G990" s="2"/>
      <c r="H990" s="2"/>
      <c r="I990" s="13"/>
      <c r="J990" s="13"/>
      <c r="K990" s="13"/>
      <c r="L990" s="14"/>
      <c r="M990" s="4"/>
      <c r="N990" s="2"/>
      <c r="O990" s="4"/>
      <c r="P990" s="2"/>
      <c r="Q990" s="2"/>
      <c r="R990" s="4"/>
      <c r="S990" s="2"/>
      <c r="T990" s="2"/>
      <c r="U990" s="1"/>
      <c r="V990" s="2"/>
      <c r="W990" s="2"/>
      <c r="X990" s="2"/>
      <c r="Y990" s="2"/>
      <c r="Z990" s="2"/>
    </row>
    <row r="991" spans="1:26" ht="15.75" customHeight="1" x14ac:dyDescent="0.2">
      <c r="A991" s="12"/>
      <c r="B991" s="10"/>
      <c r="C991" s="11"/>
      <c r="D991" s="13"/>
      <c r="E991" s="13"/>
      <c r="F991" s="13"/>
      <c r="G991" s="2"/>
      <c r="H991" s="2"/>
      <c r="I991" s="13"/>
      <c r="J991" s="13"/>
      <c r="K991" s="13"/>
      <c r="L991" s="14"/>
      <c r="M991" s="4"/>
      <c r="N991" s="2"/>
      <c r="O991" s="4"/>
      <c r="P991" s="2"/>
      <c r="Q991" s="2"/>
      <c r="R991" s="4"/>
      <c r="S991" s="2"/>
      <c r="T991" s="2"/>
      <c r="U991" s="1"/>
      <c r="V991" s="2"/>
      <c r="W991" s="2"/>
      <c r="X991" s="2"/>
      <c r="Y991" s="2"/>
      <c r="Z991" s="2"/>
    </row>
    <row r="992" spans="1:26" ht="15.75" customHeight="1" x14ac:dyDescent="0.2">
      <c r="A992" s="12"/>
      <c r="B992" s="10"/>
      <c r="C992" s="11"/>
      <c r="D992" s="13"/>
      <c r="E992" s="13"/>
      <c r="F992" s="13"/>
      <c r="G992" s="2"/>
      <c r="H992" s="2"/>
      <c r="I992" s="13"/>
      <c r="J992" s="13"/>
      <c r="K992" s="13"/>
      <c r="L992" s="14"/>
      <c r="M992" s="4"/>
      <c r="N992" s="2"/>
      <c r="O992" s="4"/>
      <c r="P992" s="2"/>
      <c r="Q992" s="2"/>
      <c r="R992" s="4"/>
      <c r="S992" s="2"/>
      <c r="T992" s="2"/>
      <c r="U992" s="1"/>
      <c r="V992" s="2"/>
      <c r="W992" s="2"/>
      <c r="X992" s="2"/>
      <c r="Y992" s="2"/>
      <c r="Z992" s="2"/>
    </row>
    <row r="993" spans="1:26" ht="15.75" customHeight="1" x14ac:dyDescent="0.2">
      <c r="A993" s="12"/>
      <c r="B993" s="10"/>
      <c r="C993" s="11"/>
      <c r="D993" s="13"/>
      <c r="E993" s="13"/>
      <c r="F993" s="13"/>
      <c r="G993" s="2"/>
      <c r="H993" s="2"/>
      <c r="I993" s="13"/>
      <c r="J993" s="13"/>
      <c r="K993" s="13"/>
      <c r="L993" s="14"/>
      <c r="M993" s="4"/>
      <c r="N993" s="2"/>
      <c r="O993" s="4"/>
      <c r="P993" s="2"/>
      <c r="Q993" s="2"/>
      <c r="R993" s="4"/>
      <c r="S993" s="2"/>
      <c r="T993" s="2"/>
      <c r="U993" s="1"/>
      <c r="V993" s="2"/>
      <c r="W993" s="2"/>
      <c r="X993" s="2"/>
      <c r="Y993" s="2"/>
      <c r="Z993" s="2"/>
    </row>
    <row r="994" spans="1:26" ht="15.75" customHeight="1" x14ac:dyDescent="0.2">
      <c r="A994" s="12"/>
      <c r="B994" s="10"/>
      <c r="C994" s="11"/>
      <c r="D994" s="13"/>
      <c r="E994" s="13"/>
      <c r="F994" s="13"/>
      <c r="G994" s="2"/>
      <c r="H994" s="2"/>
      <c r="I994" s="13"/>
      <c r="J994" s="13"/>
      <c r="K994" s="13"/>
      <c r="L994" s="14"/>
      <c r="M994" s="4"/>
      <c r="N994" s="2"/>
      <c r="O994" s="4"/>
      <c r="P994" s="2"/>
      <c r="Q994" s="2"/>
      <c r="R994" s="4"/>
      <c r="S994" s="2"/>
      <c r="T994" s="2"/>
      <c r="U994" s="1"/>
      <c r="V994" s="2"/>
      <c r="W994" s="2"/>
      <c r="X994" s="2"/>
      <c r="Y994" s="2"/>
      <c r="Z994" s="2"/>
    </row>
    <row r="995" spans="1:26" ht="15.75" customHeight="1" x14ac:dyDescent="0.2">
      <c r="A995" s="12"/>
      <c r="B995" s="10"/>
      <c r="C995" s="11"/>
      <c r="D995" s="13"/>
      <c r="E995" s="13"/>
      <c r="F995" s="13"/>
      <c r="G995" s="2"/>
      <c r="H995" s="2"/>
      <c r="I995" s="13"/>
      <c r="J995" s="13"/>
      <c r="K995" s="13"/>
      <c r="L995" s="14"/>
      <c r="M995" s="4"/>
      <c r="N995" s="2"/>
      <c r="O995" s="4"/>
      <c r="P995" s="2"/>
      <c r="Q995" s="2"/>
      <c r="R995" s="4"/>
      <c r="S995" s="2"/>
      <c r="T995" s="2"/>
      <c r="U995" s="1"/>
      <c r="V995" s="2"/>
      <c r="W995" s="2"/>
      <c r="X995" s="2"/>
      <c r="Y995" s="2"/>
      <c r="Z995" s="2"/>
    </row>
    <row r="996" spans="1:26" ht="15.75" customHeight="1" x14ac:dyDescent="0.2">
      <c r="A996" s="12"/>
      <c r="B996" s="10"/>
      <c r="C996" s="11"/>
      <c r="D996" s="13"/>
      <c r="E996" s="13"/>
      <c r="F996" s="13"/>
      <c r="G996" s="2"/>
      <c r="H996" s="2"/>
      <c r="I996" s="13"/>
      <c r="J996" s="13"/>
      <c r="K996" s="13"/>
      <c r="L996" s="14"/>
      <c r="M996" s="4"/>
      <c r="N996" s="2"/>
      <c r="O996" s="4"/>
      <c r="P996" s="2"/>
      <c r="Q996" s="2"/>
      <c r="R996" s="4"/>
      <c r="S996" s="2"/>
      <c r="T996" s="2"/>
      <c r="U996" s="1"/>
      <c r="V996" s="2"/>
      <c r="W996" s="2"/>
      <c r="X996" s="2"/>
      <c r="Y996" s="2"/>
      <c r="Z996" s="2"/>
    </row>
    <row r="997" spans="1:26" ht="15.75" customHeight="1" x14ac:dyDescent="0.2">
      <c r="A997" s="12"/>
      <c r="B997" s="10"/>
      <c r="C997" s="11"/>
      <c r="D997" s="13"/>
      <c r="E997" s="13"/>
      <c r="F997" s="13"/>
      <c r="G997" s="2"/>
      <c r="H997" s="2"/>
      <c r="I997" s="13"/>
      <c r="J997" s="13"/>
      <c r="K997" s="13"/>
      <c r="L997" s="14"/>
      <c r="M997" s="4"/>
      <c r="N997" s="2"/>
      <c r="O997" s="4"/>
      <c r="P997" s="2"/>
      <c r="Q997" s="2"/>
      <c r="R997" s="4"/>
      <c r="S997" s="2"/>
      <c r="T997" s="2"/>
      <c r="U997" s="1"/>
      <c r="V997" s="2"/>
      <c r="W997" s="2"/>
      <c r="X997" s="2"/>
      <c r="Y997" s="2"/>
      <c r="Z997" s="2"/>
    </row>
    <row r="998" spans="1:26" ht="15.75" customHeight="1" x14ac:dyDescent="0.2">
      <c r="A998" s="12"/>
      <c r="B998" s="10"/>
      <c r="C998" s="11"/>
      <c r="D998" s="13"/>
      <c r="E998" s="13"/>
      <c r="F998" s="13"/>
      <c r="G998" s="2"/>
      <c r="H998" s="2"/>
      <c r="I998" s="13"/>
      <c r="J998" s="13"/>
      <c r="K998" s="13"/>
      <c r="L998" s="14"/>
      <c r="M998" s="4"/>
      <c r="N998" s="2"/>
      <c r="O998" s="4"/>
      <c r="P998" s="2"/>
      <c r="Q998" s="2"/>
      <c r="R998" s="4"/>
      <c r="S998" s="2"/>
      <c r="T998" s="2"/>
      <c r="U998" s="1"/>
      <c r="V998" s="2"/>
      <c r="W998" s="2"/>
      <c r="X998" s="2"/>
      <c r="Y998" s="2"/>
      <c r="Z998" s="2"/>
    </row>
    <row r="999" spans="1:26" ht="15.75" customHeight="1" x14ac:dyDescent="0.2">
      <c r="A999" s="12"/>
      <c r="B999" s="10"/>
      <c r="C999" s="11"/>
      <c r="D999" s="13"/>
      <c r="E999" s="13"/>
      <c r="F999" s="13"/>
      <c r="G999" s="2"/>
      <c r="H999" s="2"/>
      <c r="I999" s="13"/>
      <c r="J999" s="13"/>
      <c r="K999" s="13"/>
      <c r="L999" s="14"/>
      <c r="M999" s="4"/>
      <c r="N999" s="2"/>
      <c r="O999" s="4"/>
      <c r="P999" s="2"/>
      <c r="Q999" s="2"/>
      <c r="R999" s="4"/>
      <c r="S999" s="2"/>
      <c r="T999" s="2"/>
      <c r="U999" s="1"/>
      <c r="V999" s="2"/>
      <c r="W999" s="2"/>
      <c r="X999" s="2"/>
      <c r="Y999" s="2"/>
      <c r="Z999" s="2"/>
    </row>
    <row r="1000" spans="1:26" ht="15.75" customHeight="1" x14ac:dyDescent="0.2">
      <c r="A1000" s="12"/>
      <c r="B1000" s="10"/>
      <c r="C1000" s="11"/>
      <c r="D1000" s="13"/>
      <c r="E1000" s="13"/>
      <c r="F1000" s="13"/>
      <c r="G1000" s="2"/>
      <c r="H1000" s="2"/>
      <c r="I1000" s="13"/>
      <c r="J1000" s="13"/>
      <c r="K1000" s="13"/>
      <c r="L1000" s="14"/>
      <c r="M1000" s="4"/>
      <c r="N1000" s="2"/>
      <c r="O1000" s="4"/>
      <c r="P1000" s="2"/>
      <c r="Q1000" s="2"/>
      <c r="R1000" s="4"/>
      <c r="S1000" s="2"/>
      <c r="T1000" s="2"/>
      <c r="U1000" s="1"/>
      <c r="V1000" s="2"/>
      <c r="W1000" s="2"/>
      <c r="X1000" s="2"/>
      <c r="Y1000" s="2"/>
      <c r="Z1000" s="2"/>
    </row>
    <row r="1001" spans="1:26" ht="15.75" customHeight="1" x14ac:dyDescent="0.2">
      <c r="A1001" s="12"/>
      <c r="B1001" s="10"/>
      <c r="C1001" s="11"/>
      <c r="D1001" s="13"/>
      <c r="E1001" s="13"/>
      <c r="F1001" s="13"/>
      <c r="G1001" s="2"/>
      <c r="H1001" s="2"/>
      <c r="I1001" s="13"/>
      <c r="J1001" s="13"/>
      <c r="K1001" s="13"/>
      <c r="L1001" s="14"/>
      <c r="M1001" s="4"/>
      <c r="N1001" s="2"/>
      <c r="O1001" s="4"/>
      <c r="P1001" s="2"/>
      <c r="Q1001" s="2"/>
      <c r="R1001" s="4"/>
      <c r="S1001" s="2"/>
      <c r="T1001" s="2"/>
      <c r="U1001" s="1"/>
      <c r="V1001" s="2"/>
      <c r="W1001" s="2"/>
      <c r="X1001" s="2"/>
      <c r="Y1001" s="2"/>
      <c r="Z1001" s="2"/>
    </row>
    <row r="1002" spans="1:26" ht="15.75" customHeight="1" x14ac:dyDescent="0.2">
      <c r="A1002" s="12"/>
      <c r="B1002" s="10"/>
      <c r="C1002" s="11"/>
      <c r="D1002" s="13"/>
      <c r="E1002" s="13"/>
      <c r="F1002" s="13"/>
      <c r="G1002" s="2"/>
      <c r="H1002" s="2"/>
      <c r="I1002" s="13"/>
      <c r="J1002" s="13"/>
      <c r="K1002" s="13"/>
      <c r="L1002" s="14"/>
      <c r="M1002" s="4"/>
      <c r="N1002" s="2"/>
      <c r="O1002" s="4"/>
      <c r="P1002" s="2"/>
      <c r="Q1002" s="2"/>
      <c r="R1002" s="4"/>
      <c r="S1002" s="2"/>
      <c r="T1002" s="2"/>
      <c r="U1002" s="1"/>
      <c r="V1002" s="2"/>
      <c r="W1002" s="2"/>
      <c r="X1002" s="2"/>
      <c r="Y1002" s="2"/>
      <c r="Z1002" s="2"/>
    </row>
    <row r="1003" spans="1:26" ht="15.75" customHeight="1" x14ac:dyDescent="0.2">
      <c r="A1003" s="12"/>
      <c r="B1003" s="10"/>
      <c r="C1003" s="11"/>
      <c r="D1003" s="13"/>
      <c r="E1003" s="13"/>
      <c r="F1003" s="13"/>
      <c r="G1003" s="2"/>
      <c r="H1003" s="2"/>
      <c r="I1003" s="13"/>
      <c r="J1003" s="13"/>
      <c r="K1003" s="13"/>
      <c r="L1003" s="14"/>
      <c r="M1003" s="4"/>
      <c r="N1003" s="2"/>
      <c r="O1003" s="4"/>
      <c r="P1003" s="2"/>
      <c r="Q1003" s="2"/>
      <c r="R1003" s="4"/>
      <c r="S1003" s="2"/>
      <c r="T1003" s="2"/>
      <c r="U1003" s="1"/>
      <c r="V1003" s="2"/>
      <c r="W1003" s="2"/>
      <c r="X1003" s="2"/>
      <c r="Y1003" s="2"/>
      <c r="Z1003" s="2"/>
    </row>
    <row r="1004" spans="1:26" ht="15.75" customHeight="1" x14ac:dyDescent="0.2">
      <c r="A1004" s="12"/>
      <c r="B1004" s="10"/>
      <c r="C1004" s="11"/>
      <c r="D1004" s="13"/>
      <c r="E1004" s="13"/>
      <c r="F1004" s="13"/>
      <c r="G1004" s="2"/>
      <c r="H1004" s="2"/>
      <c r="I1004" s="13"/>
      <c r="J1004" s="13"/>
      <c r="K1004" s="13"/>
      <c r="L1004" s="14"/>
      <c r="M1004" s="4"/>
      <c r="N1004" s="2"/>
      <c r="O1004" s="4"/>
      <c r="P1004" s="2"/>
      <c r="Q1004" s="2"/>
      <c r="R1004" s="4"/>
      <c r="S1004" s="2"/>
      <c r="T1004" s="2"/>
      <c r="U1004" s="1"/>
      <c r="V1004" s="2"/>
      <c r="W1004" s="2"/>
      <c r="X1004" s="2"/>
      <c r="Y1004" s="2"/>
      <c r="Z1004" s="2"/>
    </row>
    <row r="1005" spans="1:26" ht="15.75" customHeight="1" x14ac:dyDescent="0.2">
      <c r="A1005" s="12"/>
      <c r="B1005" s="10"/>
      <c r="C1005" s="11"/>
      <c r="D1005" s="13"/>
      <c r="E1005" s="13"/>
      <c r="F1005" s="13"/>
      <c r="G1005" s="2"/>
      <c r="H1005" s="2"/>
      <c r="I1005" s="13"/>
      <c r="J1005" s="13"/>
      <c r="K1005" s="13"/>
      <c r="L1005" s="14"/>
      <c r="M1005" s="4"/>
      <c r="N1005" s="2"/>
      <c r="O1005" s="4"/>
      <c r="P1005" s="2"/>
      <c r="Q1005" s="2"/>
      <c r="R1005" s="4"/>
      <c r="S1005" s="2"/>
      <c r="T1005" s="2"/>
      <c r="U1005" s="1"/>
      <c r="V1005" s="2"/>
      <c r="W1005" s="2"/>
      <c r="X1005" s="2"/>
      <c r="Y1005" s="2"/>
      <c r="Z1005" s="2"/>
    </row>
    <row r="1006" spans="1:26" ht="15.75" customHeight="1" x14ac:dyDescent="0.2">
      <c r="A1006" s="12"/>
      <c r="B1006" s="10"/>
      <c r="C1006" s="11"/>
      <c r="D1006" s="13"/>
      <c r="E1006" s="13"/>
      <c r="F1006" s="13"/>
      <c r="G1006" s="2"/>
      <c r="H1006" s="2"/>
      <c r="I1006" s="13"/>
      <c r="J1006" s="13"/>
      <c r="K1006" s="13"/>
      <c r="L1006" s="14"/>
      <c r="M1006" s="4"/>
      <c r="N1006" s="2"/>
      <c r="O1006" s="4"/>
      <c r="P1006" s="2"/>
      <c r="Q1006" s="2"/>
      <c r="R1006" s="4"/>
      <c r="S1006" s="2"/>
      <c r="T1006" s="2"/>
      <c r="U1006" s="1"/>
      <c r="V1006" s="2"/>
      <c r="W1006" s="2"/>
      <c r="X1006" s="2"/>
      <c r="Y1006" s="2"/>
      <c r="Z1006" s="2"/>
    </row>
    <row r="1007" spans="1:26" ht="15.75" customHeight="1" x14ac:dyDescent="0.2">
      <c r="A1007" s="12"/>
      <c r="B1007" s="10"/>
      <c r="C1007" s="11"/>
      <c r="D1007" s="13"/>
      <c r="E1007" s="13"/>
      <c r="F1007" s="13"/>
      <c r="G1007" s="2"/>
      <c r="H1007" s="2"/>
      <c r="I1007" s="13"/>
      <c r="J1007" s="13"/>
      <c r="K1007" s="13"/>
      <c r="L1007" s="14"/>
      <c r="M1007" s="4"/>
      <c r="N1007" s="2"/>
      <c r="O1007" s="4"/>
      <c r="P1007" s="2"/>
      <c r="Q1007" s="2"/>
      <c r="R1007" s="4"/>
      <c r="S1007" s="2"/>
      <c r="T1007" s="2"/>
      <c r="U1007" s="1"/>
      <c r="V1007" s="2"/>
      <c r="W1007" s="2"/>
      <c r="X1007" s="2"/>
      <c r="Y1007" s="2"/>
      <c r="Z1007" s="2"/>
    </row>
    <row r="1008" spans="1:26" ht="15.75" customHeight="1" x14ac:dyDescent="0.2">
      <c r="A1008" s="12"/>
      <c r="B1008" s="10"/>
      <c r="C1008" s="11"/>
      <c r="D1008" s="13"/>
      <c r="E1008" s="13"/>
      <c r="F1008" s="13"/>
      <c r="G1008" s="2"/>
      <c r="H1008" s="2"/>
      <c r="I1008" s="13"/>
      <c r="J1008" s="13"/>
      <c r="K1008" s="13"/>
      <c r="L1008" s="14"/>
      <c r="M1008" s="4"/>
      <c r="N1008" s="2"/>
      <c r="O1008" s="4"/>
      <c r="P1008" s="2"/>
      <c r="Q1008" s="2"/>
      <c r="R1008" s="4"/>
      <c r="S1008" s="2"/>
      <c r="T1008" s="2"/>
      <c r="U1008" s="1"/>
      <c r="V1008" s="2"/>
      <c r="W1008" s="2"/>
      <c r="X1008" s="2"/>
      <c r="Y1008" s="2"/>
      <c r="Z1008" s="2"/>
    </row>
    <row r="1009" spans="1:26" ht="15.75" customHeight="1" x14ac:dyDescent="0.2">
      <c r="A1009" s="12"/>
      <c r="B1009" s="10"/>
      <c r="C1009" s="11"/>
      <c r="D1009" s="13"/>
      <c r="E1009" s="13"/>
      <c r="F1009" s="13"/>
      <c r="G1009" s="2"/>
      <c r="H1009" s="2"/>
      <c r="I1009" s="13"/>
      <c r="J1009" s="13"/>
      <c r="K1009" s="13"/>
      <c r="L1009" s="14"/>
      <c r="M1009" s="4"/>
      <c r="N1009" s="2"/>
      <c r="O1009" s="4"/>
      <c r="P1009" s="2"/>
      <c r="Q1009" s="2"/>
      <c r="R1009" s="4"/>
      <c r="S1009" s="2"/>
      <c r="T1009" s="2"/>
      <c r="U1009" s="1"/>
      <c r="V1009" s="2"/>
      <c r="W1009" s="2"/>
      <c r="X1009" s="2"/>
      <c r="Y1009" s="2"/>
      <c r="Z1009" s="2"/>
    </row>
    <row r="1010" spans="1:26" ht="15.75" customHeight="1" x14ac:dyDescent="0.2">
      <c r="A1010" s="12"/>
      <c r="B1010" s="10"/>
      <c r="C1010" s="11"/>
      <c r="D1010" s="13"/>
      <c r="E1010" s="13"/>
      <c r="F1010" s="13"/>
      <c r="G1010" s="2"/>
      <c r="H1010" s="2"/>
      <c r="I1010" s="13"/>
      <c r="J1010" s="13"/>
      <c r="K1010" s="13"/>
      <c r="L1010" s="14"/>
      <c r="M1010" s="4"/>
      <c r="N1010" s="2"/>
      <c r="O1010" s="4"/>
      <c r="P1010" s="2"/>
      <c r="Q1010" s="2"/>
      <c r="R1010" s="4"/>
      <c r="S1010" s="2"/>
      <c r="T1010" s="2"/>
      <c r="U1010" s="1"/>
      <c r="V1010" s="2"/>
      <c r="W1010" s="2"/>
      <c r="X1010" s="2"/>
      <c r="Y1010" s="2"/>
      <c r="Z1010" s="2"/>
    </row>
    <row r="1011" spans="1:26" ht="15.75" customHeight="1" x14ac:dyDescent="0.2">
      <c r="A1011" s="12"/>
      <c r="B1011" s="10"/>
      <c r="C1011" s="11"/>
      <c r="D1011" s="13"/>
      <c r="E1011" s="13"/>
      <c r="F1011" s="13"/>
      <c r="G1011" s="2"/>
      <c r="H1011" s="2"/>
      <c r="I1011" s="13"/>
      <c r="J1011" s="13"/>
      <c r="K1011" s="13"/>
      <c r="L1011" s="14"/>
      <c r="M1011" s="4"/>
      <c r="N1011" s="2"/>
      <c r="O1011" s="4"/>
      <c r="P1011" s="2"/>
      <c r="Q1011" s="2"/>
      <c r="R1011" s="4"/>
      <c r="S1011" s="2"/>
      <c r="T1011" s="2"/>
      <c r="U1011" s="1"/>
      <c r="V1011" s="2"/>
      <c r="W1011" s="2"/>
      <c r="X1011" s="2"/>
      <c r="Y1011" s="2"/>
      <c r="Z1011" s="2"/>
    </row>
    <row r="1012" spans="1:26" ht="15.75" customHeight="1" x14ac:dyDescent="0.2">
      <c r="A1012" s="12"/>
      <c r="B1012" s="10"/>
      <c r="C1012" s="11"/>
      <c r="D1012" s="13"/>
      <c r="E1012" s="13"/>
      <c r="F1012" s="13"/>
      <c r="G1012" s="2"/>
      <c r="H1012" s="2"/>
      <c r="I1012" s="13"/>
      <c r="J1012" s="13"/>
      <c r="K1012" s="13"/>
      <c r="L1012" s="14"/>
      <c r="M1012" s="4"/>
      <c r="N1012" s="2"/>
      <c r="O1012" s="4"/>
      <c r="P1012" s="2"/>
      <c r="Q1012" s="2"/>
      <c r="R1012" s="4"/>
      <c r="S1012" s="2"/>
      <c r="T1012" s="2"/>
      <c r="U1012" s="1"/>
      <c r="V1012" s="2"/>
      <c r="W1012" s="2"/>
      <c r="X1012" s="2"/>
      <c r="Y1012" s="2"/>
      <c r="Z1012" s="2"/>
    </row>
    <row r="1013" spans="1:26" ht="15.75" customHeight="1" x14ac:dyDescent="0.2">
      <c r="A1013" s="12"/>
      <c r="B1013" s="10"/>
      <c r="C1013" s="11"/>
      <c r="D1013" s="13"/>
      <c r="E1013" s="13"/>
      <c r="F1013" s="13"/>
      <c r="G1013" s="2"/>
      <c r="H1013" s="2"/>
      <c r="I1013" s="13"/>
      <c r="J1013" s="13"/>
      <c r="K1013" s="13"/>
      <c r="L1013" s="14"/>
      <c r="M1013" s="4"/>
      <c r="N1013" s="2"/>
      <c r="O1013" s="4"/>
      <c r="P1013" s="2"/>
      <c r="Q1013" s="2"/>
      <c r="R1013" s="4"/>
      <c r="S1013" s="2"/>
      <c r="T1013" s="2"/>
      <c r="U1013" s="1"/>
      <c r="V1013" s="2"/>
      <c r="W1013" s="2"/>
      <c r="X1013" s="2"/>
      <c r="Y1013" s="2"/>
      <c r="Z1013" s="2"/>
    </row>
    <row r="1014" spans="1:26" ht="15.75" customHeight="1" x14ac:dyDescent="0.2">
      <c r="A1014" s="12"/>
      <c r="B1014" s="10"/>
      <c r="C1014" s="11"/>
      <c r="D1014" s="13"/>
      <c r="E1014" s="13"/>
      <c r="F1014" s="13"/>
      <c r="G1014" s="2"/>
      <c r="H1014" s="2"/>
      <c r="I1014" s="13"/>
      <c r="J1014" s="13"/>
      <c r="K1014" s="13"/>
      <c r="L1014" s="14"/>
      <c r="M1014" s="4"/>
      <c r="N1014" s="2"/>
      <c r="O1014" s="4"/>
      <c r="P1014" s="2"/>
      <c r="Q1014" s="2"/>
      <c r="R1014" s="4"/>
      <c r="S1014" s="2"/>
      <c r="T1014" s="2"/>
      <c r="U1014" s="1"/>
      <c r="V1014" s="2"/>
      <c r="W1014" s="2"/>
      <c r="X1014" s="2"/>
      <c r="Y1014" s="2"/>
      <c r="Z1014" s="2"/>
    </row>
    <row r="1015" spans="1:26" ht="15.75" customHeight="1" x14ac:dyDescent="0.2">
      <c r="A1015" s="12"/>
      <c r="B1015" s="10"/>
      <c r="C1015" s="11"/>
      <c r="D1015" s="13"/>
      <c r="E1015" s="13"/>
      <c r="F1015" s="13"/>
      <c r="G1015" s="2"/>
      <c r="H1015" s="2"/>
      <c r="I1015" s="13"/>
      <c r="J1015" s="13"/>
      <c r="K1015" s="13"/>
      <c r="L1015" s="14"/>
      <c r="M1015" s="4"/>
      <c r="N1015" s="2"/>
      <c r="O1015" s="4"/>
      <c r="P1015" s="2"/>
      <c r="Q1015" s="2"/>
      <c r="R1015" s="4"/>
      <c r="S1015" s="2"/>
      <c r="T1015" s="2"/>
      <c r="U1015" s="1"/>
      <c r="V1015" s="2"/>
      <c r="W1015" s="2"/>
      <c r="X1015" s="2"/>
      <c r="Y1015" s="2"/>
      <c r="Z1015" s="2"/>
    </row>
    <row r="1016" spans="1:26" ht="15.75" customHeight="1" x14ac:dyDescent="0.2">
      <c r="A1016" s="12"/>
      <c r="B1016" s="10"/>
      <c r="C1016" s="11"/>
      <c r="D1016" s="13"/>
      <c r="E1016" s="13"/>
      <c r="F1016" s="13"/>
      <c r="G1016" s="2"/>
      <c r="H1016" s="2"/>
      <c r="I1016" s="13"/>
      <c r="J1016" s="13"/>
      <c r="K1016" s="13"/>
      <c r="L1016" s="14"/>
      <c r="M1016" s="4"/>
      <c r="N1016" s="2"/>
      <c r="O1016" s="4"/>
      <c r="P1016" s="2"/>
      <c r="Q1016" s="2"/>
      <c r="R1016" s="4"/>
      <c r="S1016" s="2"/>
      <c r="T1016" s="2"/>
      <c r="U1016" s="1"/>
      <c r="V1016" s="2"/>
      <c r="W1016" s="2"/>
      <c r="X1016" s="2"/>
      <c r="Y1016" s="2"/>
      <c r="Z1016" s="2"/>
    </row>
    <row r="1017" spans="1:26" ht="15.75" customHeight="1" x14ac:dyDescent="0.2">
      <c r="A1017" s="12"/>
      <c r="B1017" s="10"/>
      <c r="C1017" s="11"/>
      <c r="D1017" s="13"/>
      <c r="E1017" s="13"/>
      <c r="F1017" s="13"/>
      <c r="G1017" s="2"/>
      <c r="H1017" s="2"/>
      <c r="I1017" s="13"/>
      <c r="J1017" s="13"/>
      <c r="K1017" s="13"/>
      <c r="L1017" s="14"/>
      <c r="M1017" s="4"/>
      <c r="N1017" s="2"/>
      <c r="O1017" s="4"/>
      <c r="P1017" s="2"/>
      <c r="Q1017" s="2"/>
      <c r="R1017" s="4"/>
      <c r="S1017" s="2"/>
      <c r="T1017" s="2"/>
      <c r="U1017" s="1"/>
      <c r="V1017" s="2"/>
      <c r="W1017" s="2"/>
      <c r="X1017" s="2"/>
      <c r="Y1017" s="2"/>
      <c r="Z1017" s="2"/>
    </row>
    <row r="1018" spans="1:26" ht="15.75" customHeight="1" x14ac:dyDescent="0.2">
      <c r="A1018" s="12"/>
      <c r="B1018" s="10"/>
      <c r="C1018" s="11"/>
      <c r="D1018" s="13"/>
      <c r="E1018" s="13"/>
      <c r="F1018" s="13"/>
      <c r="G1018" s="2"/>
      <c r="H1018" s="2"/>
      <c r="I1018" s="13"/>
      <c r="J1018" s="13"/>
      <c r="K1018" s="13"/>
      <c r="L1018" s="14"/>
      <c r="M1018" s="4"/>
      <c r="N1018" s="2"/>
      <c r="O1018" s="4"/>
      <c r="P1018" s="2"/>
      <c r="Q1018" s="2"/>
      <c r="R1018" s="4"/>
      <c r="S1018" s="2"/>
      <c r="T1018" s="2"/>
      <c r="U1018" s="1"/>
      <c r="V1018" s="2"/>
      <c r="W1018" s="2"/>
      <c r="X1018" s="2"/>
      <c r="Y1018" s="2"/>
      <c r="Z1018" s="2"/>
    </row>
    <row r="1019" spans="1:26" ht="15.75" customHeight="1" x14ac:dyDescent="0.2">
      <c r="A1019" s="12"/>
      <c r="B1019" s="10"/>
      <c r="C1019" s="11"/>
      <c r="D1019" s="13"/>
      <c r="E1019" s="13"/>
      <c r="F1019" s="13"/>
      <c r="G1019" s="2"/>
      <c r="H1019" s="2"/>
      <c r="I1019" s="13"/>
      <c r="J1019" s="13"/>
      <c r="K1019" s="13"/>
      <c r="L1019" s="14"/>
      <c r="M1019" s="4"/>
      <c r="N1019" s="2"/>
      <c r="O1019" s="4"/>
      <c r="P1019" s="2"/>
      <c r="Q1019" s="2"/>
      <c r="R1019" s="4"/>
      <c r="S1019" s="2"/>
      <c r="T1019" s="2"/>
      <c r="U1019" s="1"/>
      <c r="V1019" s="2"/>
      <c r="W1019" s="2"/>
      <c r="X1019" s="2"/>
      <c r="Y1019" s="2"/>
      <c r="Z1019" s="2"/>
    </row>
    <row r="1020" spans="1:26" ht="15.75" customHeight="1" x14ac:dyDescent="0.2">
      <c r="A1020" s="12"/>
      <c r="B1020" s="10"/>
      <c r="C1020" s="11"/>
      <c r="D1020" s="13"/>
      <c r="E1020" s="13"/>
      <c r="F1020" s="13"/>
      <c r="G1020" s="2"/>
      <c r="H1020" s="2"/>
      <c r="I1020" s="13"/>
      <c r="J1020" s="13"/>
      <c r="K1020" s="13"/>
      <c r="L1020" s="14"/>
      <c r="M1020" s="4"/>
      <c r="N1020" s="2"/>
      <c r="O1020" s="4"/>
      <c r="P1020" s="2"/>
      <c r="Q1020" s="2"/>
      <c r="R1020" s="4"/>
      <c r="S1020" s="2"/>
      <c r="T1020" s="2"/>
      <c r="U1020" s="1"/>
      <c r="V1020" s="2"/>
      <c r="W1020" s="2"/>
      <c r="X1020" s="2"/>
      <c r="Y1020" s="2"/>
      <c r="Z1020" s="2"/>
    </row>
    <row r="1021" spans="1:26" ht="15.75" customHeight="1" x14ac:dyDescent="0.2">
      <c r="A1021" s="12"/>
      <c r="B1021" s="10"/>
      <c r="C1021" s="11"/>
      <c r="D1021" s="13"/>
      <c r="E1021" s="13"/>
      <c r="F1021" s="13"/>
      <c r="G1021" s="2"/>
      <c r="H1021" s="2"/>
      <c r="I1021" s="13"/>
      <c r="J1021" s="13"/>
      <c r="K1021" s="13"/>
      <c r="L1021" s="14"/>
      <c r="M1021" s="4"/>
      <c r="N1021" s="2"/>
      <c r="O1021" s="4"/>
      <c r="P1021" s="2"/>
      <c r="Q1021" s="2"/>
      <c r="R1021" s="4"/>
      <c r="S1021" s="2"/>
      <c r="T1021" s="2"/>
      <c r="U1021" s="1"/>
      <c r="V1021" s="2"/>
      <c r="W1021" s="2"/>
      <c r="X1021" s="2"/>
      <c r="Y1021" s="2"/>
      <c r="Z1021" s="2"/>
    </row>
    <row r="1022" spans="1:26" ht="15.75" customHeight="1" x14ac:dyDescent="0.2">
      <c r="A1022" s="12"/>
      <c r="B1022" s="10"/>
      <c r="C1022" s="11"/>
      <c r="D1022" s="13"/>
      <c r="E1022" s="13"/>
      <c r="F1022" s="13"/>
      <c r="G1022" s="2"/>
      <c r="H1022" s="2"/>
      <c r="I1022" s="13"/>
      <c r="J1022" s="13"/>
      <c r="K1022" s="13"/>
      <c r="L1022" s="14"/>
      <c r="M1022" s="4"/>
      <c r="N1022" s="2"/>
      <c r="O1022" s="4"/>
      <c r="P1022" s="2"/>
      <c r="Q1022" s="2"/>
      <c r="R1022" s="4"/>
      <c r="S1022" s="2"/>
      <c r="T1022" s="2"/>
      <c r="U1022" s="1"/>
      <c r="V1022" s="2"/>
      <c r="W1022" s="2"/>
      <c r="X1022" s="2"/>
      <c r="Y1022" s="2"/>
      <c r="Z1022" s="2"/>
    </row>
    <row r="1023" spans="1:26" ht="15.75" customHeight="1" x14ac:dyDescent="0.2">
      <c r="A1023" s="12"/>
      <c r="B1023" s="10"/>
      <c r="C1023" s="11"/>
      <c r="D1023" s="13"/>
      <c r="E1023" s="13"/>
      <c r="F1023" s="13"/>
      <c r="G1023" s="2"/>
      <c r="H1023" s="2"/>
      <c r="I1023" s="13"/>
      <c r="J1023" s="13"/>
      <c r="K1023" s="13"/>
      <c r="L1023" s="14"/>
      <c r="M1023" s="4"/>
      <c r="N1023" s="2"/>
      <c r="O1023" s="4"/>
      <c r="P1023" s="2"/>
      <c r="Q1023" s="2"/>
      <c r="R1023" s="4"/>
      <c r="S1023" s="2"/>
      <c r="T1023" s="2"/>
      <c r="U1023" s="1"/>
      <c r="V1023" s="2"/>
      <c r="W1023" s="2"/>
      <c r="X1023" s="2"/>
      <c r="Y1023" s="2"/>
      <c r="Z1023" s="2"/>
    </row>
    <row r="1024" spans="1:26" ht="15.75" customHeight="1" x14ac:dyDescent="0.2">
      <c r="A1024" s="12"/>
      <c r="B1024" s="10"/>
      <c r="C1024" s="11"/>
      <c r="D1024" s="13"/>
      <c r="E1024" s="13"/>
      <c r="F1024" s="13"/>
      <c r="G1024" s="2"/>
      <c r="H1024" s="2"/>
      <c r="I1024" s="13"/>
      <c r="J1024" s="13"/>
      <c r="K1024" s="13"/>
      <c r="L1024" s="14"/>
      <c r="M1024" s="4"/>
      <c r="N1024" s="2"/>
      <c r="O1024" s="4"/>
      <c r="P1024" s="2"/>
      <c r="Q1024" s="2"/>
      <c r="R1024" s="4"/>
      <c r="S1024" s="2"/>
      <c r="T1024" s="2"/>
      <c r="U1024" s="1"/>
      <c r="V1024" s="2"/>
      <c r="W1024" s="2"/>
      <c r="X1024" s="2"/>
      <c r="Y1024" s="2"/>
      <c r="Z1024" s="2"/>
    </row>
    <row r="1025" spans="1:26" ht="15.75" customHeight="1" x14ac:dyDescent="0.2">
      <c r="A1025" s="12"/>
      <c r="B1025" s="10"/>
      <c r="C1025" s="11"/>
      <c r="D1025" s="13"/>
      <c r="E1025" s="13"/>
      <c r="F1025" s="13"/>
      <c r="G1025" s="2"/>
      <c r="H1025" s="2"/>
      <c r="I1025" s="13"/>
      <c r="J1025" s="13"/>
      <c r="K1025" s="13"/>
      <c r="L1025" s="14"/>
      <c r="M1025" s="4"/>
      <c r="N1025" s="2"/>
      <c r="O1025" s="4"/>
      <c r="P1025" s="2"/>
      <c r="Q1025" s="2"/>
      <c r="R1025" s="4"/>
      <c r="S1025" s="2"/>
      <c r="T1025" s="2"/>
      <c r="U1025" s="1"/>
      <c r="V1025" s="2"/>
      <c r="W1025" s="2"/>
      <c r="X1025" s="2"/>
      <c r="Y1025" s="2"/>
      <c r="Z1025" s="2"/>
    </row>
    <row r="1026" spans="1:26" ht="15.75" customHeight="1" x14ac:dyDescent="0.2">
      <c r="A1026" s="12"/>
      <c r="B1026" s="10"/>
      <c r="C1026" s="11"/>
      <c r="D1026" s="13"/>
      <c r="E1026" s="13"/>
      <c r="F1026" s="13"/>
      <c r="G1026" s="2"/>
      <c r="H1026" s="2"/>
      <c r="I1026" s="13"/>
      <c r="J1026" s="13"/>
      <c r="K1026" s="13"/>
      <c r="L1026" s="14"/>
      <c r="M1026" s="4"/>
      <c r="N1026" s="2"/>
      <c r="O1026" s="4"/>
      <c r="P1026" s="2"/>
      <c r="Q1026" s="2"/>
      <c r="R1026" s="4"/>
      <c r="S1026" s="2"/>
      <c r="T1026" s="2"/>
      <c r="U1026" s="1"/>
      <c r="V1026" s="2"/>
      <c r="W1026" s="2"/>
      <c r="X1026" s="2"/>
      <c r="Y1026" s="2"/>
      <c r="Z1026" s="2"/>
    </row>
    <row r="1027" spans="1:26" ht="15.75" customHeight="1" x14ac:dyDescent="0.2">
      <c r="A1027" s="12"/>
      <c r="B1027" s="10"/>
      <c r="C1027" s="11"/>
      <c r="D1027" s="13"/>
      <c r="E1027" s="13"/>
      <c r="F1027" s="13"/>
      <c r="G1027" s="2"/>
      <c r="H1027" s="2"/>
      <c r="I1027" s="13"/>
      <c r="J1027" s="13"/>
      <c r="K1027" s="13"/>
      <c r="L1027" s="14"/>
      <c r="M1027" s="4"/>
      <c r="N1027" s="2"/>
      <c r="O1027" s="4"/>
      <c r="P1027" s="2"/>
      <c r="Q1027" s="2"/>
      <c r="R1027" s="4"/>
      <c r="S1027" s="2"/>
      <c r="T1027" s="2"/>
      <c r="U1027" s="1"/>
      <c r="V1027" s="2"/>
      <c r="W1027" s="2"/>
      <c r="X1027" s="2"/>
      <c r="Y1027" s="2"/>
      <c r="Z1027" s="2"/>
    </row>
    <row r="1028" spans="1:26" ht="15.75" customHeight="1" x14ac:dyDescent="0.2">
      <c r="A1028" s="12"/>
      <c r="B1028" s="10"/>
      <c r="C1028" s="11"/>
      <c r="D1028" s="13"/>
      <c r="E1028" s="13"/>
      <c r="F1028" s="13"/>
      <c r="G1028" s="2"/>
      <c r="H1028" s="2"/>
      <c r="I1028" s="13"/>
      <c r="J1028" s="13"/>
      <c r="K1028" s="13"/>
      <c r="L1028" s="14"/>
      <c r="M1028" s="4"/>
      <c r="N1028" s="2"/>
      <c r="O1028" s="4"/>
      <c r="P1028" s="2"/>
      <c r="Q1028" s="2"/>
      <c r="R1028" s="4"/>
      <c r="S1028" s="2"/>
      <c r="T1028" s="2"/>
      <c r="U1028" s="1"/>
      <c r="V1028" s="2"/>
      <c r="W1028" s="2"/>
      <c r="X1028" s="2"/>
      <c r="Y1028" s="2"/>
      <c r="Z1028" s="2"/>
    </row>
    <row r="1029" spans="1:26" ht="15.75" customHeight="1" x14ac:dyDescent="0.2">
      <c r="A1029" s="12"/>
      <c r="B1029" s="10"/>
      <c r="C1029" s="11"/>
      <c r="D1029" s="13"/>
      <c r="E1029" s="13"/>
      <c r="F1029" s="13"/>
      <c r="G1029" s="2"/>
      <c r="H1029" s="2"/>
      <c r="I1029" s="13"/>
      <c r="J1029" s="13"/>
      <c r="K1029" s="13"/>
      <c r="L1029" s="14"/>
      <c r="M1029" s="4"/>
      <c r="N1029" s="2"/>
      <c r="O1029" s="4"/>
      <c r="P1029" s="2"/>
      <c r="Q1029" s="2"/>
      <c r="R1029" s="4"/>
      <c r="S1029" s="2"/>
      <c r="T1029" s="2"/>
      <c r="U1029" s="1"/>
      <c r="V1029" s="2"/>
      <c r="W1029" s="2"/>
      <c r="X1029" s="2"/>
      <c r="Y1029" s="2"/>
      <c r="Z1029" s="2"/>
    </row>
    <row r="1030" spans="1:26" ht="15.75" customHeight="1" x14ac:dyDescent="0.2">
      <c r="A1030" s="12"/>
      <c r="B1030" s="10"/>
      <c r="C1030" s="11"/>
      <c r="D1030" s="13"/>
      <c r="E1030" s="13"/>
      <c r="F1030" s="13"/>
      <c r="G1030" s="2"/>
      <c r="H1030" s="2"/>
      <c r="I1030" s="13"/>
      <c r="J1030" s="13"/>
      <c r="K1030" s="13"/>
      <c r="L1030" s="14"/>
      <c r="M1030" s="4"/>
      <c r="N1030" s="2"/>
      <c r="O1030" s="4"/>
      <c r="P1030" s="2"/>
      <c r="Q1030" s="2"/>
      <c r="R1030" s="4"/>
      <c r="S1030" s="2"/>
      <c r="T1030" s="2"/>
      <c r="U1030" s="1"/>
      <c r="V1030" s="2"/>
      <c r="W1030" s="2"/>
      <c r="X1030" s="2"/>
      <c r="Y1030" s="2"/>
      <c r="Z1030" s="2"/>
    </row>
    <row r="1031" spans="1:26" ht="15.75" customHeight="1" x14ac:dyDescent="0.2">
      <c r="A1031" s="12"/>
      <c r="B1031" s="10"/>
      <c r="C1031" s="11"/>
      <c r="D1031" s="13"/>
      <c r="E1031" s="13"/>
      <c r="F1031" s="13"/>
      <c r="G1031" s="2"/>
      <c r="H1031" s="2"/>
      <c r="I1031" s="13"/>
      <c r="J1031" s="13"/>
      <c r="K1031" s="13"/>
      <c r="L1031" s="14"/>
      <c r="M1031" s="4"/>
      <c r="N1031" s="2"/>
      <c r="O1031" s="4"/>
      <c r="P1031" s="2"/>
      <c r="Q1031" s="2"/>
      <c r="R1031" s="4"/>
      <c r="S1031" s="2"/>
      <c r="T1031" s="2"/>
      <c r="U1031" s="1"/>
      <c r="V1031" s="2"/>
      <c r="W1031" s="2"/>
      <c r="X1031" s="2"/>
      <c r="Y1031" s="2"/>
      <c r="Z1031" s="2"/>
    </row>
    <row r="1032" spans="1:26" ht="15.75" customHeight="1" x14ac:dyDescent="0.2">
      <c r="A1032" s="12"/>
      <c r="B1032" s="10"/>
      <c r="C1032" s="11"/>
      <c r="D1032" s="13"/>
      <c r="E1032" s="13"/>
      <c r="F1032" s="13"/>
      <c r="G1032" s="2"/>
      <c r="H1032" s="2"/>
      <c r="I1032" s="13"/>
      <c r="J1032" s="13"/>
      <c r="K1032" s="13"/>
      <c r="L1032" s="14"/>
      <c r="M1032" s="4"/>
      <c r="N1032" s="2"/>
      <c r="O1032" s="4"/>
      <c r="P1032" s="2"/>
      <c r="Q1032" s="2"/>
      <c r="R1032" s="4"/>
      <c r="S1032" s="2"/>
      <c r="T1032" s="2"/>
      <c r="U1032" s="1"/>
      <c r="V1032" s="2"/>
      <c r="W1032" s="2"/>
      <c r="X1032" s="2"/>
      <c r="Y1032" s="2"/>
      <c r="Z1032" s="2"/>
    </row>
    <row r="1033" spans="1:26" ht="15.75" customHeight="1" x14ac:dyDescent="0.2">
      <c r="A1033" s="12"/>
      <c r="B1033" s="10"/>
      <c r="C1033" s="11"/>
      <c r="D1033" s="13"/>
      <c r="E1033" s="13"/>
      <c r="F1033" s="13"/>
      <c r="G1033" s="2"/>
      <c r="H1033" s="2"/>
      <c r="I1033" s="13"/>
      <c r="J1033" s="13"/>
      <c r="K1033" s="13"/>
      <c r="L1033" s="14"/>
      <c r="M1033" s="4"/>
      <c r="N1033" s="2"/>
      <c r="O1033" s="4"/>
      <c r="P1033" s="2"/>
      <c r="Q1033" s="2"/>
      <c r="R1033" s="4"/>
      <c r="S1033" s="2"/>
      <c r="T1033" s="2"/>
      <c r="U1033" s="1"/>
      <c r="V1033" s="2"/>
      <c r="W1033" s="2"/>
      <c r="X1033" s="2"/>
      <c r="Y1033" s="2"/>
      <c r="Z1033" s="2"/>
    </row>
    <row r="1034" spans="1:26" ht="15.75" customHeight="1" x14ac:dyDescent="0.2">
      <c r="A1034" s="12"/>
      <c r="B1034" s="10"/>
      <c r="C1034" s="11"/>
      <c r="D1034" s="13"/>
      <c r="E1034" s="13"/>
      <c r="F1034" s="13"/>
      <c r="G1034" s="2"/>
      <c r="H1034" s="2"/>
      <c r="I1034" s="13"/>
      <c r="J1034" s="13"/>
      <c r="K1034" s="13"/>
      <c r="L1034" s="14"/>
      <c r="M1034" s="4"/>
      <c r="N1034" s="2"/>
      <c r="O1034" s="4"/>
      <c r="P1034" s="2"/>
      <c r="Q1034" s="2"/>
      <c r="R1034" s="4"/>
      <c r="S1034" s="2"/>
      <c r="T1034" s="2"/>
      <c r="U1034" s="1"/>
      <c r="V1034" s="2"/>
      <c r="W1034" s="2"/>
      <c r="X1034" s="2"/>
      <c r="Y1034" s="2"/>
      <c r="Z1034" s="2"/>
    </row>
    <row r="1035" spans="1:26" ht="15.75" customHeight="1" x14ac:dyDescent="0.2">
      <c r="A1035" s="12"/>
      <c r="B1035" s="10"/>
      <c r="C1035" s="11"/>
      <c r="D1035" s="13"/>
      <c r="E1035" s="13"/>
      <c r="F1035" s="13"/>
      <c r="G1035" s="2"/>
      <c r="H1035" s="2"/>
      <c r="I1035" s="13"/>
      <c r="J1035" s="13"/>
      <c r="K1035" s="13"/>
      <c r="L1035" s="14"/>
      <c r="M1035" s="4"/>
      <c r="N1035" s="2"/>
      <c r="O1035" s="4"/>
      <c r="P1035" s="2"/>
      <c r="Q1035" s="2"/>
      <c r="R1035" s="4"/>
      <c r="S1035" s="2"/>
      <c r="T1035" s="2"/>
      <c r="U1035" s="1"/>
      <c r="V1035" s="2"/>
      <c r="W1035" s="2"/>
      <c r="X1035" s="2"/>
      <c r="Y1035" s="2"/>
      <c r="Z1035" s="2"/>
    </row>
    <row r="1036" spans="1:26" ht="15.75" customHeight="1" x14ac:dyDescent="0.2">
      <c r="A1036" s="12"/>
      <c r="B1036" s="10"/>
      <c r="C1036" s="11"/>
      <c r="D1036" s="13"/>
      <c r="E1036" s="13"/>
      <c r="F1036" s="13"/>
      <c r="G1036" s="2"/>
      <c r="H1036" s="2"/>
      <c r="I1036" s="13"/>
      <c r="J1036" s="13"/>
      <c r="K1036" s="13"/>
      <c r="L1036" s="14"/>
      <c r="M1036" s="4"/>
      <c r="N1036" s="2"/>
      <c r="O1036" s="4"/>
      <c r="P1036" s="2"/>
      <c r="Q1036" s="2"/>
      <c r="R1036" s="4"/>
      <c r="S1036" s="2"/>
      <c r="T1036" s="2"/>
      <c r="U1036" s="1"/>
      <c r="V1036" s="2"/>
      <c r="W1036" s="2"/>
      <c r="X1036" s="2"/>
      <c r="Y1036" s="2"/>
      <c r="Z1036" s="2"/>
    </row>
    <row r="1037" spans="1:26" ht="15.75" customHeight="1" x14ac:dyDescent="0.2">
      <c r="A1037" s="12"/>
      <c r="B1037" s="10"/>
      <c r="C1037" s="11"/>
      <c r="D1037" s="13"/>
      <c r="E1037" s="13"/>
      <c r="F1037" s="13"/>
      <c r="G1037" s="2"/>
      <c r="H1037" s="2"/>
      <c r="I1037" s="13"/>
      <c r="J1037" s="13"/>
      <c r="K1037" s="13"/>
      <c r="L1037" s="14"/>
      <c r="M1037" s="4"/>
      <c r="N1037" s="2"/>
      <c r="O1037" s="4"/>
      <c r="P1037" s="2"/>
      <c r="Q1037" s="2"/>
      <c r="R1037" s="4"/>
      <c r="S1037" s="2"/>
      <c r="T1037" s="2"/>
      <c r="U1037" s="1"/>
      <c r="V1037" s="2"/>
      <c r="W1037" s="2"/>
      <c r="X1037" s="2"/>
      <c r="Y1037" s="2"/>
      <c r="Z1037" s="2"/>
    </row>
    <row r="1038" spans="1:26" ht="15.75" customHeight="1" x14ac:dyDescent="0.2">
      <c r="A1038" s="12"/>
      <c r="B1038" s="10"/>
      <c r="C1038" s="11"/>
      <c r="D1038" s="13"/>
      <c r="E1038" s="13"/>
      <c r="F1038" s="13"/>
      <c r="G1038" s="2"/>
      <c r="H1038" s="2"/>
      <c r="I1038" s="13"/>
      <c r="J1038" s="13"/>
      <c r="K1038" s="13"/>
      <c r="L1038" s="14"/>
      <c r="M1038" s="4"/>
      <c r="N1038" s="2"/>
      <c r="O1038" s="4"/>
      <c r="P1038" s="2"/>
      <c r="Q1038" s="2"/>
      <c r="R1038" s="4"/>
      <c r="S1038" s="2"/>
      <c r="T1038" s="2"/>
      <c r="U1038" s="1"/>
      <c r="V1038" s="2"/>
      <c r="W1038" s="2"/>
      <c r="X1038" s="2"/>
      <c r="Y1038" s="2"/>
      <c r="Z1038" s="2"/>
    </row>
    <row r="1039" spans="1:26" ht="15.75" customHeight="1" x14ac:dyDescent="0.2">
      <c r="A1039" s="12"/>
      <c r="B1039" s="10"/>
      <c r="C1039" s="11"/>
      <c r="D1039" s="13"/>
      <c r="E1039" s="13"/>
      <c r="F1039" s="13"/>
      <c r="G1039" s="2"/>
      <c r="H1039" s="2"/>
      <c r="I1039" s="13"/>
      <c r="J1039" s="13"/>
      <c r="K1039" s="13"/>
      <c r="L1039" s="14"/>
      <c r="M1039" s="4"/>
      <c r="N1039" s="2"/>
      <c r="O1039" s="4"/>
      <c r="P1039" s="2"/>
      <c r="Q1039" s="2"/>
      <c r="R1039" s="4"/>
      <c r="S1039" s="2"/>
      <c r="T1039" s="2"/>
      <c r="U1039" s="1"/>
      <c r="V1039" s="2"/>
      <c r="W1039" s="2"/>
      <c r="X1039" s="2"/>
      <c r="Y1039" s="2"/>
      <c r="Z1039" s="2"/>
    </row>
    <row r="1040" spans="1:26" ht="15.75" customHeight="1" x14ac:dyDescent="0.2">
      <c r="A1040" s="12"/>
      <c r="B1040" s="10"/>
      <c r="C1040" s="11"/>
      <c r="D1040" s="13"/>
      <c r="E1040" s="13"/>
      <c r="F1040" s="13"/>
      <c r="G1040" s="2"/>
      <c r="H1040" s="2"/>
      <c r="I1040" s="13"/>
      <c r="J1040" s="13"/>
      <c r="K1040" s="13"/>
      <c r="L1040" s="14"/>
      <c r="M1040" s="4"/>
      <c r="N1040" s="2"/>
      <c r="O1040" s="4"/>
      <c r="P1040" s="2"/>
      <c r="Q1040" s="2"/>
      <c r="R1040" s="4"/>
      <c r="S1040" s="2"/>
      <c r="T1040" s="2"/>
      <c r="U1040" s="1"/>
      <c r="V1040" s="2"/>
      <c r="W1040" s="2"/>
      <c r="X1040" s="2"/>
      <c r="Y1040" s="2"/>
      <c r="Z1040" s="2"/>
    </row>
    <row r="1041" spans="1:26" ht="15.75" customHeight="1" x14ac:dyDescent="0.2">
      <c r="A1041" s="12"/>
      <c r="B1041" s="10"/>
      <c r="C1041" s="11"/>
      <c r="D1041" s="13"/>
      <c r="E1041" s="13"/>
      <c r="F1041" s="13"/>
      <c r="G1041" s="2"/>
      <c r="H1041" s="2"/>
      <c r="I1041" s="13"/>
      <c r="J1041" s="13"/>
      <c r="K1041" s="13"/>
      <c r="L1041" s="14"/>
      <c r="M1041" s="4"/>
      <c r="N1041" s="2"/>
      <c r="O1041" s="4"/>
      <c r="P1041" s="2"/>
      <c r="Q1041" s="2"/>
      <c r="R1041" s="4"/>
      <c r="S1041" s="2"/>
      <c r="T1041" s="2"/>
      <c r="U1041" s="1"/>
      <c r="V1041" s="2"/>
      <c r="W1041" s="2"/>
      <c r="X1041" s="2"/>
      <c r="Y1041" s="2"/>
      <c r="Z1041" s="2"/>
    </row>
    <row r="1042" spans="1:26" ht="15.75" customHeight="1" x14ac:dyDescent="0.2">
      <c r="A1042" s="12"/>
      <c r="B1042" s="10"/>
      <c r="C1042" s="11"/>
      <c r="D1042" s="13"/>
      <c r="E1042" s="13"/>
      <c r="F1042" s="13"/>
      <c r="G1042" s="2"/>
      <c r="H1042" s="2"/>
      <c r="I1042" s="13"/>
      <c r="J1042" s="13"/>
      <c r="K1042" s="13"/>
      <c r="L1042" s="14"/>
      <c r="M1042" s="4"/>
      <c r="N1042" s="2"/>
      <c r="O1042" s="4"/>
      <c r="P1042" s="2"/>
      <c r="Q1042" s="2"/>
      <c r="R1042" s="4"/>
      <c r="S1042" s="2"/>
      <c r="T1042" s="2"/>
      <c r="U1042" s="1"/>
      <c r="V1042" s="2"/>
      <c r="W1042" s="2"/>
      <c r="X1042" s="2"/>
      <c r="Y1042" s="2"/>
      <c r="Z1042" s="2"/>
    </row>
    <row r="1043" spans="1:26" ht="15.75" customHeight="1" x14ac:dyDescent="0.2">
      <c r="A1043" s="12"/>
      <c r="B1043" s="10"/>
      <c r="C1043" s="11"/>
      <c r="D1043" s="13"/>
      <c r="E1043" s="13"/>
      <c r="F1043" s="13"/>
      <c r="G1043" s="2"/>
      <c r="H1043" s="2"/>
      <c r="I1043" s="13"/>
      <c r="J1043" s="13"/>
      <c r="K1043" s="13"/>
      <c r="L1043" s="14"/>
      <c r="M1043" s="4"/>
      <c r="N1043" s="2"/>
      <c r="O1043" s="4"/>
      <c r="P1043" s="2"/>
      <c r="Q1043" s="2"/>
      <c r="R1043" s="4"/>
      <c r="S1043" s="2"/>
      <c r="T1043" s="2"/>
      <c r="U1043" s="1"/>
      <c r="V1043" s="2"/>
      <c r="W1043" s="2"/>
      <c r="X1043" s="2"/>
      <c r="Y1043" s="2"/>
      <c r="Z1043" s="2"/>
    </row>
    <row r="1044" spans="1:26" ht="15.75" customHeight="1" x14ac:dyDescent="0.2">
      <c r="A1044" s="12"/>
      <c r="B1044" s="10"/>
      <c r="C1044" s="11"/>
      <c r="D1044" s="13"/>
      <c r="E1044" s="13"/>
      <c r="F1044" s="13"/>
      <c r="G1044" s="2"/>
      <c r="H1044" s="2"/>
      <c r="I1044" s="13"/>
      <c r="J1044" s="13"/>
      <c r="K1044" s="13"/>
      <c r="L1044" s="14"/>
      <c r="M1044" s="4"/>
      <c r="N1044" s="2"/>
      <c r="O1044" s="4"/>
      <c r="P1044" s="2"/>
      <c r="Q1044" s="2"/>
      <c r="R1044" s="4"/>
      <c r="S1044" s="2"/>
      <c r="T1044" s="2"/>
      <c r="U1044" s="1"/>
      <c r="V1044" s="2"/>
      <c r="W1044" s="2"/>
      <c r="X1044" s="2"/>
      <c r="Y1044" s="2"/>
      <c r="Z1044" s="2"/>
    </row>
    <row r="1045" spans="1:26" ht="15.75" customHeight="1" x14ac:dyDescent="0.2">
      <c r="A1045" s="12"/>
      <c r="B1045" s="10"/>
      <c r="C1045" s="11"/>
      <c r="D1045" s="13"/>
      <c r="E1045" s="13"/>
      <c r="F1045" s="13"/>
      <c r="G1045" s="2"/>
      <c r="H1045" s="2"/>
      <c r="I1045" s="13"/>
      <c r="J1045" s="13"/>
      <c r="K1045" s="13"/>
      <c r="L1045" s="14"/>
      <c r="M1045" s="4"/>
      <c r="N1045" s="2"/>
      <c r="O1045" s="4"/>
      <c r="P1045" s="2"/>
      <c r="Q1045" s="2"/>
      <c r="R1045" s="4"/>
      <c r="S1045" s="2"/>
      <c r="T1045" s="2"/>
      <c r="U1045" s="1"/>
      <c r="V1045" s="2"/>
      <c r="W1045" s="2"/>
      <c r="X1045" s="2"/>
      <c r="Y1045" s="2"/>
      <c r="Z1045" s="2"/>
    </row>
    <row r="1046" spans="1:26" ht="15.75" customHeight="1" x14ac:dyDescent="0.2">
      <c r="A1046" s="12"/>
      <c r="B1046" s="10"/>
      <c r="C1046" s="11"/>
      <c r="D1046" s="13"/>
      <c r="E1046" s="13"/>
      <c r="F1046" s="13"/>
      <c r="G1046" s="2"/>
      <c r="H1046" s="2"/>
      <c r="I1046" s="13"/>
      <c r="J1046" s="13"/>
      <c r="K1046" s="13"/>
      <c r="L1046" s="14"/>
      <c r="M1046" s="4"/>
      <c r="N1046" s="2"/>
      <c r="O1046" s="4"/>
      <c r="P1046" s="2"/>
      <c r="Q1046" s="2"/>
      <c r="R1046" s="4"/>
      <c r="S1046" s="2"/>
      <c r="T1046" s="2"/>
      <c r="U1046" s="1"/>
      <c r="V1046" s="2"/>
      <c r="W1046" s="2"/>
      <c r="X1046" s="2"/>
      <c r="Y1046" s="2"/>
      <c r="Z1046" s="2"/>
    </row>
    <row r="1047" spans="1:26" ht="15.75" customHeight="1" x14ac:dyDescent="0.2">
      <c r="A1047" s="12"/>
      <c r="B1047" s="10"/>
      <c r="C1047" s="11"/>
      <c r="D1047" s="13"/>
      <c r="E1047" s="13"/>
      <c r="F1047" s="13"/>
      <c r="G1047" s="2"/>
      <c r="H1047" s="2"/>
      <c r="I1047" s="13"/>
      <c r="J1047" s="13"/>
      <c r="K1047" s="13"/>
      <c r="L1047" s="14"/>
      <c r="M1047" s="4"/>
      <c r="N1047" s="2"/>
      <c r="O1047" s="4"/>
      <c r="P1047" s="2"/>
      <c r="Q1047" s="2"/>
      <c r="R1047" s="4"/>
      <c r="S1047" s="2"/>
      <c r="T1047" s="2"/>
      <c r="U1047" s="1"/>
      <c r="V1047" s="2"/>
      <c r="W1047" s="2"/>
      <c r="X1047" s="2"/>
      <c r="Y1047" s="2"/>
      <c r="Z1047" s="2"/>
    </row>
    <row r="1048" spans="1:26" ht="15.75" customHeight="1" x14ac:dyDescent="0.2">
      <c r="A1048" s="12"/>
      <c r="B1048" s="10"/>
      <c r="C1048" s="11"/>
      <c r="D1048" s="13"/>
      <c r="E1048" s="13"/>
      <c r="F1048" s="13"/>
      <c r="G1048" s="2"/>
      <c r="H1048" s="2"/>
      <c r="I1048" s="13"/>
      <c r="J1048" s="13"/>
      <c r="K1048" s="13"/>
      <c r="L1048" s="14"/>
      <c r="M1048" s="4"/>
      <c r="N1048" s="2"/>
      <c r="O1048" s="4"/>
      <c r="P1048" s="2"/>
      <c r="Q1048" s="2"/>
      <c r="R1048" s="4"/>
      <c r="S1048" s="2"/>
      <c r="T1048" s="2"/>
      <c r="U1048" s="1"/>
      <c r="V1048" s="2"/>
      <c r="W1048" s="2"/>
      <c r="X1048" s="2"/>
      <c r="Y1048" s="2"/>
      <c r="Z1048" s="2"/>
    </row>
    <row r="1049" spans="1:26" ht="15.75" customHeight="1" x14ac:dyDescent="0.2">
      <c r="A1049" s="12"/>
      <c r="B1049" s="10"/>
      <c r="C1049" s="11"/>
      <c r="D1049" s="13"/>
      <c r="E1049" s="13"/>
      <c r="F1049" s="13"/>
      <c r="G1049" s="2"/>
      <c r="H1049" s="2"/>
      <c r="I1049" s="13"/>
      <c r="J1049" s="13"/>
      <c r="K1049" s="13"/>
      <c r="L1049" s="14"/>
      <c r="M1049" s="4"/>
      <c r="N1049" s="2"/>
      <c r="O1049" s="4"/>
      <c r="P1049" s="2"/>
      <c r="Q1049" s="2"/>
      <c r="R1049" s="4"/>
      <c r="S1049" s="2"/>
      <c r="T1049" s="2"/>
      <c r="U1049" s="1"/>
      <c r="V1049" s="2"/>
      <c r="W1049" s="2"/>
      <c r="X1049" s="2"/>
      <c r="Y1049" s="2"/>
      <c r="Z1049" s="2"/>
    </row>
    <row r="1050" spans="1:26" ht="15.75" customHeight="1" x14ac:dyDescent="0.2">
      <c r="A1050" s="12"/>
      <c r="B1050" s="10"/>
      <c r="C1050" s="11"/>
      <c r="D1050" s="13"/>
      <c r="E1050" s="13"/>
      <c r="F1050" s="13"/>
      <c r="G1050" s="2"/>
      <c r="H1050" s="2"/>
      <c r="I1050" s="13"/>
      <c r="J1050" s="13"/>
      <c r="K1050" s="13"/>
      <c r="L1050" s="14"/>
      <c r="M1050" s="4"/>
      <c r="N1050" s="2"/>
      <c r="O1050" s="4"/>
      <c r="P1050" s="2"/>
      <c r="Q1050" s="2"/>
      <c r="R1050" s="4"/>
      <c r="S1050" s="2"/>
      <c r="T1050" s="2"/>
      <c r="U1050" s="1"/>
      <c r="V1050" s="2"/>
      <c r="W1050" s="2"/>
      <c r="X1050" s="2"/>
      <c r="Y1050" s="2"/>
      <c r="Z1050" s="2"/>
    </row>
    <row r="1051" spans="1:26" ht="15.75" customHeight="1" x14ac:dyDescent="0.2">
      <c r="A1051" s="12"/>
      <c r="B1051" s="10"/>
      <c r="C1051" s="11"/>
      <c r="D1051" s="13"/>
      <c r="E1051" s="13"/>
      <c r="F1051" s="13"/>
      <c r="G1051" s="2"/>
      <c r="H1051" s="2"/>
      <c r="I1051" s="13"/>
      <c r="J1051" s="13"/>
      <c r="K1051" s="13"/>
      <c r="L1051" s="14"/>
      <c r="M1051" s="4"/>
      <c r="N1051" s="2"/>
      <c r="O1051" s="4"/>
      <c r="P1051" s="2"/>
      <c r="Q1051" s="2"/>
      <c r="R1051" s="4"/>
      <c r="S1051" s="2"/>
      <c r="T1051" s="2"/>
      <c r="U1051" s="1"/>
      <c r="V1051" s="2"/>
      <c r="W1051" s="2"/>
      <c r="X1051" s="2"/>
      <c r="Y1051" s="2"/>
      <c r="Z1051" s="2"/>
    </row>
    <row r="1052" spans="1:26" ht="15.75" customHeight="1" x14ac:dyDescent="0.2">
      <c r="A1052" s="12"/>
      <c r="B1052" s="10"/>
      <c r="C1052" s="11"/>
      <c r="D1052" s="13"/>
      <c r="E1052" s="13"/>
      <c r="F1052" s="13"/>
      <c r="G1052" s="2"/>
      <c r="H1052" s="2"/>
      <c r="I1052" s="13"/>
      <c r="J1052" s="13"/>
      <c r="K1052" s="13"/>
      <c r="L1052" s="14"/>
      <c r="M1052" s="4"/>
      <c r="N1052" s="2"/>
      <c r="O1052" s="4"/>
      <c r="P1052" s="2"/>
      <c r="Q1052" s="2"/>
      <c r="R1052" s="4"/>
      <c r="S1052" s="2"/>
      <c r="T1052" s="2"/>
      <c r="U1052" s="1"/>
      <c r="V1052" s="2"/>
      <c r="W1052" s="2"/>
      <c r="X1052" s="2"/>
      <c r="Y1052" s="2"/>
      <c r="Z1052" s="2"/>
    </row>
    <row r="1053" spans="1:26" ht="15.75" customHeight="1" x14ac:dyDescent="0.2">
      <c r="A1053" s="12"/>
      <c r="B1053" s="10"/>
      <c r="C1053" s="11"/>
      <c r="D1053" s="13"/>
      <c r="E1053" s="13"/>
      <c r="F1053" s="13"/>
      <c r="G1053" s="2"/>
      <c r="H1053" s="2"/>
      <c r="I1053" s="13"/>
      <c r="J1053" s="13"/>
      <c r="K1053" s="13"/>
      <c r="L1053" s="14"/>
      <c r="M1053" s="4"/>
      <c r="N1053" s="2"/>
      <c r="O1053" s="4"/>
      <c r="P1053" s="2"/>
      <c r="Q1053" s="2"/>
      <c r="R1053" s="4"/>
      <c r="S1053" s="2"/>
      <c r="T1053" s="2"/>
      <c r="U1053" s="1"/>
      <c r="V1053" s="2"/>
      <c r="W1053" s="2"/>
      <c r="X1053" s="2"/>
      <c r="Y1053" s="2"/>
      <c r="Z1053" s="2"/>
    </row>
    <row r="1054" spans="1:26" ht="15.75" customHeight="1" x14ac:dyDescent="0.2">
      <c r="A1054" s="12"/>
      <c r="B1054" s="10"/>
      <c r="C1054" s="11"/>
      <c r="D1054" s="13"/>
      <c r="E1054" s="13"/>
      <c r="F1054" s="13"/>
      <c r="G1054" s="2"/>
      <c r="H1054" s="2"/>
      <c r="I1054" s="13"/>
      <c r="J1054" s="13"/>
      <c r="K1054" s="13"/>
      <c r="L1054" s="14"/>
      <c r="M1054" s="4"/>
      <c r="N1054" s="2"/>
      <c r="O1054" s="4"/>
      <c r="P1054" s="2"/>
      <c r="Q1054" s="2"/>
      <c r="R1054" s="4"/>
      <c r="S1054" s="2"/>
      <c r="T1054" s="2"/>
      <c r="U1054" s="1"/>
      <c r="V1054" s="2"/>
      <c r="W1054" s="2"/>
      <c r="X1054" s="2"/>
      <c r="Y1054" s="2"/>
      <c r="Z1054" s="2"/>
    </row>
    <row r="1055" spans="1:26" ht="15.75" customHeight="1" x14ac:dyDescent="0.2">
      <c r="A1055" s="12"/>
      <c r="B1055" s="10"/>
      <c r="C1055" s="11"/>
      <c r="D1055" s="13"/>
      <c r="E1055" s="13"/>
      <c r="F1055" s="13"/>
      <c r="G1055" s="2"/>
      <c r="H1055" s="2"/>
      <c r="I1055" s="13"/>
      <c r="J1055" s="13"/>
      <c r="K1055" s="13"/>
      <c r="L1055" s="14"/>
      <c r="M1055" s="4"/>
      <c r="N1055" s="2"/>
      <c r="O1055" s="4"/>
      <c r="P1055" s="2"/>
      <c r="Q1055" s="2"/>
      <c r="R1055" s="4"/>
      <c r="S1055" s="2"/>
      <c r="T1055" s="2"/>
      <c r="U1055" s="1"/>
      <c r="V1055" s="2"/>
      <c r="W1055" s="2"/>
      <c r="X1055" s="2"/>
      <c r="Y1055" s="2"/>
      <c r="Z1055" s="2"/>
    </row>
    <row r="1056" spans="1:26" ht="15.75" customHeight="1" x14ac:dyDescent="0.2">
      <c r="A1056" s="12"/>
      <c r="B1056" s="10"/>
      <c r="C1056" s="11"/>
      <c r="D1056" s="13"/>
      <c r="E1056" s="13"/>
      <c r="F1056" s="13"/>
      <c r="G1056" s="2"/>
      <c r="H1056" s="2"/>
      <c r="I1056" s="13"/>
      <c r="J1056" s="13"/>
      <c r="K1056" s="13"/>
      <c r="L1056" s="14"/>
      <c r="M1056" s="4"/>
      <c r="N1056" s="2"/>
      <c r="O1056" s="4"/>
      <c r="P1056" s="2"/>
      <c r="Q1056" s="2"/>
      <c r="R1056" s="4"/>
      <c r="S1056" s="2"/>
      <c r="T1056" s="2"/>
      <c r="U1056" s="1"/>
      <c r="V1056" s="2"/>
      <c r="W1056" s="2"/>
      <c r="X1056" s="2"/>
      <c r="Y1056" s="2"/>
      <c r="Z1056" s="2"/>
    </row>
    <row r="1057" spans="1:26" ht="15.75" customHeight="1" x14ac:dyDescent="0.2">
      <c r="A1057" s="12"/>
      <c r="B1057" s="10"/>
      <c r="C1057" s="11"/>
      <c r="D1057" s="13"/>
      <c r="E1057" s="13"/>
      <c r="F1057" s="13"/>
      <c r="G1057" s="2"/>
      <c r="H1057" s="2"/>
      <c r="I1057" s="13"/>
      <c r="J1057" s="13"/>
      <c r="K1057" s="13"/>
      <c r="L1057" s="14"/>
      <c r="M1057" s="4"/>
      <c r="N1057" s="2"/>
      <c r="O1057" s="4"/>
      <c r="P1057" s="2"/>
      <c r="Q1057" s="2"/>
      <c r="R1057" s="4"/>
      <c r="S1057" s="2"/>
      <c r="T1057" s="2"/>
      <c r="U1057" s="1"/>
      <c r="V1057" s="2"/>
      <c r="W1057" s="2"/>
      <c r="X1057" s="2"/>
      <c r="Y1057" s="2"/>
      <c r="Z1057" s="2"/>
    </row>
    <row r="1058" spans="1:26" ht="15.75" customHeight="1" x14ac:dyDescent="0.2">
      <c r="A1058" s="12"/>
      <c r="B1058" s="10"/>
      <c r="C1058" s="11"/>
      <c r="D1058" s="13"/>
      <c r="E1058" s="13"/>
      <c r="F1058" s="13"/>
      <c r="G1058" s="2"/>
      <c r="H1058" s="2"/>
      <c r="I1058" s="13"/>
      <c r="J1058" s="13"/>
      <c r="K1058" s="13"/>
      <c r="L1058" s="14"/>
      <c r="M1058" s="4"/>
      <c r="N1058" s="2"/>
      <c r="O1058" s="4"/>
      <c r="P1058" s="2"/>
      <c r="Q1058" s="2"/>
      <c r="R1058" s="4"/>
      <c r="S1058" s="2"/>
      <c r="T1058" s="2"/>
      <c r="U1058" s="1"/>
      <c r="V1058" s="2"/>
      <c r="W1058" s="2"/>
      <c r="X1058" s="2"/>
      <c r="Y1058" s="2"/>
      <c r="Z1058" s="2"/>
    </row>
    <row r="1059" spans="1:26" ht="15.75" customHeight="1" x14ac:dyDescent="0.2">
      <c r="A1059" s="12"/>
      <c r="B1059" s="10"/>
      <c r="C1059" s="11"/>
      <c r="D1059" s="13"/>
      <c r="E1059" s="13"/>
      <c r="F1059" s="13"/>
      <c r="G1059" s="2"/>
      <c r="H1059" s="2"/>
      <c r="I1059" s="13"/>
      <c r="J1059" s="13"/>
      <c r="K1059" s="13"/>
      <c r="L1059" s="14"/>
      <c r="M1059" s="4"/>
      <c r="N1059" s="2"/>
      <c r="O1059" s="4"/>
      <c r="P1059" s="2"/>
      <c r="Q1059" s="2"/>
      <c r="R1059" s="4"/>
      <c r="S1059" s="2"/>
      <c r="T1059" s="2"/>
      <c r="U1059" s="1"/>
      <c r="V1059" s="2"/>
      <c r="W1059" s="2"/>
      <c r="X1059" s="2"/>
      <c r="Y1059" s="2"/>
      <c r="Z1059" s="2"/>
    </row>
    <row r="1060" spans="1:26" ht="15.75" customHeight="1" x14ac:dyDescent="0.2">
      <c r="A1060" s="12"/>
      <c r="B1060" s="10"/>
      <c r="C1060" s="11"/>
      <c r="D1060" s="13"/>
      <c r="E1060" s="13"/>
      <c r="F1060" s="13"/>
      <c r="G1060" s="2"/>
      <c r="H1060" s="2"/>
      <c r="I1060" s="13"/>
      <c r="J1060" s="13"/>
      <c r="K1060" s="13"/>
      <c r="L1060" s="14"/>
      <c r="M1060" s="4"/>
      <c r="N1060" s="2"/>
      <c r="O1060" s="4"/>
      <c r="P1060" s="2"/>
      <c r="Q1060" s="2"/>
      <c r="R1060" s="4"/>
      <c r="S1060" s="2"/>
      <c r="T1060" s="2"/>
      <c r="U1060" s="1"/>
      <c r="V1060" s="2"/>
      <c r="W1060" s="2"/>
      <c r="X1060" s="2"/>
      <c r="Y1060" s="2"/>
      <c r="Z1060" s="2"/>
    </row>
    <row r="1061" spans="1:26" ht="15.75" customHeight="1" x14ac:dyDescent="0.2">
      <c r="A1061" s="12"/>
      <c r="B1061" s="10"/>
      <c r="C1061" s="11"/>
      <c r="D1061" s="13"/>
      <c r="E1061" s="13"/>
      <c r="F1061" s="13"/>
      <c r="G1061" s="2"/>
      <c r="H1061" s="2"/>
      <c r="I1061" s="13"/>
      <c r="J1061" s="13"/>
      <c r="K1061" s="13"/>
      <c r="L1061" s="14"/>
      <c r="M1061" s="4"/>
      <c r="N1061" s="2"/>
      <c r="O1061" s="4"/>
      <c r="P1061" s="2"/>
      <c r="Q1061" s="2"/>
      <c r="R1061" s="4"/>
      <c r="S1061" s="2"/>
      <c r="T1061" s="2"/>
      <c r="U1061" s="1"/>
      <c r="V1061" s="2"/>
      <c r="W1061" s="2"/>
      <c r="X1061" s="2"/>
      <c r="Y1061" s="2"/>
      <c r="Z1061" s="2"/>
    </row>
    <row r="1062" spans="1:26" ht="15.75" customHeight="1" x14ac:dyDescent="0.2">
      <c r="A1062" s="12"/>
      <c r="B1062" s="10"/>
      <c r="C1062" s="11"/>
      <c r="D1062" s="13"/>
      <c r="E1062" s="13"/>
      <c r="F1062" s="13"/>
      <c r="G1062" s="2"/>
      <c r="H1062" s="2"/>
      <c r="I1062" s="13"/>
      <c r="J1062" s="13"/>
      <c r="K1062" s="13"/>
      <c r="L1062" s="14"/>
      <c r="M1062" s="4"/>
      <c r="N1062" s="2"/>
      <c r="O1062" s="4"/>
      <c r="P1062" s="2"/>
      <c r="Q1062" s="2"/>
      <c r="R1062" s="4"/>
      <c r="S1062" s="2"/>
      <c r="T1062" s="2"/>
      <c r="U1062" s="1"/>
      <c r="V1062" s="2"/>
      <c r="W1062" s="2"/>
      <c r="X1062" s="2"/>
      <c r="Y1062" s="2"/>
      <c r="Z1062" s="2"/>
    </row>
    <row r="1063" spans="1:26" ht="15.75" customHeight="1" x14ac:dyDescent="0.2">
      <c r="A1063" s="12"/>
      <c r="B1063" s="10"/>
      <c r="C1063" s="11"/>
      <c r="D1063" s="13"/>
      <c r="E1063" s="13"/>
      <c r="F1063" s="13"/>
      <c r="G1063" s="2"/>
      <c r="H1063" s="2"/>
      <c r="I1063" s="13"/>
      <c r="J1063" s="13"/>
      <c r="K1063" s="13"/>
      <c r="L1063" s="14"/>
      <c r="M1063" s="4"/>
      <c r="N1063" s="2"/>
      <c r="O1063" s="4"/>
      <c r="P1063" s="2"/>
      <c r="Q1063" s="2"/>
      <c r="R1063" s="4"/>
      <c r="S1063" s="2"/>
      <c r="T1063" s="2"/>
      <c r="U1063" s="1"/>
      <c r="V1063" s="2"/>
      <c r="W1063" s="2"/>
      <c r="X1063" s="2"/>
      <c r="Y1063" s="2"/>
      <c r="Z1063" s="2"/>
    </row>
    <row r="1064" spans="1:26" ht="15.75" customHeight="1" x14ac:dyDescent="0.2">
      <c r="A1064" s="12"/>
      <c r="B1064" s="10"/>
      <c r="C1064" s="11"/>
      <c r="D1064" s="13"/>
      <c r="E1064" s="13"/>
      <c r="F1064" s="13"/>
      <c r="G1064" s="2"/>
      <c r="H1064" s="2"/>
      <c r="I1064" s="13"/>
      <c r="J1064" s="13"/>
      <c r="K1064" s="13"/>
      <c r="L1064" s="14"/>
      <c r="M1064" s="4"/>
      <c r="N1064" s="2"/>
      <c r="O1064" s="4"/>
      <c r="P1064" s="2"/>
      <c r="Q1064" s="2"/>
      <c r="R1064" s="4"/>
      <c r="S1064" s="2"/>
      <c r="T1064" s="2"/>
      <c r="U1064" s="1"/>
      <c r="V1064" s="2"/>
      <c r="W1064" s="2"/>
      <c r="X1064" s="2"/>
      <c r="Y1064" s="2"/>
      <c r="Z1064" s="2"/>
    </row>
    <row r="1065" spans="1:26" ht="15.75" customHeight="1" x14ac:dyDescent="0.2">
      <c r="A1065" s="12"/>
      <c r="B1065" s="10"/>
      <c r="C1065" s="11"/>
      <c r="D1065" s="13"/>
      <c r="E1065" s="13"/>
      <c r="F1065" s="13"/>
      <c r="G1065" s="2"/>
      <c r="H1065" s="2"/>
      <c r="I1065" s="13"/>
      <c r="J1065" s="13"/>
      <c r="K1065" s="13"/>
      <c r="L1065" s="14"/>
      <c r="M1065" s="4"/>
      <c r="N1065" s="2"/>
      <c r="O1065" s="4"/>
      <c r="P1065" s="2"/>
      <c r="Q1065" s="2"/>
      <c r="R1065" s="4"/>
      <c r="S1065" s="2"/>
      <c r="T1065" s="2"/>
      <c r="U1065" s="1"/>
      <c r="V1065" s="2"/>
      <c r="W1065" s="2"/>
      <c r="X1065" s="2"/>
      <c r="Y1065" s="2"/>
      <c r="Z1065" s="2"/>
    </row>
    <row r="1066" spans="1:26" ht="15.75" customHeight="1" x14ac:dyDescent="0.2">
      <c r="A1066" s="12"/>
      <c r="B1066" s="10"/>
      <c r="C1066" s="11"/>
      <c r="D1066" s="13"/>
      <c r="E1066" s="13"/>
      <c r="F1066" s="13"/>
      <c r="G1066" s="2"/>
      <c r="H1066" s="2"/>
      <c r="I1066" s="13"/>
      <c r="J1066" s="13"/>
      <c r="K1066" s="13"/>
      <c r="L1066" s="14"/>
      <c r="M1066" s="4"/>
      <c r="N1066" s="2"/>
      <c r="O1066" s="4"/>
      <c r="P1066" s="2"/>
      <c r="Q1066" s="2"/>
      <c r="R1066" s="4"/>
      <c r="S1066" s="2"/>
      <c r="T1066" s="2"/>
      <c r="U1066" s="1"/>
      <c r="V1066" s="2"/>
      <c r="W1066" s="2"/>
      <c r="X1066" s="2"/>
      <c r="Y1066" s="2"/>
      <c r="Z1066" s="2"/>
    </row>
    <row r="1067" spans="1:26" ht="15.75" customHeight="1" x14ac:dyDescent="0.2">
      <c r="A1067" s="12"/>
      <c r="B1067" s="10"/>
      <c r="C1067" s="11"/>
      <c r="D1067" s="13"/>
      <c r="E1067" s="13"/>
      <c r="F1067" s="13"/>
      <c r="G1067" s="2"/>
      <c r="H1067" s="2"/>
      <c r="I1067" s="13"/>
      <c r="J1067" s="13"/>
      <c r="K1067" s="13"/>
      <c r="L1067" s="14"/>
      <c r="M1067" s="4"/>
      <c r="N1067" s="2"/>
      <c r="O1067" s="4"/>
      <c r="P1067" s="2"/>
      <c r="Q1067" s="2"/>
      <c r="R1067" s="4"/>
      <c r="S1067" s="2"/>
      <c r="T1067" s="2"/>
      <c r="U1067" s="1"/>
      <c r="V1067" s="2"/>
      <c r="W1067" s="2"/>
      <c r="X1067" s="2"/>
      <c r="Y1067" s="2"/>
      <c r="Z1067" s="2"/>
    </row>
    <row r="1068" spans="1:26" ht="15.75" customHeight="1" x14ac:dyDescent="0.2">
      <c r="A1068" s="12"/>
      <c r="B1068" s="10"/>
      <c r="C1068" s="11"/>
      <c r="D1068" s="13"/>
      <c r="E1068" s="13"/>
      <c r="F1068" s="13"/>
      <c r="G1068" s="2"/>
      <c r="H1068" s="2"/>
      <c r="I1068" s="13"/>
      <c r="J1068" s="13"/>
      <c r="K1068" s="13"/>
      <c r="L1068" s="14"/>
      <c r="M1068" s="4"/>
      <c r="N1068" s="2"/>
      <c r="O1068" s="4"/>
      <c r="P1068" s="2"/>
      <c r="Q1068" s="2"/>
      <c r="R1068" s="4"/>
      <c r="S1068" s="2"/>
      <c r="T1068" s="2"/>
      <c r="U1068" s="1"/>
      <c r="V1068" s="2"/>
      <c r="W1068" s="2"/>
      <c r="X1068" s="2"/>
      <c r="Y1068" s="2"/>
      <c r="Z1068" s="2"/>
    </row>
    <row r="1069" spans="1:26" ht="15.75" customHeight="1" x14ac:dyDescent="0.2">
      <c r="A1069" s="12"/>
      <c r="B1069" s="10"/>
      <c r="C1069" s="11"/>
      <c r="D1069" s="13"/>
      <c r="E1069" s="13"/>
      <c r="F1069" s="13"/>
      <c r="G1069" s="2"/>
      <c r="H1069" s="2"/>
      <c r="I1069" s="13"/>
      <c r="J1069" s="13"/>
      <c r="K1069" s="13"/>
      <c r="L1069" s="14"/>
      <c r="M1069" s="4"/>
      <c r="N1069" s="2"/>
      <c r="O1069" s="4"/>
      <c r="P1069" s="2"/>
      <c r="Q1069" s="2"/>
      <c r="R1069" s="4"/>
      <c r="S1069" s="2"/>
      <c r="T1069" s="2"/>
      <c r="U1069" s="1"/>
      <c r="V1069" s="2"/>
      <c r="W1069" s="2"/>
      <c r="X1069" s="2"/>
      <c r="Y1069" s="2"/>
      <c r="Z1069" s="2"/>
    </row>
    <row r="1070" spans="1:26" ht="15.75" customHeight="1" x14ac:dyDescent="0.2">
      <c r="A1070" s="12"/>
      <c r="B1070" s="10"/>
      <c r="C1070" s="11"/>
      <c r="D1070" s="13"/>
      <c r="E1070" s="13"/>
      <c r="F1070" s="13"/>
      <c r="G1070" s="2"/>
      <c r="H1070" s="2"/>
      <c r="I1070" s="13"/>
      <c r="J1070" s="13"/>
      <c r="K1070" s="13"/>
      <c r="L1070" s="14"/>
      <c r="M1070" s="4"/>
      <c r="N1070" s="2"/>
      <c r="O1070" s="4"/>
      <c r="P1070" s="2"/>
      <c r="Q1070" s="2"/>
      <c r="R1070" s="4"/>
      <c r="S1070" s="2"/>
      <c r="T1070" s="2"/>
      <c r="U1070" s="1"/>
      <c r="V1070" s="2"/>
      <c r="W1070" s="2"/>
      <c r="X1070" s="2"/>
      <c r="Y1070" s="2"/>
      <c r="Z1070" s="2"/>
    </row>
    <row r="1071" spans="1:26" ht="15.75" customHeight="1" x14ac:dyDescent="0.2">
      <c r="A1071" s="12"/>
      <c r="B1071" s="10"/>
      <c r="C1071" s="11"/>
      <c r="D1071" s="13"/>
      <c r="E1071" s="13"/>
      <c r="F1071" s="13"/>
      <c r="G1071" s="2"/>
      <c r="H1071" s="2"/>
      <c r="I1071" s="13"/>
      <c r="J1071" s="13"/>
      <c r="K1071" s="13"/>
      <c r="L1071" s="14"/>
      <c r="M1071" s="4"/>
      <c r="N1071" s="2"/>
      <c r="O1071" s="4"/>
      <c r="P1071" s="2"/>
      <c r="Q1071" s="2"/>
      <c r="R1071" s="4"/>
      <c r="S1071" s="2"/>
      <c r="T1071" s="2"/>
      <c r="U1071" s="1"/>
      <c r="V1071" s="2"/>
      <c r="W1071" s="2"/>
      <c r="X1071" s="2"/>
      <c r="Y1071" s="2"/>
      <c r="Z1071" s="2"/>
    </row>
    <row r="1072" spans="1:26" ht="15.75" customHeight="1" x14ac:dyDescent="0.2">
      <c r="A1072" s="12"/>
      <c r="B1072" s="10"/>
      <c r="C1072" s="11"/>
      <c r="D1072" s="13"/>
      <c r="E1072" s="13"/>
      <c r="F1072" s="13"/>
      <c r="G1072" s="2"/>
      <c r="H1072" s="2"/>
      <c r="I1072" s="13"/>
      <c r="J1072" s="13"/>
      <c r="K1072" s="13"/>
      <c r="L1072" s="14"/>
      <c r="M1072" s="4"/>
      <c r="N1072" s="2"/>
      <c r="O1072" s="4"/>
      <c r="P1072" s="2"/>
      <c r="Q1072" s="2"/>
      <c r="R1072" s="4"/>
      <c r="S1072" s="2"/>
      <c r="T1072" s="2"/>
      <c r="U1072" s="1"/>
      <c r="V1072" s="2"/>
      <c r="W1072" s="2"/>
      <c r="X1072" s="2"/>
      <c r="Y1072" s="2"/>
      <c r="Z1072" s="2"/>
    </row>
    <row r="1073" spans="1:26" ht="15.75" customHeight="1" x14ac:dyDescent="0.2">
      <c r="A1073" s="12"/>
      <c r="B1073" s="10"/>
      <c r="C1073" s="11"/>
      <c r="D1073" s="13"/>
      <c r="E1073" s="13"/>
      <c r="F1073" s="13"/>
      <c r="G1073" s="2"/>
      <c r="H1073" s="2"/>
      <c r="I1073" s="13"/>
      <c r="J1073" s="13"/>
      <c r="K1073" s="13"/>
      <c r="L1073" s="14"/>
      <c r="M1073" s="4"/>
      <c r="N1073" s="2"/>
      <c r="O1073" s="4"/>
      <c r="P1073" s="2"/>
      <c r="Q1073" s="2"/>
      <c r="R1073" s="4"/>
      <c r="S1073" s="2"/>
      <c r="T1073" s="2"/>
      <c r="U1073" s="1"/>
      <c r="V1073" s="2"/>
      <c r="W1073" s="2"/>
      <c r="X1073" s="2"/>
      <c r="Y1073" s="2"/>
      <c r="Z1073" s="2"/>
    </row>
    <row r="1074" spans="1:26" ht="15.75" customHeight="1" x14ac:dyDescent="0.2">
      <c r="A1074" s="12"/>
      <c r="B1074" s="10"/>
      <c r="C1074" s="11"/>
      <c r="D1074" s="13"/>
      <c r="E1074" s="13"/>
      <c r="F1074" s="13"/>
      <c r="G1074" s="2"/>
      <c r="H1074" s="2"/>
      <c r="I1074" s="13"/>
      <c r="J1074" s="13"/>
      <c r="K1074" s="13"/>
      <c r="L1074" s="14"/>
      <c r="M1074" s="4"/>
      <c r="N1074" s="2"/>
      <c r="O1074" s="4"/>
      <c r="P1074" s="2"/>
      <c r="Q1074" s="2"/>
      <c r="R1074" s="4"/>
      <c r="S1074" s="2"/>
      <c r="T1074" s="2"/>
      <c r="U1074" s="1"/>
      <c r="V1074" s="2"/>
      <c r="W1074" s="2"/>
      <c r="X1074" s="2"/>
      <c r="Y1074" s="2"/>
      <c r="Z1074" s="2"/>
    </row>
    <row r="1075" spans="1:26" ht="15.75" customHeight="1" x14ac:dyDescent="0.2">
      <c r="A1075" s="12"/>
      <c r="B1075" s="10"/>
      <c r="C1075" s="11"/>
      <c r="D1075" s="13"/>
      <c r="E1075" s="13"/>
      <c r="F1075" s="13"/>
      <c r="G1075" s="2"/>
      <c r="H1075" s="2"/>
      <c r="I1075" s="13"/>
      <c r="J1075" s="13"/>
      <c r="K1075" s="13"/>
      <c r="L1075" s="14"/>
      <c r="M1075" s="4"/>
      <c r="N1075" s="2"/>
      <c r="O1075" s="4"/>
      <c r="P1075" s="2"/>
      <c r="Q1075" s="2"/>
      <c r="R1075" s="4"/>
      <c r="S1075" s="2"/>
      <c r="T1075" s="2"/>
      <c r="U1075" s="1"/>
      <c r="V1075" s="2"/>
      <c r="W1075" s="2"/>
      <c r="X1075" s="2"/>
      <c r="Y1075" s="2"/>
      <c r="Z1075" s="2"/>
    </row>
    <row r="1076" spans="1:26" ht="15.75" customHeight="1" x14ac:dyDescent="0.2">
      <c r="A1076" s="12"/>
      <c r="B1076" s="10"/>
      <c r="C1076" s="11"/>
      <c r="D1076" s="13"/>
      <c r="E1076" s="13"/>
      <c r="F1076" s="13"/>
      <c r="G1076" s="2"/>
      <c r="H1076" s="2"/>
      <c r="I1076" s="13"/>
      <c r="J1076" s="13"/>
      <c r="K1076" s="13"/>
      <c r="L1076" s="14"/>
      <c r="M1076" s="4"/>
      <c r="N1076" s="2"/>
      <c r="O1076" s="4"/>
      <c r="P1076" s="2"/>
      <c r="Q1076" s="2"/>
      <c r="R1076" s="4"/>
      <c r="S1076" s="2"/>
      <c r="T1076" s="2"/>
      <c r="U1076" s="1"/>
      <c r="V1076" s="2"/>
      <c r="W1076" s="2"/>
      <c r="X1076" s="2"/>
      <c r="Y1076" s="2"/>
      <c r="Z1076" s="2"/>
    </row>
    <row r="1077" spans="1:26" ht="15.75" customHeight="1" x14ac:dyDescent="0.2">
      <c r="A1077" s="12"/>
      <c r="B1077" s="10"/>
      <c r="C1077" s="11"/>
      <c r="D1077" s="13"/>
      <c r="E1077" s="13"/>
      <c r="F1077" s="13"/>
      <c r="G1077" s="2"/>
      <c r="H1077" s="2"/>
      <c r="I1077" s="13"/>
      <c r="J1077" s="13"/>
      <c r="K1077" s="13"/>
      <c r="L1077" s="14"/>
      <c r="M1077" s="4"/>
      <c r="N1077" s="2"/>
      <c r="O1077" s="4"/>
      <c r="P1077" s="2"/>
      <c r="Q1077" s="2"/>
      <c r="R1077" s="4"/>
      <c r="S1077" s="2"/>
      <c r="T1077" s="2"/>
      <c r="U1077" s="1"/>
      <c r="V1077" s="2"/>
      <c r="W1077" s="2"/>
      <c r="X1077" s="2"/>
      <c r="Y1077" s="2"/>
      <c r="Z1077" s="2"/>
    </row>
    <row r="1078" spans="1:26" ht="15.75" customHeight="1" x14ac:dyDescent="0.2">
      <c r="A1078" s="12"/>
      <c r="B1078" s="10"/>
      <c r="C1078" s="11"/>
      <c r="D1078" s="13"/>
      <c r="E1078" s="13"/>
      <c r="F1078" s="13"/>
      <c r="G1078" s="2"/>
      <c r="H1078" s="2"/>
      <c r="I1078" s="13"/>
      <c r="J1078" s="13"/>
      <c r="K1078" s="13"/>
      <c r="L1078" s="14"/>
      <c r="M1078" s="4"/>
      <c r="N1078" s="2"/>
      <c r="O1078" s="4"/>
      <c r="P1078" s="2"/>
      <c r="Q1078" s="2"/>
      <c r="R1078" s="4"/>
      <c r="S1078" s="2"/>
      <c r="T1078" s="2"/>
      <c r="U1078" s="1"/>
      <c r="V1078" s="2"/>
      <c r="W1078" s="2"/>
      <c r="X1078" s="2"/>
      <c r="Y1078" s="2"/>
      <c r="Z1078" s="2"/>
    </row>
    <row r="1079" spans="1:26" ht="15.75" customHeight="1" x14ac:dyDescent="0.2">
      <c r="A1079" s="12"/>
      <c r="B1079" s="10"/>
      <c r="C1079" s="11"/>
      <c r="D1079" s="13"/>
      <c r="E1079" s="13"/>
      <c r="F1079" s="13"/>
      <c r="G1079" s="2"/>
      <c r="H1079" s="2"/>
      <c r="I1079" s="13"/>
      <c r="J1079" s="13"/>
      <c r="K1079" s="13"/>
      <c r="L1079" s="14"/>
      <c r="M1079" s="4"/>
      <c r="N1079" s="2"/>
      <c r="O1079" s="4"/>
      <c r="P1079" s="2"/>
      <c r="Q1079" s="2"/>
      <c r="R1079" s="4"/>
      <c r="S1079" s="2"/>
      <c r="T1079" s="2"/>
      <c r="U1079" s="1"/>
      <c r="V1079" s="2"/>
      <c r="W1079" s="2"/>
      <c r="X1079" s="2"/>
      <c r="Y1079" s="2"/>
      <c r="Z1079" s="2"/>
    </row>
    <row r="1080" spans="1:26" ht="15.75" customHeight="1" x14ac:dyDescent="0.2">
      <c r="A1080" s="12"/>
      <c r="B1080" s="10"/>
      <c r="C1080" s="11"/>
      <c r="D1080" s="13"/>
      <c r="E1080" s="13"/>
      <c r="F1080" s="13"/>
      <c r="G1080" s="2"/>
      <c r="H1080" s="2"/>
      <c r="I1080" s="13"/>
      <c r="J1080" s="13"/>
      <c r="K1080" s="13"/>
      <c r="L1080" s="14"/>
      <c r="M1080" s="4"/>
      <c r="N1080" s="2"/>
      <c r="O1080" s="4"/>
      <c r="P1080" s="2"/>
      <c r="Q1080" s="2"/>
      <c r="R1080" s="4"/>
      <c r="S1080" s="2"/>
      <c r="T1080" s="2"/>
      <c r="U1080" s="1"/>
      <c r="V1080" s="2"/>
      <c r="W1080" s="2"/>
      <c r="X1080" s="2"/>
      <c r="Y1080" s="2"/>
      <c r="Z1080" s="2"/>
    </row>
    <row r="1081" spans="1:26" ht="15.75" customHeight="1" x14ac:dyDescent="0.2">
      <c r="A1081" s="12"/>
      <c r="B1081" s="10"/>
      <c r="C1081" s="11"/>
      <c r="D1081" s="13"/>
      <c r="E1081" s="13"/>
      <c r="F1081" s="13"/>
      <c r="G1081" s="2"/>
      <c r="H1081" s="2"/>
      <c r="I1081" s="13"/>
      <c r="J1081" s="13"/>
      <c r="K1081" s="13"/>
      <c r="L1081" s="14"/>
      <c r="M1081" s="4"/>
      <c r="N1081" s="2"/>
      <c r="O1081" s="4"/>
      <c r="P1081" s="2"/>
      <c r="Q1081" s="2"/>
      <c r="R1081" s="4"/>
      <c r="S1081" s="2"/>
      <c r="T1081" s="2"/>
      <c r="U1081" s="1"/>
      <c r="V1081" s="2"/>
      <c r="W1081" s="2"/>
      <c r="X1081" s="2"/>
      <c r="Y1081" s="2"/>
      <c r="Z1081" s="2"/>
    </row>
    <row r="1082" spans="1:26" ht="15.75" customHeight="1" x14ac:dyDescent="0.2">
      <c r="A1082" s="12"/>
      <c r="B1082" s="10"/>
      <c r="C1082" s="11"/>
      <c r="D1082" s="13"/>
      <c r="E1082" s="13"/>
      <c r="F1082" s="13"/>
      <c r="G1082" s="2"/>
      <c r="H1082" s="2"/>
      <c r="I1082" s="13"/>
      <c r="J1082" s="13"/>
      <c r="K1082" s="13"/>
      <c r="L1082" s="14"/>
      <c r="M1082" s="4"/>
      <c r="N1082" s="2"/>
      <c r="O1082" s="4"/>
      <c r="P1082" s="2"/>
      <c r="Q1082" s="2"/>
      <c r="R1082" s="4"/>
      <c r="S1082" s="2"/>
      <c r="T1082" s="2"/>
      <c r="U1082" s="1"/>
      <c r="V1082" s="2"/>
      <c r="W1082" s="2"/>
      <c r="X1082" s="2"/>
      <c r="Y1082" s="2"/>
      <c r="Z1082" s="2"/>
    </row>
    <row r="1083" spans="1:26" ht="15.75" customHeight="1" x14ac:dyDescent="0.2">
      <c r="A1083" s="12"/>
      <c r="B1083" s="10"/>
      <c r="C1083" s="11"/>
      <c r="D1083" s="13"/>
      <c r="E1083" s="13"/>
      <c r="F1083" s="13"/>
      <c r="G1083" s="2"/>
      <c r="H1083" s="2"/>
      <c r="I1083" s="13"/>
      <c r="J1083" s="13"/>
      <c r="K1083" s="13"/>
      <c r="L1083" s="14"/>
      <c r="M1083" s="4"/>
      <c r="N1083" s="2"/>
      <c r="O1083" s="4"/>
      <c r="P1083" s="2"/>
      <c r="Q1083" s="2"/>
      <c r="R1083" s="4"/>
      <c r="S1083" s="2"/>
      <c r="T1083" s="2"/>
      <c r="U1083" s="1"/>
      <c r="V1083" s="2"/>
      <c r="W1083" s="2"/>
      <c r="X1083" s="2"/>
      <c r="Y1083" s="2"/>
      <c r="Z1083" s="2"/>
    </row>
    <row r="1084" spans="1:26" ht="15.75" customHeight="1" x14ac:dyDescent="0.2">
      <c r="A1084" s="12"/>
      <c r="B1084" s="10"/>
      <c r="C1084" s="11"/>
      <c r="D1084" s="13"/>
      <c r="E1084" s="13"/>
      <c r="F1084" s="13"/>
      <c r="G1084" s="2"/>
      <c r="H1084" s="2"/>
      <c r="I1084" s="13"/>
      <c r="J1084" s="13"/>
      <c r="K1084" s="13"/>
      <c r="L1084" s="14"/>
      <c r="M1084" s="4"/>
      <c r="N1084" s="2"/>
      <c r="O1084" s="4"/>
      <c r="P1084" s="2"/>
      <c r="Q1084" s="2"/>
      <c r="R1084" s="4"/>
      <c r="S1084" s="2"/>
      <c r="T1084" s="2"/>
      <c r="U1084" s="1"/>
      <c r="V1084" s="2"/>
      <c r="W1084" s="2"/>
      <c r="X1084" s="2"/>
      <c r="Y1084" s="2"/>
      <c r="Z1084" s="2"/>
    </row>
    <row r="1085" spans="1:26" ht="15.75" customHeight="1" x14ac:dyDescent="0.2">
      <c r="A1085" s="12"/>
      <c r="B1085" s="10"/>
      <c r="C1085" s="11"/>
      <c r="D1085" s="13"/>
      <c r="E1085" s="13"/>
      <c r="F1085" s="13"/>
      <c r="G1085" s="2"/>
      <c r="H1085" s="2"/>
      <c r="I1085" s="13"/>
      <c r="J1085" s="13"/>
      <c r="K1085" s="13"/>
      <c r="L1085" s="14"/>
      <c r="M1085" s="4"/>
      <c r="N1085" s="2"/>
      <c r="O1085" s="4"/>
      <c r="P1085" s="2"/>
      <c r="Q1085" s="2"/>
      <c r="R1085" s="4"/>
      <c r="S1085" s="2"/>
      <c r="T1085" s="2"/>
      <c r="U1085" s="1"/>
      <c r="V1085" s="2"/>
      <c r="W1085" s="2"/>
      <c r="X1085" s="2"/>
      <c r="Y1085" s="2"/>
      <c r="Z1085" s="2"/>
    </row>
    <row r="1086" spans="1:26" ht="15.75" customHeight="1" x14ac:dyDescent="0.2">
      <c r="A1086" s="12"/>
      <c r="B1086" s="10"/>
      <c r="C1086" s="11"/>
      <c r="D1086" s="13"/>
      <c r="E1086" s="13"/>
      <c r="F1086" s="13"/>
      <c r="G1086" s="2"/>
      <c r="H1086" s="2"/>
      <c r="I1086" s="13"/>
      <c r="J1086" s="13"/>
      <c r="K1086" s="13"/>
      <c r="L1086" s="14"/>
      <c r="M1086" s="4"/>
      <c r="N1086" s="2"/>
      <c r="O1086" s="4"/>
      <c r="P1086" s="2"/>
      <c r="Q1086" s="2"/>
      <c r="R1086" s="4"/>
      <c r="S1086" s="2"/>
      <c r="T1086" s="2"/>
      <c r="U1086" s="1"/>
      <c r="V1086" s="2"/>
      <c r="W1086" s="2"/>
      <c r="X1086" s="2"/>
      <c r="Y1086" s="2"/>
      <c r="Z1086" s="2"/>
    </row>
    <row r="1087" spans="1:26" ht="15.75" customHeight="1" x14ac:dyDescent="0.2">
      <c r="A1087" s="12"/>
      <c r="B1087" s="10"/>
      <c r="C1087" s="11"/>
      <c r="D1087" s="13"/>
      <c r="E1087" s="13"/>
      <c r="F1087" s="13"/>
      <c r="G1087" s="2"/>
      <c r="H1087" s="2"/>
      <c r="I1087" s="13"/>
      <c r="J1087" s="13"/>
      <c r="K1087" s="13"/>
      <c r="L1087" s="14"/>
      <c r="M1087" s="4"/>
      <c r="N1087" s="2"/>
      <c r="O1087" s="4"/>
      <c r="P1087" s="2"/>
      <c r="Q1087" s="2"/>
      <c r="R1087" s="4"/>
      <c r="S1087" s="2"/>
      <c r="T1087" s="2"/>
      <c r="U1087" s="1"/>
      <c r="V1087" s="2"/>
      <c r="W1087" s="2"/>
      <c r="X1087" s="2"/>
      <c r="Y1087" s="2"/>
      <c r="Z1087" s="2"/>
    </row>
    <row r="1088" spans="1:26" ht="15.75" customHeight="1" x14ac:dyDescent="0.2">
      <c r="A1088" s="12"/>
      <c r="B1088" s="10"/>
      <c r="C1088" s="11"/>
      <c r="D1088" s="13"/>
      <c r="E1088" s="13"/>
      <c r="F1088" s="13"/>
      <c r="G1088" s="2"/>
      <c r="H1088" s="2"/>
      <c r="I1088" s="13"/>
      <c r="J1088" s="13"/>
      <c r="K1088" s="13"/>
      <c r="L1088" s="14"/>
      <c r="M1088" s="4"/>
      <c r="N1088" s="2"/>
      <c r="O1088" s="4"/>
      <c r="P1088" s="2"/>
      <c r="Q1088" s="2"/>
      <c r="R1088" s="4"/>
      <c r="S1088" s="2"/>
      <c r="T1088" s="2"/>
      <c r="U1088" s="1"/>
      <c r="V1088" s="2"/>
      <c r="W1088" s="2"/>
      <c r="X1088" s="2"/>
      <c r="Y1088" s="2"/>
      <c r="Z1088" s="2"/>
    </row>
    <row r="1089" spans="1:26" ht="15.75" customHeight="1" x14ac:dyDescent="0.2">
      <c r="A1089" s="12"/>
      <c r="B1089" s="10"/>
      <c r="C1089" s="11"/>
      <c r="D1089" s="13"/>
      <c r="E1089" s="13"/>
      <c r="F1089" s="13"/>
      <c r="G1089" s="2"/>
      <c r="H1089" s="2"/>
      <c r="I1089" s="13"/>
      <c r="J1089" s="13"/>
      <c r="K1089" s="13"/>
      <c r="L1089" s="14"/>
      <c r="M1089" s="4"/>
      <c r="N1089" s="2"/>
      <c r="O1089" s="4"/>
      <c r="P1089" s="2"/>
      <c r="Q1089" s="2"/>
      <c r="R1089" s="4"/>
      <c r="S1089" s="2"/>
      <c r="T1089" s="2"/>
      <c r="U1089" s="1"/>
      <c r="V1089" s="2"/>
      <c r="W1089" s="2"/>
      <c r="X1089" s="2"/>
      <c r="Y1089" s="2"/>
      <c r="Z1089" s="2"/>
    </row>
    <row r="1090" spans="1:26" ht="15.75" customHeight="1" x14ac:dyDescent="0.2">
      <c r="A1090" s="12"/>
      <c r="B1090" s="10"/>
      <c r="C1090" s="11"/>
      <c r="D1090" s="13"/>
      <c r="E1090" s="13"/>
      <c r="F1090" s="13"/>
      <c r="G1090" s="2"/>
      <c r="H1090" s="2"/>
      <c r="I1090" s="13"/>
      <c r="J1090" s="13"/>
      <c r="K1090" s="13"/>
      <c r="L1090" s="14"/>
      <c r="M1090" s="4"/>
      <c r="N1090" s="2"/>
      <c r="O1090" s="4"/>
      <c r="P1090" s="2"/>
      <c r="Q1090" s="2"/>
      <c r="R1090" s="4"/>
      <c r="S1090" s="2"/>
      <c r="T1090" s="2"/>
      <c r="U1090" s="1"/>
      <c r="V1090" s="2"/>
      <c r="W1090" s="2"/>
      <c r="X1090" s="2"/>
      <c r="Y1090" s="2"/>
      <c r="Z1090" s="2"/>
    </row>
    <row r="1091" spans="1:26" ht="15.75" customHeight="1" x14ac:dyDescent="0.2">
      <c r="A1091" s="12"/>
      <c r="B1091" s="10"/>
      <c r="C1091" s="11"/>
      <c r="D1091" s="13"/>
      <c r="E1091" s="13"/>
      <c r="F1091" s="13"/>
      <c r="G1091" s="2"/>
      <c r="H1091" s="2"/>
      <c r="I1091" s="13"/>
      <c r="J1091" s="13"/>
      <c r="K1091" s="13"/>
      <c r="L1091" s="14"/>
      <c r="M1091" s="4"/>
      <c r="N1091" s="2"/>
      <c r="O1091" s="4"/>
      <c r="P1091" s="2"/>
      <c r="Q1091" s="2"/>
      <c r="R1091" s="4"/>
      <c r="S1091" s="2"/>
      <c r="T1091" s="2"/>
      <c r="U1091" s="1"/>
      <c r="V1091" s="2"/>
      <c r="W1091" s="2"/>
      <c r="X1091" s="2"/>
      <c r="Y1091" s="2"/>
      <c r="Z1091" s="2"/>
    </row>
    <row r="1092" spans="1:26" ht="15.75" customHeight="1" x14ac:dyDescent="0.2">
      <c r="A1092" s="12"/>
      <c r="B1092" s="10"/>
      <c r="C1092" s="11"/>
      <c r="D1092" s="13"/>
      <c r="E1092" s="13"/>
      <c r="F1092" s="13"/>
      <c r="G1092" s="2"/>
      <c r="H1092" s="2"/>
      <c r="I1092" s="13"/>
      <c r="J1092" s="13"/>
      <c r="K1092" s="13"/>
      <c r="L1092" s="14"/>
      <c r="M1092" s="4"/>
      <c r="N1092" s="2"/>
      <c r="O1092" s="4"/>
      <c r="P1092" s="2"/>
      <c r="Q1092" s="2"/>
      <c r="R1092" s="4"/>
      <c r="S1092" s="2"/>
      <c r="T1092" s="2"/>
      <c r="U1092" s="1"/>
      <c r="V1092" s="2"/>
      <c r="W1092" s="2"/>
      <c r="X1092" s="2"/>
      <c r="Y1092" s="2"/>
      <c r="Z1092" s="2"/>
    </row>
    <row r="1093" spans="1:26" ht="15.75" customHeight="1" x14ac:dyDescent="0.2">
      <c r="A1093" s="12"/>
      <c r="B1093" s="10"/>
      <c r="C1093" s="11"/>
      <c r="D1093" s="13"/>
      <c r="E1093" s="13"/>
      <c r="F1093" s="13"/>
      <c r="G1093" s="2"/>
      <c r="H1093" s="2"/>
      <c r="I1093" s="13"/>
      <c r="J1093" s="13"/>
      <c r="K1093" s="13"/>
      <c r="L1093" s="14"/>
      <c r="M1093" s="4"/>
      <c r="N1093" s="2"/>
      <c r="O1093" s="4"/>
      <c r="P1093" s="2"/>
      <c r="Q1093" s="2"/>
      <c r="R1093" s="4"/>
      <c r="S1093" s="2"/>
      <c r="T1093" s="2"/>
      <c r="U1093" s="1"/>
      <c r="V1093" s="2"/>
      <c r="W1093" s="2"/>
      <c r="X1093" s="2"/>
      <c r="Y1093" s="2"/>
      <c r="Z1093" s="2"/>
    </row>
    <row r="1094" spans="1:26" ht="15.75" customHeight="1" x14ac:dyDescent="0.2">
      <c r="A1094" s="12"/>
      <c r="B1094" s="10"/>
      <c r="C1094" s="11"/>
      <c r="D1094" s="13"/>
      <c r="E1094" s="13"/>
      <c r="F1094" s="13"/>
      <c r="G1094" s="2"/>
      <c r="H1094" s="2"/>
      <c r="I1094" s="13"/>
      <c r="J1094" s="13"/>
      <c r="K1094" s="13"/>
      <c r="L1094" s="14"/>
      <c r="M1094" s="4"/>
      <c r="N1094" s="2"/>
      <c r="O1094" s="4"/>
      <c r="P1094" s="2"/>
      <c r="Q1094" s="2"/>
      <c r="R1094" s="4"/>
      <c r="S1094" s="2"/>
      <c r="T1094" s="2"/>
      <c r="U1094" s="1"/>
      <c r="V1094" s="2"/>
      <c r="W1094" s="2"/>
      <c r="X1094" s="2"/>
      <c r="Y1094" s="2"/>
      <c r="Z1094" s="2"/>
    </row>
    <row r="1095" spans="1:26" ht="15.75" customHeight="1" x14ac:dyDescent="0.2">
      <c r="A1095" s="12"/>
      <c r="B1095" s="10"/>
      <c r="C1095" s="11"/>
      <c r="D1095" s="13"/>
      <c r="E1095" s="13"/>
      <c r="F1095" s="13"/>
      <c r="G1095" s="2"/>
      <c r="H1095" s="2"/>
      <c r="I1095" s="13"/>
      <c r="J1095" s="13"/>
      <c r="K1095" s="13"/>
      <c r="L1095" s="14"/>
      <c r="M1095" s="4"/>
      <c r="N1095" s="2"/>
      <c r="O1095" s="4"/>
      <c r="P1095" s="2"/>
      <c r="Q1095" s="2"/>
      <c r="R1095" s="4"/>
      <c r="S1095" s="2"/>
      <c r="T1095" s="2"/>
      <c r="U1095" s="1"/>
      <c r="V1095" s="2"/>
      <c r="W1095" s="2"/>
      <c r="X1095" s="2"/>
      <c r="Y1095" s="2"/>
      <c r="Z1095" s="2"/>
    </row>
    <row r="1096" spans="1:26" ht="15.75" customHeight="1" x14ac:dyDescent="0.2">
      <c r="A1096" s="12"/>
      <c r="B1096" s="10"/>
      <c r="C1096" s="11"/>
      <c r="D1096" s="13"/>
      <c r="E1096" s="13"/>
      <c r="F1096" s="13"/>
      <c r="G1096" s="2"/>
      <c r="H1096" s="2"/>
      <c r="I1096" s="13"/>
      <c r="J1096" s="13"/>
      <c r="K1096" s="13"/>
      <c r="L1096" s="14"/>
      <c r="M1096" s="4"/>
      <c r="N1096" s="2"/>
      <c r="O1096" s="4"/>
      <c r="P1096" s="2"/>
      <c r="Q1096" s="2"/>
      <c r="R1096" s="4"/>
      <c r="S1096" s="2"/>
      <c r="T1096" s="2"/>
      <c r="U1096" s="1"/>
      <c r="V1096" s="2"/>
      <c r="W1096" s="2"/>
      <c r="X1096" s="2"/>
      <c r="Y1096" s="2"/>
      <c r="Z1096" s="2"/>
    </row>
    <row r="1097" spans="1:26" ht="15.75" customHeight="1" x14ac:dyDescent="0.2">
      <c r="A1097" s="12"/>
      <c r="B1097" s="10"/>
      <c r="C1097" s="11"/>
      <c r="D1097" s="13"/>
      <c r="E1097" s="13"/>
      <c r="F1097" s="13"/>
      <c r="G1097" s="2"/>
      <c r="H1097" s="2"/>
      <c r="I1097" s="13"/>
      <c r="J1097" s="13"/>
      <c r="K1097" s="13"/>
      <c r="L1097" s="14"/>
      <c r="M1097" s="4"/>
      <c r="N1097" s="2"/>
      <c r="O1097" s="4"/>
      <c r="P1097" s="2"/>
      <c r="Q1097" s="2"/>
      <c r="R1097" s="4"/>
      <c r="S1097" s="2"/>
      <c r="T1097" s="2"/>
      <c r="U1097" s="1"/>
      <c r="V1097" s="2"/>
      <c r="W1097" s="2"/>
      <c r="X1097" s="2"/>
      <c r="Y1097" s="2"/>
      <c r="Z1097" s="2"/>
    </row>
    <row r="1098" spans="1:26" ht="15.75" customHeight="1" x14ac:dyDescent="0.2">
      <c r="A1098" s="12"/>
      <c r="B1098" s="10"/>
      <c r="C1098" s="11"/>
      <c r="D1098" s="13"/>
      <c r="E1098" s="13"/>
      <c r="F1098" s="13"/>
      <c r="G1098" s="2"/>
      <c r="H1098" s="2"/>
      <c r="I1098" s="13"/>
      <c r="J1098" s="13"/>
      <c r="K1098" s="13"/>
      <c r="L1098" s="14"/>
      <c r="M1098" s="4"/>
      <c r="N1098" s="2"/>
      <c r="O1098" s="4"/>
      <c r="P1098" s="2"/>
      <c r="Q1098" s="2"/>
      <c r="R1098" s="4"/>
      <c r="S1098" s="2"/>
      <c r="T1098" s="2"/>
      <c r="U1098" s="1"/>
      <c r="V1098" s="2"/>
      <c r="W1098" s="2"/>
      <c r="X1098" s="2"/>
      <c r="Y1098" s="2"/>
      <c r="Z1098" s="2"/>
    </row>
    <row r="1099" spans="1:26" ht="15.75" customHeight="1" x14ac:dyDescent="0.2">
      <c r="A1099" s="12"/>
      <c r="B1099" s="10"/>
      <c r="C1099" s="11"/>
      <c r="D1099" s="13"/>
      <c r="E1099" s="13"/>
      <c r="F1099" s="13"/>
      <c r="G1099" s="2"/>
      <c r="H1099" s="2"/>
      <c r="I1099" s="13"/>
      <c r="J1099" s="13"/>
      <c r="K1099" s="13"/>
      <c r="L1099" s="14"/>
      <c r="M1099" s="4"/>
      <c r="N1099" s="2"/>
      <c r="O1099" s="4"/>
      <c r="P1099" s="2"/>
      <c r="Q1099" s="2"/>
      <c r="R1099" s="4"/>
      <c r="S1099" s="2"/>
      <c r="T1099" s="2"/>
      <c r="U1099" s="1"/>
      <c r="V1099" s="2"/>
      <c r="W1099" s="2"/>
      <c r="X1099" s="2"/>
      <c r="Y1099" s="2"/>
      <c r="Z1099" s="2"/>
    </row>
    <row r="1100" spans="1:26" ht="15.75" customHeight="1" x14ac:dyDescent="0.2">
      <c r="A1100" s="12"/>
      <c r="B1100" s="10"/>
      <c r="C1100" s="11"/>
      <c r="D1100" s="13"/>
      <c r="E1100" s="13"/>
      <c r="F1100" s="13"/>
      <c r="G1100" s="2"/>
      <c r="H1100" s="2"/>
      <c r="I1100" s="13"/>
      <c r="J1100" s="13"/>
      <c r="K1100" s="13"/>
      <c r="L1100" s="14"/>
      <c r="M1100" s="4"/>
      <c r="N1100" s="2"/>
      <c r="O1100" s="4"/>
      <c r="P1100" s="2"/>
      <c r="Q1100" s="2"/>
      <c r="R1100" s="4"/>
      <c r="S1100" s="2"/>
      <c r="T1100" s="2"/>
      <c r="U1100" s="1"/>
      <c r="V1100" s="2"/>
      <c r="W1100" s="2"/>
      <c r="X1100" s="2"/>
      <c r="Y1100" s="2"/>
      <c r="Z1100" s="2"/>
    </row>
    <row r="1101" spans="1:26" ht="15.75" customHeight="1" x14ac:dyDescent="0.2">
      <c r="A1101" s="12"/>
      <c r="B1101" s="10"/>
      <c r="C1101" s="11"/>
      <c r="D1101" s="13"/>
      <c r="E1101" s="13"/>
      <c r="F1101" s="13"/>
      <c r="G1101" s="2"/>
      <c r="H1101" s="2"/>
      <c r="I1101" s="13"/>
      <c r="J1101" s="13"/>
      <c r="K1101" s="13"/>
      <c r="L1101" s="14"/>
      <c r="M1101" s="4"/>
      <c r="N1101" s="2"/>
      <c r="O1101" s="4"/>
      <c r="P1101" s="2"/>
      <c r="Q1101" s="2"/>
      <c r="R1101" s="4"/>
      <c r="S1101" s="2"/>
      <c r="T1101" s="2"/>
      <c r="U1101" s="1"/>
      <c r="V1101" s="2"/>
      <c r="W1101" s="2"/>
      <c r="X1101" s="2"/>
      <c r="Y1101" s="2"/>
      <c r="Z1101" s="2"/>
    </row>
    <row r="1102" spans="1:26" ht="15.75" customHeight="1" x14ac:dyDescent="0.2">
      <c r="A1102" s="12"/>
      <c r="B1102" s="10"/>
      <c r="C1102" s="11"/>
      <c r="D1102" s="13"/>
      <c r="E1102" s="13"/>
      <c r="F1102" s="13"/>
      <c r="G1102" s="2"/>
      <c r="H1102" s="2"/>
      <c r="I1102" s="13"/>
      <c r="J1102" s="13"/>
      <c r="K1102" s="13"/>
      <c r="L1102" s="14"/>
      <c r="M1102" s="4"/>
      <c r="N1102" s="2"/>
      <c r="O1102" s="4"/>
      <c r="P1102" s="2"/>
      <c r="Q1102" s="2"/>
      <c r="R1102" s="4"/>
      <c r="S1102" s="2"/>
      <c r="T1102" s="2"/>
      <c r="U1102" s="1"/>
      <c r="V1102" s="2"/>
      <c r="W1102" s="2"/>
      <c r="X1102" s="2"/>
      <c r="Y1102" s="2"/>
      <c r="Z1102" s="2"/>
    </row>
    <row r="1103" spans="1:26" ht="15.75" customHeight="1" x14ac:dyDescent="0.2">
      <c r="A1103" s="12"/>
      <c r="B1103" s="10"/>
      <c r="C1103" s="11"/>
      <c r="D1103" s="13"/>
      <c r="E1103" s="13"/>
      <c r="F1103" s="13"/>
      <c r="G1103" s="2"/>
      <c r="H1103" s="2"/>
      <c r="I1103" s="13"/>
      <c r="J1103" s="13"/>
      <c r="K1103" s="13"/>
      <c r="L1103" s="14"/>
      <c r="M1103" s="4"/>
      <c r="N1103" s="2"/>
      <c r="O1103" s="4"/>
      <c r="P1103" s="2"/>
      <c r="Q1103" s="2"/>
      <c r="R1103" s="4"/>
      <c r="S1103" s="2"/>
      <c r="T1103" s="2"/>
      <c r="U1103" s="1"/>
      <c r="V1103" s="2"/>
      <c r="W1103" s="2"/>
      <c r="X1103" s="2"/>
      <c r="Y1103" s="2"/>
      <c r="Z1103" s="2"/>
    </row>
    <row r="1104" spans="1:26" ht="15.75" customHeight="1" x14ac:dyDescent="0.2">
      <c r="A1104" s="12"/>
      <c r="B1104" s="10"/>
      <c r="C1104" s="11"/>
      <c r="D1104" s="13"/>
      <c r="E1104" s="13"/>
      <c r="F1104" s="13"/>
      <c r="G1104" s="2"/>
      <c r="H1104" s="2"/>
      <c r="I1104" s="13"/>
      <c r="J1104" s="13"/>
      <c r="K1104" s="13"/>
      <c r="L1104" s="14"/>
      <c r="M1104" s="4"/>
      <c r="N1104" s="2"/>
      <c r="O1104" s="4"/>
      <c r="P1104" s="2"/>
      <c r="Q1104" s="2"/>
      <c r="R1104" s="4"/>
      <c r="S1104" s="2"/>
      <c r="T1104" s="2"/>
      <c r="U1104" s="1"/>
      <c r="V1104" s="2"/>
      <c r="W1104" s="2"/>
      <c r="X1104" s="2"/>
      <c r="Y1104" s="2"/>
      <c r="Z1104" s="2"/>
    </row>
    <row r="1105" spans="1:26" ht="15.75" customHeight="1" x14ac:dyDescent="0.2">
      <c r="A1105" s="12"/>
      <c r="B1105" s="10"/>
      <c r="C1105" s="11"/>
      <c r="D1105" s="13"/>
      <c r="E1105" s="13"/>
      <c r="F1105" s="13"/>
      <c r="G1105" s="2"/>
      <c r="H1105" s="2"/>
      <c r="I1105" s="13"/>
      <c r="J1105" s="13"/>
      <c r="K1105" s="13"/>
      <c r="L1105" s="14"/>
      <c r="M1105" s="4"/>
      <c r="N1105" s="2"/>
      <c r="O1105" s="4"/>
      <c r="P1105" s="2"/>
      <c r="Q1105" s="2"/>
      <c r="R1105" s="4"/>
      <c r="S1105" s="2"/>
      <c r="T1105" s="2"/>
      <c r="U1105" s="1"/>
      <c r="V1105" s="2"/>
      <c r="W1105" s="2"/>
      <c r="X1105" s="2"/>
      <c r="Y1105" s="2"/>
      <c r="Z1105" s="2"/>
    </row>
    <row r="1106" spans="1:26" ht="15.75" customHeight="1" x14ac:dyDescent="0.2">
      <c r="A1106" s="12"/>
      <c r="B1106" s="10"/>
      <c r="C1106" s="11"/>
      <c r="D1106" s="13"/>
      <c r="E1106" s="13"/>
      <c r="F1106" s="13"/>
      <c r="G1106" s="2"/>
      <c r="H1106" s="2"/>
      <c r="I1106" s="13"/>
      <c r="J1106" s="13"/>
      <c r="K1106" s="13"/>
      <c r="L1106" s="14"/>
      <c r="M1106" s="4"/>
      <c r="N1106" s="2"/>
      <c r="O1106" s="4"/>
      <c r="P1106" s="2"/>
      <c r="Q1106" s="2"/>
      <c r="R1106" s="4"/>
      <c r="S1106" s="2"/>
      <c r="T1106" s="2"/>
      <c r="U1106" s="1"/>
      <c r="V1106" s="2"/>
      <c r="W1106" s="2"/>
      <c r="X1106" s="2"/>
      <c r="Y1106" s="2"/>
      <c r="Z1106" s="2"/>
    </row>
    <row r="1107" spans="1:26" ht="15.75" customHeight="1" x14ac:dyDescent="0.2">
      <c r="A1107" s="12"/>
      <c r="B1107" s="10"/>
      <c r="C1107" s="11"/>
      <c r="D1107" s="13"/>
      <c r="E1107" s="13"/>
      <c r="F1107" s="13"/>
      <c r="G1107" s="2"/>
      <c r="H1107" s="2"/>
      <c r="I1107" s="13"/>
      <c r="J1107" s="13"/>
      <c r="K1107" s="13"/>
      <c r="L1107" s="14"/>
      <c r="M1107" s="4"/>
      <c r="N1107" s="2"/>
      <c r="O1107" s="4"/>
      <c r="P1107" s="2"/>
      <c r="Q1107" s="2"/>
      <c r="R1107" s="4"/>
      <c r="S1107" s="2"/>
      <c r="T1107" s="2"/>
      <c r="U1107" s="1"/>
      <c r="V1107" s="2"/>
      <c r="W1107" s="2"/>
      <c r="X1107" s="2"/>
      <c r="Y1107" s="2"/>
      <c r="Z1107" s="2"/>
    </row>
    <row r="1108" spans="1:26" ht="15.75" customHeight="1" x14ac:dyDescent="0.2">
      <c r="A1108" s="12"/>
      <c r="B1108" s="10"/>
      <c r="C1108" s="11"/>
      <c r="D1108" s="13"/>
      <c r="E1108" s="13"/>
      <c r="F1108" s="13"/>
      <c r="G1108" s="2"/>
      <c r="H1108" s="2"/>
      <c r="I1108" s="13"/>
      <c r="J1108" s="13"/>
      <c r="K1108" s="13"/>
      <c r="L1108" s="14"/>
      <c r="M1108" s="4"/>
      <c r="N1108" s="2"/>
      <c r="O1108" s="4"/>
      <c r="P1108" s="2"/>
      <c r="Q1108" s="2"/>
      <c r="R1108" s="4"/>
      <c r="S1108" s="2"/>
      <c r="T1108" s="2"/>
      <c r="U1108" s="1"/>
      <c r="V1108" s="2"/>
      <c r="W1108" s="2"/>
      <c r="X1108" s="2"/>
      <c r="Y1108" s="2"/>
      <c r="Z1108" s="2"/>
    </row>
    <row r="1109" spans="1:26" ht="15.75" customHeight="1" x14ac:dyDescent="0.2">
      <c r="A1109" s="12"/>
      <c r="B1109" s="10"/>
      <c r="C1109" s="11"/>
      <c r="D1109" s="13"/>
      <c r="E1109" s="13"/>
      <c r="F1109" s="13"/>
      <c r="G1109" s="2"/>
      <c r="H1109" s="2"/>
      <c r="I1109" s="13"/>
      <c r="J1109" s="13"/>
      <c r="K1109" s="13"/>
      <c r="L1109" s="14"/>
      <c r="M1109" s="4"/>
      <c r="N1109" s="2"/>
      <c r="O1109" s="4"/>
      <c r="P1109" s="2"/>
      <c r="Q1109" s="2"/>
      <c r="R1109" s="4"/>
      <c r="S1109" s="2"/>
      <c r="T1109" s="2"/>
      <c r="U1109" s="1"/>
      <c r="V1109" s="2"/>
      <c r="W1109" s="2"/>
      <c r="X1109" s="2"/>
      <c r="Y1109" s="2"/>
      <c r="Z1109" s="2"/>
    </row>
    <row r="1110" spans="1:26" ht="15.75" customHeight="1" x14ac:dyDescent="0.2">
      <c r="A1110" s="12"/>
      <c r="B1110" s="10"/>
      <c r="C1110" s="11"/>
      <c r="D1110" s="13"/>
      <c r="E1110" s="13"/>
      <c r="F1110" s="13"/>
      <c r="G1110" s="2"/>
      <c r="H1110" s="2"/>
      <c r="I1110" s="13"/>
      <c r="J1110" s="13"/>
      <c r="K1110" s="13"/>
      <c r="L1110" s="14"/>
      <c r="M1110" s="4"/>
      <c r="N1110" s="2"/>
      <c r="O1110" s="4"/>
      <c r="P1110" s="2"/>
      <c r="Q1110" s="2"/>
      <c r="R1110" s="4"/>
      <c r="S1110" s="2"/>
      <c r="T1110" s="2"/>
      <c r="U1110" s="1"/>
      <c r="V1110" s="2"/>
      <c r="W1110" s="2"/>
      <c r="X1110" s="2"/>
      <c r="Y1110" s="2"/>
      <c r="Z1110" s="2"/>
    </row>
    <row r="1111" spans="1:26" ht="15.75" customHeight="1" x14ac:dyDescent="0.2">
      <c r="A1111" s="12"/>
      <c r="B1111" s="10"/>
      <c r="C1111" s="11"/>
      <c r="D1111" s="13"/>
      <c r="E1111" s="13"/>
      <c r="F1111" s="13"/>
      <c r="G1111" s="2"/>
      <c r="H1111" s="2"/>
      <c r="I1111" s="13"/>
      <c r="J1111" s="13"/>
      <c r="K1111" s="13"/>
      <c r="L1111" s="14"/>
      <c r="M1111" s="4"/>
      <c r="N1111" s="2"/>
      <c r="O1111" s="4"/>
      <c r="P1111" s="2"/>
      <c r="Q1111" s="2"/>
      <c r="R1111" s="4"/>
      <c r="S1111" s="2"/>
      <c r="T1111" s="2"/>
      <c r="U1111" s="1"/>
      <c r="V1111" s="2"/>
      <c r="W1111" s="2"/>
      <c r="X1111" s="2"/>
      <c r="Y1111" s="2"/>
      <c r="Z1111" s="2"/>
    </row>
    <row r="1112" spans="1:26" ht="15.75" customHeight="1" x14ac:dyDescent="0.2">
      <c r="A1112" s="12"/>
      <c r="B1112" s="10"/>
      <c r="C1112" s="11"/>
      <c r="D1112" s="13"/>
      <c r="E1112" s="13"/>
      <c r="F1112" s="13"/>
      <c r="G1112" s="2"/>
      <c r="H1112" s="2"/>
      <c r="I1112" s="13"/>
      <c r="J1112" s="13"/>
      <c r="K1112" s="13"/>
      <c r="L1112" s="14"/>
      <c r="M1112" s="4"/>
      <c r="N1112" s="2"/>
      <c r="O1112" s="4"/>
      <c r="P1112" s="2"/>
      <c r="Q1112" s="2"/>
      <c r="R1112" s="4"/>
      <c r="S1112" s="2"/>
      <c r="T1112" s="2"/>
      <c r="U1112" s="1"/>
      <c r="V1112" s="2"/>
      <c r="W1112" s="2"/>
      <c r="X1112" s="2"/>
      <c r="Y1112" s="2"/>
      <c r="Z1112" s="2"/>
    </row>
    <row r="1113" spans="1:26" ht="15.75" customHeight="1" x14ac:dyDescent="0.2">
      <c r="A1113" s="12"/>
      <c r="B1113" s="10"/>
      <c r="C1113" s="11"/>
      <c r="D1113" s="13"/>
      <c r="E1113" s="13"/>
      <c r="F1113" s="13"/>
      <c r="G1113" s="2"/>
      <c r="H1113" s="2"/>
      <c r="I1113" s="13"/>
      <c r="J1113" s="13"/>
      <c r="K1113" s="13"/>
      <c r="L1113" s="14"/>
      <c r="M1113" s="4"/>
      <c r="N1113" s="2"/>
      <c r="O1113" s="4"/>
      <c r="P1113" s="2"/>
      <c r="Q1113" s="2"/>
      <c r="R1113" s="4"/>
      <c r="S1113" s="2"/>
      <c r="T1113" s="2"/>
      <c r="U1113" s="1"/>
      <c r="V1113" s="2"/>
      <c r="W1113" s="2"/>
      <c r="X1113" s="2"/>
      <c r="Y1113" s="2"/>
      <c r="Z1113" s="2"/>
    </row>
    <row r="1114" spans="1:26" ht="15.75" customHeight="1" x14ac:dyDescent="0.2">
      <c r="A1114" s="12"/>
      <c r="B1114" s="10"/>
      <c r="C1114" s="11"/>
      <c r="D1114" s="13"/>
      <c r="E1114" s="13"/>
      <c r="F1114" s="13"/>
      <c r="G1114" s="2"/>
      <c r="H1114" s="2"/>
      <c r="I1114" s="13"/>
      <c r="J1114" s="13"/>
      <c r="K1114" s="13"/>
      <c r="L1114" s="14"/>
      <c r="M1114" s="4"/>
      <c r="N1114" s="2"/>
      <c r="O1114" s="4"/>
      <c r="P1114" s="2"/>
      <c r="Q1114" s="2"/>
      <c r="R1114" s="4"/>
      <c r="S1114" s="2"/>
      <c r="T1114" s="2"/>
      <c r="U1114" s="1"/>
      <c r="V1114" s="2"/>
      <c r="W1114" s="2"/>
      <c r="X1114" s="2"/>
      <c r="Y1114" s="2"/>
      <c r="Z1114" s="2"/>
    </row>
    <row r="1115" spans="1:26" ht="15.75" customHeight="1" x14ac:dyDescent="0.2">
      <c r="A1115" s="12"/>
      <c r="B1115" s="10"/>
      <c r="C1115" s="11"/>
      <c r="D1115" s="13"/>
      <c r="E1115" s="13"/>
      <c r="F1115" s="13"/>
      <c r="G1115" s="2"/>
      <c r="H1115" s="2"/>
      <c r="I1115" s="13"/>
      <c r="J1115" s="13"/>
      <c r="K1115" s="13"/>
      <c r="L1115" s="14"/>
      <c r="M1115" s="4"/>
      <c r="N1115" s="2"/>
      <c r="O1115" s="4"/>
      <c r="P1115" s="2"/>
      <c r="Q1115" s="2"/>
      <c r="R1115" s="4"/>
      <c r="S1115" s="2"/>
      <c r="T1115" s="2"/>
      <c r="U1115" s="1"/>
      <c r="V1115" s="2"/>
      <c r="W1115" s="2"/>
      <c r="X1115" s="2"/>
      <c r="Y1115" s="2"/>
      <c r="Z1115" s="2"/>
    </row>
    <row r="1116" spans="1:26" ht="15.75" customHeight="1" x14ac:dyDescent="0.2">
      <c r="A1116" s="12"/>
      <c r="B1116" s="10"/>
      <c r="C1116" s="11"/>
      <c r="D1116" s="13"/>
      <c r="E1116" s="13"/>
      <c r="F1116" s="13"/>
      <c r="G1116" s="2"/>
      <c r="H1116" s="2"/>
      <c r="I1116" s="13"/>
      <c r="J1116" s="13"/>
      <c r="K1116" s="13"/>
      <c r="L1116" s="14"/>
      <c r="M1116" s="4"/>
      <c r="N1116" s="2"/>
      <c r="O1116" s="4"/>
      <c r="P1116" s="2"/>
      <c r="Q1116" s="2"/>
      <c r="R1116" s="4"/>
      <c r="S1116" s="2"/>
      <c r="T1116" s="2"/>
      <c r="U1116" s="1"/>
      <c r="V1116" s="2"/>
      <c r="W1116" s="2"/>
      <c r="X1116" s="2"/>
      <c r="Y1116" s="2"/>
      <c r="Z1116" s="2"/>
    </row>
    <row r="1117" spans="1:26" ht="15.75" customHeight="1" x14ac:dyDescent="0.2">
      <c r="A1117" s="12"/>
      <c r="B1117" s="10"/>
      <c r="C1117" s="11"/>
      <c r="D1117" s="13"/>
      <c r="E1117" s="13"/>
      <c r="F1117" s="13"/>
      <c r="G1117" s="2"/>
      <c r="H1117" s="2"/>
      <c r="I1117" s="13"/>
      <c r="J1117" s="13"/>
      <c r="K1117" s="13"/>
      <c r="L1117" s="14"/>
      <c r="M1117" s="4"/>
      <c r="N1117" s="2"/>
      <c r="O1117" s="4"/>
      <c r="P1117" s="2"/>
      <c r="Q1117" s="2"/>
      <c r="R1117" s="4"/>
      <c r="S1117" s="2"/>
      <c r="T1117" s="2"/>
      <c r="U1117" s="1"/>
      <c r="V1117" s="2"/>
      <c r="W1117" s="2"/>
      <c r="X1117" s="2"/>
      <c r="Y1117" s="2"/>
      <c r="Z1117" s="2"/>
    </row>
    <row r="1118" spans="1:26" ht="15.75" customHeight="1" x14ac:dyDescent="0.2">
      <c r="A1118" s="12"/>
      <c r="B1118" s="10"/>
      <c r="C1118" s="11"/>
      <c r="D1118" s="13"/>
      <c r="E1118" s="13"/>
      <c r="F1118" s="13"/>
      <c r="G1118" s="2"/>
      <c r="H1118" s="2"/>
      <c r="I1118" s="13"/>
      <c r="J1118" s="13"/>
      <c r="K1118" s="13"/>
      <c r="L1118" s="14"/>
      <c r="M1118" s="4"/>
      <c r="N1118" s="2"/>
      <c r="O1118" s="4"/>
      <c r="P1118" s="2"/>
      <c r="Q1118" s="2"/>
      <c r="R1118" s="4"/>
      <c r="S1118" s="2"/>
      <c r="T1118" s="2"/>
      <c r="U1118" s="1"/>
      <c r="V1118" s="2"/>
      <c r="W1118" s="2"/>
      <c r="X1118" s="2"/>
      <c r="Y1118" s="2"/>
      <c r="Z1118" s="2"/>
    </row>
    <row r="1119" spans="1:26" ht="15.75" customHeight="1" x14ac:dyDescent="0.2">
      <c r="A1119" s="12"/>
      <c r="B1119" s="10"/>
      <c r="C1119" s="11"/>
      <c r="D1119" s="13"/>
      <c r="E1119" s="13"/>
      <c r="F1119" s="13"/>
      <c r="G1119" s="2"/>
      <c r="H1119" s="2"/>
      <c r="I1119" s="13"/>
      <c r="J1119" s="13"/>
      <c r="K1119" s="13"/>
      <c r="L1119" s="14"/>
      <c r="M1119" s="4"/>
      <c r="N1119" s="2"/>
      <c r="O1119" s="4"/>
      <c r="P1119" s="2"/>
      <c r="Q1119" s="2"/>
      <c r="R1119" s="4"/>
      <c r="S1119" s="2"/>
      <c r="T1119" s="2"/>
      <c r="U1119" s="1"/>
      <c r="V1119" s="2"/>
      <c r="W1119" s="2"/>
      <c r="X1119" s="2"/>
      <c r="Y1119" s="2"/>
      <c r="Z1119" s="2"/>
    </row>
    <row r="1120" spans="1:26" ht="15.75" customHeight="1" x14ac:dyDescent="0.2">
      <c r="A1120" s="12"/>
      <c r="B1120" s="10"/>
      <c r="C1120" s="11"/>
      <c r="D1120" s="13"/>
      <c r="E1120" s="13"/>
      <c r="F1120" s="13"/>
      <c r="G1120" s="2"/>
      <c r="H1120" s="2"/>
      <c r="I1120" s="13"/>
      <c r="J1120" s="13"/>
      <c r="K1120" s="13"/>
      <c r="L1120" s="14"/>
      <c r="M1120" s="4"/>
      <c r="N1120" s="2"/>
      <c r="O1120" s="4"/>
      <c r="P1120" s="2"/>
      <c r="Q1120" s="2"/>
      <c r="R1120" s="4"/>
      <c r="S1120" s="2"/>
      <c r="T1120" s="2"/>
      <c r="U1120" s="1"/>
      <c r="V1120" s="2"/>
      <c r="W1120" s="2"/>
      <c r="X1120" s="2"/>
      <c r="Y1120" s="2"/>
      <c r="Z1120" s="2"/>
    </row>
    <row r="1121" spans="1:26" ht="15.75" customHeight="1" x14ac:dyDescent="0.2">
      <c r="A1121" s="12"/>
      <c r="B1121" s="10"/>
      <c r="C1121" s="11"/>
      <c r="D1121" s="13"/>
      <c r="E1121" s="13"/>
      <c r="F1121" s="13"/>
      <c r="G1121" s="2"/>
      <c r="H1121" s="2"/>
      <c r="I1121" s="13"/>
      <c r="J1121" s="13"/>
      <c r="K1121" s="13"/>
      <c r="L1121" s="14"/>
      <c r="M1121" s="4"/>
      <c r="N1121" s="2"/>
      <c r="O1121" s="4"/>
      <c r="P1121" s="2"/>
      <c r="Q1121" s="2"/>
      <c r="R1121" s="4"/>
      <c r="S1121" s="2"/>
      <c r="T1121" s="2"/>
      <c r="U1121" s="1"/>
      <c r="V1121" s="2"/>
      <c r="W1121" s="2"/>
      <c r="X1121" s="2"/>
      <c r="Y1121" s="2"/>
      <c r="Z1121" s="2"/>
    </row>
    <row r="1122" spans="1:26" ht="15.75" customHeight="1" x14ac:dyDescent="0.2">
      <c r="A1122" s="12"/>
      <c r="B1122" s="10"/>
      <c r="C1122" s="11"/>
      <c r="D1122" s="13"/>
      <c r="E1122" s="13"/>
      <c r="F1122" s="13"/>
      <c r="G1122" s="2"/>
      <c r="H1122" s="2"/>
      <c r="I1122" s="13"/>
      <c r="J1122" s="13"/>
      <c r="K1122" s="13"/>
      <c r="L1122" s="14"/>
      <c r="M1122" s="4"/>
      <c r="N1122" s="2"/>
      <c r="O1122" s="4"/>
      <c r="P1122" s="2"/>
      <c r="Q1122" s="2"/>
      <c r="R1122" s="4"/>
      <c r="S1122" s="2"/>
      <c r="T1122" s="2"/>
      <c r="U1122" s="1"/>
      <c r="V1122" s="2"/>
      <c r="W1122" s="2"/>
      <c r="X1122" s="2"/>
      <c r="Y1122" s="2"/>
      <c r="Z1122" s="2"/>
    </row>
    <row r="1123" spans="1:26" ht="15.75" customHeight="1" x14ac:dyDescent="0.2">
      <c r="A1123" s="12"/>
      <c r="B1123" s="10"/>
      <c r="C1123" s="11"/>
      <c r="D1123" s="13"/>
      <c r="E1123" s="13"/>
      <c r="F1123" s="13"/>
      <c r="G1123" s="2"/>
      <c r="H1123" s="2"/>
      <c r="I1123" s="13"/>
      <c r="J1123" s="13"/>
      <c r="K1123" s="13"/>
      <c r="L1123" s="14"/>
      <c r="M1123" s="4"/>
      <c r="N1123" s="2"/>
      <c r="O1123" s="4"/>
      <c r="P1123" s="2"/>
      <c r="Q1123" s="2"/>
      <c r="R1123" s="4"/>
      <c r="S1123" s="2"/>
      <c r="T1123" s="2"/>
      <c r="U1123" s="1"/>
      <c r="V1123" s="2"/>
      <c r="W1123" s="2"/>
      <c r="X1123" s="2"/>
      <c r="Y1123" s="2"/>
      <c r="Z1123" s="2"/>
    </row>
    <row r="1124" spans="1:26" ht="15.75" customHeight="1" x14ac:dyDescent="0.2">
      <c r="A1124" s="12"/>
      <c r="B1124" s="10"/>
      <c r="C1124" s="11"/>
      <c r="D1124" s="13"/>
      <c r="E1124" s="13"/>
      <c r="F1124" s="13"/>
      <c r="G1124" s="2"/>
      <c r="H1124" s="2"/>
      <c r="I1124" s="13"/>
      <c r="J1124" s="13"/>
      <c r="K1124" s="13"/>
      <c r="L1124" s="14"/>
      <c r="M1124" s="4"/>
      <c r="N1124" s="2"/>
      <c r="O1124" s="4"/>
      <c r="P1124" s="2"/>
      <c r="Q1124" s="2"/>
      <c r="R1124" s="4"/>
      <c r="S1124" s="2"/>
      <c r="T1124" s="2"/>
      <c r="U1124" s="1"/>
      <c r="V1124" s="2"/>
      <c r="W1124" s="2"/>
      <c r="X1124" s="2"/>
      <c r="Y1124" s="2"/>
      <c r="Z1124" s="2"/>
    </row>
    <row r="1125" spans="1:26" ht="15.75" customHeight="1" x14ac:dyDescent="0.2">
      <c r="A1125" s="12"/>
      <c r="B1125" s="10"/>
      <c r="C1125" s="11"/>
      <c r="D1125" s="13"/>
      <c r="E1125" s="13"/>
      <c r="F1125" s="13"/>
      <c r="G1125" s="2"/>
      <c r="H1125" s="2"/>
      <c r="I1125" s="13"/>
      <c r="J1125" s="13"/>
      <c r="K1125" s="13"/>
      <c r="L1125" s="14"/>
      <c r="M1125" s="4"/>
      <c r="N1125" s="2"/>
      <c r="O1125" s="4"/>
      <c r="P1125" s="2"/>
      <c r="Q1125" s="2"/>
      <c r="R1125" s="4"/>
      <c r="S1125" s="2"/>
      <c r="T1125" s="2"/>
      <c r="U1125" s="1"/>
      <c r="V1125" s="2"/>
      <c r="W1125" s="2"/>
      <c r="X1125" s="2"/>
      <c r="Y1125" s="2"/>
      <c r="Z1125" s="2"/>
    </row>
    <row r="1126" spans="1:26" ht="15.75" customHeight="1" x14ac:dyDescent="0.2">
      <c r="A1126" s="12"/>
      <c r="B1126" s="10"/>
      <c r="C1126" s="11"/>
      <c r="D1126" s="13"/>
      <c r="E1126" s="13"/>
      <c r="F1126" s="13"/>
      <c r="G1126" s="2"/>
      <c r="H1126" s="2"/>
      <c r="I1126" s="13"/>
      <c r="J1126" s="13"/>
      <c r="K1126" s="13"/>
      <c r="L1126" s="14"/>
      <c r="M1126" s="4"/>
      <c r="N1126" s="2"/>
      <c r="O1126" s="4"/>
      <c r="P1126" s="2"/>
      <c r="Q1126" s="2"/>
      <c r="R1126" s="4"/>
      <c r="S1126" s="2"/>
      <c r="T1126" s="2"/>
      <c r="U1126" s="1"/>
      <c r="V1126" s="2"/>
      <c r="W1126" s="2"/>
      <c r="X1126" s="2"/>
      <c r="Y1126" s="2"/>
      <c r="Z1126" s="2"/>
    </row>
    <row r="1127" spans="1:26" ht="15.75" customHeight="1" x14ac:dyDescent="0.2">
      <c r="A1127" s="12"/>
      <c r="B1127" s="10"/>
      <c r="C1127" s="11"/>
      <c r="D1127" s="13"/>
      <c r="E1127" s="13"/>
      <c r="F1127" s="13"/>
      <c r="G1127" s="2"/>
      <c r="H1127" s="2"/>
      <c r="I1127" s="13"/>
      <c r="J1127" s="13"/>
      <c r="K1127" s="13"/>
      <c r="L1127" s="14"/>
      <c r="M1127" s="4"/>
      <c r="N1127" s="2"/>
      <c r="O1127" s="4"/>
      <c r="P1127" s="2"/>
      <c r="Q1127" s="2"/>
      <c r="R1127" s="4"/>
      <c r="S1127" s="2"/>
      <c r="T1127" s="2"/>
      <c r="U1127" s="1"/>
      <c r="V1127" s="2"/>
      <c r="W1127" s="2"/>
      <c r="X1127" s="2"/>
      <c r="Y1127" s="2"/>
      <c r="Z1127" s="2"/>
    </row>
    <row r="1128" spans="1:26" ht="15.75" customHeight="1" x14ac:dyDescent="0.2">
      <c r="A1128" s="12"/>
      <c r="B1128" s="10"/>
      <c r="C1128" s="11"/>
      <c r="D1128" s="13"/>
      <c r="E1128" s="13"/>
      <c r="F1128" s="13"/>
      <c r="G1128" s="2"/>
      <c r="H1128" s="2"/>
      <c r="I1128" s="13"/>
      <c r="J1128" s="13"/>
      <c r="K1128" s="13"/>
      <c r="L1128" s="14"/>
      <c r="M1128" s="4"/>
      <c r="N1128" s="2"/>
      <c r="O1128" s="4"/>
      <c r="P1128" s="2"/>
      <c r="Q1128" s="2"/>
      <c r="R1128" s="4"/>
      <c r="S1128" s="2"/>
      <c r="T1128" s="2"/>
      <c r="U1128" s="1"/>
      <c r="V1128" s="2"/>
      <c r="W1128" s="2"/>
      <c r="X1128" s="2"/>
      <c r="Y1128" s="2"/>
      <c r="Z1128" s="2"/>
    </row>
    <row r="1129" spans="1:26" ht="15.75" customHeight="1" x14ac:dyDescent="0.2">
      <c r="A1129" s="12"/>
      <c r="B1129" s="10"/>
      <c r="C1129" s="11"/>
      <c r="D1129" s="13"/>
      <c r="E1129" s="13"/>
      <c r="F1129" s="13"/>
      <c r="G1129" s="2"/>
      <c r="H1129" s="2"/>
      <c r="I1129" s="13"/>
      <c r="J1129" s="13"/>
      <c r="K1129" s="13"/>
      <c r="L1129" s="14"/>
      <c r="M1129" s="4"/>
      <c r="N1129" s="2"/>
      <c r="O1129" s="4"/>
      <c r="P1129" s="2"/>
      <c r="Q1129" s="2"/>
      <c r="R1129" s="4"/>
      <c r="S1129" s="2"/>
      <c r="T1129" s="2"/>
      <c r="U1129" s="1"/>
      <c r="V1129" s="2"/>
      <c r="W1129" s="2"/>
      <c r="X1129" s="2"/>
      <c r="Y1129" s="2"/>
      <c r="Z1129" s="2"/>
    </row>
    <row r="1130" spans="1:26" ht="15.75" customHeight="1" x14ac:dyDescent="0.2">
      <c r="A1130" s="12"/>
      <c r="B1130" s="10"/>
      <c r="C1130" s="11"/>
      <c r="D1130" s="13"/>
      <c r="E1130" s="13"/>
      <c r="F1130" s="13"/>
      <c r="G1130" s="2"/>
      <c r="H1130" s="2"/>
      <c r="I1130" s="13"/>
      <c r="J1130" s="13"/>
      <c r="K1130" s="13"/>
      <c r="L1130" s="14"/>
      <c r="M1130" s="4"/>
      <c r="N1130" s="2"/>
      <c r="O1130" s="4"/>
      <c r="P1130" s="2"/>
      <c r="Q1130" s="2"/>
      <c r="R1130" s="4"/>
      <c r="S1130" s="2"/>
      <c r="T1130" s="2"/>
      <c r="U1130" s="1"/>
      <c r="V1130" s="2"/>
      <c r="W1130" s="2"/>
      <c r="X1130" s="2"/>
      <c r="Y1130" s="2"/>
      <c r="Z1130" s="2"/>
    </row>
    <row r="1131" spans="1:26" ht="15.75" customHeight="1" x14ac:dyDescent="0.2">
      <c r="A1131" s="12"/>
      <c r="B1131" s="10"/>
      <c r="C1131" s="11"/>
      <c r="D1131" s="13"/>
      <c r="E1131" s="13"/>
      <c r="F1131" s="13"/>
      <c r="G1131" s="2"/>
      <c r="H1131" s="2"/>
      <c r="I1131" s="13"/>
      <c r="J1131" s="13"/>
      <c r="K1131" s="13"/>
      <c r="L1131" s="14"/>
      <c r="M1131" s="4"/>
      <c r="N1131" s="2"/>
      <c r="O1131" s="4"/>
      <c r="P1131" s="2"/>
      <c r="Q1131" s="2"/>
      <c r="R1131" s="4"/>
      <c r="S1131" s="2"/>
      <c r="T1131" s="2"/>
      <c r="U1131" s="1"/>
      <c r="V1131" s="2"/>
      <c r="W1131" s="2"/>
      <c r="X1131" s="2"/>
      <c r="Y1131" s="2"/>
      <c r="Z1131" s="2"/>
    </row>
    <row r="1132" spans="1:26" ht="15.75" customHeight="1" x14ac:dyDescent="0.2">
      <c r="A1132" s="12"/>
      <c r="B1132" s="10"/>
      <c r="C1132" s="11"/>
      <c r="D1132" s="13"/>
      <c r="E1132" s="13"/>
      <c r="F1132" s="13"/>
      <c r="G1132" s="2"/>
      <c r="H1132" s="2"/>
      <c r="I1132" s="13"/>
      <c r="J1132" s="13"/>
      <c r="K1132" s="13"/>
      <c r="L1132" s="14"/>
      <c r="M1132" s="4"/>
      <c r="N1132" s="2"/>
      <c r="O1132" s="4"/>
      <c r="P1132" s="2"/>
      <c r="Q1132" s="2"/>
      <c r="R1132" s="4"/>
      <c r="S1132" s="2"/>
      <c r="T1132" s="2"/>
      <c r="U1132" s="1"/>
      <c r="V1132" s="2"/>
      <c r="W1132" s="2"/>
      <c r="X1132" s="2"/>
      <c r="Y1132" s="2"/>
      <c r="Z1132" s="2"/>
    </row>
    <row r="1133" spans="1:26" ht="15.75" customHeight="1" x14ac:dyDescent="0.2">
      <c r="A1133" s="12"/>
      <c r="B1133" s="10"/>
      <c r="C1133" s="11"/>
      <c r="D1133" s="13"/>
      <c r="E1133" s="13"/>
      <c r="F1133" s="13"/>
      <c r="G1133" s="2"/>
      <c r="H1133" s="2"/>
      <c r="I1133" s="13"/>
      <c r="J1133" s="13"/>
      <c r="K1133" s="13"/>
      <c r="L1133" s="14"/>
      <c r="M1133" s="4"/>
      <c r="N1133" s="2"/>
      <c r="O1133" s="4"/>
      <c r="P1133" s="2"/>
      <c r="Q1133" s="2"/>
      <c r="R1133" s="4"/>
      <c r="S1133" s="2"/>
      <c r="T1133" s="2"/>
      <c r="U1133" s="1"/>
      <c r="V1133" s="2"/>
      <c r="W1133" s="2"/>
      <c r="X1133" s="2"/>
      <c r="Y1133" s="2"/>
      <c r="Z1133" s="2"/>
    </row>
    <row r="1134" spans="1:26" ht="15.75" customHeight="1" x14ac:dyDescent="0.2">
      <c r="A1134" s="12"/>
      <c r="B1134" s="10"/>
      <c r="C1134" s="11"/>
      <c r="D1134" s="13"/>
      <c r="E1134" s="13"/>
      <c r="F1134" s="13"/>
      <c r="G1134" s="2"/>
      <c r="H1134" s="2"/>
      <c r="I1134" s="13"/>
      <c r="J1134" s="13"/>
      <c r="K1134" s="13"/>
      <c r="L1134" s="14"/>
      <c r="M1134" s="4"/>
      <c r="N1134" s="2"/>
      <c r="O1134" s="4"/>
      <c r="P1134" s="2"/>
      <c r="Q1134" s="2"/>
      <c r="R1134" s="4"/>
      <c r="S1134" s="2"/>
      <c r="T1134" s="2"/>
      <c r="U1134" s="1"/>
      <c r="V1134" s="2"/>
      <c r="W1134" s="2"/>
      <c r="X1134" s="2"/>
      <c r="Y1134" s="2"/>
      <c r="Z1134" s="2"/>
    </row>
    <row r="1135" spans="1:26" ht="15.75" customHeight="1" x14ac:dyDescent="0.2">
      <c r="A1135" s="12"/>
      <c r="B1135" s="10"/>
      <c r="C1135" s="11"/>
      <c r="D1135" s="13"/>
      <c r="E1135" s="13"/>
      <c r="F1135" s="13"/>
      <c r="G1135" s="2"/>
      <c r="H1135" s="2"/>
      <c r="I1135" s="13"/>
      <c r="J1135" s="13"/>
      <c r="K1135" s="13"/>
      <c r="L1135" s="14"/>
      <c r="M1135" s="4"/>
      <c r="N1135" s="2"/>
      <c r="O1135" s="4"/>
      <c r="P1135" s="2"/>
      <c r="Q1135" s="2"/>
      <c r="R1135" s="4"/>
      <c r="S1135" s="2"/>
      <c r="T1135" s="2"/>
      <c r="U1135" s="1"/>
      <c r="V1135" s="2"/>
      <c r="W1135" s="2"/>
      <c r="X1135" s="2"/>
      <c r="Y1135" s="2"/>
      <c r="Z1135" s="2"/>
    </row>
    <row r="1136" spans="1:26" ht="15.75" customHeight="1" x14ac:dyDescent="0.2">
      <c r="A1136" s="12"/>
      <c r="B1136" s="10"/>
      <c r="C1136" s="11"/>
      <c r="D1136" s="13"/>
      <c r="E1136" s="13"/>
      <c r="F1136" s="13"/>
      <c r="G1136" s="2"/>
      <c r="H1136" s="2"/>
      <c r="I1136" s="13"/>
      <c r="J1136" s="13"/>
      <c r="K1136" s="13"/>
      <c r="L1136" s="14"/>
      <c r="M1136" s="4"/>
      <c r="N1136" s="2"/>
      <c r="O1136" s="4"/>
      <c r="P1136" s="2"/>
      <c r="Q1136" s="2"/>
      <c r="R1136" s="4"/>
      <c r="S1136" s="2"/>
      <c r="T1136" s="2"/>
      <c r="U1136" s="1"/>
      <c r="V1136" s="2"/>
      <c r="W1136" s="2"/>
      <c r="X1136" s="2"/>
      <c r="Y1136" s="2"/>
      <c r="Z1136" s="2"/>
    </row>
    <row r="1137" spans="1:26" ht="15.75" customHeight="1" x14ac:dyDescent="0.2">
      <c r="A1137" s="12"/>
      <c r="B1137" s="10"/>
      <c r="C1137" s="11"/>
      <c r="D1137" s="13"/>
      <c r="E1137" s="13"/>
      <c r="F1137" s="13"/>
      <c r="G1137" s="2"/>
      <c r="H1137" s="2"/>
      <c r="I1137" s="13"/>
      <c r="J1137" s="13"/>
      <c r="K1137" s="13"/>
      <c r="L1137" s="14"/>
      <c r="M1137" s="4"/>
      <c r="N1137" s="2"/>
      <c r="O1137" s="4"/>
      <c r="P1137" s="2"/>
      <c r="Q1137" s="2"/>
      <c r="R1137" s="4"/>
      <c r="S1137" s="2"/>
      <c r="T1137" s="2"/>
      <c r="U1137" s="1"/>
      <c r="V1137" s="2"/>
      <c r="W1137" s="2"/>
      <c r="X1137" s="2"/>
      <c r="Y1137" s="2"/>
      <c r="Z1137" s="2"/>
    </row>
    <row r="1138" spans="1:26" ht="15.75" customHeight="1" x14ac:dyDescent="0.2">
      <c r="A1138" s="12"/>
      <c r="B1138" s="10"/>
      <c r="C1138" s="11"/>
      <c r="D1138" s="13"/>
      <c r="E1138" s="13"/>
      <c r="F1138" s="13"/>
      <c r="G1138" s="2"/>
      <c r="H1138" s="2"/>
      <c r="I1138" s="13"/>
      <c r="J1138" s="13"/>
      <c r="K1138" s="13"/>
      <c r="L1138" s="14"/>
      <c r="M1138" s="4"/>
      <c r="N1138" s="2"/>
      <c r="O1138" s="4"/>
      <c r="P1138" s="2"/>
      <c r="Q1138" s="2"/>
      <c r="R1138" s="4"/>
      <c r="S1138" s="2"/>
      <c r="T1138" s="2"/>
      <c r="U1138" s="1"/>
      <c r="V1138" s="2"/>
      <c r="W1138" s="2"/>
      <c r="X1138" s="2"/>
      <c r="Y1138" s="2"/>
      <c r="Z1138" s="2"/>
    </row>
    <row r="1139" spans="1:26" ht="15.75" customHeight="1" x14ac:dyDescent="0.2">
      <c r="A1139" s="12"/>
      <c r="B1139" s="10"/>
      <c r="C1139" s="11"/>
      <c r="D1139" s="13"/>
      <c r="E1139" s="13"/>
      <c r="F1139" s="13"/>
      <c r="G1139" s="2"/>
      <c r="H1139" s="2"/>
      <c r="I1139" s="13"/>
      <c r="J1139" s="13"/>
      <c r="K1139" s="13"/>
      <c r="L1139" s="14"/>
      <c r="M1139" s="4"/>
      <c r="N1139" s="2"/>
      <c r="O1139" s="4"/>
      <c r="P1139" s="2"/>
      <c r="Q1139" s="2"/>
      <c r="R1139" s="4"/>
      <c r="S1139" s="2"/>
      <c r="T1139" s="2"/>
      <c r="U1139" s="1"/>
      <c r="V1139" s="2"/>
      <c r="W1139" s="2"/>
      <c r="X1139" s="2"/>
      <c r="Y1139" s="2"/>
      <c r="Z1139" s="2"/>
    </row>
    <row r="1140" spans="1:26" ht="15.75" customHeight="1" x14ac:dyDescent="0.2">
      <c r="A1140" s="12"/>
      <c r="B1140" s="10"/>
      <c r="C1140" s="11"/>
      <c r="D1140" s="13"/>
      <c r="E1140" s="13"/>
      <c r="F1140" s="13"/>
      <c r="G1140" s="2"/>
      <c r="H1140" s="2"/>
      <c r="I1140" s="13"/>
      <c r="J1140" s="13"/>
      <c r="K1140" s="13"/>
      <c r="L1140" s="14"/>
      <c r="M1140" s="4"/>
      <c r="N1140" s="2"/>
      <c r="O1140" s="4"/>
      <c r="P1140" s="2"/>
      <c r="Q1140" s="2"/>
      <c r="R1140" s="4"/>
      <c r="S1140" s="2"/>
      <c r="T1140" s="2"/>
      <c r="U1140" s="1"/>
      <c r="V1140" s="2"/>
      <c r="W1140" s="2"/>
      <c r="X1140" s="2"/>
      <c r="Y1140" s="2"/>
      <c r="Z1140" s="2"/>
    </row>
    <row r="1141" spans="1:26" ht="15.75" customHeight="1" x14ac:dyDescent="0.2">
      <c r="A1141" s="12"/>
      <c r="B1141" s="10"/>
      <c r="C1141" s="11"/>
      <c r="D1141" s="13"/>
      <c r="E1141" s="13"/>
      <c r="F1141" s="13"/>
      <c r="G1141" s="2"/>
      <c r="H1141" s="2"/>
      <c r="I1141" s="13"/>
      <c r="J1141" s="13"/>
      <c r="K1141" s="13"/>
      <c r="L1141" s="14"/>
      <c r="M1141" s="4"/>
      <c r="N1141" s="2"/>
      <c r="O1141" s="4"/>
      <c r="P1141" s="2"/>
      <c r="Q1141" s="2"/>
      <c r="R1141" s="4"/>
      <c r="S1141" s="2"/>
      <c r="T1141" s="2"/>
      <c r="U1141" s="1"/>
      <c r="V1141" s="2"/>
      <c r="W1141" s="2"/>
      <c r="X1141" s="2"/>
      <c r="Y1141" s="2"/>
      <c r="Z1141" s="2"/>
    </row>
    <row r="1142" spans="1:26" ht="15.75" customHeight="1" x14ac:dyDescent="0.2">
      <c r="A1142" s="12"/>
      <c r="B1142" s="10"/>
      <c r="C1142" s="11"/>
      <c r="D1142" s="13"/>
      <c r="E1142" s="13"/>
      <c r="F1142" s="13"/>
      <c r="G1142" s="2"/>
      <c r="H1142" s="2"/>
      <c r="I1142" s="13"/>
      <c r="J1142" s="13"/>
      <c r="K1142" s="13"/>
      <c r="L1142" s="14"/>
      <c r="M1142" s="4"/>
      <c r="N1142" s="2"/>
      <c r="O1142" s="4"/>
      <c r="P1142" s="2"/>
      <c r="Q1142" s="2"/>
      <c r="R1142" s="4"/>
      <c r="S1142" s="2"/>
      <c r="T1142" s="2"/>
      <c r="U1142" s="1"/>
      <c r="V1142" s="2"/>
      <c r="W1142" s="2"/>
      <c r="X1142" s="2"/>
      <c r="Y1142" s="2"/>
      <c r="Z1142" s="2"/>
    </row>
    <row r="1143" spans="1:26" ht="15.75" customHeight="1" x14ac:dyDescent="0.2">
      <c r="A1143" s="12"/>
      <c r="B1143" s="10"/>
      <c r="C1143" s="11"/>
      <c r="D1143" s="13"/>
      <c r="E1143" s="13"/>
      <c r="F1143" s="13"/>
      <c r="G1143" s="2"/>
      <c r="H1143" s="2"/>
      <c r="I1143" s="13"/>
      <c r="J1143" s="13"/>
      <c r="K1143" s="13"/>
      <c r="L1143" s="14"/>
      <c r="M1143" s="4"/>
      <c r="N1143" s="2"/>
      <c r="O1143" s="4"/>
      <c r="P1143" s="2"/>
      <c r="Q1143" s="2"/>
      <c r="R1143" s="4"/>
      <c r="S1143" s="2"/>
      <c r="T1143" s="2"/>
      <c r="U1143" s="1"/>
      <c r="V1143" s="2"/>
      <c r="W1143" s="2"/>
      <c r="X1143" s="2"/>
      <c r="Y1143" s="2"/>
      <c r="Z1143" s="2"/>
    </row>
  </sheetData>
  <mergeCells count="7">
    <mergeCell ref="A155:B155"/>
    <mergeCell ref="A3:C3"/>
    <mergeCell ref="I3:K3"/>
    <mergeCell ref="A27:C27"/>
    <mergeCell ref="I27:K27"/>
    <mergeCell ref="A64:C64"/>
    <mergeCell ref="I64:K64"/>
  </mergeCells>
  <conditionalFormatting sqref="L1:L1143">
    <cfRule type="cellIs" dxfId="15" priority="8" operator="between">
      <formula>"25%"</formula>
      <formula>"30%"</formula>
    </cfRule>
    <cfRule type="cellIs" dxfId="14" priority="7" operator="lessThan">
      <formula>"25%"</formula>
    </cfRule>
    <cfRule type="cellIs" dxfId="13" priority="6" operator="greaterThan">
      <formula>"30%"</formula>
    </cfRule>
  </conditionalFormatting>
  <conditionalFormatting sqref="L7 L137:L145">
    <cfRule type="cellIs" dxfId="12" priority="1" operator="greaterThanOrEqual">
      <formula>"30%"</formula>
    </cfRule>
  </conditionalFormatting>
  <conditionalFormatting sqref="L148:L155">
    <cfRule type="cellIs" dxfId="11" priority="4" operator="between">
      <formula>"20.01%"</formula>
      <formula>"25%"</formula>
    </cfRule>
    <cfRule type="cellIs" dxfId="10" priority="3" operator="lessThanOrEqual">
      <formula>"20%"</formula>
    </cfRule>
    <cfRule type="cellIs" dxfId="9" priority="2" operator="between">
      <formula>"20%"</formula>
      <formula>"25%"</formula>
    </cfRule>
    <cfRule type="cellIs" dxfId="8" priority="5" operator="greaterThan">
      <formula>"25%"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F028-250D-3E4B-B2F2-CA2E6C0FD6F4}">
  <sheetPr>
    <outlinePr summaryBelow="0" summaryRight="0"/>
  </sheetPr>
  <dimension ref="A1:Z1237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83203125" customWidth="1"/>
    <col min="3" max="3" width="27.1640625" customWidth="1"/>
    <col min="4" max="4" width="13.83203125" customWidth="1"/>
    <col min="5" max="5" width="13.1640625" customWidth="1"/>
    <col min="6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6" ht="15.7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2"/>
      <c r="O1" s="4"/>
      <c r="P1" s="2"/>
      <c r="Q1" s="2"/>
      <c r="R1" s="4"/>
      <c r="S1" s="2"/>
      <c r="T1" s="2"/>
      <c r="U1" s="1"/>
      <c r="V1" s="2"/>
      <c r="W1" s="2"/>
      <c r="X1" s="2"/>
      <c r="Y1" s="2"/>
      <c r="Z1" s="2"/>
    </row>
    <row r="2" spans="1:26" ht="15.75" customHeight="1" x14ac:dyDescent="0.2">
      <c r="A2" s="1"/>
      <c r="B2" s="1"/>
      <c r="C2" s="1"/>
      <c r="D2" s="2"/>
      <c r="E2" s="2"/>
      <c r="F2" s="5"/>
      <c r="G2" s="2"/>
      <c r="H2" s="2"/>
      <c r="I2" s="2"/>
      <c r="J2" s="2"/>
      <c r="K2" s="2"/>
      <c r="L2" s="3"/>
      <c r="M2" s="4"/>
      <c r="N2" s="2"/>
      <c r="O2" s="4"/>
      <c r="P2" s="2"/>
      <c r="Q2" s="2"/>
      <c r="R2" s="4"/>
      <c r="S2" s="2"/>
      <c r="T2" s="2"/>
      <c r="U2" s="1"/>
      <c r="V2" s="2"/>
      <c r="W2" s="2"/>
      <c r="X2" s="2"/>
      <c r="Y2" s="2"/>
      <c r="Z2" s="2"/>
    </row>
    <row r="3" spans="1:26" ht="15.75" customHeight="1" x14ac:dyDescent="0.2">
      <c r="A3" s="88" t="s">
        <v>0</v>
      </c>
      <c r="B3" s="89"/>
      <c r="C3" s="89"/>
      <c r="D3" s="2"/>
      <c r="E3" s="7" t="s">
        <v>178</v>
      </c>
      <c r="F3" s="8">
        <v>46142</v>
      </c>
      <c r="G3" s="7" t="s">
        <v>1176</v>
      </c>
      <c r="H3" s="2"/>
      <c r="I3" s="9" t="s">
        <v>2</v>
      </c>
      <c r="J3" s="9"/>
      <c r="K3" s="9"/>
      <c r="L3" s="3"/>
      <c r="M3" s="1"/>
      <c r="N3" s="2"/>
      <c r="O3" s="4"/>
      <c r="P3" s="2"/>
      <c r="Q3" s="2"/>
      <c r="R3" s="4"/>
      <c r="S3" s="2"/>
      <c r="T3" s="2"/>
      <c r="U3" s="1"/>
      <c r="V3" s="2"/>
      <c r="W3" s="2"/>
      <c r="X3" s="2"/>
      <c r="Y3" s="2"/>
      <c r="Z3" s="2"/>
    </row>
    <row r="4" spans="1:26" ht="15.75" customHeight="1" x14ac:dyDescent="0.2">
      <c r="A4" s="1"/>
      <c r="B4" s="2"/>
      <c r="C4" s="5"/>
      <c r="D4" s="2"/>
      <c r="E4" s="2"/>
      <c r="F4" s="2"/>
      <c r="G4" s="2"/>
      <c r="H4" s="2"/>
      <c r="I4" s="2"/>
      <c r="J4" s="2"/>
      <c r="K4" s="2"/>
      <c r="L4" s="3"/>
      <c r="M4" s="1"/>
      <c r="N4" s="2"/>
      <c r="O4" s="4"/>
      <c r="P4" s="2"/>
      <c r="Q4" s="2"/>
      <c r="R4" s="4"/>
      <c r="S4" s="2"/>
      <c r="T4" s="2"/>
      <c r="U4" s="1"/>
      <c r="V4" s="2"/>
      <c r="W4" s="2"/>
      <c r="X4" s="2"/>
      <c r="Y4" s="2"/>
      <c r="Z4" s="2"/>
    </row>
    <row r="5" spans="1:26" ht="15.75" customHeight="1" x14ac:dyDescent="0.2">
      <c r="A5" s="6" t="s">
        <v>3</v>
      </c>
      <c r="B5" s="10" t="s">
        <v>4</v>
      </c>
      <c r="C5" s="11" t="s">
        <v>5</v>
      </c>
      <c r="D5" s="10" t="s">
        <v>6</v>
      </c>
      <c r="E5" s="10" t="s">
        <v>7</v>
      </c>
      <c r="F5" s="10" t="s">
        <v>8</v>
      </c>
      <c r="G5" s="2"/>
      <c r="H5" s="2"/>
      <c r="I5" s="10" t="s">
        <v>9</v>
      </c>
      <c r="J5" s="10" t="s">
        <v>7</v>
      </c>
      <c r="K5" s="10" t="s">
        <v>10</v>
      </c>
      <c r="L5" s="3"/>
      <c r="M5" s="1"/>
      <c r="N5" s="2"/>
      <c r="O5" s="4"/>
      <c r="P5" s="2"/>
      <c r="Q5" s="2"/>
      <c r="R5" s="4"/>
      <c r="S5" s="2"/>
      <c r="T5" s="2"/>
      <c r="U5" s="1"/>
      <c r="V5" s="2"/>
      <c r="W5" s="2"/>
      <c r="X5" s="2"/>
      <c r="Y5" s="2"/>
      <c r="Z5" s="2"/>
    </row>
    <row r="6" spans="1:26" ht="15.75" customHeight="1" x14ac:dyDescent="0.2">
      <c r="A6" s="12">
        <v>0.5</v>
      </c>
      <c r="B6" s="10" t="s">
        <v>23</v>
      </c>
      <c r="C6" s="11" t="s">
        <v>12</v>
      </c>
      <c r="D6" s="13">
        <v>54000</v>
      </c>
      <c r="E6" s="13">
        <f t="shared" ref="E6:E39" si="0">A6*D6</f>
        <v>27000</v>
      </c>
      <c r="F6" s="13">
        <f>E6*1.21</f>
        <v>32670</v>
      </c>
      <c r="G6" s="2"/>
      <c r="H6" s="2"/>
      <c r="I6" s="13">
        <v>52000</v>
      </c>
      <c r="J6" s="13">
        <f t="shared" ref="J6:J39" si="1">I6*A6</f>
        <v>26000</v>
      </c>
      <c r="K6" s="13">
        <f t="shared" ref="K6:K39" si="2">F6-J6</f>
        <v>6670</v>
      </c>
      <c r="L6" s="14">
        <f t="shared" ref="L6:L39" si="3">IFERROR(K6/E6, 0)</f>
        <v>0.24703703703703703</v>
      </c>
      <c r="M6" s="1"/>
      <c r="N6" s="2"/>
      <c r="O6" s="4"/>
      <c r="P6" s="2"/>
      <c r="Q6" s="2"/>
      <c r="R6" s="4"/>
      <c r="S6" s="2"/>
      <c r="T6" s="2"/>
      <c r="U6" s="1"/>
      <c r="V6" s="2"/>
      <c r="W6" s="2"/>
      <c r="X6" s="2"/>
      <c r="Y6" s="2"/>
      <c r="Z6" s="2"/>
    </row>
    <row r="7" spans="1:26" ht="15.75" customHeight="1" x14ac:dyDescent="0.2">
      <c r="A7" s="12">
        <v>0.25</v>
      </c>
      <c r="B7" s="10" t="s">
        <v>17</v>
      </c>
      <c r="C7" s="11" t="s">
        <v>42</v>
      </c>
      <c r="D7" s="13">
        <v>4500</v>
      </c>
      <c r="E7" s="13">
        <f t="shared" si="0"/>
        <v>1125</v>
      </c>
      <c r="F7" s="13">
        <f t="shared" ref="F7:F39" si="4">E7*1.105</f>
        <v>1243.125</v>
      </c>
      <c r="G7" s="2"/>
      <c r="H7" s="2"/>
      <c r="I7" s="13">
        <v>2700</v>
      </c>
      <c r="J7" s="13">
        <f t="shared" si="1"/>
        <v>675</v>
      </c>
      <c r="K7" s="13">
        <f t="shared" si="2"/>
        <v>568.125</v>
      </c>
      <c r="L7" s="14">
        <f t="shared" si="3"/>
        <v>0.505</v>
      </c>
      <c r="M7" s="1"/>
      <c r="N7" s="2"/>
      <c r="O7" s="4"/>
      <c r="P7" s="2"/>
      <c r="Q7" s="2"/>
      <c r="R7" s="4"/>
      <c r="S7" s="2"/>
      <c r="T7" s="2"/>
      <c r="U7" s="1"/>
      <c r="V7" s="2"/>
      <c r="W7" s="2"/>
      <c r="X7" s="2"/>
      <c r="Y7" s="2"/>
      <c r="Z7" s="2"/>
    </row>
    <row r="8" spans="1:26" ht="15.75" customHeight="1" x14ac:dyDescent="0.2">
      <c r="A8" s="12">
        <v>1</v>
      </c>
      <c r="B8" s="10" t="s">
        <v>4</v>
      </c>
      <c r="C8" s="11" t="s">
        <v>13</v>
      </c>
      <c r="D8" s="13">
        <v>900</v>
      </c>
      <c r="E8" s="13">
        <f t="shared" si="0"/>
        <v>900</v>
      </c>
      <c r="F8" s="13">
        <f t="shared" si="4"/>
        <v>994.5</v>
      </c>
      <c r="G8" s="7"/>
      <c r="H8" s="2"/>
      <c r="I8" s="13">
        <v>540</v>
      </c>
      <c r="J8" s="13">
        <f t="shared" si="1"/>
        <v>540</v>
      </c>
      <c r="K8" s="13">
        <f t="shared" si="2"/>
        <v>454.5</v>
      </c>
      <c r="L8" s="14">
        <f t="shared" si="3"/>
        <v>0.505</v>
      </c>
      <c r="M8" s="1"/>
      <c r="N8" s="2"/>
      <c r="O8" s="4"/>
      <c r="P8" s="2"/>
      <c r="Q8" s="2"/>
      <c r="R8" s="4"/>
      <c r="S8" s="2"/>
      <c r="T8" s="2"/>
      <c r="U8" s="1"/>
      <c r="V8" s="2"/>
      <c r="W8" s="2"/>
      <c r="X8" s="2"/>
      <c r="Y8" s="2"/>
      <c r="Z8" s="2"/>
    </row>
    <row r="9" spans="1:26" ht="15.75" customHeight="1" x14ac:dyDescent="0.2">
      <c r="A9" s="12">
        <v>2</v>
      </c>
      <c r="B9" s="10" t="s">
        <v>21</v>
      </c>
      <c r="C9" s="11" t="s">
        <v>51</v>
      </c>
      <c r="D9" s="13">
        <v>1000</v>
      </c>
      <c r="E9" s="13">
        <f t="shared" si="0"/>
        <v>2000</v>
      </c>
      <c r="F9" s="13">
        <f t="shared" si="4"/>
        <v>2210</v>
      </c>
      <c r="G9" s="7"/>
      <c r="H9" s="2"/>
      <c r="I9" s="13">
        <v>500</v>
      </c>
      <c r="J9" s="13">
        <f t="shared" si="1"/>
        <v>1000</v>
      </c>
      <c r="K9" s="13">
        <f t="shared" si="2"/>
        <v>1210</v>
      </c>
      <c r="L9" s="14">
        <f t="shared" si="3"/>
        <v>0.60499999999999998</v>
      </c>
      <c r="M9" s="1"/>
      <c r="N9" s="2"/>
      <c r="O9" s="4"/>
      <c r="P9" s="2"/>
      <c r="Q9" s="2"/>
      <c r="R9" s="4"/>
      <c r="S9" s="2"/>
      <c r="T9" s="2"/>
      <c r="U9" s="1"/>
      <c r="V9" s="2"/>
      <c r="W9" s="2"/>
      <c r="X9" s="2"/>
      <c r="Y9" s="2"/>
      <c r="Z9" s="2"/>
    </row>
    <row r="10" spans="1:26" ht="15.75" customHeight="1" x14ac:dyDescent="0.2">
      <c r="A10" s="12">
        <v>3</v>
      </c>
      <c r="B10" s="10" t="s">
        <v>17</v>
      </c>
      <c r="C10" s="11" t="s">
        <v>62</v>
      </c>
      <c r="D10" s="13">
        <v>2800</v>
      </c>
      <c r="E10" s="13">
        <f t="shared" si="0"/>
        <v>8400</v>
      </c>
      <c r="F10" s="13">
        <f t="shared" si="4"/>
        <v>9282</v>
      </c>
      <c r="G10" s="2"/>
      <c r="H10" s="2"/>
      <c r="I10" s="13">
        <f>28000/17</f>
        <v>1647.0588235294117</v>
      </c>
      <c r="J10" s="13">
        <f t="shared" si="1"/>
        <v>4941.1764705882351</v>
      </c>
      <c r="K10" s="13">
        <f t="shared" si="2"/>
        <v>4340.8235294117649</v>
      </c>
      <c r="L10" s="14">
        <f t="shared" si="3"/>
        <v>0.51676470588235301</v>
      </c>
      <c r="M10" s="1"/>
      <c r="N10" s="2"/>
      <c r="O10" s="4"/>
      <c r="P10" s="2"/>
      <c r="Q10" s="2"/>
      <c r="R10" s="4"/>
      <c r="S10" s="2"/>
      <c r="T10" s="2"/>
      <c r="U10" s="1"/>
      <c r="V10" s="2"/>
      <c r="W10" s="2"/>
      <c r="X10" s="2"/>
      <c r="Y10" s="2"/>
      <c r="Z10" s="2"/>
    </row>
    <row r="11" spans="1:26" ht="15.75" customHeight="1" x14ac:dyDescent="0.2">
      <c r="A11" s="12">
        <v>1</v>
      </c>
      <c r="B11" s="10" t="s">
        <v>17</v>
      </c>
      <c r="C11" s="11" t="s">
        <v>129</v>
      </c>
      <c r="D11" s="13">
        <v>1600</v>
      </c>
      <c r="E11" s="13">
        <f t="shared" si="0"/>
        <v>1600</v>
      </c>
      <c r="F11" s="13">
        <f t="shared" si="4"/>
        <v>1768</v>
      </c>
      <c r="G11" s="7"/>
      <c r="H11" s="2"/>
      <c r="I11" s="13">
        <f>1000</f>
        <v>1000</v>
      </c>
      <c r="J11" s="13">
        <f t="shared" si="1"/>
        <v>1000</v>
      </c>
      <c r="K11" s="13">
        <f t="shared" si="2"/>
        <v>768</v>
      </c>
      <c r="L11" s="14">
        <f t="shared" si="3"/>
        <v>0.48</v>
      </c>
      <c r="M11" s="1"/>
      <c r="N11" s="2"/>
      <c r="O11" s="4"/>
      <c r="P11" s="2"/>
      <c r="Q11" s="2"/>
      <c r="R11" s="4"/>
      <c r="S11" s="2"/>
      <c r="T11" s="2"/>
      <c r="U11" s="1"/>
      <c r="V11" s="2"/>
      <c r="W11" s="2"/>
      <c r="X11" s="2"/>
      <c r="Y11" s="2"/>
      <c r="Z11" s="2"/>
    </row>
    <row r="12" spans="1:26" ht="15.75" customHeight="1" x14ac:dyDescent="0.2">
      <c r="A12" s="12">
        <v>12</v>
      </c>
      <c r="B12" s="10" t="s">
        <v>17</v>
      </c>
      <c r="C12" s="11" t="s">
        <v>48</v>
      </c>
      <c r="D12" s="13">
        <v>900</v>
      </c>
      <c r="E12" s="13">
        <f t="shared" si="0"/>
        <v>10800</v>
      </c>
      <c r="F12" s="13">
        <f t="shared" si="4"/>
        <v>11934</v>
      </c>
      <c r="G12" s="7"/>
      <c r="H12" s="2"/>
      <c r="I12" s="13">
        <f>10000/16</f>
        <v>625</v>
      </c>
      <c r="J12" s="13">
        <f t="shared" si="1"/>
        <v>7500</v>
      </c>
      <c r="K12" s="13">
        <f t="shared" si="2"/>
        <v>4434</v>
      </c>
      <c r="L12" s="14">
        <f t="shared" si="3"/>
        <v>0.41055555555555556</v>
      </c>
      <c r="M12" s="1"/>
      <c r="N12" s="2"/>
      <c r="O12" s="4"/>
      <c r="P12" s="2"/>
      <c r="Q12" s="2"/>
      <c r="R12" s="4"/>
      <c r="S12" s="2"/>
      <c r="T12" s="2"/>
      <c r="U12" s="1"/>
      <c r="V12" s="2"/>
      <c r="W12" s="2"/>
      <c r="X12" s="2"/>
      <c r="Y12" s="2"/>
      <c r="Z12" s="2"/>
    </row>
    <row r="13" spans="1:26" ht="15.75" customHeight="1" x14ac:dyDescent="0.2">
      <c r="A13" s="12">
        <v>1</v>
      </c>
      <c r="B13" s="10" t="s">
        <v>17</v>
      </c>
      <c r="C13" s="11" t="s">
        <v>18</v>
      </c>
      <c r="D13" s="13">
        <v>1600</v>
      </c>
      <c r="E13" s="13">
        <f t="shared" si="0"/>
        <v>1600</v>
      </c>
      <c r="F13" s="13">
        <f t="shared" si="4"/>
        <v>1768</v>
      </c>
      <c r="G13" s="7"/>
      <c r="H13" s="2"/>
      <c r="I13" s="13">
        <f>16000/15</f>
        <v>1066.6666666666667</v>
      </c>
      <c r="J13" s="13">
        <f t="shared" si="1"/>
        <v>1066.6666666666667</v>
      </c>
      <c r="K13" s="13">
        <f t="shared" si="2"/>
        <v>701.33333333333326</v>
      </c>
      <c r="L13" s="14">
        <f t="shared" si="3"/>
        <v>0.4383333333333333</v>
      </c>
      <c r="M13" s="1"/>
      <c r="N13" s="2"/>
      <c r="O13" s="4"/>
      <c r="P13" s="2"/>
      <c r="Q13" s="2"/>
      <c r="R13" s="4"/>
      <c r="S13" s="2"/>
      <c r="T13" s="2"/>
      <c r="U13" s="1"/>
      <c r="V13" s="2"/>
      <c r="W13" s="2"/>
      <c r="X13" s="2"/>
      <c r="Y13" s="2"/>
      <c r="Z13" s="2"/>
    </row>
    <row r="14" spans="1:26" ht="15.75" customHeight="1" x14ac:dyDescent="0.2">
      <c r="A14" s="12">
        <v>1</v>
      </c>
      <c r="B14" s="10" t="s">
        <v>17</v>
      </c>
      <c r="C14" s="11" t="s">
        <v>56</v>
      </c>
      <c r="D14" s="13">
        <v>1200</v>
      </c>
      <c r="E14" s="13">
        <f t="shared" si="0"/>
        <v>1200</v>
      </c>
      <c r="F14" s="13">
        <f t="shared" si="4"/>
        <v>1326</v>
      </c>
      <c r="G14" s="7"/>
      <c r="H14" s="2"/>
      <c r="I14" s="13">
        <f>10000/15</f>
        <v>666.66666666666663</v>
      </c>
      <c r="J14" s="13">
        <f t="shared" si="1"/>
        <v>666.66666666666663</v>
      </c>
      <c r="K14" s="13">
        <f t="shared" si="2"/>
        <v>659.33333333333337</v>
      </c>
      <c r="L14" s="14">
        <f t="shared" si="3"/>
        <v>0.54944444444444451</v>
      </c>
      <c r="M14" s="1"/>
      <c r="N14" s="2"/>
      <c r="O14" s="4"/>
      <c r="P14" s="2"/>
      <c r="Q14" s="2"/>
      <c r="R14" s="4"/>
      <c r="S14" s="2"/>
      <c r="T14" s="2"/>
      <c r="U14" s="1"/>
      <c r="V14" s="2"/>
      <c r="W14" s="2"/>
      <c r="X14" s="2"/>
      <c r="Y14" s="2"/>
      <c r="Z14" s="2"/>
    </row>
    <row r="15" spans="1:26" ht="15.75" customHeight="1" x14ac:dyDescent="0.2">
      <c r="A15" s="12">
        <v>25</v>
      </c>
      <c r="B15" s="10" t="s">
        <v>4</v>
      </c>
      <c r="C15" s="11" t="s">
        <v>20</v>
      </c>
      <c r="D15" s="13">
        <v>850</v>
      </c>
      <c r="E15" s="13">
        <f t="shared" si="0"/>
        <v>21250</v>
      </c>
      <c r="F15" s="13">
        <f t="shared" si="4"/>
        <v>23481.25</v>
      </c>
      <c r="G15" s="2"/>
      <c r="H15" s="2"/>
      <c r="I15" s="13">
        <f>81000/132</f>
        <v>613.63636363636363</v>
      </c>
      <c r="J15" s="13">
        <f t="shared" si="1"/>
        <v>15340.90909090909</v>
      </c>
      <c r="K15" s="13">
        <f t="shared" si="2"/>
        <v>8140.3409090909099</v>
      </c>
      <c r="L15" s="14">
        <f t="shared" si="3"/>
        <v>0.38307486631016047</v>
      </c>
      <c r="M15" s="1"/>
      <c r="N15" s="2"/>
      <c r="O15" s="4"/>
      <c r="P15" s="2"/>
      <c r="Q15" s="2"/>
      <c r="R15" s="4"/>
      <c r="S15" s="2"/>
      <c r="T15" s="2"/>
      <c r="U15" s="1"/>
      <c r="V15" s="2"/>
      <c r="W15" s="2"/>
      <c r="X15" s="2"/>
      <c r="Y15" s="2"/>
      <c r="Z15" s="2"/>
    </row>
    <row r="16" spans="1:26" ht="15.75" customHeight="1" x14ac:dyDescent="0.2">
      <c r="A16" s="12">
        <v>4</v>
      </c>
      <c r="B16" s="10" t="s">
        <v>17</v>
      </c>
      <c r="C16" s="11" t="s">
        <v>162</v>
      </c>
      <c r="D16" s="13">
        <v>4500</v>
      </c>
      <c r="E16" s="13">
        <f t="shared" si="0"/>
        <v>18000</v>
      </c>
      <c r="F16" s="13">
        <f t="shared" si="4"/>
        <v>19890</v>
      </c>
      <c r="G16" s="2"/>
      <c r="H16" s="2"/>
      <c r="I16" s="13">
        <v>3500</v>
      </c>
      <c r="J16" s="13">
        <f t="shared" si="1"/>
        <v>14000</v>
      </c>
      <c r="K16" s="13">
        <f t="shared" si="2"/>
        <v>5890</v>
      </c>
      <c r="L16" s="14">
        <f t="shared" si="3"/>
        <v>0.32722222222222225</v>
      </c>
      <c r="M16" s="1"/>
      <c r="N16" s="2"/>
      <c r="O16" s="4"/>
      <c r="P16" s="2"/>
      <c r="Q16" s="2"/>
      <c r="R16" s="4"/>
      <c r="S16" s="2"/>
      <c r="T16" s="2"/>
      <c r="U16" s="1"/>
      <c r="V16" s="2"/>
      <c r="W16" s="2"/>
      <c r="X16" s="2"/>
      <c r="Y16" s="2"/>
      <c r="Z16" s="2"/>
    </row>
    <row r="17" spans="1:26" ht="15.75" customHeight="1" x14ac:dyDescent="0.2">
      <c r="A17" s="12">
        <v>2</v>
      </c>
      <c r="B17" s="10" t="s">
        <v>126</v>
      </c>
      <c r="C17" s="11" t="s">
        <v>22</v>
      </c>
      <c r="D17" s="13">
        <v>1500</v>
      </c>
      <c r="E17" s="13">
        <f t="shared" si="0"/>
        <v>3000</v>
      </c>
      <c r="F17" s="13">
        <f t="shared" si="4"/>
        <v>3315</v>
      </c>
      <c r="G17" s="2"/>
      <c r="H17" s="2"/>
      <c r="I17" s="13">
        <f>800</f>
        <v>800</v>
      </c>
      <c r="J17" s="13">
        <f t="shared" si="1"/>
        <v>1600</v>
      </c>
      <c r="K17" s="13">
        <f t="shared" si="2"/>
        <v>1715</v>
      </c>
      <c r="L17" s="14">
        <f t="shared" si="3"/>
        <v>0.57166666666666666</v>
      </c>
      <c r="M17" s="1"/>
      <c r="N17" s="2"/>
      <c r="O17" s="4"/>
      <c r="P17" s="2"/>
      <c r="Q17" s="2"/>
      <c r="R17" s="4"/>
      <c r="S17" s="2"/>
      <c r="T17" s="2"/>
      <c r="U17" s="1"/>
      <c r="V17" s="2"/>
      <c r="W17" s="2"/>
      <c r="X17" s="2"/>
      <c r="Y17" s="2"/>
      <c r="Z17" s="2"/>
    </row>
    <row r="18" spans="1:26" ht="15.75" customHeight="1" x14ac:dyDescent="0.2">
      <c r="A18" s="12">
        <v>5</v>
      </c>
      <c r="B18" s="10" t="s">
        <v>17</v>
      </c>
      <c r="C18" s="11" t="s">
        <v>67</v>
      </c>
      <c r="D18" s="13">
        <v>1300</v>
      </c>
      <c r="E18" s="13">
        <f t="shared" si="0"/>
        <v>6500</v>
      </c>
      <c r="F18" s="13">
        <f t="shared" si="4"/>
        <v>7182.5</v>
      </c>
      <c r="G18" s="2"/>
      <c r="H18" s="2"/>
      <c r="I18" s="13">
        <f>12000/14</f>
        <v>857.14285714285711</v>
      </c>
      <c r="J18" s="13">
        <f t="shared" si="1"/>
        <v>4285.7142857142853</v>
      </c>
      <c r="K18" s="13">
        <f t="shared" si="2"/>
        <v>2896.7857142857147</v>
      </c>
      <c r="L18" s="14">
        <f t="shared" si="3"/>
        <v>0.44565934065934071</v>
      </c>
      <c r="M18" s="1"/>
      <c r="N18" s="2"/>
      <c r="O18" s="4"/>
      <c r="P18" s="2"/>
      <c r="Q18" s="2"/>
      <c r="R18" s="4"/>
      <c r="S18" s="2"/>
      <c r="T18" s="2"/>
      <c r="U18" s="1"/>
      <c r="V18" s="2"/>
      <c r="W18" s="2"/>
      <c r="X18" s="2"/>
      <c r="Y18" s="2"/>
      <c r="Z18" s="2"/>
    </row>
    <row r="19" spans="1:26" ht="15.75" customHeight="1" x14ac:dyDescent="0.2">
      <c r="A19" s="12">
        <v>7</v>
      </c>
      <c r="B19" s="10" t="s">
        <v>17</v>
      </c>
      <c r="C19" s="11" t="s">
        <v>24</v>
      </c>
      <c r="D19" s="13">
        <v>3600</v>
      </c>
      <c r="E19" s="13">
        <f t="shared" si="0"/>
        <v>25200</v>
      </c>
      <c r="F19" s="13">
        <f t="shared" si="4"/>
        <v>27846</v>
      </c>
      <c r="G19" s="7"/>
      <c r="H19" s="2"/>
      <c r="I19" s="13">
        <f>50000/17</f>
        <v>2941.1764705882351</v>
      </c>
      <c r="J19" s="13">
        <f t="shared" si="1"/>
        <v>20588.235294117647</v>
      </c>
      <c r="K19" s="13">
        <f t="shared" si="2"/>
        <v>7257.7647058823532</v>
      </c>
      <c r="L19" s="14">
        <f t="shared" si="3"/>
        <v>0.28800653594771242</v>
      </c>
      <c r="M19" s="1"/>
      <c r="N19" s="2"/>
      <c r="O19" s="4"/>
      <c r="P19" s="2"/>
      <c r="Q19" s="2"/>
      <c r="R19" s="4"/>
      <c r="S19" s="2"/>
      <c r="T19" s="2"/>
      <c r="U19" s="1"/>
      <c r="V19" s="2"/>
      <c r="W19" s="2"/>
      <c r="X19" s="2"/>
      <c r="Y19" s="2"/>
      <c r="Z19" s="2"/>
    </row>
    <row r="20" spans="1:26" ht="15.75" customHeight="1" x14ac:dyDescent="0.2">
      <c r="A20" s="12">
        <v>7</v>
      </c>
      <c r="B20" s="10" t="s">
        <v>17</v>
      </c>
      <c r="C20" s="11" t="s">
        <v>25</v>
      </c>
      <c r="D20" s="13">
        <v>4500</v>
      </c>
      <c r="E20" s="13">
        <f t="shared" si="0"/>
        <v>31500</v>
      </c>
      <c r="F20" s="13">
        <f t="shared" si="4"/>
        <v>34807.5</v>
      </c>
      <c r="G20" s="7"/>
      <c r="H20" s="2"/>
      <c r="I20" s="13">
        <f>70000/19</f>
        <v>3684.2105263157896</v>
      </c>
      <c r="J20" s="13">
        <f t="shared" si="1"/>
        <v>25789.473684210527</v>
      </c>
      <c r="K20" s="13">
        <f t="shared" si="2"/>
        <v>9018.0263157894733</v>
      </c>
      <c r="L20" s="14">
        <f t="shared" si="3"/>
        <v>0.28628654970760231</v>
      </c>
      <c r="M20" s="1"/>
      <c r="N20" s="2"/>
      <c r="O20" s="4"/>
      <c r="P20" s="2"/>
      <c r="Q20" s="2"/>
      <c r="R20" s="4"/>
      <c r="S20" s="2"/>
      <c r="T20" s="2"/>
      <c r="U20" s="1"/>
      <c r="V20" s="2"/>
      <c r="W20" s="2"/>
      <c r="X20" s="2"/>
      <c r="Y20" s="2"/>
      <c r="Z20" s="2"/>
    </row>
    <row r="21" spans="1:26" ht="15.75" customHeight="1" x14ac:dyDescent="0.2">
      <c r="A21" s="12">
        <v>1</v>
      </c>
      <c r="B21" s="10" t="s">
        <v>23</v>
      </c>
      <c r="C21" s="11" t="s">
        <v>26</v>
      </c>
      <c r="D21" s="13">
        <v>19000</v>
      </c>
      <c r="E21" s="13">
        <f t="shared" si="0"/>
        <v>19000</v>
      </c>
      <c r="F21" s="13">
        <f t="shared" si="4"/>
        <v>20995</v>
      </c>
      <c r="G21" s="2"/>
      <c r="H21" s="2"/>
      <c r="I21" s="13">
        <v>12000</v>
      </c>
      <c r="J21" s="13">
        <f t="shared" si="1"/>
        <v>12000</v>
      </c>
      <c r="K21" s="13">
        <f t="shared" si="2"/>
        <v>8995</v>
      </c>
      <c r="L21" s="14">
        <f t="shared" si="3"/>
        <v>0.47342105263157896</v>
      </c>
      <c r="M21" s="1"/>
      <c r="N21" s="2"/>
      <c r="O21" s="4"/>
      <c r="P21" s="2"/>
      <c r="Q21" s="2"/>
      <c r="R21" s="4"/>
      <c r="S21" s="2"/>
      <c r="T21" s="2"/>
      <c r="U21" s="1"/>
      <c r="V21" s="2"/>
      <c r="W21" s="2"/>
      <c r="X21" s="2"/>
      <c r="Y21" s="2"/>
      <c r="Z21" s="2"/>
    </row>
    <row r="22" spans="1:26" ht="15.75" customHeight="1" x14ac:dyDescent="0.2">
      <c r="A22" s="12">
        <v>1</v>
      </c>
      <c r="B22" s="10" t="s">
        <v>15</v>
      </c>
      <c r="C22" s="11" t="s">
        <v>27</v>
      </c>
      <c r="D22" s="13">
        <v>25000</v>
      </c>
      <c r="E22" s="13">
        <f t="shared" si="0"/>
        <v>25000</v>
      </c>
      <c r="F22" s="13">
        <f t="shared" si="4"/>
        <v>27625</v>
      </c>
      <c r="G22" s="2"/>
      <c r="H22" s="2"/>
      <c r="I22" s="13">
        <v>19000</v>
      </c>
      <c r="J22" s="13">
        <f t="shared" si="1"/>
        <v>19000</v>
      </c>
      <c r="K22" s="13">
        <f t="shared" si="2"/>
        <v>8625</v>
      </c>
      <c r="L22" s="14">
        <f t="shared" si="3"/>
        <v>0.34499999999999997</v>
      </c>
      <c r="M22" s="1"/>
      <c r="N22" s="2"/>
      <c r="O22" s="4"/>
      <c r="P22" s="2"/>
      <c r="Q22" s="2"/>
      <c r="R22" s="4"/>
      <c r="S22" s="2"/>
      <c r="T22" s="2"/>
      <c r="U22" s="1"/>
      <c r="V22" s="2"/>
      <c r="W22" s="2"/>
      <c r="X22" s="2"/>
      <c r="Y22" s="2"/>
      <c r="Z22" s="2"/>
    </row>
    <row r="23" spans="1:26" ht="15.75" customHeight="1" x14ac:dyDescent="0.2">
      <c r="A23" s="12">
        <v>1</v>
      </c>
      <c r="B23" s="10" t="s">
        <v>21</v>
      </c>
      <c r="C23" s="11" t="s">
        <v>28</v>
      </c>
      <c r="D23" s="13">
        <v>3500</v>
      </c>
      <c r="E23" s="13">
        <f t="shared" si="0"/>
        <v>3500</v>
      </c>
      <c r="F23" s="13">
        <f t="shared" si="4"/>
        <v>3867.5</v>
      </c>
      <c r="G23" s="2"/>
      <c r="H23" s="2"/>
      <c r="I23" s="13">
        <v>2500</v>
      </c>
      <c r="J23" s="13">
        <f t="shared" si="1"/>
        <v>2500</v>
      </c>
      <c r="K23" s="13">
        <f t="shared" si="2"/>
        <v>1367.5</v>
      </c>
      <c r="L23" s="14">
        <f t="shared" si="3"/>
        <v>0.39071428571428574</v>
      </c>
      <c r="M23" s="1"/>
      <c r="N23" s="2"/>
      <c r="O23" s="4"/>
      <c r="P23" s="2"/>
      <c r="Q23" s="2"/>
      <c r="R23" s="4"/>
      <c r="S23" s="2"/>
      <c r="T23" s="2"/>
      <c r="U23" s="1"/>
      <c r="V23" s="2"/>
      <c r="W23" s="2"/>
      <c r="X23" s="2"/>
      <c r="Y23" s="2"/>
      <c r="Z23" s="2"/>
    </row>
    <row r="24" spans="1:26" ht="15.75" customHeight="1" x14ac:dyDescent="0.2">
      <c r="A24" s="12">
        <v>0.5</v>
      </c>
      <c r="B24" s="10" t="s">
        <v>21</v>
      </c>
      <c r="C24" s="11" t="s">
        <v>29</v>
      </c>
      <c r="D24" s="13">
        <v>3000</v>
      </c>
      <c r="E24" s="13">
        <f t="shared" si="0"/>
        <v>1500</v>
      </c>
      <c r="F24" s="13">
        <f t="shared" si="4"/>
        <v>1657.5</v>
      </c>
      <c r="G24" s="2"/>
      <c r="H24" s="2"/>
      <c r="I24" s="13">
        <v>1000</v>
      </c>
      <c r="J24" s="13">
        <f t="shared" si="1"/>
        <v>500</v>
      </c>
      <c r="K24" s="13">
        <f t="shared" si="2"/>
        <v>1157.5</v>
      </c>
      <c r="L24" s="14">
        <f t="shared" si="3"/>
        <v>0.77166666666666661</v>
      </c>
      <c r="M24" s="1"/>
      <c r="N24" s="2"/>
      <c r="O24" s="4"/>
      <c r="P24" s="2"/>
      <c r="Q24" s="2"/>
      <c r="R24" s="4"/>
      <c r="S24" s="2"/>
      <c r="T24" s="2"/>
      <c r="U24" s="1"/>
      <c r="V24" s="2"/>
      <c r="W24" s="2"/>
      <c r="X24" s="2"/>
      <c r="Y24" s="2"/>
      <c r="Z24" s="2"/>
    </row>
    <row r="25" spans="1:26" ht="15.75" customHeight="1" x14ac:dyDescent="0.2">
      <c r="A25" s="12">
        <v>0.75</v>
      </c>
      <c r="B25" s="10" t="s">
        <v>17</v>
      </c>
      <c r="C25" s="11" t="s">
        <v>30</v>
      </c>
      <c r="D25" s="13">
        <v>2600</v>
      </c>
      <c r="E25" s="13">
        <f t="shared" si="0"/>
        <v>1950</v>
      </c>
      <c r="F25" s="13">
        <f t="shared" si="4"/>
        <v>2154.75</v>
      </c>
      <c r="G25" s="2"/>
      <c r="H25" s="2"/>
      <c r="I25" s="13">
        <f>25000/14</f>
        <v>1785.7142857142858</v>
      </c>
      <c r="J25" s="13">
        <f t="shared" si="1"/>
        <v>1339.2857142857142</v>
      </c>
      <c r="K25" s="13">
        <f t="shared" si="2"/>
        <v>815.46428571428578</v>
      </c>
      <c r="L25" s="14">
        <f t="shared" si="3"/>
        <v>0.41818681318681322</v>
      </c>
      <c r="M25" s="1"/>
      <c r="N25" s="2"/>
      <c r="O25" s="4"/>
      <c r="P25" s="2"/>
      <c r="Q25" s="2"/>
      <c r="R25" s="4"/>
      <c r="S25" s="2"/>
      <c r="T25" s="2"/>
      <c r="U25" s="1"/>
      <c r="V25" s="2"/>
      <c r="W25" s="2"/>
      <c r="X25" s="2"/>
      <c r="Y25" s="2"/>
      <c r="Z25" s="2"/>
    </row>
    <row r="26" spans="1:26" ht="15.75" customHeight="1" x14ac:dyDescent="0.2">
      <c r="A26" s="12">
        <v>1.5</v>
      </c>
      <c r="B26" s="10" t="s">
        <v>17</v>
      </c>
      <c r="C26" s="11" t="s">
        <v>31</v>
      </c>
      <c r="D26" s="13">
        <v>2800</v>
      </c>
      <c r="E26" s="13">
        <f t="shared" si="0"/>
        <v>4200</v>
      </c>
      <c r="F26" s="13">
        <f t="shared" si="4"/>
        <v>4641</v>
      </c>
      <c r="G26" s="2"/>
      <c r="H26" s="2"/>
      <c r="I26" s="13">
        <f>13000/7</f>
        <v>1857.1428571428571</v>
      </c>
      <c r="J26" s="13">
        <f t="shared" si="1"/>
        <v>2785.7142857142858</v>
      </c>
      <c r="K26" s="13">
        <f t="shared" si="2"/>
        <v>1855.2857142857142</v>
      </c>
      <c r="L26" s="14">
        <f t="shared" si="3"/>
        <v>0.44173469387755099</v>
      </c>
      <c r="M26" s="1"/>
      <c r="N26" s="2"/>
      <c r="O26" s="4"/>
      <c r="P26" s="2"/>
      <c r="Q26" s="2"/>
      <c r="R26" s="4"/>
      <c r="S26" s="2"/>
      <c r="T26" s="2"/>
      <c r="U26" s="1"/>
      <c r="V26" s="2"/>
      <c r="W26" s="2"/>
      <c r="X26" s="2"/>
      <c r="Y26" s="2"/>
      <c r="Z26" s="2"/>
    </row>
    <row r="27" spans="1:26" ht="15.75" customHeight="1" x14ac:dyDescent="0.2">
      <c r="A27" s="12">
        <v>0.5</v>
      </c>
      <c r="B27" s="10" t="s">
        <v>17</v>
      </c>
      <c r="C27" s="11" t="s">
        <v>32</v>
      </c>
      <c r="D27" s="13">
        <v>2400</v>
      </c>
      <c r="E27" s="13">
        <f t="shared" si="0"/>
        <v>1200</v>
      </c>
      <c r="F27" s="13">
        <f t="shared" si="4"/>
        <v>1326</v>
      </c>
      <c r="G27" s="2"/>
      <c r="H27" s="2"/>
      <c r="I27" s="13">
        <f>10000/7</f>
        <v>1428.5714285714287</v>
      </c>
      <c r="J27" s="13">
        <f t="shared" si="1"/>
        <v>714.28571428571433</v>
      </c>
      <c r="K27" s="13">
        <f t="shared" si="2"/>
        <v>611.71428571428567</v>
      </c>
      <c r="L27" s="14">
        <f t="shared" si="3"/>
        <v>0.50976190476190475</v>
      </c>
      <c r="M27" s="1"/>
      <c r="N27" s="2"/>
      <c r="O27" s="4"/>
      <c r="P27" s="2"/>
      <c r="Q27" s="2"/>
      <c r="R27" s="4"/>
      <c r="S27" s="2"/>
      <c r="T27" s="2"/>
      <c r="U27" s="1"/>
      <c r="V27" s="2"/>
      <c r="W27" s="2"/>
      <c r="X27" s="2"/>
      <c r="Y27" s="2"/>
      <c r="Z27" s="2"/>
    </row>
    <row r="28" spans="1:26" ht="15.75" customHeight="1" x14ac:dyDescent="0.2">
      <c r="A28" s="12">
        <v>0.5</v>
      </c>
      <c r="B28" s="10" t="s">
        <v>17</v>
      </c>
      <c r="C28" s="11" t="s">
        <v>33</v>
      </c>
      <c r="D28" s="13">
        <v>3000</v>
      </c>
      <c r="E28" s="13">
        <f t="shared" si="0"/>
        <v>1500</v>
      </c>
      <c r="F28" s="13">
        <f t="shared" si="4"/>
        <v>1657.5</v>
      </c>
      <c r="G28" s="7"/>
      <c r="H28" s="2"/>
      <c r="I28" s="13">
        <f>15000/7</f>
        <v>2142.8571428571427</v>
      </c>
      <c r="J28" s="13">
        <f t="shared" si="1"/>
        <v>1071.4285714285713</v>
      </c>
      <c r="K28" s="13">
        <f t="shared" si="2"/>
        <v>586.07142857142867</v>
      </c>
      <c r="L28" s="14">
        <f t="shared" si="3"/>
        <v>0.39071428571428579</v>
      </c>
      <c r="M28" s="1"/>
      <c r="N28" s="2"/>
      <c r="O28" s="4"/>
      <c r="P28" s="2"/>
      <c r="Q28" s="2"/>
      <c r="R28" s="4"/>
      <c r="S28" s="2"/>
      <c r="T28" s="2"/>
      <c r="U28" s="1"/>
      <c r="V28" s="2"/>
      <c r="W28" s="2"/>
      <c r="X28" s="2"/>
      <c r="Y28" s="2"/>
      <c r="Z28" s="2"/>
    </row>
    <row r="29" spans="1:26" ht="15.75" customHeight="1" x14ac:dyDescent="0.2">
      <c r="A29" s="12">
        <v>1.25</v>
      </c>
      <c r="B29" s="10" t="s">
        <v>17</v>
      </c>
      <c r="C29" s="11" t="s">
        <v>34</v>
      </c>
      <c r="D29" s="13">
        <v>4000</v>
      </c>
      <c r="E29" s="13">
        <f t="shared" si="0"/>
        <v>5000</v>
      </c>
      <c r="F29" s="13">
        <f t="shared" si="4"/>
        <v>5525</v>
      </c>
      <c r="G29" s="7"/>
      <c r="H29" s="2"/>
      <c r="I29" s="13">
        <v>3000</v>
      </c>
      <c r="J29" s="13">
        <f t="shared" si="1"/>
        <v>3750</v>
      </c>
      <c r="K29" s="13">
        <f t="shared" si="2"/>
        <v>1775</v>
      </c>
      <c r="L29" s="14">
        <f t="shared" si="3"/>
        <v>0.35499999999999998</v>
      </c>
      <c r="M29" s="1"/>
      <c r="N29" s="2"/>
      <c r="O29" s="4"/>
      <c r="P29" s="2"/>
      <c r="Q29" s="2"/>
      <c r="R29" s="4"/>
      <c r="S29" s="2"/>
      <c r="T29" s="2"/>
      <c r="U29" s="1"/>
      <c r="V29" s="2"/>
      <c r="W29" s="2"/>
      <c r="X29" s="2"/>
      <c r="Y29" s="2"/>
      <c r="Z29" s="2"/>
    </row>
    <row r="30" spans="1:26" ht="15.75" customHeight="1" x14ac:dyDescent="0.2">
      <c r="A30" s="12">
        <v>1</v>
      </c>
      <c r="B30" s="10" t="s">
        <v>17</v>
      </c>
      <c r="C30" s="11" t="s">
        <v>35</v>
      </c>
      <c r="D30" s="13">
        <v>2500</v>
      </c>
      <c r="E30" s="13">
        <f t="shared" si="0"/>
        <v>2500</v>
      </c>
      <c r="F30" s="13">
        <f t="shared" si="4"/>
        <v>2762.5</v>
      </c>
      <c r="G30" s="2"/>
      <c r="H30" s="2"/>
      <c r="I30" s="13">
        <f>10000/9</f>
        <v>1111.1111111111111</v>
      </c>
      <c r="J30" s="13">
        <f t="shared" si="1"/>
        <v>1111.1111111111111</v>
      </c>
      <c r="K30" s="13">
        <f t="shared" si="2"/>
        <v>1651.3888888888889</v>
      </c>
      <c r="L30" s="14">
        <f t="shared" si="3"/>
        <v>0.66055555555555556</v>
      </c>
      <c r="M30" s="1"/>
      <c r="N30" s="2"/>
      <c r="O30" s="4"/>
      <c r="P30" s="2"/>
      <c r="Q30" s="2"/>
      <c r="R30" s="4"/>
      <c r="S30" s="2"/>
      <c r="T30" s="2"/>
      <c r="U30" s="1"/>
      <c r="V30" s="2"/>
      <c r="W30" s="2"/>
      <c r="X30" s="2"/>
      <c r="Y30" s="2"/>
      <c r="Z30" s="2"/>
    </row>
    <row r="31" spans="1:26" ht="15.75" customHeight="1" x14ac:dyDescent="0.2">
      <c r="A31" s="12">
        <v>2</v>
      </c>
      <c r="B31" s="10" t="s">
        <v>17</v>
      </c>
      <c r="C31" s="11" t="s">
        <v>36</v>
      </c>
      <c r="D31" s="13">
        <v>1800</v>
      </c>
      <c r="E31" s="13">
        <f t="shared" si="0"/>
        <v>3600</v>
      </c>
      <c r="F31" s="13">
        <f t="shared" si="4"/>
        <v>3978</v>
      </c>
      <c r="G31" s="2"/>
      <c r="H31" s="2"/>
      <c r="I31" s="13">
        <v>800</v>
      </c>
      <c r="J31" s="13">
        <f t="shared" si="1"/>
        <v>1600</v>
      </c>
      <c r="K31" s="13">
        <f t="shared" si="2"/>
        <v>2378</v>
      </c>
      <c r="L31" s="14">
        <f t="shared" si="3"/>
        <v>0.66055555555555556</v>
      </c>
      <c r="M31" s="1"/>
      <c r="N31" s="2"/>
      <c r="O31" s="4"/>
      <c r="P31" s="2"/>
      <c r="Q31" s="2"/>
      <c r="R31" s="4"/>
      <c r="S31" s="2"/>
      <c r="T31" s="2"/>
      <c r="U31" s="1"/>
      <c r="V31" s="2"/>
      <c r="W31" s="2"/>
      <c r="X31" s="2"/>
      <c r="Y31" s="2"/>
      <c r="Z31" s="2"/>
    </row>
    <row r="32" spans="1:26" ht="15.75" customHeight="1" x14ac:dyDescent="0.2">
      <c r="A32" s="12">
        <v>1</v>
      </c>
      <c r="B32" s="10" t="s">
        <v>17</v>
      </c>
      <c r="C32" s="11" t="s">
        <v>38</v>
      </c>
      <c r="D32" s="13">
        <v>1800</v>
      </c>
      <c r="E32" s="13">
        <f t="shared" si="0"/>
        <v>1800</v>
      </c>
      <c r="F32" s="13">
        <f t="shared" si="4"/>
        <v>1989</v>
      </c>
      <c r="G32" s="2"/>
      <c r="H32" s="2"/>
      <c r="I32" s="13">
        <v>800</v>
      </c>
      <c r="J32" s="13">
        <f t="shared" si="1"/>
        <v>800</v>
      </c>
      <c r="K32" s="13">
        <f t="shared" si="2"/>
        <v>1189</v>
      </c>
      <c r="L32" s="14">
        <f t="shared" si="3"/>
        <v>0.66055555555555556</v>
      </c>
      <c r="M32" s="1"/>
      <c r="N32" s="2"/>
      <c r="O32" s="4"/>
      <c r="P32" s="2"/>
      <c r="Q32" s="2"/>
      <c r="R32" s="4"/>
      <c r="S32" s="2"/>
      <c r="T32" s="2"/>
      <c r="U32" s="1"/>
      <c r="V32" s="2"/>
      <c r="W32" s="2"/>
      <c r="X32" s="2"/>
      <c r="Y32" s="2"/>
      <c r="Z32" s="2"/>
    </row>
    <row r="33" spans="1:26" ht="15.75" customHeight="1" x14ac:dyDescent="0.2">
      <c r="A33" s="12">
        <v>9</v>
      </c>
      <c r="B33" s="10" t="s">
        <v>17</v>
      </c>
      <c r="C33" s="11" t="s">
        <v>39</v>
      </c>
      <c r="D33" s="13">
        <v>1800</v>
      </c>
      <c r="E33" s="13">
        <f t="shared" si="0"/>
        <v>16200</v>
      </c>
      <c r="F33" s="13">
        <f t="shared" si="4"/>
        <v>17901</v>
      </c>
      <c r="G33" s="2"/>
      <c r="H33" s="2"/>
      <c r="I33" s="13">
        <f>20000/17</f>
        <v>1176.4705882352941</v>
      </c>
      <c r="J33" s="13">
        <f t="shared" si="1"/>
        <v>10588.235294117647</v>
      </c>
      <c r="K33" s="13">
        <f t="shared" si="2"/>
        <v>7312.7647058823532</v>
      </c>
      <c r="L33" s="14">
        <f t="shared" si="3"/>
        <v>0.45140522875816996</v>
      </c>
      <c r="M33" s="1"/>
      <c r="N33" s="2"/>
      <c r="O33" s="4"/>
      <c r="P33" s="2"/>
      <c r="Q33" s="2"/>
      <c r="R33" s="4"/>
      <c r="S33" s="2"/>
      <c r="T33" s="2"/>
      <c r="U33" s="1"/>
      <c r="V33" s="2"/>
      <c r="W33" s="2"/>
      <c r="X33" s="2"/>
      <c r="Y33" s="2"/>
      <c r="Z33" s="2"/>
    </row>
    <row r="34" spans="1:26" ht="15.75" customHeight="1" x14ac:dyDescent="0.2">
      <c r="A34" s="12">
        <v>7</v>
      </c>
      <c r="B34" s="10" t="s">
        <v>17</v>
      </c>
      <c r="C34" s="11" t="s">
        <v>40</v>
      </c>
      <c r="D34" s="13">
        <v>1500</v>
      </c>
      <c r="E34" s="13">
        <f t="shared" si="0"/>
        <v>10500</v>
      </c>
      <c r="F34" s="13">
        <f t="shared" si="4"/>
        <v>11602.5</v>
      </c>
      <c r="G34" s="2"/>
      <c r="H34" s="2"/>
      <c r="I34" s="13">
        <f>10000/8</f>
        <v>1250</v>
      </c>
      <c r="J34" s="13">
        <f t="shared" si="1"/>
        <v>8750</v>
      </c>
      <c r="K34" s="13">
        <f t="shared" si="2"/>
        <v>2852.5</v>
      </c>
      <c r="L34" s="14">
        <f t="shared" si="3"/>
        <v>0.27166666666666667</v>
      </c>
      <c r="M34" s="1"/>
      <c r="N34" s="2"/>
      <c r="O34" s="4"/>
      <c r="P34" s="2"/>
      <c r="Q34" s="2"/>
      <c r="R34" s="4"/>
      <c r="S34" s="2"/>
      <c r="T34" s="2"/>
      <c r="U34" s="1"/>
      <c r="V34" s="2"/>
      <c r="W34" s="2"/>
      <c r="X34" s="2"/>
      <c r="Y34" s="2"/>
      <c r="Z34" s="2"/>
    </row>
    <row r="35" spans="1:26" ht="15.75" customHeight="1" x14ac:dyDescent="0.2">
      <c r="A35" s="12">
        <v>5.2</v>
      </c>
      <c r="B35" s="10" t="s">
        <v>17</v>
      </c>
      <c r="C35" s="11" t="s">
        <v>82</v>
      </c>
      <c r="D35" s="13">
        <v>3300</v>
      </c>
      <c r="E35" s="13">
        <f t="shared" si="0"/>
        <v>17160</v>
      </c>
      <c r="F35" s="13">
        <f t="shared" si="4"/>
        <v>18961.8</v>
      </c>
      <c r="G35" s="2"/>
      <c r="H35" s="2"/>
      <c r="I35" s="13">
        <f>37500/13</f>
        <v>2884.6153846153848</v>
      </c>
      <c r="J35" s="13">
        <f t="shared" si="1"/>
        <v>15000.000000000002</v>
      </c>
      <c r="K35" s="13">
        <f t="shared" si="2"/>
        <v>3961.7999999999975</v>
      </c>
      <c r="L35" s="14">
        <f t="shared" si="3"/>
        <v>0.23087412587412573</v>
      </c>
      <c r="M35" s="1"/>
      <c r="N35" s="2"/>
      <c r="O35" s="4"/>
      <c r="P35" s="2"/>
      <c r="Q35" s="2"/>
      <c r="R35" s="4"/>
      <c r="S35" s="2"/>
      <c r="T35" s="2"/>
      <c r="U35" s="1"/>
      <c r="V35" s="2"/>
      <c r="W35" s="2"/>
      <c r="X35" s="2"/>
      <c r="Y35" s="2"/>
      <c r="Z35" s="2"/>
    </row>
    <row r="36" spans="1:26" ht="15.75" customHeight="1" x14ac:dyDescent="0.2">
      <c r="A36" s="12">
        <v>2</v>
      </c>
      <c r="B36" s="10" t="s">
        <v>4</v>
      </c>
      <c r="C36" s="11" t="s">
        <v>41</v>
      </c>
      <c r="D36" s="13">
        <v>3000</v>
      </c>
      <c r="E36" s="13">
        <f t="shared" si="0"/>
        <v>6000</v>
      </c>
      <c r="F36" s="13">
        <f t="shared" si="4"/>
        <v>6630</v>
      </c>
      <c r="G36" s="2"/>
      <c r="H36" s="2"/>
      <c r="I36" s="13">
        <v>1800</v>
      </c>
      <c r="J36" s="13">
        <f t="shared" si="1"/>
        <v>3600</v>
      </c>
      <c r="K36" s="13">
        <f t="shared" si="2"/>
        <v>3030</v>
      </c>
      <c r="L36" s="14">
        <f t="shared" si="3"/>
        <v>0.505</v>
      </c>
      <c r="M36" s="1"/>
      <c r="N36" s="2"/>
      <c r="O36" s="4"/>
      <c r="P36" s="2"/>
      <c r="Q36" s="2"/>
      <c r="R36" s="4"/>
      <c r="S36" s="2"/>
      <c r="T36" s="2"/>
      <c r="U36" s="1"/>
      <c r="V36" s="2"/>
      <c r="W36" s="2"/>
      <c r="X36" s="2"/>
      <c r="Y36" s="2"/>
      <c r="Z36" s="2"/>
    </row>
    <row r="37" spans="1:26" ht="15.75" customHeight="1" x14ac:dyDescent="0.2">
      <c r="A37" s="12">
        <v>5</v>
      </c>
      <c r="B37" s="10" t="s">
        <v>21</v>
      </c>
      <c r="C37" s="11" t="s">
        <v>46</v>
      </c>
      <c r="D37" s="13">
        <v>850</v>
      </c>
      <c r="E37" s="13">
        <f t="shared" si="0"/>
        <v>4250</v>
      </c>
      <c r="F37" s="13">
        <f t="shared" si="4"/>
        <v>4696.25</v>
      </c>
      <c r="G37" s="2"/>
      <c r="H37" s="2"/>
      <c r="I37" s="13">
        <f>16000/24</f>
        <v>666.66666666666663</v>
      </c>
      <c r="J37" s="13">
        <f t="shared" si="1"/>
        <v>3333.333333333333</v>
      </c>
      <c r="K37" s="13">
        <f t="shared" si="2"/>
        <v>1362.916666666667</v>
      </c>
      <c r="L37" s="14">
        <f t="shared" si="3"/>
        <v>0.32068627450980397</v>
      </c>
      <c r="M37" s="1"/>
      <c r="N37" s="2"/>
      <c r="O37" s="4"/>
      <c r="P37" s="2"/>
      <c r="Q37" s="2"/>
      <c r="R37" s="4"/>
      <c r="S37" s="2"/>
      <c r="T37" s="2"/>
      <c r="U37" s="1"/>
      <c r="V37" s="2"/>
      <c r="W37" s="2"/>
      <c r="X37" s="2"/>
      <c r="Y37" s="2"/>
      <c r="Z37" s="2"/>
    </row>
    <row r="38" spans="1:26" ht="15.75" customHeight="1" x14ac:dyDescent="0.2">
      <c r="A38" s="12">
        <v>1.3</v>
      </c>
      <c r="B38" s="10" t="s">
        <v>17</v>
      </c>
      <c r="C38" s="11" t="s">
        <v>43</v>
      </c>
      <c r="D38" s="13">
        <v>4500</v>
      </c>
      <c r="E38" s="13">
        <f t="shared" si="0"/>
        <v>5850</v>
      </c>
      <c r="F38" s="13">
        <f t="shared" si="4"/>
        <v>6464.25</v>
      </c>
      <c r="G38" s="2"/>
      <c r="H38" s="2"/>
      <c r="I38" s="13">
        <f>17000/5</f>
        <v>3400</v>
      </c>
      <c r="J38" s="13">
        <f t="shared" si="1"/>
        <v>4420</v>
      </c>
      <c r="K38" s="13">
        <f t="shared" si="2"/>
        <v>2044.25</v>
      </c>
      <c r="L38" s="14">
        <f t="shared" si="3"/>
        <v>0.34944444444444445</v>
      </c>
      <c r="M38" s="1"/>
      <c r="N38" s="2"/>
      <c r="O38" s="4"/>
      <c r="P38" s="2"/>
      <c r="Q38" s="2"/>
      <c r="R38" s="4"/>
      <c r="S38" s="2"/>
      <c r="T38" s="2"/>
      <c r="U38" s="1"/>
      <c r="V38" s="2"/>
      <c r="W38" s="2"/>
      <c r="X38" s="2"/>
      <c r="Y38" s="2"/>
      <c r="Z38" s="2"/>
    </row>
    <row r="39" spans="1:26" ht="15.75" customHeight="1" x14ac:dyDescent="0.2">
      <c r="A39" s="12">
        <v>1</v>
      </c>
      <c r="B39" s="10" t="s">
        <v>21</v>
      </c>
      <c r="C39" s="11" t="s">
        <v>52</v>
      </c>
      <c r="D39" s="13">
        <v>2000</v>
      </c>
      <c r="E39" s="13">
        <f t="shared" si="0"/>
        <v>2000</v>
      </c>
      <c r="F39" s="13">
        <f t="shared" si="4"/>
        <v>2210</v>
      </c>
      <c r="G39" s="2"/>
      <c r="H39" s="2"/>
      <c r="I39" s="13">
        <f>3000/4</f>
        <v>750</v>
      </c>
      <c r="J39" s="13">
        <f t="shared" si="1"/>
        <v>750</v>
      </c>
      <c r="K39" s="13">
        <f t="shared" si="2"/>
        <v>1460</v>
      </c>
      <c r="L39" s="14">
        <f t="shared" si="3"/>
        <v>0.73</v>
      </c>
      <c r="M39" s="1"/>
      <c r="N39" s="2"/>
      <c r="O39" s="4"/>
      <c r="P39" s="2"/>
      <c r="Q39" s="2"/>
      <c r="R39" s="4"/>
      <c r="S39" s="2"/>
      <c r="T39" s="2"/>
      <c r="U39" s="1"/>
      <c r="V39" s="2"/>
      <c r="W39" s="2"/>
      <c r="X39" s="2"/>
      <c r="Y39" s="2"/>
      <c r="Z39" s="2"/>
    </row>
    <row r="40" spans="1:26" x14ac:dyDescent="0.2">
      <c r="A40" s="1"/>
      <c r="B40" s="2"/>
      <c r="C40" s="4"/>
      <c r="D40" s="2"/>
      <c r="E40" s="2"/>
      <c r="F40" s="2"/>
      <c r="G40" s="2"/>
      <c r="H40" s="2"/>
      <c r="I40" s="2"/>
      <c r="J40" s="2"/>
      <c r="K40" s="2"/>
      <c r="L40" s="3"/>
      <c r="M40" s="1"/>
      <c r="N40" s="2"/>
      <c r="O40" s="4"/>
      <c r="P40" s="2"/>
      <c r="Q40" s="2"/>
      <c r="R40" s="4"/>
      <c r="S40" s="2"/>
      <c r="T40" s="2"/>
      <c r="U40" s="1"/>
      <c r="V40" s="2"/>
      <c r="W40" s="2"/>
      <c r="X40" s="2"/>
      <c r="Y40" s="2"/>
      <c r="Z40" s="2"/>
    </row>
    <row r="41" spans="1:26" x14ac:dyDescent="0.2">
      <c r="A41" s="1"/>
      <c r="B41" s="2"/>
      <c r="C41" s="4"/>
      <c r="D41" s="2"/>
      <c r="E41" s="13">
        <f t="shared" ref="E41:F41" si="5">SUM(E6:E39)</f>
        <v>292785</v>
      </c>
      <c r="F41" s="13">
        <f t="shared" si="5"/>
        <v>326362.42499999999</v>
      </c>
      <c r="G41" s="2"/>
      <c r="H41" s="2"/>
      <c r="I41" s="2"/>
      <c r="J41" s="2"/>
      <c r="K41" s="13">
        <f>SUM(K6:K39)</f>
        <v>107755.18881685051</v>
      </c>
      <c r="L41" s="14">
        <f>K41/F41</f>
        <v>0.33017032771726251</v>
      </c>
      <c r="M41" s="1"/>
      <c r="N41" s="2"/>
      <c r="O41" s="4"/>
      <c r="P41" s="2"/>
      <c r="Q41" s="2"/>
      <c r="R41" s="4"/>
      <c r="S41" s="2"/>
      <c r="T41" s="2"/>
      <c r="U41" s="1"/>
      <c r="V41" s="2"/>
      <c r="W41" s="2"/>
      <c r="X41" s="2"/>
      <c r="Y41" s="2"/>
      <c r="Z41" s="2"/>
    </row>
    <row r="42" spans="1:26" x14ac:dyDescent="0.2">
      <c r="A42" s="1"/>
      <c r="B42" s="2"/>
      <c r="C42" s="4"/>
      <c r="D42" s="2"/>
      <c r="E42" s="2"/>
      <c r="F42" s="2"/>
      <c r="G42" s="2"/>
      <c r="H42" s="2"/>
      <c r="I42" s="2"/>
      <c r="J42" s="2"/>
      <c r="K42" s="2"/>
      <c r="L42" s="3"/>
      <c r="M42" s="1"/>
      <c r="N42" s="2"/>
      <c r="O42" s="4"/>
      <c r="P42" s="2"/>
      <c r="Q42" s="2"/>
      <c r="R42" s="4"/>
      <c r="S42" s="2"/>
      <c r="T42" s="2"/>
      <c r="U42" s="1"/>
      <c r="V42" s="2"/>
      <c r="W42" s="2"/>
      <c r="X42" s="2"/>
      <c r="Y42" s="2"/>
      <c r="Z42" s="2"/>
    </row>
    <row r="43" spans="1:26" ht="15.75" customHeight="1" x14ac:dyDescent="0.2">
      <c r="A43" s="1"/>
      <c r="B43" s="1"/>
      <c r="C43" s="1"/>
      <c r="D43" s="2"/>
      <c r="E43" s="2"/>
      <c r="F43" s="5"/>
      <c r="G43" s="2"/>
      <c r="H43" s="2"/>
      <c r="I43" s="2"/>
      <c r="J43" s="2"/>
      <c r="K43" s="2"/>
      <c r="L43" s="3"/>
      <c r="M43" s="4"/>
      <c r="N43" s="2"/>
      <c r="O43" s="4"/>
      <c r="P43" s="2"/>
      <c r="Q43" s="2"/>
      <c r="R43" s="4"/>
      <c r="S43" s="2"/>
      <c r="T43" s="2"/>
      <c r="U43" s="1"/>
      <c r="V43" s="2"/>
      <c r="W43" s="2"/>
      <c r="X43" s="2"/>
      <c r="Y43" s="2"/>
      <c r="Z43" s="2"/>
    </row>
    <row r="44" spans="1:26" ht="15.75" customHeight="1" x14ac:dyDescent="0.2">
      <c r="A44" s="1"/>
      <c r="B44" s="1"/>
      <c r="C44" s="1"/>
      <c r="D44" s="2"/>
      <c r="E44" s="2"/>
      <c r="F44" s="5"/>
      <c r="G44" s="2"/>
      <c r="H44" s="2"/>
      <c r="I44" s="2"/>
      <c r="J44" s="2"/>
      <c r="K44" s="2"/>
      <c r="L44" s="3"/>
      <c r="M44" s="4"/>
      <c r="N44" s="2"/>
      <c r="O44" s="4"/>
      <c r="P44" s="2"/>
      <c r="Q44" s="2"/>
      <c r="R44" s="4"/>
      <c r="S44" s="2"/>
      <c r="T44" s="2"/>
      <c r="U44" s="1"/>
      <c r="V44" s="2"/>
      <c r="W44" s="2"/>
      <c r="X44" s="2"/>
      <c r="Y44" s="2"/>
      <c r="Z44" s="2"/>
    </row>
    <row r="45" spans="1:26" ht="15.75" customHeight="1" x14ac:dyDescent="0.2">
      <c r="A45" s="1"/>
      <c r="B45" s="1"/>
      <c r="C45" s="1"/>
      <c r="D45" s="2"/>
      <c r="E45" s="2"/>
      <c r="F45" s="5"/>
      <c r="G45" s="2"/>
      <c r="H45" s="2"/>
      <c r="I45" s="2"/>
      <c r="J45" s="2"/>
      <c r="K45" s="2"/>
      <c r="L45" s="3"/>
      <c r="M45" s="4"/>
      <c r="N45" s="2"/>
      <c r="O45" s="4"/>
      <c r="P45" s="2"/>
      <c r="Q45" s="2"/>
      <c r="R45" s="4"/>
      <c r="S45" s="2"/>
      <c r="T45" s="2"/>
      <c r="U45" s="1"/>
      <c r="V45" s="2"/>
      <c r="W45" s="2"/>
      <c r="X45" s="2"/>
      <c r="Y45" s="2"/>
      <c r="Z45" s="2"/>
    </row>
    <row r="46" spans="1:26" x14ac:dyDescent="0.2">
      <c r="A46" s="88" t="s">
        <v>47</v>
      </c>
      <c r="B46" s="89"/>
      <c r="C46" s="89"/>
      <c r="D46" s="2"/>
      <c r="E46" s="7" t="s">
        <v>1098</v>
      </c>
      <c r="F46" s="8">
        <v>46142</v>
      </c>
      <c r="G46" s="7" t="s">
        <v>1176</v>
      </c>
      <c r="H46" s="2"/>
      <c r="I46" s="9" t="s">
        <v>2</v>
      </c>
      <c r="J46" s="9"/>
      <c r="K46" s="9"/>
      <c r="L46" s="3"/>
      <c r="M46" s="1"/>
      <c r="N46" s="2"/>
      <c r="O46" s="4"/>
      <c r="P46" s="2"/>
      <c r="Q46" s="2"/>
      <c r="R46" s="4"/>
      <c r="S46" s="2"/>
      <c r="T46" s="2"/>
      <c r="U46" s="1"/>
      <c r="V46" s="2"/>
      <c r="W46" s="2"/>
      <c r="X46" s="2"/>
      <c r="Y46" s="2"/>
      <c r="Z46" s="2"/>
    </row>
    <row r="47" spans="1:26" ht="15.75" customHeight="1" x14ac:dyDescent="0.2">
      <c r="A47" s="1"/>
      <c r="B47" s="1"/>
      <c r="C47" s="1"/>
      <c r="D47" s="2"/>
      <c r="E47" s="2"/>
      <c r="F47" s="5"/>
      <c r="G47" s="2"/>
      <c r="H47" s="2"/>
      <c r="I47" s="2"/>
      <c r="J47" s="2"/>
      <c r="K47" s="2"/>
      <c r="L47" s="3"/>
      <c r="M47" s="4"/>
      <c r="N47" s="2"/>
      <c r="O47" s="4"/>
      <c r="P47" s="2"/>
      <c r="Q47" s="2"/>
      <c r="R47" s="4"/>
      <c r="S47" s="2"/>
      <c r="T47" s="2"/>
      <c r="U47" s="1"/>
      <c r="V47" s="2"/>
      <c r="W47" s="2"/>
      <c r="X47" s="2"/>
      <c r="Y47" s="2"/>
      <c r="Z47" s="2"/>
    </row>
    <row r="48" spans="1:26" ht="15.75" customHeight="1" x14ac:dyDescent="0.2">
      <c r="A48" s="6" t="s">
        <v>3</v>
      </c>
      <c r="B48" s="10" t="s">
        <v>4</v>
      </c>
      <c r="C48" s="6" t="s">
        <v>5</v>
      </c>
      <c r="D48" s="10" t="s">
        <v>6</v>
      </c>
      <c r="E48" s="10" t="s">
        <v>7</v>
      </c>
      <c r="F48" s="10" t="s">
        <v>8</v>
      </c>
      <c r="G48" s="2"/>
      <c r="H48" s="2"/>
      <c r="I48" s="10" t="s">
        <v>9</v>
      </c>
      <c r="J48" s="10" t="s">
        <v>7</v>
      </c>
      <c r="K48" s="10" t="s">
        <v>10</v>
      </c>
      <c r="L48" s="3"/>
      <c r="M48" s="1"/>
      <c r="N48" s="1"/>
      <c r="O48" s="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2">
        <v>1</v>
      </c>
      <c r="B49" s="10" t="s">
        <v>15</v>
      </c>
      <c r="C49" s="11" t="s">
        <v>27</v>
      </c>
      <c r="D49" s="13">
        <v>25000</v>
      </c>
      <c r="E49" s="13">
        <f t="shared" ref="E49:E68" si="6">A49*D49</f>
        <v>25000</v>
      </c>
      <c r="F49" s="13">
        <f t="shared" ref="F49:F68" si="7">E49*1.105</f>
        <v>27625</v>
      </c>
      <c r="G49" s="7"/>
      <c r="H49" s="2"/>
      <c r="I49" s="13">
        <v>19000</v>
      </c>
      <c r="J49" s="13">
        <f t="shared" ref="J49:J68" si="8">I49*A49</f>
        <v>19000</v>
      </c>
      <c r="K49" s="13">
        <f t="shared" ref="K49:K68" si="9">F49-J49</f>
        <v>8625</v>
      </c>
      <c r="L49" s="14">
        <f t="shared" ref="L49:L68" si="10">IFERROR(K49/E49, 0)</f>
        <v>0.34499999999999997</v>
      </c>
      <c r="M49" s="1"/>
      <c r="N49" s="1"/>
      <c r="O49" s="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2">
        <v>10</v>
      </c>
      <c r="B50" s="10" t="s">
        <v>17</v>
      </c>
      <c r="C50" s="11" t="s">
        <v>48</v>
      </c>
      <c r="D50" s="13">
        <f>900</f>
        <v>900</v>
      </c>
      <c r="E50" s="13">
        <f t="shared" si="6"/>
        <v>9000</v>
      </c>
      <c r="F50" s="13">
        <f t="shared" si="7"/>
        <v>9945</v>
      </c>
      <c r="G50" s="2"/>
      <c r="H50" s="2"/>
      <c r="I50" s="13">
        <f>10000/16</f>
        <v>625</v>
      </c>
      <c r="J50" s="13">
        <f t="shared" si="8"/>
        <v>6250</v>
      </c>
      <c r="K50" s="13">
        <f t="shared" si="9"/>
        <v>3695</v>
      </c>
      <c r="L50" s="14">
        <f t="shared" si="10"/>
        <v>0.41055555555555556</v>
      </c>
      <c r="M50" s="1"/>
      <c r="N50" s="1"/>
      <c r="O50" s="1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2">
        <v>6</v>
      </c>
      <c r="B51" s="10" t="s">
        <v>17</v>
      </c>
      <c r="C51" s="11" t="s">
        <v>39</v>
      </c>
      <c r="D51" s="13">
        <v>1800</v>
      </c>
      <c r="E51" s="13">
        <f t="shared" si="6"/>
        <v>10800</v>
      </c>
      <c r="F51" s="13">
        <f t="shared" si="7"/>
        <v>11934</v>
      </c>
      <c r="G51" s="2"/>
      <c r="H51" s="2"/>
      <c r="I51" s="13">
        <f>20000/17</f>
        <v>1176.4705882352941</v>
      </c>
      <c r="J51" s="13">
        <f t="shared" si="8"/>
        <v>7058.8235294117649</v>
      </c>
      <c r="K51" s="13">
        <f t="shared" si="9"/>
        <v>4875.1764705882351</v>
      </c>
      <c r="L51" s="14">
        <f t="shared" si="10"/>
        <v>0.45140522875816991</v>
      </c>
      <c r="M51" s="1"/>
      <c r="N51" s="1"/>
      <c r="O51" s="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2">
        <v>4</v>
      </c>
      <c r="B52" s="10" t="s">
        <v>4</v>
      </c>
      <c r="C52" s="11" t="s">
        <v>41</v>
      </c>
      <c r="D52" s="13">
        <v>3000</v>
      </c>
      <c r="E52" s="13">
        <f t="shared" si="6"/>
        <v>12000</v>
      </c>
      <c r="F52" s="13">
        <f t="shared" si="7"/>
        <v>13260</v>
      </c>
      <c r="G52" s="7"/>
      <c r="H52" s="2"/>
      <c r="I52" s="13">
        <f>18000/10</f>
        <v>1800</v>
      </c>
      <c r="J52" s="13">
        <f t="shared" si="8"/>
        <v>7200</v>
      </c>
      <c r="K52" s="13">
        <f t="shared" si="9"/>
        <v>6060</v>
      </c>
      <c r="L52" s="14">
        <f t="shared" si="10"/>
        <v>0.505</v>
      </c>
      <c r="M52" s="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2">
        <v>3</v>
      </c>
      <c r="B53" s="10" t="s">
        <v>17</v>
      </c>
      <c r="C53" s="11" t="s">
        <v>40</v>
      </c>
      <c r="D53" s="13">
        <v>1500</v>
      </c>
      <c r="E53" s="13">
        <f t="shared" si="6"/>
        <v>4500</v>
      </c>
      <c r="F53" s="13">
        <f t="shared" si="7"/>
        <v>4972.5</v>
      </c>
      <c r="G53" s="2"/>
      <c r="H53" s="2"/>
      <c r="I53" s="13">
        <f>10000/8</f>
        <v>1250</v>
      </c>
      <c r="J53" s="13">
        <f t="shared" si="8"/>
        <v>3750</v>
      </c>
      <c r="K53" s="13">
        <f t="shared" si="9"/>
        <v>1222.5</v>
      </c>
      <c r="L53" s="14">
        <f t="shared" si="10"/>
        <v>0.27166666666666667</v>
      </c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2">
        <v>12</v>
      </c>
      <c r="B54" s="10" t="s">
        <v>4</v>
      </c>
      <c r="C54" s="11" t="s">
        <v>20</v>
      </c>
      <c r="D54" s="13">
        <v>850</v>
      </c>
      <c r="E54" s="13">
        <f t="shared" si="6"/>
        <v>10200</v>
      </c>
      <c r="F54" s="13">
        <f t="shared" si="7"/>
        <v>11271</v>
      </c>
      <c r="G54" s="7"/>
      <c r="H54" s="2"/>
      <c r="I54" s="13">
        <f>81000/132</f>
        <v>613.63636363636363</v>
      </c>
      <c r="J54" s="13">
        <f t="shared" si="8"/>
        <v>7363.636363636364</v>
      </c>
      <c r="K54" s="13">
        <f t="shared" si="9"/>
        <v>3907.363636363636</v>
      </c>
      <c r="L54" s="14">
        <f t="shared" si="10"/>
        <v>0.38307486631016041</v>
      </c>
      <c r="M54" s="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2">
        <v>6.3</v>
      </c>
      <c r="B55" s="10" t="s">
        <v>17</v>
      </c>
      <c r="C55" s="11" t="s">
        <v>82</v>
      </c>
      <c r="D55" s="13">
        <v>3300</v>
      </c>
      <c r="E55" s="13">
        <f t="shared" si="6"/>
        <v>20790</v>
      </c>
      <c r="F55" s="13">
        <f t="shared" si="7"/>
        <v>22972.95</v>
      </c>
      <c r="G55" s="7"/>
      <c r="H55" s="2"/>
      <c r="I55" s="13">
        <v>0</v>
      </c>
      <c r="J55" s="13">
        <f t="shared" si="8"/>
        <v>0</v>
      </c>
      <c r="K55" s="13">
        <f t="shared" si="9"/>
        <v>22972.95</v>
      </c>
      <c r="L55" s="14">
        <f t="shared" si="10"/>
        <v>1.105</v>
      </c>
      <c r="M55" s="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2">
        <v>1</v>
      </c>
      <c r="B56" s="10" t="s">
        <v>4</v>
      </c>
      <c r="C56" s="11" t="s">
        <v>13</v>
      </c>
      <c r="D56" s="13">
        <v>900</v>
      </c>
      <c r="E56" s="13">
        <f t="shared" si="6"/>
        <v>900</v>
      </c>
      <c r="F56" s="13">
        <f t="shared" si="7"/>
        <v>994.5</v>
      </c>
      <c r="G56" s="7"/>
      <c r="H56" s="2"/>
      <c r="I56" s="13">
        <v>540</v>
      </c>
      <c r="J56" s="13">
        <f t="shared" si="8"/>
        <v>540</v>
      </c>
      <c r="K56" s="13">
        <f t="shared" si="9"/>
        <v>454.5</v>
      </c>
      <c r="L56" s="14">
        <f t="shared" si="10"/>
        <v>0.505</v>
      </c>
      <c r="M56" s="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2">
        <v>1</v>
      </c>
      <c r="B57" s="10" t="s">
        <v>21</v>
      </c>
      <c r="C57" s="11" t="s">
        <v>34</v>
      </c>
      <c r="D57" s="13">
        <v>4000</v>
      </c>
      <c r="E57" s="13">
        <f t="shared" si="6"/>
        <v>4000</v>
      </c>
      <c r="F57" s="13">
        <f t="shared" si="7"/>
        <v>4420</v>
      </c>
      <c r="G57" s="7"/>
      <c r="H57" s="2"/>
      <c r="I57" s="13">
        <v>3000</v>
      </c>
      <c r="J57" s="13">
        <f t="shared" si="8"/>
        <v>3000</v>
      </c>
      <c r="K57" s="13">
        <f t="shared" si="9"/>
        <v>1420</v>
      </c>
      <c r="L57" s="14">
        <f t="shared" si="10"/>
        <v>0.35499999999999998</v>
      </c>
      <c r="M57" s="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2">
        <v>1.5</v>
      </c>
      <c r="B58" s="10" t="s">
        <v>17</v>
      </c>
      <c r="C58" s="11" t="s">
        <v>35</v>
      </c>
      <c r="D58" s="13">
        <v>2500</v>
      </c>
      <c r="E58" s="13">
        <f t="shared" si="6"/>
        <v>3750</v>
      </c>
      <c r="F58" s="13">
        <f t="shared" si="7"/>
        <v>4143.75</v>
      </c>
      <c r="G58" s="7"/>
      <c r="H58" s="13"/>
      <c r="I58" s="13">
        <f>10000/9</f>
        <v>1111.1111111111111</v>
      </c>
      <c r="J58" s="13">
        <f t="shared" si="8"/>
        <v>1666.6666666666665</v>
      </c>
      <c r="K58" s="13">
        <f t="shared" si="9"/>
        <v>2477.0833333333335</v>
      </c>
      <c r="L58" s="14">
        <f t="shared" si="10"/>
        <v>0.66055555555555556</v>
      </c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2">
        <v>1.2</v>
      </c>
      <c r="B59" s="10" t="s">
        <v>17</v>
      </c>
      <c r="C59" s="11" t="s">
        <v>30</v>
      </c>
      <c r="D59" s="13">
        <v>2600</v>
      </c>
      <c r="E59" s="13">
        <f t="shared" si="6"/>
        <v>3120</v>
      </c>
      <c r="F59" s="13">
        <f t="shared" si="7"/>
        <v>3447.6</v>
      </c>
      <c r="G59" s="7"/>
      <c r="H59" s="2"/>
      <c r="I59" s="13">
        <f>25000/14</f>
        <v>1785.7142857142858</v>
      </c>
      <c r="J59" s="13">
        <f t="shared" si="8"/>
        <v>2142.8571428571427</v>
      </c>
      <c r="K59" s="13">
        <f t="shared" si="9"/>
        <v>1304.7428571428572</v>
      </c>
      <c r="L59" s="14">
        <f t="shared" si="10"/>
        <v>0.41818681318681322</v>
      </c>
      <c r="M59" s="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2">
        <v>1.3</v>
      </c>
      <c r="B60" s="10" t="s">
        <v>17</v>
      </c>
      <c r="C60" s="11" t="s">
        <v>36</v>
      </c>
      <c r="D60" s="13">
        <v>1800</v>
      </c>
      <c r="E60" s="13">
        <f t="shared" si="6"/>
        <v>2340</v>
      </c>
      <c r="F60" s="13">
        <f t="shared" si="7"/>
        <v>2585.6999999999998</v>
      </c>
      <c r="G60" s="7"/>
      <c r="H60" s="2"/>
      <c r="I60" s="13">
        <v>800</v>
      </c>
      <c r="J60" s="13">
        <f t="shared" si="8"/>
        <v>1040</v>
      </c>
      <c r="K60" s="13">
        <f t="shared" si="9"/>
        <v>1545.6999999999998</v>
      </c>
      <c r="L60" s="14">
        <f t="shared" si="10"/>
        <v>0.66055555555555545</v>
      </c>
      <c r="M60" s="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2">
        <v>1</v>
      </c>
      <c r="B61" s="10" t="s">
        <v>17</v>
      </c>
      <c r="C61" s="11" t="s">
        <v>56</v>
      </c>
      <c r="D61" s="13">
        <v>1200</v>
      </c>
      <c r="E61" s="13">
        <f t="shared" si="6"/>
        <v>1200</v>
      </c>
      <c r="F61" s="13">
        <f t="shared" si="7"/>
        <v>1326</v>
      </c>
      <c r="G61" s="7"/>
      <c r="H61" s="2"/>
      <c r="I61" s="13">
        <f>10000/15</f>
        <v>666.66666666666663</v>
      </c>
      <c r="J61" s="13">
        <f t="shared" si="8"/>
        <v>666.66666666666663</v>
      </c>
      <c r="K61" s="13">
        <f t="shared" si="9"/>
        <v>659.33333333333337</v>
      </c>
      <c r="L61" s="14">
        <f t="shared" si="10"/>
        <v>0.54944444444444451</v>
      </c>
      <c r="M61" s="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2">
        <v>1</v>
      </c>
      <c r="B62" s="10" t="s">
        <v>17</v>
      </c>
      <c r="C62" s="11" t="s">
        <v>31</v>
      </c>
      <c r="D62" s="13">
        <v>2800</v>
      </c>
      <c r="E62" s="13">
        <f t="shared" si="6"/>
        <v>2800</v>
      </c>
      <c r="F62" s="13">
        <f t="shared" si="7"/>
        <v>3094</v>
      </c>
      <c r="G62" s="7"/>
      <c r="H62" s="2"/>
      <c r="I62" s="13">
        <f>25000/14</f>
        <v>1785.7142857142858</v>
      </c>
      <c r="J62" s="13">
        <f t="shared" si="8"/>
        <v>1785.7142857142858</v>
      </c>
      <c r="K62" s="13">
        <f t="shared" si="9"/>
        <v>1308.2857142857142</v>
      </c>
      <c r="L62" s="14">
        <f t="shared" si="10"/>
        <v>0.46724489795918367</v>
      </c>
      <c r="M62" s="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2">
        <v>0.5</v>
      </c>
      <c r="B63" s="10" t="s">
        <v>17</v>
      </c>
      <c r="C63" s="11" t="s">
        <v>32</v>
      </c>
      <c r="D63" s="13">
        <v>2400</v>
      </c>
      <c r="E63" s="13">
        <f t="shared" si="6"/>
        <v>1200</v>
      </c>
      <c r="F63" s="13">
        <f t="shared" si="7"/>
        <v>1326</v>
      </c>
      <c r="G63" s="7"/>
      <c r="H63" s="2"/>
      <c r="I63" s="13">
        <f>10000/7</f>
        <v>1428.5714285714287</v>
      </c>
      <c r="J63" s="13">
        <f t="shared" si="8"/>
        <v>714.28571428571433</v>
      </c>
      <c r="K63" s="13">
        <f t="shared" si="9"/>
        <v>611.71428571428567</v>
      </c>
      <c r="L63" s="14">
        <f t="shared" si="10"/>
        <v>0.50976190476190475</v>
      </c>
      <c r="M63" s="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2">
        <v>0.5</v>
      </c>
      <c r="B64" s="10" t="s">
        <v>17</v>
      </c>
      <c r="C64" s="11" t="s">
        <v>33</v>
      </c>
      <c r="D64" s="13">
        <v>3000</v>
      </c>
      <c r="E64" s="13">
        <f t="shared" si="6"/>
        <v>1500</v>
      </c>
      <c r="F64" s="13">
        <f t="shared" si="7"/>
        <v>1657.5</v>
      </c>
      <c r="G64" s="7"/>
      <c r="H64" s="2"/>
      <c r="I64" s="13">
        <f>15000/7</f>
        <v>2142.8571428571427</v>
      </c>
      <c r="J64" s="13">
        <f t="shared" si="8"/>
        <v>1071.4285714285713</v>
      </c>
      <c r="K64" s="13">
        <f t="shared" si="9"/>
        <v>586.07142857142867</v>
      </c>
      <c r="L64" s="14">
        <f t="shared" si="10"/>
        <v>0.39071428571428579</v>
      </c>
      <c r="M64" s="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2">
        <v>1</v>
      </c>
      <c r="B65" s="10" t="s">
        <v>23</v>
      </c>
      <c r="C65" s="11" t="s">
        <v>26</v>
      </c>
      <c r="D65" s="13">
        <v>19000</v>
      </c>
      <c r="E65" s="13">
        <f t="shared" si="6"/>
        <v>19000</v>
      </c>
      <c r="F65" s="13">
        <f t="shared" si="7"/>
        <v>20995</v>
      </c>
      <c r="G65" s="7"/>
      <c r="H65" s="2"/>
      <c r="I65" s="13">
        <v>12000</v>
      </c>
      <c r="J65" s="13">
        <f t="shared" si="8"/>
        <v>12000</v>
      </c>
      <c r="K65" s="13">
        <f t="shared" si="9"/>
        <v>8995</v>
      </c>
      <c r="L65" s="14">
        <f t="shared" si="10"/>
        <v>0.47342105263157896</v>
      </c>
      <c r="M65" s="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2">
        <v>3</v>
      </c>
      <c r="B66" s="10" t="s">
        <v>17</v>
      </c>
      <c r="C66" s="11" t="s">
        <v>24</v>
      </c>
      <c r="D66" s="13">
        <v>3600</v>
      </c>
      <c r="E66" s="13">
        <f t="shared" si="6"/>
        <v>10800</v>
      </c>
      <c r="F66" s="13">
        <f t="shared" si="7"/>
        <v>11934</v>
      </c>
      <c r="G66" s="7"/>
      <c r="H66" s="2"/>
      <c r="I66" s="13">
        <f>50000/17</f>
        <v>2941.1764705882351</v>
      </c>
      <c r="J66" s="13">
        <f t="shared" si="8"/>
        <v>8823.5294117647063</v>
      </c>
      <c r="K66" s="13">
        <f t="shared" si="9"/>
        <v>3110.4705882352937</v>
      </c>
      <c r="L66" s="14">
        <f t="shared" si="10"/>
        <v>0.28800653594771236</v>
      </c>
      <c r="M66" s="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2">
        <v>3</v>
      </c>
      <c r="B67" s="10" t="s">
        <v>17</v>
      </c>
      <c r="C67" s="11" t="s">
        <v>25</v>
      </c>
      <c r="D67" s="13">
        <v>4500</v>
      </c>
      <c r="E67" s="13">
        <f t="shared" si="6"/>
        <v>13500</v>
      </c>
      <c r="F67" s="13">
        <f t="shared" si="7"/>
        <v>14917.5</v>
      </c>
      <c r="G67" s="7"/>
      <c r="H67" s="2"/>
      <c r="I67" s="13">
        <f>70000/19</f>
        <v>3684.2105263157896</v>
      </c>
      <c r="J67" s="13">
        <f t="shared" si="8"/>
        <v>11052.631578947368</v>
      </c>
      <c r="K67" s="13">
        <f t="shared" si="9"/>
        <v>3864.8684210526317</v>
      </c>
      <c r="L67" s="14">
        <f t="shared" si="10"/>
        <v>0.28628654970760237</v>
      </c>
      <c r="M67" s="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2">
        <v>3</v>
      </c>
      <c r="B68" s="10" t="s">
        <v>17</v>
      </c>
      <c r="C68" s="11" t="s">
        <v>49</v>
      </c>
      <c r="D68" s="13">
        <v>2800</v>
      </c>
      <c r="E68" s="13">
        <f t="shared" si="6"/>
        <v>8400</v>
      </c>
      <c r="F68" s="13">
        <f t="shared" si="7"/>
        <v>9282</v>
      </c>
      <c r="G68" s="7"/>
      <c r="H68" s="2"/>
      <c r="I68" s="13">
        <f>20000/9</f>
        <v>2222.2222222222222</v>
      </c>
      <c r="J68" s="13">
        <f t="shared" si="8"/>
        <v>6666.6666666666661</v>
      </c>
      <c r="K68" s="13">
        <f t="shared" si="9"/>
        <v>2615.3333333333339</v>
      </c>
      <c r="L68" s="14">
        <f t="shared" si="10"/>
        <v>0.31134920634920643</v>
      </c>
      <c r="M68" s="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"/>
      <c r="B69" s="2"/>
      <c r="C69" s="4"/>
      <c r="D69" s="2"/>
      <c r="E69" s="2"/>
      <c r="F69" s="2"/>
      <c r="G69" s="2"/>
      <c r="H69" s="2"/>
      <c r="I69" s="2"/>
      <c r="J69" s="2"/>
      <c r="K69" s="2"/>
      <c r="L69" s="3"/>
      <c r="M69" s="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"/>
      <c r="B70" s="2"/>
      <c r="C70" s="4"/>
      <c r="D70" s="2"/>
      <c r="E70" s="13">
        <f t="shared" ref="E70:F70" si="11">SUM(E49:E68)</f>
        <v>164800</v>
      </c>
      <c r="F70" s="13">
        <f t="shared" si="11"/>
        <v>182104</v>
      </c>
      <c r="G70" s="2"/>
      <c r="H70" s="2"/>
      <c r="I70" s="2"/>
      <c r="J70" s="2"/>
      <c r="K70" s="13">
        <f>SUM(K49:K68)</f>
        <v>80311.093401954073</v>
      </c>
      <c r="L70" s="14">
        <f>K70/F70</f>
        <v>0.44101773383316167</v>
      </c>
      <c r="M70" s="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88" t="s">
        <v>50</v>
      </c>
      <c r="B73" s="89"/>
      <c r="C73" s="89"/>
      <c r="D73" s="2"/>
      <c r="E73" s="7" t="s">
        <v>1098</v>
      </c>
      <c r="F73" s="8">
        <v>46142</v>
      </c>
      <c r="G73" s="7" t="s">
        <v>1176</v>
      </c>
      <c r="H73" s="2"/>
      <c r="I73" s="9" t="s">
        <v>2</v>
      </c>
      <c r="J73" s="9"/>
      <c r="K73" s="9"/>
      <c r="L73" s="3"/>
      <c r="M73" s="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"/>
      <c r="B74" s="2"/>
      <c r="C74" s="5"/>
      <c r="D74" s="2"/>
      <c r="E74" s="2"/>
      <c r="F74" s="2"/>
      <c r="G74" s="7"/>
      <c r="H74" s="2"/>
      <c r="I74" s="2"/>
      <c r="J74" s="2"/>
      <c r="K74" s="2"/>
      <c r="L74" s="3"/>
      <c r="M74" s="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6" t="s">
        <v>3</v>
      </c>
      <c r="B75" s="10" t="s">
        <v>4</v>
      </c>
      <c r="C75" s="11" t="s">
        <v>5</v>
      </c>
      <c r="D75" s="10" t="s">
        <v>6</v>
      </c>
      <c r="E75" s="10" t="s">
        <v>7</v>
      </c>
      <c r="F75" s="10" t="s">
        <v>8</v>
      </c>
      <c r="G75" s="7"/>
      <c r="H75" s="2"/>
      <c r="I75" s="10" t="s">
        <v>9</v>
      </c>
      <c r="J75" s="10" t="s">
        <v>7</v>
      </c>
      <c r="K75" s="10" t="s">
        <v>10</v>
      </c>
      <c r="L75" s="3"/>
      <c r="M75" s="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2">
        <v>1</v>
      </c>
      <c r="B76" s="10" t="s">
        <v>15</v>
      </c>
      <c r="C76" s="11" t="s">
        <v>27</v>
      </c>
      <c r="D76" s="13">
        <v>25000</v>
      </c>
      <c r="E76" s="13">
        <f t="shared" ref="E76:E86" si="12">A76*D76</f>
        <v>25000</v>
      </c>
      <c r="F76" s="13">
        <f t="shared" ref="F76:F86" si="13">E76*1.105</f>
        <v>27625</v>
      </c>
      <c r="G76" s="2"/>
      <c r="H76" s="2"/>
      <c r="I76" s="13">
        <v>19000</v>
      </c>
      <c r="J76" s="13">
        <f t="shared" ref="J76:J86" si="14">I76*A76</f>
        <v>19000</v>
      </c>
      <c r="K76" s="13">
        <f t="shared" ref="K76:K86" si="15">F76-J76</f>
        <v>8625</v>
      </c>
      <c r="L76" s="14">
        <f t="shared" ref="L76:L86" si="16">IFERROR(K76/E76, 0)</f>
        <v>0.34499999999999997</v>
      </c>
      <c r="M76" s="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2">
        <v>15</v>
      </c>
      <c r="B77" s="10" t="s">
        <v>4</v>
      </c>
      <c r="C77" s="11" t="s">
        <v>20</v>
      </c>
      <c r="D77" s="13">
        <v>850</v>
      </c>
      <c r="E77" s="13">
        <f t="shared" si="12"/>
        <v>12750</v>
      </c>
      <c r="F77" s="13">
        <f t="shared" si="13"/>
        <v>14088.75</v>
      </c>
      <c r="G77" s="2"/>
      <c r="H77" s="2"/>
      <c r="I77" s="13">
        <f>81000/132</f>
        <v>613.63636363636363</v>
      </c>
      <c r="J77" s="13">
        <f t="shared" si="14"/>
        <v>9204.545454545454</v>
      </c>
      <c r="K77" s="13">
        <f t="shared" si="15"/>
        <v>4884.204545454546</v>
      </c>
      <c r="L77" s="14">
        <f t="shared" si="16"/>
        <v>0.38307486631016047</v>
      </c>
      <c r="M77" s="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2">
        <v>6</v>
      </c>
      <c r="B78" s="10" t="s">
        <v>21</v>
      </c>
      <c r="C78" s="11" t="s">
        <v>22</v>
      </c>
      <c r="D78" s="13">
        <v>1500</v>
      </c>
      <c r="E78" s="13">
        <f t="shared" si="12"/>
        <v>9000</v>
      </c>
      <c r="F78" s="13">
        <f t="shared" si="13"/>
        <v>9945</v>
      </c>
      <c r="G78" s="2"/>
      <c r="H78" s="2"/>
      <c r="I78" s="13">
        <v>800</v>
      </c>
      <c r="J78" s="13">
        <f t="shared" si="14"/>
        <v>4800</v>
      </c>
      <c r="K78" s="13">
        <f t="shared" si="15"/>
        <v>5145</v>
      </c>
      <c r="L78" s="14">
        <f t="shared" si="16"/>
        <v>0.57166666666666666</v>
      </c>
      <c r="M78" s="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2">
        <v>3</v>
      </c>
      <c r="B79" s="10" t="s">
        <v>17</v>
      </c>
      <c r="C79" s="11" t="s">
        <v>41</v>
      </c>
      <c r="D79" s="13">
        <v>3000</v>
      </c>
      <c r="E79" s="13">
        <f t="shared" si="12"/>
        <v>9000</v>
      </c>
      <c r="F79" s="13">
        <f t="shared" si="13"/>
        <v>9945</v>
      </c>
      <c r="G79" s="2"/>
      <c r="H79" s="2"/>
      <c r="I79" s="13">
        <v>1800</v>
      </c>
      <c r="J79" s="13">
        <f t="shared" si="14"/>
        <v>5400</v>
      </c>
      <c r="K79" s="13">
        <f t="shared" si="15"/>
        <v>4545</v>
      </c>
      <c r="L79" s="14">
        <f t="shared" si="16"/>
        <v>0.505</v>
      </c>
      <c r="M79" s="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2">
        <v>10</v>
      </c>
      <c r="B80" s="10" t="s">
        <v>17</v>
      </c>
      <c r="C80" s="11" t="s">
        <v>82</v>
      </c>
      <c r="D80" s="13">
        <v>3300</v>
      </c>
      <c r="E80" s="13">
        <f t="shared" si="12"/>
        <v>33000</v>
      </c>
      <c r="F80" s="13">
        <f t="shared" si="13"/>
        <v>36465</v>
      </c>
      <c r="G80" s="2"/>
      <c r="H80" s="2"/>
      <c r="I80" s="13"/>
      <c r="J80" s="13">
        <f t="shared" si="14"/>
        <v>0</v>
      </c>
      <c r="K80" s="13">
        <f t="shared" si="15"/>
        <v>36465</v>
      </c>
      <c r="L80" s="14">
        <f t="shared" si="16"/>
        <v>1.105</v>
      </c>
      <c r="M80" s="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2">
        <v>2</v>
      </c>
      <c r="B81" s="10" t="s">
        <v>17</v>
      </c>
      <c r="C81" s="11" t="s">
        <v>129</v>
      </c>
      <c r="D81" s="13">
        <v>1600</v>
      </c>
      <c r="E81" s="13">
        <f t="shared" si="12"/>
        <v>3200</v>
      </c>
      <c r="F81" s="13">
        <f t="shared" si="13"/>
        <v>3536</v>
      </c>
      <c r="G81" s="2"/>
      <c r="H81" s="2"/>
      <c r="I81" s="13">
        <f>1000</f>
        <v>1000</v>
      </c>
      <c r="J81" s="13">
        <f t="shared" si="14"/>
        <v>2000</v>
      </c>
      <c r="K81" s="13">
        <f t="shared" si="15"/>
        <v>1536</v>
      </c>
      <c r="L81" s="14">
        <f t="shared" si="16"/>
        <v>0.48</v>
      </c>
      <c r="M81" s="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2">
        <v>5</v>
      </c>
      <c r="B82" s="10" t="s">
        <v>17</v>
      </c>
      <c r="C82" s="11" t="s">
        <v>40</v>
      </c>
      <c r="D82" s="13">
        <v>1500</v>
      </c>
      <c r="E82" s="13">
        <f t="shared" si="12"/>
        <v>7500</v>
      </c>
      <c r="F82" s="13">
        <f t="shared" si="13"/>
        <v>8287.5</v>
      </c>
      <c r="G82" s="2"/>
      <c r="H82" s="2"/>
      <c r="I82" s="13">
        <f>10000/8</f>
        <v>1250</v>
      </c>
      <c r="J82" s="13">
        <f t="shared" si="14"/>
        <v>6250</v>
      </c>
      <c r="K82" s="13">
        <f t="shared" si="15"/>
        <v>2037.5</v>
      </c>
      <c r="L82" s="14">
        <f t="shared" si="16"/>
        <v>0.27166666666666667</v>
      </c>
      <c r="M82" s="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2">
        <v>1</v>
      </c>
      <c r="B83" s="10" t="s">
        <v>17</v>
      </c>
      <c r="C83" s="11" t="s">
        <v>14</v>
      </c>
      <c r="D83" s="13">
        <v>3200</v>
      </c>
      <c r="E83" s="13">
        <f t="shared" si="12"/>
        <v>3200</v>
      </c>
      <c r="F83" s="13">
        <f t="shared" si="13"/>
        <v>3536</v>
      </c>
      <c r="G83" s="2"/>
      <c r="H83" s="2"/>
      <c r="I83" s="13">
        <f>21000/8</f>
        <v>2625</v>
      </c>
      <c r="J83" s="13">
        <f t="shared" si="14"/>
        <v>2625</v>
      </c>
      <c r="K83" s="13">
        <f t="shared" si="15"/>
        <v>911</v>
      </c>
      <c r="L83" s="14">
        <f t="shared" si="16"/>
        <v>0.28468749999999998</v>
      </c>
      <c r="M83" s="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2">
        <v>2</v>
      </c>
      <c r="B84" s="10" t="s">
        <v>23</v>
      </c>
      <c r="C84" s="11" t="s">
        <v>26</v>
      </c>
      <c r="D84" s="13">
        <v>19000</v>
      </c>
      <c r="E84" s="13">
        <f t="shared" si="12"/>
        <v>38000</v>
      </c>
      <c r="F84" s="13">
        <f t="shared" si="13"/>
        <v>41990</v>
      </c>
      <c r="G84" s="2"/>
      <c r="H84" s="2"/>
      <c r="I84" s="13">
        <v>12000</v>
      </c>
      <c r="J84" s="13">
        <f t="shared" si="14"/>
        <v>24000</v>
      </c>
      <c r="K84" s="13">
        <f t="shared" si="15"/>
        <v>17990</v>
      </c>
      <c r="L84" s="14">
        <f t="shared" si="16"/>
        <v>0.47342105263157896</v>
      </c>
      <c r="M84" s="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2">
        <v>1</v>
      </c>
      <c r="B85" s="10" t="s">
        <v>21</v>
      </c>
      <c r="C85" s="11" t="s">
        <v>28</v>
      </c>
      <c r="D85" s="13">
        <v>3000</v>
      </c>
      <c r="E85" s="13">
        <f t="shared" si="12"/>
        <v>3000</v>
      </c>
      <c r="F85" s="13">
        <f t="shared" si="13"/>
        <v>3315</v>
      </c>
      <c r="G85" s="2"/>
      <c r="H85" s="2"/>
      <c r="I85" s="13">
        <v>2500</v>
      </c>
      <c r="J85" s="13">
        <f t="shared" si="14"/>
        <v>2500</v>
      </c>
      <c r="K85" s="13">
        <f t="shared" si="15"/>
        <v>815</v>
      </c>
      <c r="L85" s="14">
        <f t="shared" si="16"/>
        <v>0.27166666666666667</v>
      </c>
      <c r="M85" s="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2">
        <v>2</v>
      </c>
      <c r="B86" s="10" t="s">
        <v>17</v>
      </c>
      <c r="C86" s="11" t="s">
        <v>43</v>
      </c>
      <c r="D86" s="13">
        <v>4500</v>
      </c>
      <c r="E86" s="13">
        <f t="shared" si="12"/>
        <v>9000</v>
      </c>
      <c r="F86" s="13">
        <f t="shared" si="13"/>
        <v>9945</v>
      </c>
      <c r="G86" s="2"/>
      <c r="H86" s="2"/>
      <c r="I86" s="13">
        <f>17000/5</f>
        <v>3400</v>
      </c>
      <c r="J86" s="13">
        <f t="shared" si="14"/>
        <v>6800</v>
      </c>
      <c r="K86" s="13">
        <f t="shared" si="15"/>
        <v>3145</v>
      </c>
      <c r="L86" s="18">
        <f t="shared" si="16"/>
        <v>0.34944444444444445</v>
      </c>
      <c r="M86" s="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5"/>
      <c r="B87" s="2"/>
      <c r="C87" s="4"/>
      <c r="D87" s="13"/>
      <c r="E87" s="2"/>
      <c r="F87" s="2"/>
      <c r="G87" s="2"/>
      <c r="H87" s="2"/>
      <c r="I87" s="2"/>
      <c r="J87" s="2"/>
      <c r="K87" s="2"/>
      <c r="L87" s="3"/>
      <c r="M87" s="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"/>
      <c r="B88" s="2"/>
      <c r="C88" s="4"/>
      <c r="D88" s="2"/>
      <c r="E88" s="13">
        <f t="shared" ref="E88:F88" si="17">SUM(E76:E86)</f>
        <v>152650</v>
      </c>
      <c r="F88" s="13">
        <f t="shared" si="17"/>
        <v>168678.25</v>
      </c>
      <c r="G88" s="2"/>
      <c r="H88" s="2"/>
      <c r="I88" s="2"/>
      <c r="J88" s="2"/>
      <c r="K88" s="13">
        <f>SUM(K76:K86)</f>
        <v>86098.704545454544</v>
      </c>
      <c r="L88" s="14">
        <f>K88/F88</f>
        <v>0.51043157339760492</v>
      </c>
      <c r="M88" s="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88" t="s">
        <v>53</v>
      </c>
      <c r="B91" s="89"/>
      <c r="C91" s="89"/>
      <c r="D91" s="2"/>
      <c r="E91" s="7" t="s">
        <v>953</v>
      </c>
      <c r="F91" s="8">
        <v>46142</v>
      </c>
      <c r="G91" s="7" t="s">
        <v>1176</v>
      </c>
      <c r="H91" s="2"/>
      <c r="I91" s="9" t="s">
        <v>2</v>
      </c>
      <c r="J91" s="9"/>
      <c r="K91" s="9"/>
      <c r="L91" s="3"/>
      <c r="M91" s="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"/>
      <c r="B92" s="2"/>
      <c r="C92" s="5"/>
      <c r="D92" s="2"/>
      <c r="E92" s="2"/>
      <c r="F92" s="2"/>
      <c r="G92" s="2"/>
      <c r="H92" s="2"/>
      <c r="I92" s="2"/>
      <c r="J92" s="2"/>
      <c r="K92" s="2"/>
      <c r="L92" s="3"/>
      <c r="M92" s="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6" t="s">
        <v>3</v>
      </c>
      <c r="B93" s="10" t="s">
        <v>4</v>
      </c>
      <c r="C93" s="11" t="s">
        <v>5</v>
      </c>
      <c r="D93" s="10" t="s">
        <v>6</v>
      </c>
      <c r="E93" s="10" t="s">
        <v>7</v>
      </c>
      <c r="F93" s="10" t="s">
        <v>8</v>
      </c>
      <c r="G93" s="2"/>
      <c r="H93" s="2"/>
      <c r="I93" s="10" t="s">
        <v>9</v>
      </c>
      <c r="J93" s="10" t="s">
        <v>7</v>
      </c>
      <c r="K93" s="10" t="s">
        <v>10</v>
      </c>
      <c r="L93" s="3"/>
      <c r="M93" s="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2">
        <v>2</v>
      </c>
      <c r="B94" s="10" t="s">
        <v>23</v>
      </c>
      <c r="C94" s="11" t="s">
        <v>39</v>
      </c>
      <c r="D94" s="13">
        <v>27000</v>
      </c>
      <c r="E94" s="13">
        <f t="shared" ref="E94:E132" si="18">A94*D94</f>
        <v>54000</v>
      </c>
      <c r="F94" s="13">
        <f t="shared" ref="F94:F131" si="19">E94*1.105</f>
        <v>59670</v>
      </c>
      <c r="G94" s="2"/>
      <c r="H94" s="2"/>
      <c r="I94" s="13">
        <v>20000</v>
      </c>
      <c r="J94" s="13">
        <f t="shared" ref="J94:J132" si="20">I94*A94</f>
        <v>40000</v>
      </c>
      <c r="K94" s="13">
        <f t="shared" ref="K94:K132" si="21">F94-J94</f>
        <v>19670</v>
      </c>
      <c r="L94" s="14">
        <f t="shared" ref="L94:L132" si="22">IFERROR(K94/E94, 0)</f>
        <v>0.36425925925925928</v>
      </c>
      <c r="M94" s="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2">
        <v>2</v>
      </c>
      <c r="B95" s="10" t="s">
        <v>23</v>
      </c>
      <c r="C95" s="11" t="s">
        <v>43</v>
      </c>
      <c r="D95" s="13">
        <v>22000</v>
      </c>
      <c r="E95" s="13">
        <f t="shared" si="18"/>
        <v>44000</v>
      </c>
      <c r="F95" s="13">
        <f t="shared" si="19"/>
        <v>48620</v>
      </c>
      <c r="G95" s="2"/>
      <c r="H95" s="2"/>
      <c r="I95" s="13">
        <v>17000</v>
      </c>
      <c r="J95" s="13">
        <f t="shared" si="20"/>
        <v>34000</v>
      </c>
      <c r="K95" s="13">
        <f t="shared" si="21"/>
        <v>14620</v>
      </c>
      <c r="L95" s="14">
        <f t="shared" si="22"/>
        <v>0.33227272727272728</v>
      </c>
      <c r="M95" s="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2">
        <v>2</v>
      </c>
      <c r="B96" s="10" t="s">
        <v>23</v>
      </c>
      <c r="C96" s="11" t="s">
        <v>46</v>
      </c>
      <c r="D96" s="13">
        <v>20000</v>
      </c>
      <c r="E96" s="13">
        <f t="shared" si="18"/>
        <v>40000</v>
      </c>
      <c r="F96" s="13">
        <f t="shared" si="19"/>
        <v>44200</v>
      </c>
      <c r="G96" s="2"/>
      <c r="H96" s="2"/>
      <c r="I96" s="13">
        <v>16000</v>
      </c>
      <c r="J96" s="13">
        <f t="shared" si="20"/>
        <v>32000</v>
      </c>
      <c r="K96" s="13">
        <f t="shared" si="21"/>
        <v>12200</v>
      </c>
      <c r="L96" s="14">
        <f t="shared" si="22"/>
        <v>0.30499999999999999</v>
      </c>
      <c r="M96" s="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2">
        <v>5</v>
      </c>
      <c r="B97" s="10" t="s">
        <v>15</v>
      </c>
      <c r="C97" s="11" t="s">
        <v>27</v>
      </c>
      <c r="D97" s="13">
        <v>25000</v>
      </c>
      <c r="E97" s="13">
        <f t="shared" si="18"/>
        <v>125000</v>
      </c>
      <c r="F97" s="13">
        <f t="shared" si="19"/>
        <v>138125</v>
      </c>
      <c r="G97" s="2"/>
      <c r="H97" s="2"/>
      <c r="I97" s="13">
        <v>19000</v>
      </c>
      <c r="J97" s="13">
        <f t="shared" si="20"/>
        <v>95000</v>
      </c>
      <c r="K97" s="13">
        <f t="shared" si="21"/>
        <v>43125</v>
      </c>
      <c r="L97" s="14">
        <f t="shared" si="22"/>
        <v>0.34499999999999997</v>
      </c>
      <c r="M97" s="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2">
        <v>2</v>
      </c>
      <c r="B98" s="10" t="s">
        <v>15</v>
      </c>
      <c r="C98" s="11" t="s">
        <v>16</v>
      </c>
      <c r="D98" s="13">
        <v>13000</v>
      </c>
      <c r="E98" s="13">
        <f t="shared" si="18"/>
        <v>26000</v>
      </c>
      <c r="F98" s="13">
        <f t="shared" si="19"/>
        <v>28730</v>
      </c>
      <c r="G98" s="2"/>
      <c r="H98" s="2"/>
      <c r="I98" s="13">
        <v>10000</v>
      </c>
      <c r="J98" s="13">
        <f t="shared" si="20"/>
        <v>20000</v>
      </c>
      <c r="K98" s="13">
        <f t="shared" si="21"/>
        <v>8730</v>
      </c>
      <c r="L98" s="14">
        <f t="shared" si="22"/>
        <v>0.33576923076923076</v>
      </c>
      <c r="M98" s="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2">
        <v>1</v>
      </c>
      <c r="B99" s="10" t="s">
        <v>15</v>
      </c>
      <c r="C99" s="11" t="s">
        <v>129</v>
      </c>
      <c r="D99" s="13">
        <v>16000</v>
      </c>
      <c r="E99" s="13">
        <f t="shared" si="18"/>
        <v>16000</v>
      </c>
      <c r="F99" s="13">
        <f t="shared" si="19"/>
        <v>17680</v>
      </c>
      <c r="G99" s="2"/>
      <c r="H99" s="2"/>
      <c r="I99" s="13">
        <v>11000</v>
      </c>
      <c r="J99" s="13">
        <f t="shared" si="20"/>
        <v>11000</v>
      </c>
      <c r="K99" s="13">
        <f t="shared" si="21"/>
        <v>6680</v>
      </c>
      <c r="L99" s="14">
        <f t="shared" si="22"/>
        <v>0.41749999999999998</v>
      </c>
      <c r="M99" s="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2">
        <v>10.25</v>
      </c>
      <c r="B100" s="10" t="s">
        <v>17</v>
      </c>
      <c r="C100" s="11" t="s">
        <v>36</v>
      </c>
      <c r="D100" s="13">
        <v>1800</v>
      </c>
      <c r="E100" s="13">
        <f t="shared" si="18"/>
        <v>18450</v>
      </c>
      <c r="F100" s="13">
        <f t="shared" si="19"/>
        <v>20387.25</v>
      </c>
      <c r="G100" s="2"/>
      <c r="H100" s="2"/>
      <c r="I100" s="13">
        <v>800</v>
      </c>
      <c r="J100" s="13">
        <f t="shared" si="20"/>
        <v>8200</v>
      </c>
      <c r="K100" s="13">
        <f t="shared" si="21"/>
        <v>12187.25</v>
      </c>
      <c r="L100" s="14">
        <f t="shared" si="22"/>
        <v>0.66055555555555556</v>
      </c>
      <c r="M100" s="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2">
        <v>4.25</v>
      </c>
      <c r="B101" s="10" t="s">
        <v>17</v>
      </c>
      <c r="C101" s="11" t="s">
        <v>38</v>
      </c>
      <c r="D101" s="13">
        <v>1800</v>
      </c>
      <c r="E101" s="13">
        <f t="shared" si="18"/>
        <v>7650</v>
      </c>
      <c r="F101" s="13">
        <f t="shared" si="19"/>
        <v>8453.25</v>
      </c>
      <c r="G101" s="2"/>
      <c r="H101" s="2"/>
      <c r="I101" s="13">
        <v>800</v>
      </c>
      <c r="J101" s="13">
        <f t="shared" si="20"/>
        <v>3400</v>
      </c>
      <c r="K101" s="13">
        <f t="shared" si="21"/>
        <v>5053.25</v>
      </c>
      <c r="L101" s="14">
        <f t="shared" si="22"/>
        <v>0.66055555555555556</v>
      </c>
      <c r="M101" s="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2">
        <v>5</v>
      </c>
      <c r="B102" s="10" t="s">
        <v>17</v>
      </c>
      <c r="C102" s="11" t="s">
        <v>31</v>
      </c>
      <c r="D102" s="13">
        <v>2800</v>
      </c>
      <c r="E102" s="13">
        <f t="shared" si="18"/>
        <v>14000</v>
      </c>
      <c r="F102" s="13">
        <f t="shared" si="19"/>
        <v>15470</v>
      </c>
      <c r="G102" s="2"/>
      <c r="H102" s="2"/>
      <c r="I102" s="13">
        <f>25000/14</f>
        <v>1785.7142857142858</v>
      </c>
      <c r="J102" s="13">
        <f t="shared" si="20"/>
        <v>8928.5714285714294</v>
      </c>
      <c r="K102" s="13">
        <f t="shared" si="21"/>
        <v>6541.4285714285706</v>
      </c>
      <c r="L102" s="14">
        <f t="shared" si="22"/>
        <v>0.46724489795918361</v>
      </c>
      <c r="M102" s="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2">
        <v>3</v>
      </c>
      <c r="B103" s="10" t="s">
        <v>17</v>
      </c>
      <c r="C103" s="34" t="s">
        <v>32</v>
      </c>
      <c r="D103" s="13">
        <v>2400</v>
      </c>
      <c r="E103" s="13">
        <f t="shared" si="18"/>
        <v>7200</v>
      </c>
      <c r="F103" s="13">
        <f t="shared" si="19"/>
        <v>7956</v>
      </c>
      <c r="G103" s="2"/>
      <c r="H103" s="2"/>
      <c r="I103" s="13">
        <f>10000/7</f>
        <v>1428.5714285714287</v>
      </c>
      <c r="J103" s="13">
        <f t="shared" si="20"/>
        <v>4285.7142857142862</v>
      </c>
      <c r="K103" s="13">
        <f t="shared" si="21"/>
        <v>3670.2857142857138</v>
      </c>
      <c r="L103" s="14">
        <f t="shared" si="22"/>
        <v>0.50976190476190464</v>
      </c>
      <c r="M103" s="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2">
        <v>3</v>
      </c>
      <c r="B104" s="10" t="s">
        <v>17</v>
      </c>
      <c r="C104" s="11" t="s">
        <v>33</v>
      </c>
      <c r="D104" s="13">
        <v>3000</v>
      </c>
      <c r="E104" s="13">
        <f t="shared" si="18"/>
        <v>9000</v>
      </c>
      <c r="F104" s="13">
        <f t="shared" si="19"/>
        <v>9945</v>
      </c>
      <c r="G104" s="2"/>
      <c r="H104" s="2"/>
      <c r="I104" s="13">
        <f>15000/7</f>
        <v>2142.8571428571427</v>
      </c>
      <c r="J104" s="13">
        <f t="shared" si="20"/>
        <v>6428.5714285714275</v>
      </c>
      <c r="K104" s="13">
        <f t="shared" si="21"/>
        <v>3516.4285714285725</v>
      </c>
      <c r="L104" s="14">
        <f t="shared" si="22"/>
        <v>0.39071428571428585</v>
      </c>
      <c r="M104" s="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2">
        <v>2</v>
      </c>
      <c r="B105" s="10" t="s">
        <v>4</v>
      </c>
      <c r="C105" s="11" t="s">
        <v>14</v>
      </c>
      <c r="D105" s="13">
        <v>3200</v>
      </c>
      <c r="E105" s="13">
        <f t="shared" si="18"/>
        <v>6400</v>
      </c>
      <c r="F105" s="13">
        <f t="shared" si="19"/>
        <v>7072</v>
      </c>
      <c r="G105" s="2"/>
      <c r="H105" s="2"/>
      <c r="I105" s="13">
        <f>21000/8</f>
        <v>2625</v>
      </c>
      <c r="J105" s="13">
        <f t="shared" si="20"/>
        <v>5250</v>
      </c>
      <c r="K105" s="13">
        <f t="shared" si="21"/>
        <v>1822</v>
      </c>
      <c r="L105" s="14">
        <f t="shared" si="22"/>
        <v>0.28468749999999998</v>
      </c>
      <c r="M105" s="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2">
        <v>1</v>
      </c>
      <c r="B106" s="10" t="s">
        <v>17</v>
      </c>
      <c r="C106" s="11" t="s">
        <v>30</v>
      </c>
      <c r="D106" s="13">
        <v>2600</v>
      </c>
      <c r="E106" s="13">
        <f t="shared" si="18"/>
        <v>2600</v>
      </c>
      <c r="F106" s="13">
        <f t="shared" si="19"/>
        <v>2873</v>
      </c>
      <c r="G106" s="2"/>
      <c r="H106" s="13"/>
      <c r="I106" s="13">
        <f>25000/14</f>
        <v>1785.7142857142858</v>
      </c>
      <c r="J106" s="13">
        <f t="shared" si="20"/>
        <v>1785.7142857142858</v>
      </c>
      <c r="K106" s="13">
        <f t="shared" si="21"/>
        <v>1087.2857142857142</v>
      </c>
      <c r="L106" s="14">
        <f t="shared" si="22"/>
        <v>0.41818681318681317</v>
      </c>
      <c r="M106" s="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2">
        <v>1</v>
      </c>
      <c r="B107" s="10" t="s">
        <v>21</v>
      </c>
      <c r="C107" s="11" t="s">
        <v>42</v>
      </c>
      <c r="D107" s="13">
        <v>4500</v>
      </c>
      <c r="E107" s="13">
        <f t="shared" si="18"/>
        <v>4500</v>
      </c>
      <c r="F107" s="13">
        <f t="shared" si="19"/>
        <v>4972.5</v>
      </c>
      <c r="G107" s="2"/>
      <c r="H107" s="13"/>
      <c r="I107" s="13">
        <v>2700</v>
      </c>
      <c r="J107" s="13">
        <f t="shared" si="20"/>
        <v>2700</v>
      </c>
      <c r="K107" s="13">
        <f t="shared" si="21"/>
        <v>2272.5</v>
      </c>
      <c r="L107" s="14">
        <f t="shared" si="22"/>
        <v>0.505</v>
      </c>
      <c r="M107" s="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2">
        <v>2.2000000000000002</v>
      </c>
      <c r="B108" s="10" t="s">
        <v>17</v>
      </c>
      <c r="C108" s="11" t="s">
        <v>99</v>
      </c>
      <c r="D108" s="13">
        <v>1500</v>
      </c>
      <c r="E108" s="13">
        <f t="shared" si="18"/>
        <v>3300.0000000000005</v>
      </c>
      <c r="F108" s="13">
        <f t="shared" si="19"/>
        <v>3646.5000000000005</v>
      </c>
      <c r="G108" s="2"/>
      <c r="H108" s="2"/>
      <c r="I108" s="13">
        <v>1500</v>
      </c>
      <c r="J108" s="13">
        <f t="shared" si="20"/>
        <v>3300.0000000000005</v>
      </c>
      <c r="K108" s="13">
        <f t="shared" si="21"/>
        <v>346.5</v>
      </c>
      <c r="L108" s="14">
        <f t="shared" si="22"/>
        <v>0.10499999999999998</v>
      </c>
      <c r="M108" s="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2">
        <v>2.75</v>
      </c>
      <c r="B109" s="10" t="s">
        <v>17</v>
      </c>
      <c r="C109" s="11" t="s">
        <v>34</v>
      </c>
      <c r="D109" s="13">
        <v>4000</v>
      </c>
      <c r="E109" s="13">
        <f t="shared" si="18"/>
        <v>11000</v>
      </c>
      <c r="F109" s="13">
        <f t="shared" si="19"/>
        <v>12155</v>
      </c>
      <c r="G109" s="2"/>
      <c r="H109" s="2"/>
      <c r="I109" s="13">
        <v>3000</v>
      </c>
      <c r="J109" s="13">
        <f t="shared" si="20"/>
        <v>8250</v>
      </c>
      <c r="K109" s="13">
        <f t="shared" si="21"/>
        <v>3905</v>
      </c>
      <c r="L109" s="14">
        <f t="shared" si="22"/>
        <v>0.35499999999999998</v>
      </c>
      <c r="M109" s="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2">
        <v>3.3</v>
      </c>
      <c r="B110" s="10" t="s">
        <v>17</v>
      </c>
      <c r="C110" s="11" t="s">
        <v>144</v>
      </c>
      <c r="D110" s="13">
        <v>6000</v>
      </c>
      <c r="E110" s="13">
        <f t="shared" si="18"/>
        <v>19800</v>
      </c>
      <c r="F110" s="13">
        <f t="shared" si="19"/>
        <v>21879</v>
      </c>
      <c r="G110" s="2"/>
      <c r="H110" s="2"/>
      <c r="I110" s="13">
        <f>30000/7</f>
        <v>4285.7142857142853</v>
      </c>
      <c r="J110" s="13">
        <f t="shared" si="20"/>
        <v>14142.857142857141</v>
      </c>
      <c r="K110" s="13">
        <f t="shared" si="21"/>
        <v>7736.1428571428587</v>
      </c>
      <c r="L110" s="14">
        <f t="shared" si="22"/>
        <v>0.39071428571428579</v>
      </c>
      <c r="M110" s="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2">
        <v>1.2</v>
      </c>
      <c r="B111" s="10" t="s">
        <v>17</v>
      </c>
      <c r="C111" s="11" t="s">
        <v>61</v>
      </c>
      <c r="D111" s="13">
        <v>2800</v>
      </c>
      <c r="E111" s="13">
        <f t="shared" si="18"/>
        <v>3360</v>
      </c>
      <c r="F111" s="13">
        <f t="shared" si="19"/>
        <v>3712.7999999999997</v>
      </c>
      <c r="G111" s="2"/>
      <c r="H111" s="2"/>
      <c r="I111" s="13">
        <f>24000/14</f>
        <v>1714.2857142857142</v>
      </c>
      <c r="J111" s="13">
        <f t="shared" si="20"/>
        <v>2057.1428571428569</v>
      </c>
      <c r="K111" s="13">
        <f t="shared" si="21"/>
        <v>1655.6571428571428</v>
      </c>
      <c r="L111" s="14">
        <f t="shared" si="22"/>
        <v>0.4927551020408163</v>
      </c>
      <c r="M111" s="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2">
        <v>2</v>
      </c>
      <c r="B112" s="10" t="s">
        <v>21</v>
      </c>
      <c r="C112" s="11" t="s">
        <v>52</v>
      </c>
      <c r="D112" s="13">
        <v>2000</v>
      </c>
      <c r="E112" s="13">
        <f t="shared" si="18"/>
        <v>4000</v>
      </c>
      <c r="F112" s="13">
        <f t="shared" si="19"/>
        <v>4420</v>
      </c>
      <c r="G112" s="2"/>
      <c r="H112" s="2"/>
      <c r="I112" s="13">
        <v>750</v>
      </c>
      <c r="J112" s="13">
        <f t="shared" si="20"/>
        <v>1500</v>
      </c>
      <c r="K112" s="13">
        <f t="shared" si="21"/>
        <v>2920</v>
      </c>
      <c r="L112" s="14">
        <f t="shared" si="22"/>
        <v>0.73</v>
      </c>
      <c r="M112" s="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2">
        <v>2</v>
      </c>
      <c r="B113" s="10" t="s">
        <v>21</v>
      </c>
      <c r="C113" s="11" t="s">
        <v>28</v>
      </c>
      <c r="D113" s="13">
        <v>3000</v>
      </c>
      <c r="E113" s="13">
        <f t="shared" si="18"/>
        <v>6000</v>
      </c>
      <c r="F113" s="13">
        <f t="shared" si="19"/>
        <v>6630</v>
      </c>
      <c r="G113" s="2"/>
      <c r="H113" s="13"/>
      <c r="I113" s="13">
        <v>2500</v>
      </c>
      <c r="J113" s="13">
        <f t="shared" si="20"/>
        <v>5000</v>
      </c>
      <c r="K113" s="13">
        <f t="shared" si="21"/>
        <v>1630</v>
      </c>
      <c r="L113" s="14">
        <f t="shared" si="22"/>
        <v>0.27166666666666667</v>
      </c>
      <c r="M113" s="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2">
        <v>1</v>
      </c>
      <c r="B114" s="10" t="s">
        <v>21</v>
      </c>
      <c r="C114" s="11" t="s">
        <v>29</v>
      </c>
      <c r="D114" s="13">
        <v>3000</v>
      </c>
      <c r="E114" s="13">
        <f t="shared" si="18"/>
        <v>3000</v>
      </c>
      <c r="F114" s="13">
        <f t="shared" si="19"/>
        <v>3315</v>
      </c>
      <c r="G114" s="2"/>
      <c r="H114" s="2"/>
      <c r="I114" s="13">
        <v>1000</v>
      </c>
      <c r="J114" s="13">
        <f t="shared" si="20"/>
        <v>1000</v>
      </c>
      <c r="K114" s="13">
        <f t="shared" si="21"/>
        <v>2315</v>
      </c>
      <c r="L114" s="14">
        <f t="shared" si="22"/>
        <v>0.77166666666666661</v>
      </c>
      <c r="M114" s="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2">
        <v>2</v>
      </c>
      <c r="B115" s="10" t="s">
        <v>4</v>
      </c>
      <c r="C115" s="11" t="s">
        <v>13</v>
      </c>
      <c r="D115" s="13">
        <v>900</v>
      </c>
      <c r="E115" s="13">
        <f t="shared" si="18"/>
        <v>1800</v>
      </c>
      <c r="F115" s="13">
        <f t="shared" si="19"/>
        <v>1989</v>
      </c>
      <c r="G115" s="2"/>
      <c r="H115" s="2"/>
      <c r="I115" s="13">
        <v>540</v>
      </c>
      <c r="J115" s="13">
        <f t="shared" si="20"/>
        <v>1080</v>
      </c>
      <c r="K115" s="13">
        <f t="shared" si="21"/>
        <v>909</v>
      </c>
      <c r="L115" s="14">
        <f t="shared" si="22"/>
        <v>0.505</v>
      </c>
      <c r="M115" s="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2">
        <v>5</v>
      </c>
      <c r="B116" s="10" t="s">
        <v>17</v>
      </c>
      <c r="C116" s="11" t="s">
        <v>56</v>
      </c>
      <c r="D116" s="13">
        <v>1200</v>
      </c>
      <c r="E116" s="13">
        <f t="shared" si="18"/>
        <v>6000</v>
      </c>
      <c r="F116" s="13">
        <f t="shared" si="19"/>
        <v>6630</v>
      </c>
      <c r="G116" s="2"/>
      <c r="H116" s="2"/>
      <c r="I116" s="13">
        <f>10000/15</f>
        <v>666.66666666666663</v>
      </c>
      <c r="J116" s="13">
        <f t="shared" si="20"/>
        <v>3333.333333333333</v>
      </c>
      <c r="K116" s="13">
        <f t="shared" si="21"/>
        <v>3296.666666666667</v>
      </c>
      <c r="L116" s="14">
        <f t="shared" si="22"/>
        <v>0.54944444444444451</v>
      </c>
      <c r="M116" s="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2">
        <v>5</v>
      </c>
      <c r="B117" s="10" t="s">
        <v>17</v>
      </c>
      <c r="C117" s="11" t="s">
        <v>18</v>
      </c>
      <c r="D117" s="13">
        <v>1600</v>
      </c>
      <c r="E117" s="13">
        <f t="shared" si="18"/>
        <v>8000</v>
      </c>
      <c r="F117" s="13">
        <f t="shared" si="19"/>
        <v>8840</v>
      </c>
      <c r="G117" s="2"/>
      <c r="H117" s="2"/>
      <c r="I117" s="13">
        <f>16000/15</f>
        <v>1066.6666666666667</v>
      </c>
      <c r="J117" s="13">
        <f t="shared" si="20"/>
        <v>5333.3333333333339</v>
      </c>
      <c r="K117" s="13">
        <f t="shared" si="21"/>
        <v>3506.6666666666661</v>
      </c>
      <c r="L117" s="14">
        <f t="shared" si="22"/>
        <v>0.43833333333333324</v>
      </c>
      <c r="M117" s="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2">
        <v>1</v>
      </c>
      <c r="B118" s="10" t="s">
        <v>21</v>
      </c>
      <c r="C118" s="11" t="s">
        <v>51</v>
      </c>
      <c r="D118" s="13">
        <v>1000</v>
      </c>
      <c r="E118" s="13">
        <f t="shared" si="18"/>
        <v>1000</v>
      </c>
      <c r="F118" s="13">
        <f t="shared" si="19"/>
        <v>1105</v>
      </c>
      <c r="G118" s="2"/>
      <c r="H118" s="2"/>
      <c r="I118" s="13">
        <v>500</v>
      </c>
      <c r="J118" s="13">
        <f t="shared" si="20"/>
        <v>500</v>
      </c>
      <c r="K118" s="13">
        <f t="shared" si="21"/>
        <v>605</v>
      </c>
      <c r="L118" s="14">
        <f t="shared" si="22"/>
        <v>0.60499999999999998</v>
      </c>
      <c r="M118" s="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2">
        <v>1</v>
      </c>
      <c r="B119" s="10" t="s">
        <v>17</v>
      </c>
      <c r="C119" s="11" t="s">
        <v>93</v>
      </c>
      <c r="D119" s="13">
        <v>3000</v>
      </c>
      <c r="E119" s="13">
        <f t="shared" si="18"/>
        <v>3000</v>
      </c>
      <c r="F119" s="13">
        <f t="shared" si="19"/>
        <v>3315</v>
      </c>
      <c r="G119" s="2"/>
      <c r="H119" s="2"/>
      <c r="I119" s="13">
        <f>10000/7</f>
        <v>1428.5714285714287</v>
      </c>
      <c r="J119" s="13">
        <f t="shared" si="20"/>
        <v>1428.5714285714287</v>
      </c>
      <c r="K119" s="13">
        <f t="shared" si="21"/>
        <v>1886.4285714285713</v>
      </c>
      <c r="L119" s="14">
        <f t="shared" si="22"/>
        <v>0.62880952380952382</v>
      </c>
      <c r="M119" s="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2">
        <v>3</v>
      </c>
      <c r="B120" s="10" t="s">
        <v>4</v>
      </c>
      <c r="C120" s="11" t="s">
        <v>65</v>
      </c>
      <c r="D120" s="13">
        <v>1800</v>
      </c>
      <c r="E120" s="13">
        <f t="shared" si="18"/>
        <v>5400</v>
      </c>
      <c r="F120" s="13">
        <f t="shared" si="19"/>
        <v>5967</v>
      </c>
      <c r="G120" s="2"/>
      <c r="H120" s="2"/>
      <c r="I120" s="13">
        <f>70000/60</f>
        <v>1166.6666666666667</v>
      </c>
      <c r="J120" s="13">
        <f t="shared" si="20"/>
        <v>3500</v>
      </c>
      <c r="K120" s="13">
        <f t="shared" si="21"/>
        <v>2467</v>
      </c>
      <c r="L120" s="14">
        <f t="shared" si="22"/>
        <v>0.45685185185185184</v>
      </c>
      <c r="M120" s="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2">
        <v>7</v>
      </c>
      <c r="B121" s="10" t="s">
        <v>21</v>
      </c>
      <c r="C121" s="11" t="s">
        <v>22</v>
      </c>
      <c r="D121" s="13">
        <v>1500</v>
      </c>
      <c r="E121" s="13">
        <f t="shared" si="18"/>
        <v>10500</v>
      </c>
      <c r="F121" s="13">
        <f t="shared" si="19"/>
        <v>11602.5</v>
      </c>
      <c r="G121" s="2"/>
      <c r="H121" s="2"/>
      <c r="I121" s="13">
        <v>800</v>
      </c>
      <c r="J121" s="13">
        <f t="shared" si="20"/>
        <v>5600</v>
      </c>
      <c r="K121" s="13">
        <f t="shared" si="21"/>
        <v>6002.5</v>
      </c>
      <c r="L121" s="14">
        <f t="shared" si="22"/>
        <v>0.57166666666666666</v>
      </c>
      <c r="M121" s="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2">
        <v>3</v>
      </c>
      <c r="B122" s="10" t="s">
        <v>17</v>
      </c>
      <c r="C122" s="11" t="s">
        <v>35</v>
      </c>
      <c r="D122" s="13">
        <v>2500</v>
      </c>
      <c r="E122" s="13">
        <f t="shared" si="18"/>
        <v>7500</v>
      </c>
      <c r="F122" s="13">
        <f t="shared" si="19"/>
        <v>8287.5</v>
      </c>
      <c r="G122" s="2"/>
      <c r="H122" s="2"/>
      <c r="I122" s="13">
        <f>10000/9</f>
        <v>1111.1111111111111</v>
      </c>
      <c r="J122" s="13">
        <f t="shared" si="20"/>
        <v>3333.333333333333</v>
      </c>
      <c r="K122" s="13">
        <f t="shared" si="21"/>
        <v>4954.166666666667</v>
      </c>
      <c r="L122" s="14">
        <f t="shared" si="22"/>
        <v>0.66055555555555556</v>
      </c>
      <c r="M122" s="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2">
        <v>3</v>
      </c>
      <c r="B123" s="10" t="s">
        <v>15</v>
      </c>
      <c r="C123" s="11" t="s">
        <v>40</v>
      </c>
      <c r="D123" s="13">
        <v>13000</v>
      </c>
      <c r="E123" s="13">
        <f t="shared" si="18"/>
        <v>39000</v>
      </c>
      <c r="F123" s="13">
        <f t="shared" si="19"/>
        <v>43095</v>
      </c>
      <c r="G123" s="2"/>
      <c r="H123" s="2"/>
      <c r="I123" s="13">
        <v>10000</v>
      </c>
      <c r="J123" s="13">
        <f t="shared" si="20"/>
        <v>30000</v>
      </c>
      <c r="K123" s="13">
        <f t="shared" si="21"/>
        <v>13095</v>
      </c>
      <c r="L123" s="14">
        <f t="shared" si="22"/>
        <v>0.33576923076923076</v>
      </c>
      <c r="M123" s="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2">
        <v>1</v>
      </c>
      <c r="B124" s="10" t="s">
        <v>15</v>
      </c>
      <c r="C124" s="11" t="s">
        <v>129</v>
      </c>
      <c r="D124" s="13">
        <v>16000</v>
      </c>
      <c r="E124" s="13">
        <f t="shared" si="18"/>
        <v>16000</v>
      </c>
      <c r="F124" s="13">
        <f t="shared" si="19"/>
        <v>17680</v>
      </c>
      <c r="G124" s="2"/>
      <c r="H124" s="2"/>
      <c r="I124" s="13">
        <v>11000</v>
      </c>
      <c r="J124" s="13">
        <f t="shared" si="20"/>
        <v>11000</v>
      </c>
      <c r="K124" s="13">
        <f t="shared" si="21"/>
        <v>6680</v>
      </c>
      <c r="L124" s="14">
        <f t="shared" si="22"/>
        <v>0.41749999999999998</v>
      </c>
      <c r="M124" s="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2">
        <v>13</v>
      </c>
      <c r="B125" s="10" t="s">
        <v>17</v>
      </c>
      <c r="C125" s="11" t="s">
        <v>82</v>
      </c>
      <c r="D125" s="13">
        <v>3300</v>
      </c>
      <c r="E125" s="13">
        <f t="shared" si="18"/>
        <v>42900</v>
      </c>
      <c r="F125" s="13">
        <f t="shared" si="19"/>
        <v>47404.5</v>
      </c>
      <c r="G125" s="2"/>
      <c r="H125" s="2"/>
      <c r="I125" s="13"/>
      <c r="J125" s="13">
        <f t="shared" si="20"/>
        <v>0</v>
      </c>
      <c r="K125" s="13">
        <f t="shared" si="21"/>
        <v>47404.5</v>
      </c>
      <c r="L125" s="14">
        <f t="shared" si="22"/>
        <v>1.105</v>
      </c>
      <c r="M125" s="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2">
        <v>35</v>
      </c>
      <c r="B126" s="10" t="s">
        <v>4</v>
      </c>
      <c r="C126" s="11" t="s">
        <v>20</v>
      </c>
      <c r="D126" s="13">
        <v>850</v>
      </c>
      <c r="E126" s="13">
        <f t="shared" si="18"/>
        <v>29750</v>
      </c>
      <c r="F126" s="13">
        <f t="shared" si="19"/>
        <v>32873.75</v>
      </c>
      <c r="G126" s="2"/>
      <c r="H126" s="2"/>
      <c r="I126" s="13">
        <f>81000/132</f>
        <v>613.63636363636363</v>
      </c>
      <c r="J126" s="13">
        <f t="shared" si="20"/>
        <v>21477.272727272728</v>
      </c>
      <c r="K126" s="13">
        <f t="shared" si="21"/>
        <v>11396.477272727272</v>
      </c>
      <c r="L126" s="14">
        <f t="shared" si="22"/>
        <v>0.38307486631016041</v>
      </c>
      <c r="M126" s="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2">
        <v>1</v>
      </c>
      <c r="B127" s="10" t="s">
        <v>23</v>
      </c>
      <c r="C127" s="11" t="s">
        <v>25</v>
      </c>
      <c r="D127" s="13">
        <v>72000</v>
      </c>
      <c r="E127" s="13">
        <f t="shared" si="18"/>
        <v>72000</v>
      </c>
      <c r="F127" s="13">
        <f t="shared" si="19"/>
        <v>79560</v>
      </c>
      <c r="G127" s="2"/>
      <c r="H127" s="2"/>
      <c r="I127" s="13">
        <f>14000*4</f>
        <v>56000</v>
      </c>
      <c r="J127" s="13">
        <f t="shared" si="20"/>
        <v>56000</v>
      </c>
      <c r="K127" s="13">
        <f t="shared" si="21"/>
        <v>23560</v>
      </c>
      <c r="L127" s="14">
        <f t="shared" si="22"/>
        <v>0.32722222222222225</v>
      </c>
      <c r="M127" s="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2">
        <v>1</v>
      </c>
      <c r="B128" s="10" t="s">
        <v>23</v>
      </c>
      <c r="C128" s="11" t="s">
        <v>24</v>
      </c>
      <c r="D128" s="13">
        <v>60000</v>
      </c>
      <c r="E128" s="13">
        <f t="shared" si="18"/>
        <v>60000</v>
      </c>
      <c r="F128" s="13">
        <f t="shared" si="19"/>
        <v>66300</v>
      </c>
      <c r="G128" s="2"/>
      <c r="H128" s="2"/>
      <c r="I128" s="13">
        <v>50000</v>
      </c>
      <c r="J128" s="13">
        <f t="shared" si="20"/>
        <v>50000</v>
      </c>
      <c r="K128" s="13">
        <f t="shared" si="21"/>
        <v>16300</v>
      </c>
      <c r="L128" s="14">
        <f t="shared" si="22"/>
        <v>0.27166666666666667</v>
      </c>
      <c r="M128" s="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2">
        <v>2</v>
      </c>
      <c r="B129" s="10" t="s">
        <v>23</v>
      </c>
      <c r="C129" s="11" t="s">
        <v>26</v>
      </c>
      <c r="D129" s="13">
        <v>19000</v>
      </c>
      <c r="E129" s="13">
        <f t="shared" si="18"/>
        <v>38000</v>
      </c>
      <c r="F129" s="13">
        <f t="shared" si="19"/>
        <v>41990</v>
      </c>
      <c r="G129" s="2"/>
      <c r="H129" s="2"/>
      <c r="I129" s="13">
        <v>12000</v>
      </c>
      <c r="J129" s="13">
        <f t="shared" si="20"/>
        <v>24000</v>
      </c>
      <c r="K129" s="13">
        <f t="shared" si="21"/>
        <v>17990</v>
      </c>
      <c r="L129" s="14">
        <f t="shared" si="22"/>
        <v>0.47342105263157896</v>
      </c>
      <c r="M129" s="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2">
        <v>1</v>
      </c>
      <c r="B130" s="10" t="s">
        <v>23</v>
      </c>
      <c r="C130" s="11" t="s">
        <v>67</v>
      </c>
      <c r="D130" s="13">
        <v>18000</v>
      </c>
      <c r="E130" s="13">
        <f t="shared" si="18"/>
        <v>18000</v>
      </c>
      <c r="F130" s="13">
        <f t="shared" si="19"/>
        <v>19890</v>
      </c>
      <c r="G130" s="2"/>
      <c r="H130" s="2"/>
      <c r="I130" s="13">
        <v>12000</v>
      </c>
      <c r="J130" s="13">
        <f t="shared" si="20"/>
        <v>12000</v>
      </c>
      <c r="K130" s="13">
        <f t="shared" si="21"/>
        <v>7890</v>
      </c>
      <c r="L130" s="14">
        <f t="shared" si="22"/>
        <v>0.43833333333333335</v>
      </c>
      <c r="M130" s="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2">
        <v>12</v>
      </c>
      <c r="B131" s="10" t="s">
        <v>17</v>
      </c>
      <c r="C131" s="11" t="s">
        <v>62</v>
      </c>
      <c r="D131" s="13">
        <v>2800</v>
      </c>
      <c r="E131" s="13">
        <f t="shared" si="18"/>
        <v>33600</v>
      </c>
      <c r="F131" s="13">
        <f t="shared" si="19"/>
        <v>37128</v>
      </c>
      <c r="G131" s="2"/>
      <c r="H131" s="2"/>
      <c r="I131" s="13">
        <f>28000/17</f>
        <v>1647.0588235294117</v>
      </c>
      <c r="J131" s="13">
        <f t="shared" si="20"/>
        <v>19764.705882352941</v>
      </c>
      <c r="K131" s="13">
        <f t="shared" si="21"/>
        <v>17363.294117647059</v>
      </c>
      <c r="L131" s="14">
        <f t="shared" si="22"/>
        <v>0.51676470588235301</v>
      </c>
      <c r="M131" s="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2">
        <v>1</v>
      </c>
      <c r="B132" s="10" t="s">
        <v>23</v>
      </c>
      <c r="C132" s="11" t="s">
        <v>12</v>
      </c>
      <c r="D132" s="13">
        <v>54000</v>
      </c>
      <c r="E132" s="13">
        <f t="shared" si="18"/>
        <v>54000</v>
      </c>
      <c r="F132" s="13">
        <f>E132*1.21</f>
        <v>65340</v>
      </c>
      <c r="G132" s="2"/>
      <c r="H132" s="2"/>
      <c r="I132" s="13">
        <v>52000</v>
      </c>
      <c r="J132" s="13">
        <f t="shared" si="20"/>
        <v>52000</v>
      </c>
      <c r="K132" s="13">
        <f t="shared" si="21"/>
        <v>13340</v>
      </c>
      <c r="L132" s="14">
        <f t="shared" si="22"/>
        <v>0.24703703703703703</v>
      </c>
      <c r="M132" s="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5"/>
      <c r="B133" s="2"/>
      <c r="C133" s="4"/>
      <c r="D133" s="2"/>
      <c r="E133" s="2"/>
      <c r="F133" s="2"/>
      <c r="G133" s="2"/>
      <c r="H133" s="2"/>
      <c r="I133" s="2"/>
      <c r="J133" s="2"/>
      <c r="K133" s="2"/>
      <c r="L133" s="3"/>
      <c r="M133" s="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"/>
      <c r="B134" s="2"/>
      <c r="C134" s="4"/>
      <c r="D134" s="2"/>
      <c r="E134" s="13">
        <f t="shared" ref="E134:F134" si="23">SUM(E94:E132)</f>
        <v>871710</v>
      </c>
      <c r="F134" s="13">
        <f t="shared" si="23"/>
        <v>968909.55</v>
      </c>
      <c r="G134" s="2"/>
      <c r="H134" s="2"/>
      <c r="I134" s="2"/>
      <c r="J134" s="2"/>
      <c r="K134" s="13">
        <f>SUM(K94:K132)</f>
        <v>360330.42853323149</v>
      </c>
      <c r="L134" s="14">
        <f>K134/F134</f>
        <v>0.37189274120915772</v>
      </c>
      <c r="M134" s="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"/>
      <c r="B135" s="2"/>
      <c r="C135" s="4"/>
      <c r="D135" s="2"/>
      <c r="E135" s="2"/>
      <c r="F135" s="2"/>
      <c r="G135" s="2"/>
      <c r="H135" s="2"/>
      <c r="I135" s="2"/>
      <c r="J135" s="2"/>
      <c r="K135" s="2"/>
      <c r="L135" s="3"/>
      <c r="M135" s="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"/>
      <c r="B136" s="2"/>
      <c r="C136" s="4"/>
      <c r="D136" s="2"/>
      <c r="E136" s="2"/>
      <c r="F136" s="2"/>
      <c r="G136" s="2"/>
      <c r="H136" s="2"/>
      <c r="I136" s="2"/>
      <c r="J136" s="2"/>
      <c r="K136" s="2"/>
      <c r="L136" s="3"/>
      <c r="M136" s="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"/>
      <c r="B137" s="2"/>
      <c r="C137" s="4"/>
      <c r="D137" s="2"/>
      <c r="E137" s="2"/>
      <c r="F137" s="2"/>
      <c r="G137" s="2"/>
      <c r="H137" s="2"/>
      <c r="I137" s="2"/>
      <c r="J137" s="2"/>
      <c r="K137" s="2"/>
      <c r="L137" s="3"/>
      <c r="M137" s="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"/>
      <c r="B138" s="1"/>
      <c r="C138" s="1"/>
      <c r="D138" s="2"/>
      <c r="E138" s="2"/>
      <c r="F138" s="5"/>
      <c r="G138" s="2"/>
      <c r="H138" s="2"/>
      <c r="I138" s="2"/>
      <c r="J138" s="2"/>
      <c r="K138" s="2"/>
      <c r="L138" s="3"/>
      <c r="M138" s="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88" t="s">
        <v>57</v>
      </c>
      <c r="B139" s="89"/>
      <c r="C139" s="89"/>
      <c r="D139" s="2"/>
      <c r="E139" s="7" t="s">
        <v>178</v>
      </c>
      <c r="F139" s="8">
        <v>46142</v>
      </c>
      <c r="G139" s="7" t="s">
        <v>1176</v>
      </c>
      <c r="H139" s="2"/>
      <c r="I139" s="9" t="s">
        <v>2</v>
      </c>
      <c r="J139" s="9"/>
      <c r="K139" s="9"/>
      <c r="L139" s="3"/>
      <c r="M139" s="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3"/>
      <c r="M140" s="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6" t="s">
        <v>3</v>
      </c>
      <c r="B141" s="10" t="s">
        <v>4</v>
      </c>
      <c r="C141" s="11" t="s">
        <v>5</v>
      </c>
      <c r="D141" s="10" t="s">
        <v>6</v>
      </c>
      <c r="E141" s="10" t="s">
        <v>7</v>
      </c>
      <c r="F141" s="10" t="s">
        <v>8</v>
      </c>
      <c r="G141" s="2"/>
      <c r="H141" s="2"/>
      <c r="I141" s="10" t="s">
        <v>9</v>
      </c>
      <c r="J141" s="10" t="s">
        <v>7</v>
      </c>
      <c r="K141" s="10" t="s">
        <v>10</v>
      </c>
      <c r="L141" s="3"/>
      <c r="M141" s="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2">
        <v>0.5</v>
      </c>
      <c r="B142" s="10" t="s">
        <v>17</v>
      </c>
      <c r="C142" s="11" t="s">
        <v>34</v>
      </c>
      <c r="D142" s="13">
        <v>4000</v>
      </c>
      <c r="E142" s="13">
        <f t="shared" ref="E142:E159" si="24">A142*D142</f>
        <v>2000</v>
      </c>
      <c r="F142" s="13">
        <f t="shared" ref="F142:F159" si="25">E142*1.105</f>
        <v>2210</v>
      </c>
      <c r="G142" s="2"/>
      <c r="H142" s="2"/>
      <c r="I142" s="13">
        <v>3000</v>
      </c>
      <c r="J142" s="13">
        <f t="shared" ref="J142:J159" si="26">I142*A142</f>
        <v>1500</v>
      </c>
      <c r="K142" s="13">
        <f t="shared" ref="K142:K159" si="27">F142-J142</f>
        <v>710</v>
      </c>
      <c r="L142" s="14">
        <f t="shared" ref="L142:L159" si="28">IFERROR(K142/E142, 0)</f>
        <v>0.35499999999999998</v>
      </c>
      <c r="M142" s="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2">
        <v>1</v>
      </c>
      <c r="B143" s="10" t="s">
        <v>17</v>
      </c>
      <c r="C143" s="11" t="s">
        <v>43</v>
      </c>
      <c r="D143" s="13">
        <v>4500</v>
      </c>
      <c r="E143" s="13">
        <f t="shared" si="24"/>
        <v>4500</v>
      </c>
      <c r="F143" s="13">
        <f t="shared" si="25"/>
        <v>4972.5</v>
      </c>
      <c r="G143" s="2"/>
      <c r="H143" s="2"/>
      <c r="I143" s="13">
        <f>17000/5</f>
        <v>3400</v>
      </c>
      <c r="J143" s="13">
        <f t="shared" si="26"/>
        <v>3400</v>
      </c>
      <c r="K143" s="13">
        <f t="shared" si="27"/>
        <v>1572.5</v>
      </c>
      <c r="L143" s="14">
        <f t="shared" si="28"/>
        <v>0.34944444444444445</v>
      </c>
      <c r="M143" s="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2">
        <v>15</v>
      </c>
      <c r="B144" s="10" t="s">
        <v>21</v>
      </c>
      <c r="C144" s="11" t="s">
        <v>46</v>
      </c>
      <c r="D144" s="13">
        <v>850</v>
      </c>
      <c r="E144" s="13">
        <f t="shared" si="24"/>
        <v>12750</v>
      </c>
      <c r="F144" s="13">
        <f t="shared" si="25"/>
        <v>14088.75</v>
      </c>
      <c r="G144" s="2"/>
      <c r="H144" s="13"/>
      <c r="I144" s="13">
        <f>16000/24</f>
        <v>666.66666666666663</v>
      </c>
      <c r="J144" s="13">
        <f t="shared" si="26"/>
        <v>10000</v>
      </c>
      <c r="K144" s="13">
        <f t="shared" si="27"/>
        <v>4088.75</v>
      </c>
      <c r="L144" s="14">
        <f t="shared" si="28"/>
        <v>0.32068627450980391</v>
      </c>
      <c r="M144" s="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2">
        <v>5</v>
      </c>
      <c r="B145" s="10" t="s">
        <v>17</v>
      </c>
      <c r="C145" s="11" t="s">
        <v>40</v>
      </c>
      <c r="D145" s="13">
        <v>1500</v>
      </c>
      <c r="E145" s="13">
        <f t="shared" si="24"/>
        <v>7500</v>
      </c>
      <c r="F145" s="13">
        <f t="shared" si="25"/>
        <v>8287.5</v>
      </c>
      <c r="G145" s="2"/>
      <c r="H145" s="13"/>
      <c r="I145" s="13">
        <f>10000/8</f>
        <v>1250</v>
      </c>
      <c r="J145" s="13">
        <f t="shared" si="26"/>
        <v>6250</v>
      </c>
      <c r="K145" s="13">
        <f t="shared" si="27"/>
        <v>2037.5</v>
      </c>
      <c r="L145" s="14">
        <f t="shared" si="28"/>
        <v>0.27166666666666667</v>
      </c>
      <c r="M145" s="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2">
        <v>0.6</v>
      </c>
      <c r="B146" s="10" t="s">
        <v>17</v>
      </c>
      <c r="C146" s="11" t="s">
        <v>55</v>
      </c>
      <c r="D146" s="13">
        <v>20000</v>
      </c>
      <c r="E146" s="13">
        <f t="shared" si="24"/>
        <v>12000</v>
      </c>
      <c r="F146" s="13">
        <f t="shared" si="25"/>
        <v>13260</v>
      </c>
      <c r="G146" s="2"/>
      <c r="I146" s="13">
        <v>18000</v>
      </c>
      <c r="J146" s="13">
        <f t="shared" si="26"/>
        <v>10800</v>
      </c>
      <c r="K146" s="13">
        <f t="shared" si="27"/>
        <v>2460</v>
      </c>
      <c r="L146" s="14">
        <f t="shared" si="28"/>
        <v>0.20499999999999999</v>
      </c>
      <c r="M146" s="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2">
        <v>2</v>
      </c>
      <c r="B147" s="10" t="s">
        <v>17</v>
      </c>
      <c r="C147" s="11" t="s">
        <v>35</v>
      </c>
      <c r="D147" s="13">
        <v>2500</v>
      </c>
      <c r="E147" s="13">
        <f t="shared" si="24"/>
        <v>5000</v>
      </c>
      <c r="F147" s="13">
        <f t="shared" si="25"/>
        <v>5525</v>
      </c>
      <c r="G147" s="2"/>
      <c r="I147" s="13">
        <f>10000/9</f>
        <v>1111.1111111111111</v>
      </c>
      <c r="J147" s="13">
        <f t="shared" si="26"/>
        <v>2222.2222222222222</v>
      </c>
      <c r="K147" s="13">
        <f t="shared" si="27"/>
        <v>3302.7777777777778</v>
      </c>
      <c r="L147" s="14">
        <f t="shared" si="28"/>
        <v>0.66055555555555556</v>
      </c>
      <c r="M147" s="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2">
        <v>11</v>
      </c>
      <c r="B148" s="10" t="s">
        <v>17</v>
      </c>
      <c r="C148" s="11" t="s">
        <v>82</v>
      </c>
      <c r="D148" s="13">
        <v>3300</v>
      </c>
      <c r="E148" s="13">
        <f t="shared" si="24"/>
        <v>36300</v>
      </c>
      <c r="F148" s="13">
        <f t="shared" si="25"/>
        <v>40111.5</v>
      </c>
      <c r="G148" s="2"/>
      <c r="H148" s="2"/>
      <c r="I148" s="13">
        <v>0</v>
      </c>
      <c r="J148" s="13">
        <f t="shared" si="26"/>
        <v>0</v>
      </c>
      <c r="K148" s="13">
        <f t="shared" si="27"/>
        <v>40111.5</v>
      </c>
      <c r="L148" s="14">
        <f t="shared" si="28"/>
        <v>1.105</v>
      </c>
      <c r="M148" s="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2">
        <v>1</v>
      </c>
      <c r="B149" s="10" t="s">
        <v>21</v>
      </c>
      <c r="C149" s="11" t="s">
        <v>51</v>
      </c>
      <c r="D149" s="13">
        <v>1000</v>
      </c>
      <c r="E149" s="13">
        <f t="shared" si="24"/>
        <v>1000</v>
      </c>
      <c r="F149" s="13">
        <f t="shared" si="25"/>
        <v>1105</v>
      </c>
      <c r="G149" s="2"/>
      <c r="H149" s="2"/>
      <c r="I149" s="13">
        <v>500</v>
      </c>
      <c r="J149" s="13">
        <f t="shared" si="26"/>
        <v>500</v>
      </c>
      <c r="K149" s="13">
        <f t="shared" si="27"/>
        <v>605</v>
      </c>
      <c r="L149" s="14">
        <f t="shared" si="28"/>
        <v>0.60499999999999998</v>
      </c>
      <c r="M149" s="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2">
        <v>25</v>
      </c>
      <c r="B150" s="10" t="s">
        <v>4</v>
      </c>
      <c r="C150" s="11" t="s">
        <v>20</v>
      </c>
      <c r="D150" s="13">
        <v>850</v>
      </c>
      <c r="E150" s="13">
        <f t="shared" si="24"/>
        <v>21250</v>
      </c>
      <c r="F150" s="13">
        <f t="shared" si="25"/>
        <v>23481.25</v>
      </c>
      <c r="G150" s="2"/>
      <c r="H150" s="2"/>
      <c r="I150" s="13">
        <f>81000/132</f>
        <v>613.63636363636363</v>
      </c>
      <c r="J150" s="13">
        <f t="shared" si="26"/>
        <v>15340.90909090909</v>
      </c>
      <c r="K150" s="13">
        <f t="shared" si="27"/>
        <v>8140.3409090909099</v>
      </c>
      <c r="L150" s="14">
        <f t="shared" si="28"/>
        <v>0.38307486631016047</v>
      </c>
      <c r="M150" s="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2">
        <v>2</v>
      </c>
      <c r="B151" s="10" t="s">
        <v>4</v>
      </c>
      <c r="C151" s="11" t="s">
        <v>41</v>
      </c>
      <c r="D151" s="13">
        <v>3000</v>
      </c>
      <c r="E151" s="13">
        <f t="shared" si="24"/>
        <v>6000</v>
      </c>
      <c r="F151" s="13">
        <f t="shared" si="25"/>
        <v>6630</v>
      </c>
      <c r="G151" s="2"/>
      <c r="H151" s="2"/>
      <c r="I151" s="13">
        <f>18000/10</f>
        <v>1800</v>
      </c>
      <c r="J151" s="13">
        <f t="shared" si="26"/>
        <v>3600</v>
      </c>
      <c r="K151" s="13">
        <f t="shared" si="27"/>
        <v>3030</v>
      </c>
      <c r="L151" s="14">
        <f t="shared" si="28"/>
        <v>0.505</v>
      </c>
      <c r="M151" s="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2">
        <v>2</v>
      </c>
      <c r="B152" s="10" t="s">
        <v>21</v>
      </c>
      <c r="C152" s="11" t="s">
        <v>28</v>
      </c>
      <c r="D152" s="13">
        <v>3000</v>
      </c>
      <c r="E152" s="13">
        <f t="shared" si="24"/>
        <v>6000</v>
      </c>
      <c r="F152" s="13">
        <f t="shared" si="25"/>
        <v>6630</v>
      </c>
      <c r="G152" s="2"/>
      <c r="I152" s="13">
        <v>2500</v>
      </c>
      <c r="J152" s="13">
        <f t="shared" si="26"/>
        <v>5000</v>
      </c>
      <c r="K152" s="13">
        <f t="shared" si="27"/>
        <v>1630</v>
      </c>
      <c r="L152" s="14">
        <f t="shared" si="28"/>
        <v>0.27166666666666667</v>
      </c>
      <c r="M152" s="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2">
        <v>1</v>
      </c>
      <c r="B153" s="10" t="s">
        <v>17</v>
      </c>
      <c r="C153" s="11" t="s">
        <v>30</v>
      </c>
      <c r="D153" s="13">
        <v>2600</v>
      </c>
      <c r="E153" s="13">
        <f t="shared" si="24"/>
        <v>2600</v>
      </c>
      <c r="F153" s="13">
        <f t="shared" si="25"/>
        <v>2873</v>
      </c>
      <c r="G153" s="2"/>
      <c r="H153" s="2"/>
      <c r="I153" s="13">
        <f>25000/14</f>
        <v>1785.7142857142858</v>
      </c>
      <c r="J153" s="13">
        <f t="shared" si="26"/>
        <v>1785.7142857142858</v>
      </c>
      <c r="K153" s="13">
        <f t="shared" si="27"/>
        <v>1087.2857142857142</v>
      </c>
      <c r="L153" s="14">
        <f t="shared" si="28"/>
        <v>0.41818681318681317</v>
      </c>
      <c r="M153" s="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2">
        <v>1.3</v>
      </c>
      <c r="B154" s="10" t="s">
        <v>17</v>
      </c>
      <c r="C154" s="11" t="s">
        <v>36</v>
      </c>
      <c r="D154" s="13">
        <v>1800</v>
      </c>
      <c r="E154" s="13">
        <f t="shared" si="24"/>
        <v>2340</v>
      </c>
      <c r="F154" s="13">
        <f t="shared" si="25"/>
        <v>2585.6999999999998</v>
      </c>
      <c r="G154" s="2"/>
      <c r="H154" s="2"/>
      <c r="I154" s="13">
        <v>800</v>
      </c>
      <c r="J154" s="13">
        <f t="shared" si="26"/>
        <v>1040</v>
      </c>
      <c r="K154" s="13">
        <f t="shared" si="27"/>
        <v>1545.6999999999998</v>
      </c>
      <c r="L154" s="14">
        <f t="shared" si="28"/>
        <v>0.66055555555555545</v>
      </c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2">
        <v>2</v>
      </c>
      <c r="B155" s="10" t="s">
        <v>23</v>
      </c>
      <c r="C155" s="11" t="s">
        <v>26</v>
      </c>
      <c r="D155" s="13">
        <v>19000</v>
      </c>
      <c r="E155" s="13">
        <f t="shared" si="24"/>
        <v>38000</v>
      </c>
      <c r="F155" s="13">
        <f t="shared" si="25"/>
        <v>41990</v>
      </c>
      <c r="G155" s="2"/>
      <c r="H155" s="2"/>
      <c r="I155" s="13">
        <v>12000</v>
      </c>
      <c r="J155" s="13">
        <f t="shared" si="26"/>
        <v>24000</v>
      </c>
      <c r="K155" s="13">
        <f t="shared" si="27"/>
        <v>17990</v>
      </c>
      <c r="L155" s="14">
        <f t="shared" si="28"/>
        <v>0.47342105263157896</v>
      </c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2">
        <v>10</v>
      </c>
      <c r="B156" s="10" t="s">
        <v>17</v>
      </c>
      <c r="C156" s="11" t="s">
        <v>24</v>
      </c>
      <c r="D156" s="13">
        <v>3600</v>
      </c>
      <c r="E156" s="13">
        <f t="shared" si="24"/>
        <v>36000</v>
      </c>
      <c r="F156" s="13">
        <f t="shared" si="25"/>
        <v>39780</v>
      </c>
      <c r="G156" s="2"/>
      <c r="H156" s="2"/>
      <c r="I156" s="13">
        <f>50000/17</f>
        <v>2941.1764705882351</v>
      </c>
      <c r="J156" s="13">
        <f t="shared" si="26"/>
        <v>29411.76470588235</v>
      </c>
      <c r="K156" s="13">
        <f t="shared" si="27"/>
        <v>10368.23529411765</v>
      </c>
      <c r="L156" s="14">
        <f t="shared" si="28"/>
        <v>0.28800653594771253</v>
      </c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2">
        <v>10</v>
      </c>
      <c r="B157" s="10" t="s">
        <v>17</v>
      </c>
      <c r="C157" s="11" t="s">
        <v>25</v>
      </c>
      <c r="D157" s="13">
        <v>4500</v>
      </c>
      <c r="E157" s="13">
        <f t="shared" si="24"/>
        <v>45000</v>
      </c>
      <c r="F157" s="13">
        <f t="shared" si="25"/>
        <v>49725</v>
      </c>
      <c r="G157" s="2"/>
      <c r="H157" s="2"/>
      <c r="I157" s="13">
        <f>70000/19</f>
        <v>3684.2105263157896</v>
      </c>
      <c r="J157" s="13">
        <f t="shared" si="26"/>
        <v>36842.105263157893</v>
      </c>
      <c r="K157" s="13">
        <f t="shared" si="27"/>
        <v>12882.894736842107</v>
      </c>
      <c r="L157" s="14">
        <f t="shared" si="28"/>
        <v>0.28628654970760237</v>
      </c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2">
        <v>0.5</v>
      </c>
      <c r="B158" s="10" t="s">
        <v>17</v>
      </c>
      <c r="C158" s="11" t="s">
        <v>89</v>
      </c>
      <c r="D158" s="13">
        <v>13500</v>
      </c>
      <c r="E158" s="13">
        <f t="shared" si="24"/>
        <v>6750</v>
      </c>
      <c r="F158" s="13">
        <f t="shared" si="25"/>
        <v>7458.75</v>
      </c>
      <c r="G158" s="2"/>
      <c r="H158" s="2"/>
      <c r="I158" s="13">
        <f>11500</f>
        <v>11500</v>
      </c>
      <c r="J158" s="13">
        <f t="shared" si="26"/>
        <v>5750</v>
      </c>
      <c r="K158" s="13">
        <f t="shared" si="27"/>
        <v>1708.75</v>
      </c>
      <c r="L158" s="14">
        <f t="shared" si="28"/>
        <v>0.25314814814814812</v>
      </c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2">
        <v>2</v>
      </c>
      <c r="B159" s="10" t="s">
        <v>17</v>
      </c>
      <c r="C159" s="11" t="s">
        <v>62</v>
      </c>
      <c r="D159" s="13">
        <v>2800</v>
      </c>
      <c r="E159" s="13">
        <f t="shared" si="24"/>
        <v>5600</v>
      </c>
      <c r="F159" s="13">
        <f t="shared" si="25"/>
        <v>6188</v>
      </c>
      <c r="G159" s="2"/>
      <c r="H159" s="2"/>
      <c r="I159" s="13">
        <f>28000/17</f>
        <v>1647.0588235294117</v>
      </c>
      <c r="J159" s="13">
        <f t="shared" si="26"/>
        <v>3294.1176470588234</v>
      </c>
      <c r="K159" s="13">
        <f t="shared" si="27"/>
        <v>2893.8823529411766</v>
      </c>
      <c r="L159" s="14">
        <f t="shared" si="28"/>
        <v>0.51676470588235301</v>
      </c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5"/>
      <c r="B160" s="2"/>
      <c r="C160" s="4"/>
      <c r="D160" s="2"/>
      <c r="E160" s="2"/>
      <c r="F160" s="2"/>
      <c r="G160" s="2"/>
      <c r="H160" s="2"/>
      <c r="I160" s="2"/>
      <c r="J160" s="2"/>
      <c r="K160" s="2"/>
      <c r="L160" s="3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"/>
      <c r="B161" s="2"/>
      <c r="C161" s="4"/>
      <c r="D161" s="2"/>
      <c r="E161" s="13">
        <f t="shared" ref="E161:F161" si="29">SUM(E142:E159)</f>
        <v>250590</v>
      </c>
      <c r="F161" s="13">
        <f t="shared" si="29"/>
        <v>276901.95</v>
      </c>
      <c r="G161" s="2"/>
      <c r="H161" s="2"/>
      <c r="I161" s="2"/>
      <c r="J161" s="2"/>
      <c r="K161" s="13">
        <f>SUM(K142:K159)</f>
        <v>116165.11678505533</v>
      </c>
      <c r="L161" s="14">
        <f>K161/F161</f>
        <v>0.419517149608572</v>
      </c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88" t="s">
        <v>63</v>
      </c>
      <c r="B166" s="89"/>
      <c r="C166" s="89"/>
      <c r="D166" s="2"/>
      <c r="E166" s="7" t="s">
        <v>109</v>
      </c>
      <c r="F166" s="8">
        <v>46142</v>
      </c>
      <c r="G166" s="7" t="s">
        <v>1176</v>
      </c>
      <c r="H166" s="2"/>
      <c r="I166" s="9" t="s">
        <v>2</v>
      </c>
      <c r="J166" s="9"/>
      <c r="K166" s="9"/>
      <c r="L166" s="3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3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6" t="s">
        <v>3</v>
      </c>
      <c r="B168" s="10" t="s">
        <v>4</v>
      </c>
      <c r="C168" s="11" t="s">
        <v>5</v>
      </c>
      <c r="D168" s="10" t="s">
        <v>6</v>
      </c>
      <c r="E168" s="10" t="s">
        <v>7</v>
      </c>
      <c r="F168" s="10" t="s">
        <v>8</v>
      </c>
      <c r="G168" s="2"/>
      <c r="H168" s="2"/>
      <c r="I168" s="10" t="s">
        <v>9</v>
      </c>
      <c r="J168" s="10" t="s">
        <v>7</v>
      </c>
      <c r="K168" s="10" t="s">
        <v>10</v>
      </c>
      <c r="L168" s="3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2">
        <v>6</v>
      </c>
      <c r="B169" s="10" t="s">
        <v>21</v>
      </c>
      <c r="C169" s="11" t="s">
        <v>22</v>
      </c>
      <c r="D169" s="13">
        <v>1500</v>
      </c>
      <c r="E169" s="13">
        <f t="shared" ref="E169:E172" si="30">A169*D169</f>
        <v>9000</v>
      </c>
      <c r="F169" s="13">
        <f t="shared" ref="F169:F172" si="31">E169*1.105</f>
        <v>9945</v>
      </c>
      <c r="G169" s="2"/>
      <c r="H169" s="2"/>
      <c r="I169" s="13">
        <v>800</v>
      </c>
      <c r="J169" s="13">
        <f t="shared" ref="J169:J172" si="32">I169*A169</f>
        <v>4800</v>
      </c>
      <c r="K169" s="13">
        <f t="shared" ref="K169:K172" si="33">F169-J169</f>
        <v>5145</v>
      </c>
      <c r="L169" s="14">
        <f t="shared" ref="L169:L172" si="34">IFERROR(K169/E169, 0)</f>
        <v>0.57166666666666666</v>
      </c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2">
        <v>2</v>
      </c>
      <c r="B170" s="10" t="s">
        <v>17</v>
      </c>
      <c r="C170" s="11" t="s">
        <v>82</v>
      </c>
      <c r="D170" s="13">
        <v>3300</v>
      </c>
      <c r="E170" s="13">
        <f t="shared" si="30"/>
        <v>6600</v>
      </c>
      <c r="F170" s="13">
        <f t="shared" si="31"/>
        <v>7293</v>
      </c>
      <c r="G170" s="2"/>
      <c r="H170" s="2"/>
      <c r="I170" s="13"/>
      <c r="J170" s="13">
        <f t="shared" si="32"/>
        <v>0</v>
      </c>
      <c r="K170" s="13">
        <f t="shared" si="33"/>
        <v>7293</v>
      </c>
      <c r="L170" s="14">
        <f t="shared" si="34"/>
        <v>1.105</v>
      </c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2">
        <v>2</v>
      </c>
      <c r="B171" s="10" t="s">
        <v>23</v>
      </c>
      <c r="C171" s="11" t="s">
        <v>26</v>
      </c>
      <c r="D171" s="13">
        <v>19000</v>
      </c>
      <c r="E171" s="13">
        <f t="shared" si="30"/>
        <v>38000</v>
      </c>
      <c r="F171" s="13">
        <f t="shared" si="31"/>
        <v>41990</v>
      </c>
      <c r="G171" s="2"/>
      <c r="H171" s="2"/>
      <c r="I171" s="13">
        <v>12000</v>
      </c>
      <c r="J171" s="13">
        <f t="shared" si="32"/>
        <v>24000</v>
      </c>
      <c r="K171" s="13">
        <f t="shared" si="33"/>
        <v>17990</v>
      </c>
      <c r="L171" s="14">
        <f t="shared" si="34"/>
        <v>0.47342105263157896</v>
      </c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2">
        <v>1</v>
      </c>
      <c r="B172" s="10" t="s">
        <v>23</v>
      </c>
      <c r="C172" s="11" t="s">
        <v>25</v>
      </c>
      <c r="D172" s="13">
        <v>72000</v>
      </c>
      <c r="E172" s="13">
        <f t="shared" si="30"/>
        <v>72000</v>
      </c>
      <c r="F172" s="13">
        <f t="shared" si="31"/>
        <v>79560</v>
      </c>
      <c r="G172" s="2"/>
      <c r="H172" s="2"/>
      <c r="I172" s="13">
        <f>14000*4</f>
        <v>56000</v>
      </c>
      <c r="J172" s="13">
        <f t="shared" si="32"/>
        <v>56000</v>
      </c>
      <c r="K172" s="13">
        <f t="shared" si="33"/>
        <v>23560</v>
      </c>
      <c r="L172" s="14">
        <f t="shared" si="34"/>
        <v>0.32722222222222225</v>
      </c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"/>
      <c r="B173" s="2"/>
      <c r="C173" s="4"/>
      <c r="D173" s="2"/>
      <c r="E173" s="2"/>
      <c r="F173" s="2"/>
      <c r="G173" s="2"/>
      <c r="H173" s="2"/>
      <c r="I173" s="2"/>
      <c r="J173" s="2"/>
      <c r="K173" s="2"/>
      <c r="L173" s="3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"/>
      <c r="B174" s="2"/>
      <c r="C174" s="4"/>
      <c r="D174" s="2"/>
      <c r="E174" s="13">
        <f t="shared" ref="E174:F174" si="35">SUM(E169:E172)</f>
        <v>125600</v>
      </c>
      <c r="F174" s="13">
        <f t="shared" si="35"/>
        <v>138788</v>
      </c>
      <c r="G174" s="2"/>
      <c r="H174" s="2"/>
      <c r="I174" s="2"/>
      <c r="J174" s="2"/>
      <c r="K174" s="13">
        <f>SUM(K169:K172)</f>
        <v>53988</v>
      </c>
      <c r="L174" s="14">
        <f>K174/F174</f>
        <v>0.38899616681557481</v>
      </c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0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0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0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88" t="s">
        <v>44</v>
      </c>
      <c r="B178" s="89"/>
      <c r="C178" s="89"/>
      <c r="D178" s="2"/>
      <c r="E178" s="7" t="s">
        <v>1093</v>
      </c>
      <c r="F178" s="8">
        <v>46142</v>
      </c>
      <c r="G178" s="7" t="s">
        <v>1176</v>
      </c>
      <c r="H178" s="2"/>
      <c r="I178" s="91" t="s">
        <v>2</v>
      </c>
      <c r="J178" s="89"/>
      <c r="K178" s="89"/>
      <c r="L178" s="3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3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6" t="s">
        <v>3</v>
      </c>
      <c r="B180" s="10" t="s">
        <v>4</v>
      </c>
      <c r="C180" s="11" t="s">
        <v>5</v>
      </c>
      <c r="D180" s="10" t="s">
        <v>6</v>
      </c>
      <c r="E180" s="10" t="s">
        <v>7</v>
      </c>
      <c r="F180" s="10" t="s">
        <v>8</v>
      </c>
      <c r="G180" s="2"/>
      <c r="H180" s="2"/>
      <c r="I180" s="10" t="s">
        <v>9</v>
      </c>
      <c r="J180" s="10" t="s">
        <v>7</v>
      </c>
      <c r="K180" s="10" t="s">
        <v>10</v>
      </c>
      <c r="L180" s="3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2">
        <v>1</v>
      </c>
      <c r="B181" s="10" t="s">
        <v>15</v>
      </c>
      <c r="C181" s="11" t="s">
        <v>27</v>
      </c>
      <c r="D181" s="13">
        <v>25000</v>
      </c>
      <c r="E181" s="13">
        <f t="shared" ref="E181:E207" si="36">A181*D181</f>
        <v>25000</v>
      </c>
      <c r="F181" s="13">
        <f t="shared" ref="F181:F195" si="37">E181*1.105</f>
        <v>27625</v>
      </c>
      <c r="G181" s="2"/>
      <c r="H181" s="2"/>
      <c r="I181" s="13">
        <v>19000</v>
      </c>
      <c r="J181" s="13">
        <f t="shared" ref="J181:J207" si="38">I181*A181</f>
        <v>19000</v>
      </c>
      <c r="K181" s="13">
        <f t="shared" ref="K181:K207" si="39">F181-J181</f>
        <v>8625</v>
      </c>
      <c r="L181" s="14">
        <f t="shared" ref="L181:L198" si="40">IFERROR(K181/E181, 0)</f>
        <v>0.34499999999999997</v>
      </c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2">
        <v>2</v>
      </c>
      <c r="B182" s="10" t="s">
        <v>17</v>
      </c>
      <c r="C182" s="11" t="s">
        <v>48</v>
      </c>
      <c r="D182" s="13">
        <v>900</v>
      </c>
      <c r="E182" s="13">
        <f t="shared" si="36"/>
        <v>1800</v>
      </c>
      <c r="F182" s="13">
        <f t="shared" si="37"/>
        <v>1989</v>
      </c>
      <c r="G182" s="2"/>
      <c r="H182" s="2"/>
      <c r="I182" s="13">
        <f>10000/16</f>
        <v>625</v>
      </c>
      <c r="J182" s="13">
        <f t="shared" si="38"/>
        <v>1250</v>
      </c>
      <c r="K182" s="13">
        <f t="shared" si="39"/>
        <v>739</v>
      </c>
      <c r="L182" s="14">
        <f t="shared" si="40"/>
        <v>0.41055555555555556</v>
      </c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2">
        <v>4</v>
      </c>
      <c r="B183" s="10" t="s">
        <v>17</v>
      </c>
      <c r="C183" s="11" t="s">
        <v>40</v>
      </c>
      <c r="D183" s="13">
        <v>1500</v>
      </c>
      <c r="E183" s="13">
        <f t="shared" si="36"/>
        <v>6000</v>
      </c>
      <c r="F183" s="13">
        <f t="shared" si="37"/>
        <v>6630</v>
      </c>
      <c r="G183" s="2"/>
      <c r="H183" s="2"/>
      <c r="I183" s="13">
        <f>10000/8</f>
        <v>1250</v>
      </c>
      <c r="J183" s="13">
        <f t="shared" si="38"/>
        <v>5000</v>
      </c>
      <c r="K183" s="13">
        <f t="shared" si="39"/>
        <v>1630</v>
      </c>
      <c r="L183" s="14">
        <f t="shared" si="40"/>
        <v>0.27166666666666667</v>
      </c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2">
        <v>3</v>
      </c>
      <c r="B184" s="10" t="s">
        <v>17</v>
      </c>
      <c r="C184" s="11" t="s">
        <v>129</v>
      </c>
      <c r="D184" s="13">
        <v>1600</v>
      </c>
      <c r="E184" s="13">
        <f t="shared" si="36"/>
        <v>4800</v>
      </c>
      <c r="F184" s="13">
        <f t="shared" si="37"/>
        <v>5304</v>
      </c>
      <c r="G184" s="2"/>
      <c r="H184" s="2"/>
      <c r="I184" s="13">
        <f>1000</f>
        <v>1000</v>
      </c>
      <c r="J184" s="13">
        <f t="shared" si="38"/>
        <v>3000</v>
      </c>
      <c r="K184" s="13">
        <f t="shared" si="39"/>
        <v>2304</v>
      </c>
      <c r="L184" s="14">
        <f t="shared" si="40"/>
        <v>0.48</v>
      </c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2">
        <v>1</v>
      </c>
      <c r="B185" s="10" t="s">
        <v>4</v>
      </c>
      <c r="C185" s="11" t="s">
        <v>13</v>
      </c>
      <c r="D185" s="13">
        <v>900</v>
      </c>
      <c r="E185" s="13">
        <f t="shared" si="36"/>
        <v>900</v>
      </c>
      <c r="F185" s="13">
        <f t="shared" si="37"/>
        <v>994.5</v>
      </c>
      <c r="G185" s="2"/>
      <c r="H185" s="2"/>
      <c r="I185" s="13">
        <v>540</v>
      </c>
      <c r="J185" s="13">
        <f t="shared" si="38"/>
        <v>540</v>
      </c>
      <c r="K185" s="13">
        <f t="shared" si="39"/>
        <v>454.5</v>
      </c>
      <c r="L185" s="14">
        <f t="shared" si="40"/>
        <v>0.505</v>
      </c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2">
        <v>3.15</v>
      </c>
      <c r="B186" s="10" t="s">
        <v>17</v>
      </c>
      <c r="C186" s="11" t="s">
        <v>41</v>
      </c>
      <c r="D186" s="13">
        <v>3000</v>
      </c>
      <c r="E186" s="13">
        <f t="shared" si="36"/>
        <v>9450</v>
      </c>
      <c r="F186" s="13">
        <f t="shared" si="37"/>
        <v>10442.25</v>
      </c>
      <c r="G186" s="2"/>
      <c r="H186" s="2"/>
      <c r="I186" s="13">
        <v>1800</v>
      </c>
      <c r="J186" s="13">
        <f t="shared" si="38"/>
        <v>5670</v>
      </c>
      <c r="K186" s="13">
        <f t="shared" si="39"/>
        <v>4772.25</v>
      </c>
      <c r="L186" s="14">
        <f t="shared" si="40"/>
        <v>0.505</v>
      </c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2">
        <v>7</v>
      </c>
      <c r="B187" s="10" t="s">
        <v>17</v>
      </c>
      <c r="C187" s="11" t="s">
        <v>82</v>
      </c>
      <c r="D187" s="13">
        <v>3300</v>
      </c>
      <c r="E187" s="13">
        <f t="shared" si="36"/>
        <v>23100</v>
      </c>
      <c r="F187" s="13">
        <f t="shared" si="37"/>
        <v>25525.5</v>
      </c>
      <c r="G187" s="2"/>
      <c r="H187" s="2"/>
      <c r="I187" s="13"/>
      <c r="J187" s="13">
        <f t="shared" si="38"/>
        <v>0</v>
      </c>
      <c r="K187" s="13">
        <f t="shared" si="39"/>
        <v>25525.5</v>
      </c>
      <c r="L187" s="14">
        <f t="shared" si="40"/>
        <v>1.105</v>
      </c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2">
        <v>0.7</v>
      </c>
      <c r="B188" s="10" t="s">
        <v>17</v>
      </c>
      <c r="C188" s="11" t="s">
        <v>82</v>
      </c>
      <c r="D188" s="13">
        <v>3300</v>
      </c>
      <c r="E188" s="13">
        <f t="shared" si="36"/>
        <v>2310</v>
      </c>
      <c r="F188" s="13">
        <f t="shared" si="37"/>
        <v>2552.5500000000002</v>
      </c>
      <c r="G188" s="2"/>
      <c r="H188" s="2"/>
      <c r="I188" s="13"/>
      <c r="J188" s="13">
        <f t="shared" si="38"/>
        <v>0</v>
      </c>
      <c r="K188" s="13">
        <f t="shared" si="39"/>
        <v>2552.5500000000002</v>
      </c>
      <c r="L188" s="14">
        <f t="shared" si="40"/>
        <v>1.105</v>
      </c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2">
        <v>20</v>
      </c>
      <c r="B189" s="10" t="s">
        <v>4</v>
      </c>
      <c r="C189" s="11" t="s">
        <v>20</v>
      </c>
      <c r="D189" s="13">
        <v>850</v>
      </c>
      <c r="E189" s="13">
        <f t="shared" si="36"/>
        <v>17000</v>
      </c>
      <c r="F189" s="13">
        <f t="shared" si="37"/>
        <v>18785</v>
      </c>
      <c r="G189" s="2"/>
      <c r="H189" s="2"/>
      <c r="I189" s="13">
        <f>81000/132</f>
        <v>613.63636363636363</v>
      </c>
      <c r="J189" s="13">
        <f t="shared" si="38"/>
        <v>12272.727272727272</v>
      </c>
      <c r="K189" s="13">
        <f t="shared" si="39"/>
        <v>6512.2727272727279</v>
      </c>
      <c r="L189" s="14">
        <f t="shared" si="40"/>
        <v>0.38307486631016047</v>
      </c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2">
        <v>1.3</v>
      </c>
      <c r="B190" s="10" t="s">
        <v>17</v>
      </c>
      <c r="C190" s="11" t="s">
        <v>34</v>
      </c>
      <c r="D190" s="13">
        <v>4000</v>
      </c>
      <c r="E190" s="13">
        <f t="shared" si="36"/>
        <v>5200</v>
      </c>
      <c r="F190" s="13">
        <f t="shared" si="37"/>
        <v>5746</v>
      </c>
      <c r="G190" s="2"/>
      <c r="H190" s="2"/>
      <c r="I190" s="13">
        <v>3000</v>
      </c>
      <c r="J190" s="13">
        <f t="shared" si="38"/>
        <v>3900</v>
      </c>
      <c r="K190" s="13">
        <f t="shared" si="39"/>
        <v>1846</v>
      </c>
      <c r="L190" s="14">
        <f t="shared" si="40"/>
        <v>0.35499999999999998</v>
      </c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2">
        <v>1</v>
      </c>
      <c r="B191" s="10" t="s">
        <v>21</v>
      </c>
      <c r="C191" s="11" t="s">
        <v>51</v>
      </c>
      <c r="D191" s="13">
        <v>1000</v>
      </c>
      <c r="E191" s="13">
        <f t="shared" si="36"/>
        <v>1000</v>
      </c>
      <c r="F191" s="13">
        <f t="shared" si="37"/>
        <v>1105</v>
      </c>
      <c r="G191" s="2"/>
      <c r="H191" s="2"/>
      <c r="I191" s="13">
        <v>500</v>
      </c>
      <c r="J191" s="13">
        <f t="shared" si="38"/>
        <v>500</v>
      </c>
      <c r="K191" s="13">
        <f t="shared" si="39"/>
        <v>605</v>
      </c>
      <c r="L191" s="18">
        <f t="shared" si="40"/>
        <v>0.60499999999999998</v>
      </c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2">
        <v>1</v>
      </c>
      <c r="B192" s="10" t="s">
        <v>4</v>
      </c>
      <c r="C192" s="11" t="s">
        <v>14</v>
      </c>
      <c r="D192" s="13">
        <v>3200</v>
      </c>
      <c r="E192" s="13">
        <f t="shared" si="36"/>
        <v>3200</v>
      </c>
      <c r="F192" s="13">
        <f t="shared" si="37"/>
        <v>3536</v>
      </c>
      <c r="G192" s="2"/>
      <c r="H192" s="2"/>
      <c r="I192" s="13">
        <f>21000/8</f>
        <v>2625</v>
      </c>
      <c r="J192" s="13">
        <f t="shared" si="38"/>
        <v>2625</v>
      </c>
      <c r="K192" s="13">
        <f t="shared" si="39"/>
        <v>911</v>
      </c>
      <c r="L192" s="18">
        <f t="shared" si="40"/>
        <v>0.28468749999999998</v>
      </c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2">
        <v>0.5</v>
      </c>
      <c r="B193" s="10" t="s">
        <v>17</v>
      </c>
      <c r="C193" s="11" t="s">
        <v>30</v>
      </c>
      <c r="D193" s="13">
        <v>2600</v>
      </c>
      <c r="E193" s="13">
        <f t="shared" si="36"/>
        <v>1300</v>
      </c>
      <c r="F193" s="13">
        <f t="shared" si="37"/>
        <v>1436.5</v>
      </c>
      <c r="G193" s="2"/>
      <c r="H193" s="2"/>
      <c r="I193" s="13">
        <f>25000/14</f>
        <v>1785.7142857142858</v>
      </c>
      <c r="J193" s="13">
        <f t="shared" si="38"/>
        <v>892.85714285714289</v>
      </c>
      <c r="K193" s="13">
        <f t="shared" si="39"/>
        <v>543.64285714285711</v>
      </c>
      <c r="L193" s="18">
        <f t="shared" si="40"/>
        <v>0.41818681318681317</v>
      </c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2">
        <v>1</v>
      </c>
      <c r="B194" s="10" t="s">
        <v>17</v>
      </c>
      <c r="C194" s="11" t="s">
        <v>38</v>
      </c>
      <c r="D194" s="13">
        <v>1800</v>
      </c>
      <c r="E194" s="13">
        <f t="shared" si="36"/>
        <v>1800</v>
      </c>
      <c r="F194" s="13">
        <f t="shared" si="37"/>
        <v>1989</v>
      </c>
      <c r="G194" s="2"/>
      <c r="H194" s="2"/>
      <c r="I194" s="13">
        <v>800</v>
      </c>
      <c r="J194" s="13">
        <f t="shared" si="38"/>
        <v>800</v>
      </c>
      <c r="K194" s="13">
        <f t="shared" si="39"/>
        <v>1189</v>
      </c>
      <c r="L194" s="18">
        <f t="shared" si="40"/>
        <v>0.66055555555555556</v>
      </c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2">
        <v>2.5</v>
      </c>
      <c r="B195" s="10" t="s">
        <v>17</v>
      </c>
      <c r="C195" s="11" t="s">
        <v>36</v>
      </c>
      <c r="D195" s="13">
        <v>1800</v>
      </c>
      <c r="E195" s="13">
        <f t="shared" si="36"/>
        <v>4500</v>
      </c>
      <c r="F195" s="13">
        <f t="shared" si="37"/>
        <v>4972.5</v>
      </c>
      <c r="G195" s="2"/>
      <c r="H195" s="2"/>
      <c r="I195" s="13">
        <v>800</v>
      </c>
      <c r="J195" s="13">
        <f t="shared" si="38"/>
        <v>2000</v>
      </c>
      <c r="K195" s="13">
        <f t="shared" si="39"/>
        <v>2972.5</v>
      </c>
      <c r="L195" s="33">
        <f t="shared" si="40"/>
        <v>0.66055555555555556</v>
      </c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2">
        <v>0.5</v>
      </c>
      <c r="B196" s="10" t="s">
        <v>23</v>
      </c>
      <c r="C196" s="11" t="s">
        <v>12</v>
      </c>
      <c r="D196" s="13">
        <v>54000</v>
      </c>
      <c r="E196" s="13">
        <f t="shared" si="36"/>
        <v>27000</v>
      </c>
      <c r="F196" s="13">
        <f>E196*1.21</f>
        <v>32670</v>
      </c>
      <c r="G196" s="2"/>
      <c r="H196" s="2"/>
      <c r="I196" s="13">
        <v>54000</v>
      </c>
      <c r="J196" s="13">
        <f t="shared" si="38"/>
        <v>27000</v>
      </c>
      <c r="K196" s="13">
        <f t="shared" si="39"/>
        <v>5670</v>
      </c>
      <c r="L196" s="18">
        <f t="shared" si="40"/>
        <v>0.21</v>
      </c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2">
        <v>1</v>
      </c>
      <c r="B197" s="10" t="s">
        <v>17</v>
      </c>
      <c r="C197" s="11" t="s">
        <v>31</v>
      </c>
      <c r="D197" s="13">
        <v>2800</v>
      </c>
      <c r="E197" s="13">
        <f t="shared" si="36"/>
        <v>2800</v>
      </c>
      <c r="F197" s="13">
        <f t="shared" ref="F197:F207" si="41">E197*1.105</f>
        <v>3094</v>
      </c>
      <c r="G197" s="2"/>
      <c r="I197" s="13">
        <f>25000/14</f>
        <v>1785.7142857142858</v>
      </c>
      <c r="J197" s="13">
        <f t="shared" si="38"/>
        <v>1785.7142857142858</v>
      </c>
      <c r="K197" s="13">
        <f t="shared" si="39"/>
        <v>1308.2857142857142</v>
      </c>
      <c r="L197" s="18">
        <f t="shared" si="40"/>
        <v>0.46724489795918367</v>
      </c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2">
        <v>0.5</v>
      </c>
      <c r="B198" s="10" t="s">
        <v>21</v>
      </c>
      <c r="C198" s="11" t="s">
        <v>29</v>
      </c>
      <c r="D198" s="13">
        <v>3000</v>
      </c>
      <c r="E198" s="13">
        <f t="shared" si="36"/>
        <v>1500</v>
      </c>
      <c r="F198" s="13">
        <f t="shared" si="41"/>
        <v>1657.5</v>
      </c>
      <c r="G198" s="2"/>
      <c r="I198" s="13">
        <v>1000</v>
      </c>
      <c r="J198" s="13">
        <f t="shared" si="38"/>
        <v>500</v>
      </c>
      <c r="K198" s="13">
        <f t="shared" si="39"/>
        <v>1157.5</v>
      </c>
      <c r="L198" s="14">
        <f t="shared" si="40"/>
        <v>0.77166666666666661</v>
      </c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2">
        <v>12</v>
      </c>
      <c r="B199" s="10" t="s">
        <v>17</v>
      </c>
      <c r="C199" s="11" t="s">
        <v>39</v>
      </c>
      <c r="D199" s="13">
        <v>1800</v>
      </c>
      <c r="E199" s="13">
        <f t="shared" si="36"/>
        <v>21600</v>
      </c>
      <c r="F199" s="13">
        <f t="shared" si="41"/>
        <v>23868</v>
      </c>
      <c r="G199" s="2"/>
      <c r="H199" s="2"/>
      <c r="I199" s="13">
        <f>20000/17</f>
        <v>1176.4705882352941</v>
      </c>
      <c r="J199" s="13">
        <f t="shared" si="38"/>
        <v>14117.64705882353</v>
      </c>
      <c r="K199" s="13">
        <f t="shared" si="39"/>
        <v>9750.3529411764703</v>
      </c>
      <c r="L199" s="18">
        <f>IFERROR(K199/E199, 0)</f>
        <v>0.45140522875816991</v>
      </c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2">
        <v>0.5</v>
      </c>
      <c r="B200" s="10" t="s">
        <v>17</v>
      </c>
      <c r="C200" s="11" t="s">
        <v>18</v>
      </c>
      <c r="D200" s="13">
        <v>1600</v>
      </c>
      <c r="E200" s="13">
        <f t="shared" si="36"/>
        <v>800</v>
      </c>
      <c r="F200" s="13">
        <f t="shared" si="41"/>
        <v>884</v>
      </c>
      <c r="G200" s="2"/>
      <c r="H200" s="2"/>
      <c r="I200" s="13">
        <f>16000/15</f>
        <v>1066.6666666666667</v>
      </c>
      <c r="J200" s="13">
        <f t="shared" si="38"/>
        <v>533.33333333333337</v>
      </c>
      <c r="K200" s="13">
        <f t="shared" si="39"/>
        <v>350.66666666666663</v>
      </c>
      <c r="L200" s="14">
        <f t="shared" ref="L200:L207" si="42">IFERROR(K200/E200, 0)</f>
        <v>0.4383333333333333</v>
      </c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2">
        <v>3</v>
      </c>
      <c r="B201" s="10" t="s">
        <v>21</v>
      </c>
      <c r="C201" s="11" t="s">
        <v>22</v>
      </c>
      <c r="D201" s="13">
        <v>1500</v>
      </c>
      <c r="E201" s="13">
        <f t="shared" si="36"/>
        <v>4500</v>
      </c>
      <c r="F201" s="13">
        <f t="shared" si="41"/>
        <v>4972.5</v>
      </c>
      <c r="G201" s="2"/>
      <c r="H201" s="2"/>
      <c r="I201" s="13">
        <v>800</v>
      </c>
      <c r="J201" s="13">
        <f t="shared" si="38"/>
        <v>2400</v>
      </c>
      <c r="K201" s="13">
        <f t="shared" si="39"/>
        <v>2572.5</v>
      </c>
      <c r="L201" s="14">
        <f t="shared" si="42"/>
        <v>0.57166666666666666</v>
      </c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2">
        <v>2</v>
      </c>
      <c r="B202" s="10" t="s">
        <v>17</v>
      </c>
      <c r="C202" s="11" t="s">
        <v>43</v>
      </c>
      <c r="D202" s="13">
        <v>4500</v>
      </c>
      <c r="E202" s="13">
        <f t="shared" si="36"/>
        <v>9000</v>
      </c>
      <c r="F202" s="13">
        <f t="shared" si="41"/>
        <v>9945</v>
      </c>
      <c r="G202" s="2"/>
      <c r="H202" s="2"/>
      <c r="I202" s="13">
        <f>17000/5</f>
        <v>3400</v>
      </c>
      <c r="J202" s="13">
        <f t="shared" si="38"/>
        <v>6800</v>
      </c>
      <c r="K202" s="13">
        <f t="shared" si="39"/>
        <v>3145</v>
      </c>
      <c r="L202" s="14">
        <f t="shared" si="42"/>
        <v>0.34944444444444445</v>
      </c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2">
        <v>10</v>
      </c>
      <c r="B203" s="10" t="s">
        <v>21</v>
      </c>
      <c r="C203" s="11" t="s">
        <v>46</v>
      </c>
      <c r="D203" s="13">
        <v>850</v>
      </c>
      <c r="E203" s="13">
        <f t="shared" si="36"/>
        <v>8500</v>
      </c>
      <c r="F203" s="13">
        <f t="shared" si="41"/>
        <v>9392.5</v>
      </c>
      <c r="G203" s="2"/>
      <c r="H203" s="2"/>
      <c r="I203" s="13">
        <f>16000/24</f>
        <v>666.66666666666663</v>
      </c>
      <c r="J203" s="13">
        <f t="shared" si="38"/>
        <v>6666.6666666666661</v>
      </c>
      <c r="K203" s="13">
        <f t="shared" si="39"/>
        <v>2725.8333333333339</v>
      </c>
      <c r="L203" s="14">
        <f t="shared" si="42"/>
        <v>0.32068627450980397</v>
      </c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2">
        <v>3</v>
      </c>
      <c r="B204" s="10" t="s">
        <v>17</v>
      </c>
      <c r="C204" s="11" t="s">
        <v>24</v>
      </c>
      <c r="D204" s="13">
        <v>3600</v>
      </c>
      <c r="E204" s="13">
        <f t="shared" si="36"/>
        <v>10800</v>
      </c>
      <c r="F204" s="13">
        <f t="shared" si="41"/>
        <v>11934</v>
      </c>
      <c r="G204" s="2"/>
      <c r="H204" s="2"/>
      <c r="I204" s="13">
        <f>50000/17</f>
        <v>2941.1764705882351</v>
      </c>
      <c r="J204" s="13">
        <f t="shared" si="38"/>
        <v>8823.5294117647063</v>
      </c>
      <c r="K204" s="13">
        <f t="shared" si="39"/>
        <v>3110.4705882352937</v>
      </c>
      <c r="L204" s="14">
        <f t="shared" si="42"/>
        <v>0.28800653594771236</v>
      </c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2">
        <v>3</v>
      </c>
      <c r="B205" s="10" t="s">
        <v>17</v>
      </c>
      <c r="C205" s="11" t="s">
        <v>25</v>
      </c>
      <c r="D205" s="13">
        <v>4500</v>
      </c>
      <c r="E205" s="13">
        <f t="shared" si="36"/>
        <v>13500</v>
      </c>
      <c r="F205" s="13">
        <f t="shared" si="41"/>
        <v>14917.5</v>
      </c>
      <c r="G205" s="2"/>
      <c r="H205" s="2"/>
      <c r="I205" s="13">
        <f>70000/19</f>
        <v>3684.2105263157896</v>
      </c>
      <c r="J205" s="13">
        <f t="shared" si="38"/>
        <v>11052.631578947368</v>
      </c>
      <c r="K205" s="13">
        <f t="shared" si="39"/>
        <v>3864.8684210526317</v>
      </c>
      <c r="L205" s="14">
        <f t="shared" si="42"/>
        <v>0.28628654970760237</v>
      </c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2">
        <v>1.5</v>
      </c>
      <c r="B206" s="10" t="s">
        <v>23</v>
      </c>
      <c r="C206" s="11" t="s">
        <v>26</v>
      </c>
      <c r="D206" s="13">
        <v>19000</v>
      </c>
      <c r="E206" s="13">
        <f t="shared" si="36"/>
        <v>28500</v>
      </c>
      <c r="F206" s="13">
        <f t="shared" si="41"/>
        <v>31492.5</v>
      </c>
      <c r="G206" s="2"/>
      <c r="H206" s="2"/>
      <c r="I206" s="13">
        <v>12000</v>
      </c>
      <c r="J206" s="13">
        <f t="shared" si="38"/>
        <v>18000</v>
      </c>
      <c r="K206" s="13">
        <f t="shared" si="39"/>
        <v>13492.5</v>
      </c>
      <c r="L206" s="14">
        <f t="shared" si="42"/>
        <v>0.47342105263157896</v>
      </c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2">
        <v>3</v>
      </c>
      <c r="B207" s="10" t="s">
        <v>17</v>
      </c>
      <c r="C207" s="11" t="s">
        <v>62</v>
      </c>
      <c r="D207" s="13">
        <v>2800</v>
      </c>
      <c r="E207" s="13">
        <f t="shared" si="36"/>
        <v>8400</v>
      </c>
      <c r="F207" s="13">
        <f t="shared" si="41"/>
        <v>9282</v>
      </c>
      <c r="G207" s="2"/>
      <c r="H207" s="2"/>
      <c r="I207" s="13">
        <f>28000/17</f>
        <v>1647.0588235294117</v>
      </c>
      <c r="J207" s="13">
        <f t="shared" si="38"/>
        <v>4941.1764705882351</v>
      </c>
      <c r="K207" s="13">
        <f t="shared" si="39"/>
        <v>4340.8235294117649</v>
      </c>
      <c r="L207" s="14">
        <f t="shared" si="42"/>
        <v>0.51676470588235301</v>
      </c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5"/>
      <c r="B208" s="2"/>
      <c r="C208" s="4"/>
      <c r="D208" s="2"/>
      <c r="E208" s="2"/>
      <c r="F208" s="2"/>
      <c r="G208" s="2"/>
      <c r="H208" s="2"/>
      <c r="I208" s="2"/>
      <c r="J208" s="2"/>
      <c r="K208" s="2"/>
      <c r="L208" s="3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"/>
      <c r="B209" s="2"/>
      <c r="C209" s="4"/>
      <c r="D209" s="2"/>
      <c r="E209" s="13">
        <f t="shared" ref="E209:F209" si="43">SUM(E181:E207)</f>
        <v>244260</v>
      </c>
      <c r="F209" s="13">
        <f t="shared" si="43"/>
        <v>272742.3</v>
      </c>
      <c r="G209" s="2"/>
      <c r="H209" s="2"/>
      <c r="I209" s="2"/>
      <c r="J209" s="2"/>
      <c r="K209" s="13">
        <f>SUM(K181:K207)</f>
        <v>112671.01677857747</v>
      </c>
      <c r="L209" s="14">
        <f>K209/F209</f>
        <v>0.41310429947454969</v>
      </c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0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6"/>
      <c r="B211" s="1"/>
      <c r="C211" s="1"/>
      <c r="D211" s="22"/>
      <c r="E211" s="8"/>
      <c r="F211" s="24"/>
      <c r="G211" s="2"/>
      <c r="H211" s="2"/>
      <c r="I211" s="2"/>
      <c r="J211" s="2"/>
      <c r="K211" s="2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6" t="s">
        <v>116</v>
      </c>
      <c r="B212" s="1"/>
      <c r="C212" s="1"/>
      <c r="D212" s="22" t="s">
        <v>1177</v>
      </c>
      <c r="E212" s="8">
        <v>46142</v>
      </c>
      <c r="F212" s="24" t="s">
        <v>37</v>
      </c>
      <c r="G212" s="2"/>
      <c r="H212" s="2"/>
      <c r="I212" s="2"/>
      <c r="J212" s="2"/>
      <c r="K212" s="2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2"/>
      <c r="C213" s="4"/>
      <c r="D213" s="2"/>
      <c r="E213" s="2"/>
      <c r="F213" s="2"/>
      <c r="G213" s="2"/>
      <c r="H213" s="2"/>
      <c r="I213" s="2"/>
      <c r="J213" s="2"/>
      <c r="K213" s="2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6" t="s">
        <v>3</v>
      </c>
      <c r="B214" s="10" t="s">
        <v>4</v>
      </c>
      <c r="C214" s="11" t="s">
        <v>5</v>
      </c>
      <c r="D214" s="10" t="s">
        <v>6</v>
      </c>
      <c r="E214" s="10" t="s">
        <v>7</v>
      </c>
      <c r="F214" s="2"/>
      <c r="G214" s="2"/>
      <c r="H214" s="2"/>
      <c r="I214" s="10" t="s">
        <v>6</v>
      </c>
      <c r="J214" s="10" t="s">
        <v>7</v>
      </c>
      <c r="K214" s="10" t="s">
        <v>10</v>
      </c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2">
        <v>3</v>
      </c>
      <c r="B215" s="10" t="s">
        <v>15</v>
      </c>
      <c r="C215" s="11" t="s">
        <v>27</v>
      </c>
      <c r="D215" s="13">
        <v>24000</v>
      </c>
      <c r="E215" s="13">
        <f t="shared" ref="E215:E235" si="44">A215*D215</f>
        <v>72000</v>
      </c>
      <c r="F215" s="2"/>
      <c r="G215" s="2"/>
      <c r="H215" s="2"/>
      <c r="I215" s="13">
        <v>19000</v>
      </c>
      <c r="J215" s="13">
        <f t="shared" ref="J215:J235" si="45">I215*A215</f>
        <v>57000</v>
      </c>
      <c r="K215" s="13">
        <f t="shared" ref="K215:K235" si="46">E215-J215</f>
        <v>15000</v>
      </c>
      <c r="L215" s="14">
        <f t="shared" ref="L215:L235" si="47">K215/E215</f>
        <v>0.20833333333333334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2">
        <v>2</v>
      </c>
      <c r="B216" s="10" t="s">
        <v>21</v>
      </c>
      <c r="C216" s="11" t="s">
        <v>51</v>
      </c>
      <c r="D216" s="13">
        <v>1500</v>
      </c>
      <c r="E216" s="13">
        <f t="shared" si="44"/>
        <v>3000</v>
      </c>
      <c r="F216" s="2"/>
      <c r="G216" s="2"/>
      <c r="H216" s="2"/>
      <c r="I216" s="13">
        <v>500</v>
      </c>
      <c r="J216" s="13">
        <f t="shared" si="45"/>
        <v>1000</v>
      </c>
      <c r="K216" s="13">
        <f t="shared" si="46"/>
        <v>2000</v>
      </c>
      <c r="L216" s="14">
        <f t="shared" si="47"/>
        <v>0.66666666666666663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2">
        <v>3</v>
      </c>
      <c r="B217" s="10" t="s">
        <v>23</v>
      </c>
      <c r="C217" s="11" t="s">
        <v>22</v>
      </c>
      <c r="D217" s="13">
        <v>12000</v>
      </c>
      <c r="E217" s="13">
        <f t="shared" si="44"/>
        <v>36000</v>
      </c>
      <c r="F217" s="2"/>
      <c r="G217" s="2"/>
      <c r="H217" s="2"/>
      <c r="I217" s="13">
        <v>8000</v>
      </c>
      <c r="J217" s="13">
        <f t="shared" si="45"/>
        <v>24000</v>
      </c>
      <c r="K217" s="13">
        <f t="shared" si="46"/>
        <v>12000</v>
      </c>
      <c r="L217" s="14">
        <f t="shared" si="47"/>
        <v>0.33333333333333331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2">
        <v>5</v>
      </c>
      <c r="B218" s="10" t="s">
        <v>4</v>
      </c>
      <c r="C218" s="11" t="s">
        <v>13</v>
      </c>
      <c r="D218" s="13">
        <v>900</v>
      </c>
      <c r="E218" s="13">
        <f t="shared" si="44"/>
        <v>4500</v>
      </c>
      <c r="F218" s="2"/>
      <c r="G218" s="2"/>
      <c r="H218" s="2"/>
      <c r="I218" s="13">
        <v>540</v>
      </c>
      <c r="J218" s="13">
        <f t="shared" si="45"/>
        <v>2700</v>
      </c>
      <c r="K218" s="13">
        <f t="shared" si="46"/>
        <v>1800</v>
      </c>
      <c r="L218" s="14">
        <f t="shared" si="47"/>
        <v>0.4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2">
        <v>3</v>
      </c>
      <c r="B219" s="10" t="s">
        <v>17</v>
      </c>
      <c r="C219" s="11" t="s">
        <v>18</v>
      </c>
      <c r="D219" s="13">
        <v>1600</v>
      </c>
      <c r="E219" s="13">
        <f t="shared" si="44"/>
        <v>4800</v>
      </c>
      <c r="F219" s="2"/>
      <c r="G219" s="2"/>
      <c r="H219" s="2"/>
      <c r="I219" s="13">
        <f>16000/15</f>
        <v>1066.6666666666667</v>
      </c>
      <c r="J219" s="13">
        <f t="shared" si="45"/>
        <v>3200</v>
      </c>
      <c r="K219" s="13">
        <f t="shared" si="46"/>
        <v>1600</v>
      </c>
      <c r="L219" s="14">
        <f t="shared" si="47"/>
        <v>0.33333333333333331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2">
        <v>1</v>
      </c>
      <c r="B220" s="10" t="s">
        <v>21</v>
      </c>
      <c r="C220" s="11" t="s">
        <v>151</v>
      </c>
      <c r="D220" s="13">
        <v>3500</v>
      </c>
      <c r="E220" s="13">
        <f t="shared" si="44"/>
        <v>3500</v>
      </c>
      <c r="F220" s="2"/>
      <c r="G220" s="2"/>
      <c r="H220" s="2"/>
      <c r="I220" s="13">
        <v>2500</v>
      </c>
      <c r="J220" s="13">
        <f t="shared" si="45"/>
        <v>2500</v>
      </c>
      <c r="K220" s="13">
        <f t="shared" si="46"/>
        <v>1000</v>
      </c>
      <c r="L220" s="14">
        <f t="shared" si="47"/>
        <v>0.2857142857142857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2">
        <v>3</v>
      </c>
      <c r="B221" s="10" t="s">
        <v>17</v>
      </c>
      <c r="C221" s="11" t="s">
        <v>39</v>
      </c>
      <c r="D221" s="13">
        <v>1800</v>
      </c>
      <c r="E221" s="13">
        <f t="shared" si="44"/>
        <v>5400</v>
      </c>
      <c r="F221" s="2"/>
      <c r="G221" s="2"/>
      <c r="H221" s="2"/>
      <c r="I221" s="13">
        <f>20000/17</f>
        <v>1176.4705882352941</v>
      </c>
      <c r="J221" s="13">
        <f t="shared" si="45"/>
        <v>3529.4117647058824</v>
      </c>
      <c r="K221" s="13">
        <f t="shared" si="46"/>
        <v>1870.5882352941176</v>
      </c>
      <c r="L221" s="14">
        <f t="shared" si="47"/>
        <v>0.34640522875816993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2">
        <v>1</v>
      </c>
      <c r="B222" s="10" t="s">
        <v>17</v>
      </c>
      <c r="C222" s="11" t="s">
        <v>113</v>
      </c>
      <c r="D222" s="13">
        <v>4000</v>
      </c>
      <c r="E222" s="13">
        <f t="shared" si="44"/>
        <v>4000</v>
      </c>
      <c r="F222" s="2"/>
      <c r="G222" s="2"/>
      <c r="H222" s="2"/>
      <c r="I222" s="13">
        <v>2000</v>
      </c>
      <c r="J222" s="13">
        <f t="shared" si="45"/>
        <v>2000</v>
      </c>
      <c r="K222" s="13">
        <f t="shared" si="46"/>
        <v>2000</v>
      </c>
      <c r="L222" s="14">
        <f t="shared" si="47"/>
        <v>0.5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2">
        <v>1</v>
      </c>
      <c r="B223" s="10" t="s">
        <v>21</v>
      </c>
      <c r="C223" s="11" t="s">
        <v>1082</v>
      </c>
      <c r="D223" s="13">
        <v>3000</v>
      </c>
      <c r="E223" s="13">
        <f t="shared" si="44"/>
        <v>3000</v>
      </c>
      <c r="F223" s="2"/>
      <c r="G223" s="2"/>
      <c r="H223" s="2"/>
      <c r="I223" s="13">
        <v>2000</v>
      </c>
      <c r="J223" s="13">
        <f t="shared" si="45"/>
        <v>2000</v>
      </c>
      <c r="K223" s="13">
        <f t="shared" si="46"/>
        <v>1000</v>
      </c>
      <c r="L223" s="14">
        <f t="shared" si="47"/>
        <v>0.33333333333333331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2">
        <v>1</v>
      </c>
      <c r="B224" s="10" t="s">
        <v>21</v>
      </c>
      <c r="C224" s="11" t="s">
        <v>1041</v>
      </c>
      <c r="D224" s="13">
        <v>3000</v>
      </c>
      <c r="E224" s="13">
        <f t="shared" si="44"/>
        <v>3000</v>
      </c>
      <c r="F224" s="2"/>
      <c r="G224" s="2"/>
      <c r="H224" s="2"/>
      <c r="I224" s="13">
        <v>2000</v>
      </c>
      <c r="J224" s="13">
        <f t="shared" si="45"/>
        <v>2000</v>
      </c>
      <c r="K224" s="13">
        <f t="shared" si="46"/>
        <v>1000</v>
      </c>
      <c r="L224" s="14">
        <f t="shared" si="47"/>
        <v>0.33333333333333331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2">
        <v>1</v>
      </c>
      <c r="B225" s="10" t="s">
        <v>21</v>
      </c>
      <c r="C225" s="11" t="s">
        <v>42</v>
      </c>
      <c r="D225" s="13">
        <v>4000</v>
      </c>
      <c r="E225" s="13">
        <f t="shared" si="44"/>
        <v>4000</v>
      </c>
      <c r="F225" s="2"/>
      <c r="G225" s="2"/>
      <c r="H225" s="2"/>
      <c r="I225" s="13">
        <v>2700</v>
      </c>
      <c r="J225" s="13">
        <f t="shared" si="45"/>
        <v>2700</v>
      </c>
      <c r="K225" s="13">
        <f t="shared" si="46"/>
        <v>1300</v>
      </c>
      <c r="L225" s="14">
        <f t="shared" si="47"/>
        <v>0.32500000000000001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2">
        <v>1</v>
      </c>
      <c r="B226" s="10" t="s">
        <v>21</v>
      </c>
      <c r="C226" s="11" t="s">
        <v>34</v>
      </c>
      <c r="D226" s="13">
        <v>5000</v>
      </c>
      <c r="E226" s="13">
        <f t="shared" si="44"/>
        <v>5000</v>
      </c>
      <c r="F226" s="2"/>
      <c r="G226" s="2"/>
      <c r="H226" s="2"/>
      <c r="I226" s="13">
        <v>3000</v>
      </c>
      <c r="J226" s="13">
        <f t="shared" si="45"/>
        <v>3000</v>
      </c>
      <c r="K226" s="13">
        <f t="shared" si="46"/>
        <v>2000</v>
      </c>
      <c r="L226" s="14">
        <f t="shared" si="47"/>
        <v>0.4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2">
        <v>1</v>
      </c>
      <c r="B227" s="10" t="s">
        <v>21</v>
      </c>
      <c r="C227" s="11" t="s">
        <v>28</v>
      </c>
      <c r="D227" s="13">
        <v>3500</v>
      </c>
      <c r="E227" s="13">
        <f t="shared" si="44"/>
        <v>3500</v>
      </c>
      <c r="F227" s="2"/>
      <c r="G227" s="2"/>
      <c r="H227" s="2"/>
      <c r="I227" s="13">
        <v>2500</v>
      </c>
      <c r="J227" s="13">
        <f t="shared" si="45"/>
        <v>2500</v>
      </c>
      <c r="K227" s="13">
        <f t="shared" si="46"/>
        <v>1000</v>
      </c>
      <c r="L227" s="14">
        <f t="shared" si="47"/>
        <v>0.2857142857142857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2">
        <v>1</v>
      </c>
      <c r="B228" s="10" t="s">
        <v>23</v>
      </c>
      <c r="C228" s="11" t="s">
        <v>46</v>
      </c>
      <c r="D228" s="13">
        <v>18000</v>
      </c>
      <c r="E228" s="13">
        <f t="shared" si="44"/>
        <v>18000</v>
      </c>
      <c r="F228" s="2"/>
      <c r="G228" s="2"/>
      <c r="H228" s="2"/>
      <c r="I228" s="13">
        <v>16000</v>
      </c>
      <c r="J228" s="13">
        <f t="shared" si="45"/>
        <v>16000</v>
      </c>
      <c r="K228" s="13">
        <f t="shared" si="46"/>
        <v>2000</v>
      </c>
      <c r="L228" s="14">
        <f t="shared" si="47"/>
        <v>0.1111111111111111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2">
        <v>0.5</v>
      </c>
      <c r="B229" s="10" t="s">
        <v>23</v>
      </c>
      <c r="C229" s="11" t="s">
        <v>118</v>
      </c>
      <c r="D229" s="13">
        <v>15000</v>
      </c>
      <c r="E229" s="13">
        <f t="shared" si="44"/>
        <v>7500</v>
      </c>
      <c r="F229" s="2"/>
      <c r="G229" s="2"/>
      <c r="H229" s="2"/>
      <c r="I229" s="13">
        <v>11000</v>
      </c>
      <c r="J229" s="13">
        <f t="shared" si="45"/>
        <v>5500</v>
      </c>
      <c r="K229" s="13">
        <f t="shared" si="46"/>
        <v>2000</v>
      </c>
      <c r="L229" s="14">
        <f t="shared" si="47"/>
        <v>0.26666666666666666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2">
        <v>0.5</v>
      </c>
      <c r="B230" s="10" t="s">
        <v>23</v>
      </c>
      <c r="C230" s="11" t="s">
        <v>110</v>
      </c>
      <c r="D230" s="13">
        <v>20000</v>
      </c>
      <c r="E230" s="13">
        <f t="shared" si="44"/>
        <v>10000</v>
      </c>
      <c r="F230" s="2"/>
      <c r="G230" s="2"/>
      <c r="H230" s="2"/>
      <c r="I230" s="13">
        <v>16000</v>
      </c>
      <c r="J230" s="13">
        <f t="shared" si="45"/>
        <v>8000</v>
      </c>
      <c r="K230" s="13">
        <f t="shared" si="46"/>
        <v>2000</v>
      </c>
      <c r="L230" s="14">
        <f t="shared" si="47"/>
        <v>0.2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2">
        <v>1</v>
      </c>
      <c r="B231" s="10" t="s">
        <v>17</v>
      </c>
      <c r="C231" s="11" t="s">
        <v>35</v>
      </c>
      <c r="D231" s="13">
        <v>2000</v>
      </c>
      <c r="E231" s="13">
        <f t="shared" si="44"/>
        <v>2000</v>
      </c>
      <c r="F231" s="2"/>
      <c r="G231" s="2"/>
      <c r="H231" s="2"/>
      <c r="I231" s="13">
        <f>10000/9</f>
        <v>1111.1111111111111</v>
      </c>
      <c r="J231" s="13">
        <f t="shared" si="45"/>
        <v>1111.1111111111111</v>
      </c>
      <c r="K231" s="13">
        <f t="shared" si="46"/>
        <v>888.88888888888891</v>
      </c>
      <c r="L231" s="14">
        <f t="shared" si="47"/>
        <v>0.44444444444444448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2">
        <v>1</v>
      </c>
      <c r="B232" s="10" t="s">
        <v>17</v>
      </c>
      <c r="C232" s="11" t="s">
        <v>129</v>
      </c>
      <c r="D232" s="13">
        <v>1600</v>
      </c>
      <c r="E232" s="13">
        <f t="shared" si="44"/>
        <v>1600</v>
      </c>
      <c r="F232" s="2"/>
      <c r="G232" s="2"/>
      <c r="H232" s="2"/>
      <c r="I232" s="13">
        <f>1000</f>
        <v>1000</v>
      </c>
      <c r="J232" s="13">
        <f t="shared" si="45"/>
        <v>1000</v>
      </c>
      <c r="K232" s="13">
        <f t="shared" si="46"/>
        <v>600</v>
      </c>
      <c r="L232" s="14">
        <f t="shared" si="47"/>
        <v>0.375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2">
        <v>1</v>
      </c>
      <c r="B233" s="10" t="s">
        <v>17</v>
      </c>
      <c r="C233" s="11" t="s">
        <v>25</v>
      </c>
      <c r="D233" s="13">
        <v>4500</v>
      </c>
      <c r="E233" s="13">
        <f t="shared" si="44"/>
        <v>4500</v>
      </c>
      <c r="F233" s="2"/>
      <c r="G233" s="2"/>
      <c r="H233" s="2"/>
      <c r="I233" s="13">
        <f>70000/19</f>
        <v>3684.2105263157896</v>
      </c>
      <c r="J233" s="13">
        <f t="shared" si="45"/>
        <v>3684.2105263157896</v>
      </c>
      <c r="K233" s="13">
        <f t="shared" si="46"/>
        <v>815.78947368421041</v>
      </c>
      <c r="L233" s="14">
        <f t="shared" si="47"/>
        <v>0.1812865497076023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2">
        <v>1</v>
      </c>
      <c r="B234" s="10" t="s">
        <v>17</v>
      </c>
      <c r="C234" s="11" t="s">
        <v>87</v>
      </c>
      <c r="D234" s="13">
        <v>2800</v>
      </c>
      <c r="E234" s="13">
        <f t="shared" si="44"/>
        <v>2800</v>
      </c>
      <c r="F234" s="2"/>
      <c r="G234" s="2"/>
      <c r="H234" s="2"/>
      <c r="I234" s="13">
        <f>28000/17</f>
        <v>1647.0588235294117</v>
      </c>
      <c r="J234" s="13">
        <f t="shared" si="45"/>
        <v>1647.0588235294117</v>
      </c>
      <c r="K234" s="13">
        <f t="shared" si="46"/>
        <v>1152.9411764705883</v>
      </c>
      <c r="L234" s="14">
        <f t="shared" si="47"/>
        <v>0.41176470588235298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2">
        <v>1</v>
      </c>
      <c r="B235" s="10" t="s">
        <v>17</v>
      </c>
      <c r="C235" s="11" t="s">
        <v>24</v>
      </c>
      <c r="D235" s="13">
        <v>3600</v>
      </c>
      <c r="E235" s="13">
        <f t="shared" si="44"/>
        <v>3600</v>
      </c>
      <c r="F235" s="2"/>
      <c r="G235" s="2"/>
      <c r="H235" s="2"/>
      <c r="I235" s="13">
        <f>50000/17</f>
        <v>2941.1764705882351</v>
      </c>
      <c r="J235" s="13">
        <f t="shared" si="45"/>
        <v>2941.1764705882351</v>
      </c>
      <c r="K235" s="13">
        <f t="shared" si="46"/>
        <v>658.82352941176487</v>
      </c>
      <c r="L235" s="14">
        <f t="shared" si="47"/>
        <v>0.18300653594771246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"/>
      <c r="B236" s="2"/>
      <c r="C236" s="4"/>
      <c r="D236" s="2"/>
      <c r="E236" s="2"/>
      <c r="F236" s="2"/>
      <c r="G236" s="4"/>
      <c r="H236" s="2"/>
      <c r="I236" s="2"/>
      <c r="J236" s="2"/>
      <c r="K236" s="2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"/>
      <c r="B237" s="2"/>
      <c r="C237" s="4"/>
      <c r="D237" s="2"/>
      <c r="E237" s="13">
        <f>SUM(E215:E235)</f>
        <v>201700</v>
      </c>
      <c r="F237" s="2"/>
      <c r="G237" s="2"/>
      <c r="H237" s="2"/>
      <c r="I237" s="2"/>
      <c r="J237" s="2"/>
      <c r="K237" s="13">
        <f>SUM(K215:K235)</f>
        <v>53687.031303749573</v>
      </c>
      <c r="L237" s="14">
        <f>K237/E237</f>
        <v>0.26617268866509458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0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0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6" t="s">
        <v>149</v>
      </c>
      <c r="B240" s="1"/>
      <c r="C240" s="1"/>
      <c r="D240" s="22" t="s">
        <v>173</v>
      </c>
      <c r="E240" s="8">
        <v>46142</v>
      </c>
      <c r="F240" s="24" t="s">
        <v>37</v>
      </c>
      <c r="G240" s="2"/>
      <c r="H240" s="2"/>
      <c r="I240" s="2"/>
      <c r="J240" s="2"/>
      <c r="K240" s="2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2"/>
      <c r="C241" s="4"/>
      <c r="D241" s="2"/>
      <c r="E241" s="2"/>
      <c r="F241" s="2"/>
      <c r="G241" s="2"/>
      <c r="H241" s="2"/>
      <c r="I241" s="2"/>
      <c r="J241" s="2"/>
      <c r="K241" s="2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6" t="s">
        <v>3</v>
      </c>
      <c r="B242" s="10" t="s">
        <v>4</v>
      </c>
      <c r="C242" s="11" t="s">
        <v>5</v>
      </c>
      <c r="D242" s="10" t="s">
        <v>6</v>
      </c>
      <c r="E242" s="10" t="s">
        <v>7</v>
      </c>
      <c r="F242" s="2"/>
      <c r="G242" s="2"/>
      <c r="H242" s="2"/>
      <c r="I242" s="10" t="s">
        <v>6</v>
      </c>
      <c r="J242" s="10" t="s">
        <v>7</v>
      </c>
      <c r="K242" s="10" t="s">
        <v>10</v>
      </c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2">
        <v>1</v>
      </c>
      <c r="B243" s="10" t="s">
        <v>23</v>
      </c>
      <c r="C243" s="11" t="s">
        <v>31</v>
      </c>
      <c r="D243" s="13">
        <v>32000</v>
      </c>
      <c r="E243" s="13">
        <f t="shared" ref="E243:E260" si="48">A243*D243</f>
        <v>32000</v>
      </c>
      <c r="F243" s="2"/>
      <c r="G243" s="2"/>
      <c r="H243" s="2"/>
      <c r="I243" s="13">
        <v>25000</v>
      </c>
      <c r="J243" s="13">
        <f t="shared" ref="J243:J260" si="49">I243*A243</f>
        <v>25000</v>
      </c>
      <c r="K243" s="13">
        <f t="shared" ref="K243:K260" si="50">E243-J243</f>
        <v>7000</v>
      </c>
      <c r="L243" s="14">
        <f t="shared" ref="L243:L260" si="51">K243/E243</f>
        <v>0.21875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2">
        <v>1</v>
      </c>
      <c r="B244" s="10" t="s">
        <v>23</v>
      </c>
      <c r="C244" s="11" t="s">
        <v>46</v>
      </c>
      <c r="D244" s="13">
        <v>20000</v>
      </c>
      <c r="E244" s="13">
        <f t="shared" si="48"/>
        <v>20000</v>
      </c>
      <c r="F244" s="2"/>
      <c r="G244" s="2"/>
      <c r="H244" s="2"/>
      <c r="I244" s="13">
        <v>16000</v>
      </c>
      <c r="J244" s="13">
        <f t="shared" si="49"/>
        <v>16000</v>
      </c>
      <c r="K244" s="13">
        <f t="shared" si="50"/>
        <v>4000</v>
      </c>
      <c r="L244" s="14">
        <f t="shared" si="51"/>
        <v>0.2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2">
        <v>0.5</v>
      </c>
      <c r="B245" s="10" t="s">
        <v>23</v>
      </c>
      <c r="C245" s="11" t="s">
        <v>118</v>
      </c>
      <c r="D245" s="13">
        <v>15000</v>
      </c>
      <c r="E245" s="13">
        <f t="shared" si="48"/>
        <v>7500</v>
      </c>
      <c r="F245" s="2"/>
      <c r="G245" s="2"/>
      <c r="H245" s="2"/>
      <c r="I245" s="13">
        <v>11000</v>
      </c>
      <c r="J245" s="13">
        <f t="shared" si="49"/>
        <v>5500</v>
      </c>
      <c r="K245" s="13">
        <f t="shared" si="50"/>
        <v>2000</v>
      </c>
      <c r="L245" s="14">
        <f t="shared" si="51"/>
        <v>0.26666666666666666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2">
        <v>0.5</v>
      </c>
      <c r="B246" s="10" t="s">
        <v>23</v>
      </c>
      <c r="C246" s="11" t="s">
        <v>110</v>
      </c>
      <c r="D246" s="13">
        <v>20000</v>
      </c>
      <c r="E246" s="13">
        <f t="shared" si="48"/>
        <v>10000</v>
      </c>
      <c r="F246" s="2"/>
      <c r="G246" s="2"/>
      <c r="H246" s="2"/>
      <c r="I246" s="13">
        <v>16000</v>
      </c>
      <c r="J246" s="13">
        <f t="shared" si="49"/>
        <v>8000</v>
      </c>
      <c r="K246" s="13">
        <f t="shared" si="50"/>
        <v>2000</v>
      </c>
      <c r="L246" s="14">
        <f t="shared" si="51"/>
        <v>0.2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2">
        <v>0.5</v>
      </c>
      <c r="B247" s="10" t="s">
        <v>23</v>
      </c>
      <c r="C247" s="11" t="s">
        <v>85</v>
      </c>
      <c r="D247" s="13">
        <v>58000</v>
      </c>
      <c r="E247" s="13">
        <f t="shared" si="48"/>
        <v>29000</v>
      </c>
      <c r="F247" s="2"/>
      <c r="G247" s="2"/>
      <c r="H247" s="2"/>
      <c r="I247" s="13">
        <v>52000</v>
      </c>
      <c r="J247" s="13">
        <f t="shared" si="49"/>
        <v>26000</v>
      </c>
      <c r="K247" s="13">
        <f t="shared" si="50"/>
        <v>3000</v>
      </c>
      <c r="L247" s="14">
        <f t="shared" si="51"/>
        <v>0.10344827586206896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2">
        <v>2</v>
      </c>
      <c r="B248" s="10" t="s">
        <v>21</v>
      </c>
      <c r="C248" s="11" t="s">
        <v>51</v>
      </c>
      <c r="D248" s="13">
        <v>1500</v>
      </c>
      <c r="E248" s="13">
        <f t="shared" si="48"/>
        <v>3000</v>
      </c>
      <c r="F248" s="2"/>
      <c r="G248" s="2"/>
      <c r="H248" s="2"/>
      <c r="I248" s="13">
        <v>500</v>
      </c>
      <c r="J248" s="13">
        <f t="shared" si="49"/>
        <v>1000</v>
      </c>
      <c r="K248" s="13">
        <f t="shared" si="50"/>
        <v>2000</v>
      </c>
      <c r="L248" s="36">
        <f t="shared" si="51"/>
        <v>0.66666666666666663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2">
        <v>1</v>
      </c>
      <c r="B249" s="10" t="s">
        <v>21</v>
      </c>
      <c r="C249" s="11" t="s">
        <v>42</v>
      </c>
      <c r="D249" s="13">
        <v>4000</v>
      </c>
      <c r="E249" s="13">
        <f t="shared" si="48"/>
        <v>4000</v>
      </c>
      <c r="F249" s="2"/>
      <c r="G249" s="2"/>
      <c r="H249" s="2"/>
      <c r="I249" s="13">
        <v>2700</v>
      </c>
      <c r="J249" s="13">
        <f t="shared" si="49"/>
        <v>2700</v>
      </c>
      <c r="K249" s="13">
        <f t="shared" si="50"/>
        <v>1300</v>
      </c>
      <c r="L249" s="14">
        <f t="shared" si="51"/>
        <v>0.32500000000000001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2">
        <v>1</v>
      </c>
      <c r="B250" s="10" t="s">
        <v>21</v>
      </c>
      <c r="C250" s="11" t="s">
        <v>1082</v>
      </c>
      <c r="D250" s="13">
        <v>3000</v>
      </c>
      <c r="E250" s="13">
        <f t="shared" si="48"/>
        <v>3000</v>
      </c>
      <c r="F250" s="2"/>
      <c r="G250" s="2"/>
      <c r="H250" s="2"/>
      <c r="I250" s="13">
        <v>2000</v>
      </c>
      <c r="J250" s="13">
        <f t="shared" si="49"/>
        <v>2000</v>
      </c>
      <c r="K250" s="13">
        <f t="shared" si="50"/>
        <v>1000</v>
      </c>
      <c r="L250" s="14">
        <f t="shared" si="51"/>
        <v>0.33333333333333331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2">
        <v>1</v>
      </c>
      <c r="B251" s="10" t="s">
        <v>21</v>
      </c>
      <c r="C251" s="11" t="s">
        <v>28</v>
      </c>
      <c r="D251" s="13">
        <v>3500</v>
      </c>
      <c r="E251" s="13">
        <f t="shared" si="48"/>
        <v>3500</v>
      </c>
      <c r="F251" s="2"/>
      <c r="G251" s="2"/>
      <c r="H251" s="2"/>
      <c r="I251" s="13">
        <v>2500</v>
      </c>
      <c r="J251" s="13">
        <f t="shared" si="49"/>
        <v>2500</v>
      </c>
      <c r="K251" s="13">
        <f t="shared" si="50"/>
        <v>1000</v>
      </c>
      <c r="L251" s="14">
        <f t="shared" si="51"/>
        <v>0.2857142857142857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2">
        <v>1</v>
      </c>
      <c r="B252" s="10" t="s">
        <v>21</v>
      </c>
      <c r="C252" s="11" t="s">
        <v>151</v>
      </c>
      <c r="D252" s="13">
        <v>3500</v>
      </c>
      <c r="E252" s="13">
        <f t="shared" si="48"/>
        <v>3500</v>
      </c>
      <c r="F252" s="2"/>
      <c r="G252" s="2"/>
      <c r="H252" s="2"/>
      <c r="I252" s="13">
        <v>2500</v>
      </c>
      <c r="J252" s="13">
        <f t="shared" si="49"/>
        <v>2500</v>
      </c>
      <c r="K252" s="13">
        <f t="shared" si="50"/>
        <v>1000</v>
      </c>
      <c r="L252" s="36">
        <f t="shared" si="51"/>
        <v>0.2857142857142857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2">
        <v>4</v>
      </c>
      <c r="B253" s="10" t="s">
        <v>4</v>
      </c>
      <c r="C253" s="11" t="s">
        <v>13</v>
      </c>
      <c r="D253" s="13">
        <v>900</v>
      </c>
      <c r="E253" s="13">
        <f t="shared" si="48"/>
        <v>3600</v>
      </c>
      <c r="F253" s="2"/>
      <c r="G253" s="2"/>
      <c r="H253" s="2"/>
      <c r="I253" s="13">
        <v>540</v>
      </c>
      <c r="J253" s="13">
        <f t="shared" si="49"/>
        <v>2160</v>
      </c>
      <c r="K253" s="13">
        <f t="shared" si="50"/>
        <v>1440</v>
      </c>
      <c r="L253" s="33">
        <f t="shared" si="51"/>
        <v>0.4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2">
        <v>1</v>
      </c>
      <c r="B254" s="10" t="s">
        <v>21</v>
      </c>
      <c r="C254" s="11" t="s">
        <v>64</v>
      </c>
      <c r="D254" s="13">
        <v>2000</v>
      </c>
      <c r="E254" s="13">
        <f t="shared" si="48"/>
        <v>2000</v>
      </c>
      <c r="F254" s="2"/>
      <c r="G254" s="2"/>
      <c r="H254" s="2"/>
      <c r="I254" s="13">
        <v>1000</v>
      </c>
      <c r="J254" s="13">
        <f t="shared" si="49"/>
        <v>1000</v>
      </c>
      <c r="K254" s="13">
        <f t="shared" si="50"/>
        <v>1000</v>
      </c>
      <c r="L254" s="33">
        <f t="shared" si="51"/>
        <v>0.5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2">
        <v>3</v>
      </c>
      <c r="B255" s="10" t="s">
        <v>4</v>
      </c>
      <c r="C255" s="11" t="s">
        <v>114</v>
      </c>
      <c r="D255" s="13">
        <v>3000</v>
      </c>
      <c r="E255" s="13">
        <f t="shared" si="48"/>
        <v>9000</v>
      </c>
      <c r="F255" s="2"/>
      <c r="G255" s="2"/>
      <c r="H255" s="2"/>
      <c r="I255" s="13">
        <f>1000</f>
        <v>1000</v>
      </c>
      <c r="J255" s="13">
        <f t="shared" si="49"/>
        <v>3000</v>
      </c>
      <c r="K255" s="13">
        <f t="shared" si="50"/>
        <v>6000</v>
      </c>
      <c r="L255" s="33">
        <f t="shared" si="51"/>
        <v>0.66666666666666663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2">
        <v>3</v>
      </c>
      <c r="B256" s="10" t="s">
        <v>17</v>
      </c>
      <c r="C256" s="11" t="s">
        <v>49</v>
      </c>
      <c r="D256" s="13">
        <v>3000</v>
      </c>
      <c r="E256" s="13">
        <f t="shared" si="48"/>
        <v>9000</v>
      </c>
      <c r="F256" s="2"/>
      <c r="G256" s="2"/>
      <c r="H256" s="2"/>
      <c r="I256" s="13">
        <f>20000/9</f>
        <v>2222.2222222222222</v>
      </c>
      <c r="J256" s="13">
        <f t="shared" si="49"/>
        <v>6666.6666666666661</v>
      </c>
      <c r="K256" s="13">
        <f t="shared" si="50"/>
        <v>2333.3333333333339</v>
      </c>
      <c r="L256" s="18">
        <f t="shared" si="51"/>
        <v>0.2592592592592593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2">
        <v>5</v>
      </c>
      <c r="B257" s="10" t="s">
        <v>17</v>
      </c>
      <c r="C257" s="11" t="s">
        <v>39</v>
      </c>
      <c r="D257" s="13">
        <v>1800</v>
      </c>
      <c r="E257" s="13">
        <f t="shared" si="48"/>
        <v>9000</v>
      </c>
      <c r="F257" s="2"/>
      <c r="G257" s="2"/>
      <c r="H257" s="2"/>
      <c r="I257" s="13">
        <f>20000/17</f>
        <v>1176.4705882352941</v>
      </c>
      <c r="J257" s="13">
        <f t="shared" si="49"/>
        <v>5882.3529411764703</v>
      </c>
      <c r="K257" s="13">
        <f t="shared" si="50"/>
        <v>3117.6470588235297</v>
      </c>
      <c r="L257" s="14">
        <f t="shared" si="51"/>
        <v>0.34640522875816998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2">
        <v>6</v>
      </c>
      <c r="B258" s="10" t="s">
        <v>17</v>
      </c>
      <c r="C258" s="11" t="s">
        <v>123</v>
      </c>
      <c r="D258" s="13">
        <v>2500</v>
      </c>
      <c r="E258" s="13">
        <f t="shared" si="48"/>
        <v>15000</v>
      </c>
      <c r="F258" s="2"/>
      <c r="G258" s="2"/>
      <c r="H258" s="2"/>
      <c r="I258" s="13">
        <f>25000/15</f>
        <v>1666.6666666666667</v>
      </c>
      <c r="J258" s="13">
        <f t="shared" si="49"/>
        <v>10000</v>
      </c>
      <c r="K258" s="13">
        <f t="shared" si="50"/>
        <v>5000</v>
      </c>
      <c r="L258" s="14">
        <f t="shared" si="51"/>
        <v>0.33333333333333331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2">
        <v>6</v>
      </c>
      <c r="B259" s="10" t="s">
        <v>17</v>
      </c>
      <c r="C259" s="11" t="s">
        <v>26</v>
      </c>
      <c r="D259" s="13">
        <v>1400</v>
      </c>
      <c r="E259" s="13">
        <f t="shared" si="48"/>
        <v>8400</v>
      </c>
      <c r="F259" s="2"/>
      <c r="G259" s="2"/>
      <c r="H259" s="2"/>
      <c r="I259" s="13">
        <f>12000/14</f>
        <v>857.14285714285711</v>
      </c>
      <c r="J259" s="13">
        <f t="shared" si="49"/>
        <v>5142.8571428571431</v>
      </c>
      <c r="K259" s="13">
        <f t="shared" si="50"/>
        <v>3257.1428571428569</v>
      </c>
      <c r="L259" s="14">
        <f t="shared" si="51"/>
        <v>0.38775510204081631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2">
        <v>1</v>
      </c>
      <c r="B260" s="10" t="s">
        <v>17</v>
      </c>
      <c r="C260" s="11" t="s">
        <v>113</v>
      </c>
      <c r="D260" s="13">
        <v>4000</v>
      </c>
      <c r="E260" s="13">
        <f t="shared" si="48"/>
        <v>4000</v>
      </c>
      <c r="F260" s="2"/>
      <c r="G260" s="2"/>
      <c r="H260" s="2"/>
      <c r="I260" s="13">
        <v>2000</v>
      </c>
      <c r="J260" s="13">
        <f t="shared" si="49"/>
        <v>2000</v>
      </c>
      <c r="K260" s="13">
        <f t="shared" si="50"/>
        <v>2000</v>
      </c>
      <c r="L260" s="14">
        <f t="shared" si="51"/>
        <v>0.5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"/>
      <c r="B261" s="2"/>
      <c r="C261" s="4"/>
      <c r="D261" s="2"/>
      <c r="E261" s="2"/>
      <c r="F261" s="2"/>
      <c r="G261" s="4"/>
      <c r="H261" s="2"/>
      <c r="I261" s="2"/>
      <c r="J261" s="2"/>
      <c r="K261" s="2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"/>
      <c r="B262" s="2"/>
      <c r="C262" s="4"/>
      <c r="D262" s="2"/>
      <c r="E262" s="13">
        <f>SUM(E243:E260)</f>
        <v>175500</v>
      </c>
      <c r="F262" s="2"/>
      <c r="G262" s="2"/>
      <c r="H262" s="2"/>
      <c r="I262" s="2"/>
      <c r="J262" s="2"/>
      <c r="K262" s="13">
        <f>SUM(K243:K260)</f>
        <v>48448.123249299722</v>
      </c>
      <c r="L262" s="14">
        <f>K262/E262</f>
        <v>0.27605768233219213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0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0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6" t="s">
        <v>206</v>
      </c>
      <c r="B265" s="1"/>
      <c r="C265" s="1"/>
      <c r="D265" s="12" t="s">
        <v>1178</v>
      </c>
      <c r="E265" s="8">
        <v>46142</v>
      </c>
      <c r="F265" s="15" t="s">
        <v>37</v>
      </c>
      <c r="G265" s="2"/>
      <c r="H265" s="2"/>
      <c r="I265" s="2"/>
      <c r="J265" s="2"/>
      <c r="K265" s="2"/>
      <c r="L265" s="3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3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6" t="s">
        <v>3</v>
      </c>
      <c r="B267" s="10" t="s">
        <v>4</v>
      </c>
      <c r="C267" s="6" t="s">
        <v>5</v>
      </c>
      <c r="D267" s="10" t="s">
        <v>6</v>
      </c>
      <c r="E267" s="10" t="s">
        <v>7</v>
      </c>
      <c r="F267" s="7"/>
      <c r="G267" s="2"/>
      <c r="H267" s="2"/>
      <c r="I267" s="10" t="s">
        <v>6</v>
      </c>
      <c r="J267" s="10" t="s">
        <v>7</v>
      </c>
      <c r="K267" s="10" t="s">
        <v>10</v>
      </c>
      <c r="L267" s="3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80">
        <v>2</v>
      </c>
      <c r="B268" s="10" t="s">
        <v>15</v>
      </c>
      <c r="C268" s="6" t="s">
        <v>135</v>
      </c>
      <c r="D268" s="13">
        <v>16000</v>
      </c>
      <c r="E268" s="13">
        <f t="shared" ref="E268:E270" si="52">A268*D268</f>
        <v>32000</v>
      </c>
      <c r="F268" s="2"/>
      <c r="G268" s="2"/>
      <c r="H268" s="2"/>
      <c r="I268" s="13">
        <v>12000</v>
      </c>
      <c r="J268" s="13">
        <f t="shared" ref="J268:J270" si="53">I268*A268</f>
        <v>24000</v>
      </c>
      <c r="K268" s="13">
        <f t="shared" ref="K268:K270" si="54">E268-J268</f>
        <v>8000</v>
      </c>
      <c r="L268" s="14">
        <f t="shared" ref="L268:L270" si="55">K268/E268</f>
        <v>0.25</v>
      </c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80">
        <v>1</v>
      </c>
      <c r="B269" s="10" t="s">
        <v>21</v>
      </c>
      <c r="C269" s="6" t="s">
        <v>34</v>
      </c>
      <c r="D269" s="13">
        <v>4000</v>
      </c>
      <c r="E269" s="13">
        <f t="shared" si="52"/>
        <v>4000</v>
      </c>
      <c r="F269" s="2"/>
      <c r="G269" s="2"/>
      <c r="H269" s="2"/>
      <c r="I269" s="13">
        <v>3000</v>
      </c>
      <c r="J269" s="13">
        <f t="shared" si="53"/>
        <v>3000</v>
      </c>
      <c r="K269" s="13">
        <f t="shared" si="54"/>
        <v>1000</v>
      </c>
      <c r="L269" s="14">
        <f t="shared" si="55"/>
        <v>0.25</v>
      </c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80">
        <v>1</v>
      </c>
      <c r="B270" s="10" t="s">
        <v>21</v>
      </c>
      <c r="C270" s="6" t="s">
        <v>42</v>
      </c>
      <c r="D270" s="13">
        <v>4000</v>
      </c>
      <c r="E270" s="13">
        <f t="shared" si="52"/>
        <v>4000</v>
      </c>
      <c r="F270" s="2"/>
      <c r="G270" s="2"/>
      <c r="H270" s="7"/>
      <c r="I270" s="13">
        <v>2700</v>
      </c>
      <c r="J270" s="13">
        <f t="shared" si="53"/>
        <v>2700</v>
      </c>
      <c r="K270" s="13">
        <f t="shared" si="54"/>
        <v>1300</v>
      </c>
      <c r="L270" s="14">
        <f t="shared" si="55"/>
        <v>0.32500000000000001</v>
      </c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81"/>
      <c r="B271" s="2"/>
      <c r="C271" s="1"/>
      <c r="D271" s="2"/>
      <c r="E271" s="2"/>
      <c r="F271" s="2"/>
      <c r="G271" s="1"/>
      <c r="H271" s="2"/>
      <c r="I271" s="2"/>
      <c r="J271" s="2"/>
      <c r="K271" s="2"/>
      <c r="L271" s="3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81"/>
      <c r="B272" s="2"/>
      <c r="C272" s="1"/>
      <c r="D272" s="2"/>
      <c r="E272" s="13">
        <f>SUM(E268:E270)</f>
        <v>40000</v>
      </c>
      <c r="F272" s="2"/>
      <c r="G272" s="2"/>
      <c r="H272" s="2"/>
      <c r="I272" s="2"/>
      <c r="J272" s="2"/>
      <c r="K272" s="13">
        <f>SUM(K268:K270)</f>
        <v>10300</v>
      </c>
      <c r="L272" s="14">
        <f>K272/E272</f>
        <v>0.25750000000000001</v>
      </c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0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0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0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0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88" t="s">
        <v>160</v>
      </c>
      <c r="B277" s="89"/>
      <c r="C277" s="89"/>
      <c r="D277" s="2"/>
      <c r="E277" s="7" t="s">
        <v>1179</v>
      </c>
      <c r="F277" s="8">
        <v>46142</v>
      </c>
      <c r="G277" s="2"/>
      <c r="H277" s="2"/>
      <c r="I277" s="9" t="s">
        <v>2</v>
      </c>
      <c r="J277" s="9"/>
      <c r="K277" s="9"/>
      <c r="L277" s="3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"/>
      <c r="B278" s="2"/>
      <c r="C278" s="5"/>
      <c r="D278" s="2"/>
      <c r="E278" s="2"/>
      <c r="F278" s="8"/>
      <c r="G278" s="2"/>
      <c r="H278" s="2"/>
      <c r="I278" s="2"/>
      <c r="J278" s="2"/>
      <c r="K278" s="2"/>
      <c r="L278" s="3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6" t="s">
        <v>3</v>
      </c>
      <c r="B279" s="10" t="s">
        <v>4</v>
      </c>
      <c r="C279" s="11" t="s">
        <v>5</v>
      </c>
      <c r="D279" s="10" t="s">
        <v>6</v>
      </c>
      <c r="E279" s="10" t="s">
        <v>7</v>
      </c>
      <c r="F279" s="10" t="s">
        <v>8</v>
      </c>
      <c r="G279" s="2"/>
      <c r="H279" s="2"/>
      <c r="I279" s="10" t="s">
        <v>9</v>
      </c>
      <c r="J279" s="10" t="s">
        <v>7</v>
      </c>
      <c r="K279" s="10" t="s">
        <v>10</v>
      </c>
      <c r="L279" s="3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2">
        <v>2</v>
      </c>
      <c r="B280" s="10" t="s">
        <v>23</v>
      </c>
      <c r="C280" s="11" t="s">
        <v>87</v>
      </c>
      <c r="D280" s="13">
        <v>38000</v>
      </c>
      <c r="E280" s="13">
        <f t="shared" ref="E280:E289" si="56">A280*D280</f>
        <v>76000</v>
      </c>
      <c r="F280" s="13">
        <f t="shared" ref="F280:F289" si="57">E280*1.105</f>
        <v>83980</v>
      </c>
      <c r="G280" s="7"/>
      <c r="H280" s="2"/>
      <c r="I280" s="13">
        <v>28000</v>
      </c>
      <c r="J280" s="13">
        <f t="shared" ref="J280:J289" si="58">I280*A280</f>
        <v>56000</v>
      </c>
      <c r="K280" s="13">
        <f t="shared" ref="K280:K289" si="59">F280-J280</f>
        <v>27980</v>
      </c>
      <c r="L280" s="14">
        <f t="shared" ref="L280:L289" si="60">IFERROR(K280/E280, 0)</f>
        <v>0.36815789473684213</v>
      </c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2">
        <v>4</v>
      </c>
      <c r="B281" s="10" t="s">
        <v>23</v>
      </c>
      <c r="C281" s="11" t="s">
        <v>24</v>
      </c>
      <c r="D281" s="13">
        <v>37000</v>
      </c>
      <c r="E281" s="13">
        <f t="shared" si="56"/>
        <v>148000</v>
      </c>
      <c r="F281" s="13">
        <f t="shared" si="57"/>
        <v>163540</v>
      </c>
      <c r="G281" s="7"/>
      <c r="H281" s="2"/>
      <c r="I281" s="13">
        <f>8750*3</f>
        <v>26250</v>
      </c>
      <c r="J281" s="13">
        <f t="shared" si="58"/>
        <v>105000</v>
      </c>
      <c r="K281" s="13">
        <f t="shared" si="59"/>
        <v>58540</v>
      </c>
      <c r="L281" s="14">
        <f t="shared" si="60"/>
        <v>0.39554054054054055</v>
      </c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2">
        <v>5</v>
      </c>
      <c r="B282" s="10" t="s">
        <v>23</v>
      </c>
      <c r="C282" s="11" t="s">
        <v>67</v>
      </c>
      <c r="D282" s="13">
        <v>20000</v>
      </c>
      <c r="E282" s="13">
        <f t="shared" si="56"/>
        <v>100000</v>
      </c>
      <c r="F282" s="13">
        <f t="shared" si="57"/>
        <v>110500</v>
      </c>
      <c r="G282" s="7"/>
      <c r="H282" s="7"/>
      <c r="I282" s="13">
        <v>12000</v>
      </c>
      <c r="J282" s="13">
        <f t="shared" si="58"/>
        <v>60000</v>
      </c>
      <c r="K282" s="13">
        <f t="shared" si="59"/>
        <v>50500</v>
      </c>
      <c r="L282" s="14">
        <f t="shared" si="60"/>
        <v>0.505</v>
      </c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2">
        <v>1</v>
      </c>
      <c r="B283" s="10" t="s">
        <v>23</v>
      </c>
      <c r="C283" s="11" t="s">
        <v>190</v>
      </c>
      <c r="D283" s="13">
        <v>45000</v>
      </c>
      <c r="E283" s="13">
        <f t="shared" si="56"/>
        <v>45000</v>
      </c>
      <c r="F283" s="13">
        <f t="shared" si="57"/>
        <v>49725</v>
      </c>
      <c r="G283" s="7"/>
      <c r="H283" s="2"/>
      <c r="I283" s="13">
        <v>12000</v>
      </c>
      <c r="J283" s="13">
        <f t="shared" si="58"/>
        <v>12000</v>
      </c>
      <c r="K283" s="13">
        <f t="shared" si="59"/>
        <v>37725</v>
      </c>
      <c r="L283" s="14">
        <f t="shared" si="60"/>
        <v>0.83833333333333337</v>
      </c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2">
        <v>4</v>
      </c>
      <c r="B284" s="10" t="s">
        <v>23</v>
      </c>
      <c r="C284" s="11" t="s">
        <v>49</v>
      </c>
      <c r="D284" s="13">
        <v>36000</v>
      </c>
      <c r="E284" s="13">
        <f t="shared" si="56"/>
        <v>144000</v>
      </c>
      <c r="F284" s="13">
        <f t="shared" si="57"/>
        <v>159120</v>
      </c>
      <c r="G284" s="7"/>
      <c r="H284" s="7"/>
      <c r="I284" s="13">
        <f>21000</f>
        <v>21000</v>
      </c>
      <c r="J284" s="13">
        <f t="shared" si="58"/>
        <v>84000</v>
      </c>
      <c r="K284" s="13">
        <f t="shared" si="59"/>
        <v>75120</v>
      </c>
      <c r="L284" s="14">
        <f t="shared" si="60"/>
        <v>0.52166666666666661</v>
      </c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2">
        <v>2</v>
      </c>
      <c r="B285" s="10" t="s">
        <v>23</v>
      </c>
      <c r="C285" s="11" t="s">
        <v>87</v>
      </c>
      <c r="D285" s="13">
        <v>38000</v>
      </c>
      <c r="E285" s="13">
        <f t="shared" si="56"/>
        <v>76000</v>
      </c>
      <c r="F285" s="13">
        <f t="shared" si="57"/>
        <v>83980</v>
      </c>
      <c r="G285" s="7" t="s">
        <v>164</v>
      </c>
      <c r="H285" s="2"/>
      <c r="I285" s="13">
        <v>0</v>
      </c>
      <c r="J285" s="13">
        <f t="shared" si="58"/>
        <v>0</v>
      </c>
      <c r="K285" s="13">
        <f t="shared" si="59"/>
        <v>83980</v>
      </c>
      <c r="L285" s="14">
        <f t="shared" si="60"/>
        <v>1.105</v>
      </c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2">
        <v>1</v>
      </c>
      <c r="B286" s="10" t="s">
        <v>23</v>
      </c>
      <c r="C286" s="11" t="s">
        <v>24</v>
      </c>
      <c r="D286" s="13">
        <v>37000</v>
      </c>
      <c r="E286" s="13">
        <f t="shared" si="56"/>
        <v>37000</v>
      </c>
      <c r="F286" s="13">
        <f t="shared" si="57"/>
        <v>40885</v>
      </c>
      <c r="G286" s="7" t="s">
        <v>164</v>
      </c>
      <c r="H286" s="2"/>
      <c r="I286" s="13">
        <v>0</v>
      </c>
      <c r="J286" s="13">
        <f t="shared" si="58"/>
        <v>0</v>
      </c>
      <c r="K286" s="13">
        <f t="shared" si="59"/>
        <v>40885</v>
      </c>
      <c r="L286" s="14">
        <f t="shared" si="60"/>
        <v>1.105</v>
      </c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2">
        <v>1</v>
      </c>
      <c r="B287" s="10" t="s">
        <v>23</v>
      </c>
      <c r="C287" s="11" t="s">
        <v>67</v>
      </c>
      <c r="D287" s="13">
        <v>20000</v>
      </c>
      <c r="E287" s="13">
        <f t="shared" si="56"/>
        <v>20000</v>
      </c>
      <c r="F287" s="13">
        <f t="shared" si="57"/>
        <v>22100</v>
      </c>
      <c r="G287" s="7" t="s">
        <v>164</v>
      </c>
      <c r="H287" s="2"/>
      <c r="I287" s="13">
        <v>0</v>
      </c>
      <c r="J287" s="13">
        <f t="shared" si="58"/>
        <v>0</v>
      </c>
      <c r="K287" s="13">
        <f t="shared" si="59"/>
        <v>22100</v>
      </c>
      <c r="L287" s="14">
        <f t="shared" si="60"/>
        <v>1.105</v>
      </c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2">
        <v>2</v>
      </c>
      <c r="B288" s="10" t="s">
        <v>23</v>
      </c>
      <c r="C288" s="11" t="s">
        <v>190</v>
      </c>
      <c r="D288" s="13">
        <v>45000</v>
      </c>
      <c r="E288" s="13">
        <f t="shared" si="56"/>
        <v>90000</v>
      </c>
      <c r="F288" s="13">
        <f t="shared" si="57"/>
        <v>99450</v>
      </c>
      <c r="G288" s="7" t="s">
        <v>164</v>
      </c>
      <c r="H288" s="2"/>
      <c r="I288" s="13">
        <v>0</v>
      </c>
      <c r="J288" s="13">
        <f t="shared" si="58"/>
        <v>0</v>
      </c>
      <c r="K288" s="13">
        <f t="shared" si="59"/>
        <v>99450</v>
      </c>
      <c r="L288" s="14">
        <f t="shared" si="60"/>
        <v>1.105</v>
      </c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2">
        <v>1</v>
      </c>
      <c r="B289" s="10" t="s">
        <v>23</v>
      </c>
      <c r="C289" s="11" t="s">
        <v>49</v>
      </c>
      <c r="D289" s="13">
        <v>36000</v>
      </c>
      <c r="E289" s="13">
        <f t="shared" si="56"/>
        <v>36000</v>
      </c>
      <c r="F289" s="13">
        <f t="shared" si="57"/>
        <v>39780</v>
      </c>
      <c r="G289" s="7" t="s">
        <v>164</v>
      </c>
      <c r="H289" s="2"/>
      <c r="I289" s="13">
        <v>0</v>
      </c>
      <c r="J289" s="13">
        <f t="shared" si="58"/>
        <v>0</v>
      </c>
      <c r="K289" s="13">
        <f t="shared" si="59"/>
        <v>39780</v>
      </c>
      <c r="L289" s="14">
        <f t="shared" si="60"/>
        <v>1.105</v>
      </c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"/>
      <c r="B290" s="2"/>
      <c r="C290" s="4"/>
      <c r="D290" s="2"/>
      <c r="E290" s="2"/>
      <c r="F290" s="13"/>
      <c r="G290" s="2"/>
      <c r="H290" s="2"/>
      <c r="I290" s="13"/>
      <c r="J290" s="2"/>
      <c r="K290" s="2"/>
      <c r="L290" s="3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"/>
      <c r="B291" s="2"/>
      <c r="C291" s="4"/>
      <c r="D291" s="2"/>
      <c r="E291" s="13">
        <f t="shared" ref="E291:F291" si="61">SUM(E280:E289)</f>
        <v>772000</v>
      </c>
      <c r="F291" s="13">
        <f t="shared" si="61"/>
        <v>853060</v>
      </c>
      <c r="G291" s="2"/>
      <c r="H291" s="2"/>
      <c r="I291" s="2"/>
      <c r="J291" s="2"/>
      <c r="K291" s="13">
        <f>SUM(K280:K289)</f>
        <v>536060</v>
      </c>
      <c r="L291" s="14">
        <f>K291/F291</f>
        <v>0.62839659578458729</v>
      </c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0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"/>
      <c r="B293" s="1"/>
      <c r="C293" s="1"/>
      <c r="D293" s="1"/>
      <c r="E293" s="8"/>
      <c r="F293" s="1"/>
      <c r="G293" s="1"/>
      <c r="H293" s="1"/>
      <c r="I293" s="1"/>
      <c r="J293" s="1"/>
      <c r="K293" s="1"/>
      <c r="L293" s="20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6" t="s">
        <v>91</v>
      </c>
      <c r="B294" s="1"/>
      <c r="C294" s="1"/>
      <c r="D294" s="22" t="s">
        <v>1180</v>
      </c>
      <c r="E294" s="8">
        <v>46142</v>
      </c>
      <c r="F294" s="24" t="s">
        <v>1122</v>
      </c>
      <c r="G294" s="2"/>
      <c r="H294" s="2"/>
      <c r="I294" s="2"/>
      <c r="J294" s="2"/>
      <c r="K294" s="2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2"/>
      <c r="C295" s="4"/>
      <c r="D295" s="2"/>
      <c r="E295" s="2"/>
      <c r="F295" s="2"/>
      <c r="G295" s="2"/>
      <c r="H295" s="2"/>
      <c r="I295" s="2"/>
      <c r="J295" s="2"/>
      <c r="K295" s="2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6" t="s">
        <v>3</v>
      </c>
      <c r="B296" s="10" t="s">
        <v>4</v>
      </c>
      <c r="C296" s="11" t="s">
        <v>5</v>
      </c>
      <c r="D296" s="10" t="s">
        <v>6</v>
      </c>
      <c r="E296" s="10" t="s">
        <v>7</v>
      </c>
      <c r="F296" s="2"/>
      <c r="G296" s="2"/>
      <c r="H296" s="2"/>
      <c r="I296" s="10" t="s">
        <v>6</v>
      </c>
      <c r="J296" s="10" t="s">
        <v>7</v>
      </c>
      <c r="K296" s="10" t="s">
        <v>10</v>
      </c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2">
        <v>3</v>
      </c>
      <c r="B297" s="10" t="s">
        <v>21</v>
      </c>
      <c r="C297" s="11" t="s">
        <v>35</v>
      </c>
      <c r="D297" s="13">
        <v>2000</v>
      </c>
      <c r="E297" s="13">
        <f t="shared" ref="E297:E304" si="62">A297*D297</f>
        <v>6000</v>
      </c>
      <c r="F297" s="2"/>
      <c r="G297" s="2"/>
      <c r="H297" s="2"/>
      <c r="I297" s="13">
        <f>10000/9</f>
        <v>1111.1111111111111</v>
      </c>
      <c r="J297" s="13">
        <f t="shared" ref="J297:J304" si="63">I297*A297</f>
        <v>3333.333333333333</v>
      </c>
      <c r="K297" s="13">
        <f t="shared" ref="K297:K304" si="64">E297-J297</f>
        <v>2666.666666666667</v>
      </c>
      <c r="L297" s="14">
        <f t="shared" ref="L297:L304" si="65">K297/E297</f>
        <v>0.44444444444444448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2">
        <v>1.5</v>
      </c>
      <c r="B298" s="10" t="s">
        <v>23</v>
      </c>
      <c r="C298" s="11" t="s">
        <v>46</v>
      </c>
      <c r="D298" s="13">
        <v>20000</v>
      </c>
      <c r="E298" s="13">
        <f t="shared" si="62"/>
        <v>30000</v>
      </c>
      <c r="F298" s="2"/>
      <c r="G298" s="2"/>
      <c r="H298" s="2"/>
      <c r="I298" s="13">
        <v>16000</v>
      </c>
      <c r="J298" s="13">
        <f t="shared" si="63"/>
        <v>24000</v>
      </c>
      <c r="K298" s="13">
        <f t="shared" si="64"/>
        <v>6000</v>
      </c>
      <c r="L298" s="14">
        <f t="shared" si="65"/>
        <v>0.2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2">
        <v>6</v>
      </c>
      <c r="B299" s="10" t="s">
        <v>17</v>
      </c>
      <c r="C299" s="11" t="s">
        <v>81</v>
      </c>
      <c r="D299" s="13">
        <v>1500</v>
      </c>
      <c r="E299" s="13">
        <f t="shared" si="62"/>
        <v>9000</v>
      </c>
      <c r="F299" s="2"/>
      <c r="G299" s="2"/>
      <c r="H299" s="2"/>
      <c r="I299" s="13">
        <f>1000</f>
        <v>1000</v>
      </c>
      <c r="J299" s="13">
        <f t="shared" si="63"/>
        <v>6000</v>
      </c>
      <c r="K299" s="13">
        <f t="shared" si="64"/>
        <v>3000</v>
      </c>
      <c r="L299" s="36">
        <f t="shared" si="65"/>
        <v>0.33333333333333331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2">
        <v>1.5</v>
      </c>
      <c r="B300" s="10" t="s">
        <v>17</v>
      </c>
      <c r="C300" s="11" t="s">
        <v>110</v>
      </c>
      <c r="D300" s="13">
        <v>4500</v>
      </c>
      <c r="E300" s="13">
        <f t="shared" si="62"/>
        <v>6750</v>
      </c>
      <c r="F300" s="2"/>
      <c r="G300" s="2"/>
      <c r="H300" s="2"/>
      <c r="I300" s="13"/>
      <c r="J300" s="13">
        <f t="shared" si="63"/>
        <v>0</v>
      </c>
      <c r="K300" s="13">
        <f t="shared" si="64"/>
        <v>6750</v>
      </c>
      <c r="L300" s="36">
        <f t="shared" si="65"/>
        <v>1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2">
        <v>1.5</v>
      </c>
      <c r="B301" s="10" t="s">
        <v>17</v>
      </c>
      <c r="C301" s="11" t="s">
        <v>40</v>
      </c>
      <c r="D301" s="13">
        <v>1800</v>
      </c>
      <c r="E301" s="13">
        <f t="shared" si="62"/>
        <v>2700</v>
      </c>
      <c r="F301" s="2"/>
      <c r="G301" s="2"/>
      <c r="H301" s="2"/>
      <c r="I301" s="13">
        <f>10000/8</f>
        <v>1250</v>
      </c>
      <c r="J301" s="13">
        <f t="shared" si="63"/>
        <v>1875</v>
      </c>
      <c r="K301" s="13">
        <f t="shared" si="64"/>
        <v>825</v>
      </c>
      <c r="L301" s="14">
        <f t="shared" si="65"/>
        <v>0.30555555555555558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2">
        <v>6</v>
      </c>
      <c r="B302" s="10" t="s">
        <v>4</v>
      </c>
      <c r="C302" s="11" t="s">
        <v>65</v>
      </c>
      <c r="D302" s="13">
        <v>1800</v>
      </c>
      <c r="E302" s="13">
        <f t="shared" si="62"/>
        <v>10800</v>
      </c>
      <c r="F302" s="2"/>
      <c r="G302" s="2"/>
      <c r="H302" s="2"/>
      <c r="I302" s="13">
        <v>0</v>
      </c>
      <c r="J302" s="13">
        <f t="shared" si="63"/>
        <v>0</v>
      </c>
      <c r="K302" s="13">
        <f t="shared" si="64"/>
        <v>10800</v>
      </c>
      <c r="L302" s="14">
        <f t="shared" si="65"/>
        <v>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2">
        <v>3</v>
      </c>
      <c r="B303" s="10" t="s">
        <v>21</v>
      </c>
      <c r="C303" s="11" t="s">
        <v>51</v>
      </c>
      <c r="D303" s="13">
        <v>1500</v>
      </c>
      <c r="E303" s="13">
        <f t="shared" si="62"/>
        <v>4500</v>
      </c>
      <c r="F303" s="2"/>
      <c r="G303" s="2"/>
      <c r="H303" s="2"/>
      <c r="I303" s="13">
        <v>500</v>
      </c>
      <c r="J303" s="13">
        <f t="shared" si="63"/>
        <v>1500</v>
      </c>
      <c r="K303" s="13">
        <f t="shared" si="64"/>
        <v>3000</v>
      </c>
      <c r="L303" s="14">
        <f t="shared" si="65"/>
        <v>0.66666666666666663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2">
        <v>0.25</v>
      </c>
      <c r="B304" s="10" t="s">
        <v>17</v>
      </c>
      <c r="C304" s="11" t="s">
        <v>93</v>
      </c>
      <c r="D304" s="13">
        <v>2600</v>
      </c>
      <c r="E304" s="13">
        <f t="shared" si="62"/>
        <v>650</v>
      </c>
      <c r="F304" s="2"/>
      <c r="G304" s="2"/>
      <c r="H304" s="2"/>
      <c r="I304" s="13">
        <f>10000/7</f>
        <v>1428.5714285714287</v>
      </c>
      <c r="J304" s="13">
        <f t="shared" si="63"/>
        <v>357.14285714285717</v>
      </c>
      <c r="K304" s="13">
        <f t="shared" si="64"/>
        <v>292.85714285714283</v>
      </c>
      <c r="L304" s="36">
        <f t="shared" si="65"/>
        <v>0.4505494505494505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"/>
      <c r="B305" s="2"/>
      <c r="C305" s="4"/>
      <c r="D305" s="2"/>
      <c r="E305" s="2"/>
      <c r="F305" s="2"/>
      <c r="G305" s="4"/>
      <c r="H305" s="2"/>
      <c r="I305" s="2"/>
      <c r="J305" s="2"/>
      <c r="K305" s="2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"/>
      <c r="B306" s="2"/>
      <c r="C306" s="4"/>
      <c r="D306" s="2"/>
      <c r="E306" s="13">
        <f>SUM(E297:E304)</f>
        <v>70400</v>
      </c>
      <c r="F306" s="2"/>
      <c r="G306" s="2"/>
      <c r="H306" s="2"/>
      <c r="I306" s="2"/>
      <c r="J306" s="2"/>
      <c r="K306" s="13">
        <f>SUM(K297:K304)</f>
        <v>33334.523809523816</v>
      </c>
      <c r="L306" s="14">
        <f>K306/E306</f>
        <v>0.47350175865800875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0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0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88" t="s">
        <v>171</v>
      </c>
      <c r="B309" s="89"/>
      <c r="C309" s="89"/>
      <c r="D309" s="2"/>
      <c r="E309" s="7"/>
      <c r="F309" s="8">
        <v>46142</v>
      </c>
      <c r="G309" s="7" t="s">
        <v>1122</v>
      </c>
      <c r="H309" s="2"/>
      <c r="I309" s="9" t="s">
        <v>2</v>
      </c>
      <c r="J309" s="9"/>
      <c r="K309" s="9"/>
      <c r="L309" s="3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3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6" t="s">
        <v>3</v>
      </c>
      <c r="B311" s="10" t="s">
        <v>4</v>
      </c>
      <c r="C311" s="11" t="s">
        <v>5</v>
      </c>
      <c r="D311" s="10" t="s">
        <v>6</v>
      </c>
      <c r="E311" s="10" t="s">
        <v>7</v>
      </c>
      <c r="F311" s="10" t="s">
        <v>8</v>
      </c>
      <c r="G311" s="2"/>
      <c r="H311" s="2"/>
      <c r="I311" s="10" t="s">
        <v>9</v>
      </c>
      <c r="J311" s="10" t="s">
        <v>7</v>
      </c>
      <c r="K311" s="10" t="s">
        <v>10</v>
      </c>
      <c r="L311" s="3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2">
        <v>0.5</v>
      </c>
      <c r="B312" s="10" t="s">
        <v>17</v>
      </c>
      <c r="C312" s="11" t="s">
        <v>43</v>
      </c>
      <c r="D312" s="13">
        <v>4500</v>
      </c>
      <c r="E312" s="13">
        <f t="shared" ref="E312:E318" si="66">A312*D312</f>
        <v>2250</v>
      </c>
      <c r="F312" s="13">
        <f t="shared" ref="F312:F318" si="67">E312*1.105</f>
        <v>2486.25</v>
      </c>
      <c r="G312" s="2"/>
      <c r="H312" s="2"/>
      <c r="I312" s="13">
        <f>17000/5</f>
        <v>3400</v>
      </c>
      <c r="J312" s="13">
        <f t="shared" ref="J312:J318" si="68">I312*A312</f>
        <v>1700</v>
      </c>
      <c r="K312" s="13">
        <f t="shared" ref="K312:K318" si="69">F312-J312</f>
        <v>786.25</v>
      </c>
      <c r="L312" s="14">
        <f t="shared" ref="L312:L313" si="70">IFERROR(K312/E312, 0)</f>
        <v>0.34944444444444445</v>
      </c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2">
        <v>0.5</v>
      </c>
      <c r="B313" s="10" t="s">
        <v>17</v>
      </c>
      <c r="C313" s="11" t="s">
        <v>118</v>
      </c>
      <c r="D313" s="13">
        <v>4500</v>
      </c>
      <c r="E313" s="13">
        <f t="shared" si="66"/>
        <v>2250</v>
      </c>
      <c r="F313" s="13">
        <f t="shared" si="67"/>
        <v>2486.25</v>
      </c>
      <c r="G313" s="2"/>
      <c r="H313" s="2"/>
      <c r="I313" s="13"/>
      <c r="J313" s="13">
        <f t="shared" si="68"/>
        <v>0</v>
      </c>
      <c r="K313" s="13">
        <f t="shared" si="69"/>
        <v>2486.25</v>
      </c>
      <c r="L313" s="14">
        <f t="shared" si="70"/>
        <v>1.105</v>
      </c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2">
        <v>1.5</v>
      </c>
      <c r="B314" s="10" t="s">
        <v>17</v>
      </c>
      <c r="C314" s="11" t="s">
        <v>93</v>
      </c>
      <c r="D314" s="13">
        <v>2600</v>
      </c>
      <c r="E314" s="13">
        <f t="shared" si="66"/>
        <v>3900</v>
      </c>
      <c r="F314" s="13">
        <f t="shared" si="67"/>
        <v>4309.5</v>
      </c>
      <c r="G314" s="2"/>
      <c r="H314" s="2"/>
      <c r="I314" s="13">
        <f>10000/7</f>
        <v>1428.5714285714287</v>
      </c>
      <c r="J314" s="13">
        <f t="shared" si="68"/>
        <v>2142.8571428571431</v>
      </c>
      <c r="K314" s="13">
        <f t="shared" si="69"/>
        <v>2166.6428571428569</v>
      </c>
      <c r="L314" s="18">
        <f>IFERROR(K314/E314, 0)</f>
        <v>0.55554945054945049</v>
      </c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2">
        <v>2</v>
      </c>
      <c r="B315" s="10" t="s">
        <v>17</v>
      </c>
      <c r="C315" s="11" t="s">
        <v>62</v>
      </c>
      <c r="D315" s="13">
        <v>2800</v>
      </c>
      <c r="E315" s="13">
        <f t="shared" si="66"/>
        <v>5600</v>
      </c>
      <c r="F315" s="13">
        <f t="shared" si="67"/>
        <v>6188</v>
      </c>
      <c r="G315" s="2"/>
      <c r="H315" s="2"/>
      <c r="I315" s="13">
        <f>28000/17</f>
        <v>1647.0588235294117</v>
      </c>
      <c r="J315" s="13">
        <f t="shared" si="68"/>
        <v>3294.1176470588234</v>
      </c>
      <c r="K315" s="13">
        <f t="shared" si="69"/>
        <v>2893.8823529411766</v>
      </c>
      <c r="L315" s="14">
        <f t="shared" ref="L315:L318" si="71">IFERROR(K315/E315, 0)</f>
        <v>0.51676470588235301</v>
      </c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2">
        <v>1</v>
      </c>
      <c r="B316" s="10" t="s">
        <v>21</v>
      </c>
      <c r="C316" s="11" t="s">
        <v>112</v>
      </c>
      <c r="D316" s="13">
        <v>3000</v>
      </c>
      <c r="E316" s="13">
        <f t="shared" si="66"/>
        <v>3000</v>
      </c>
      <c r="F316" s="13">
        <f t="shared" si="67"/>
        <v>3315</v>
      </c>
      <c r="G316" s="2"/>
      <c r="H316" s="2"/>
      <c r="I316" s="13">
        <v>2000</v>
      </c>
      <c r="J316" s="13">
        <f t="shared" si="68"/>
        <v>2000</v>
      </c>
      <c r="K316" s="13">
        <f t="shared" si="69"/>
        <v>1315</v>
      </c>
      <c r="L316" s="14">
        <f t="shared" si="71"/>
        <v>0.43833333333333335</v>
      </c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2">
        <v>2</v>
      </c>
      <c r="B317" s="10" t="s">
        <v>17</v>
      </c>
      <c r="C317" s="11" t="s">
        <v>26</v>
      </c>
      <c r="D317" s="13">
        <v>1400</v>
      </c>
      <c r="E317" s="13">
        <f t="shared" si="66"/>
        <v>2800</v>
      </c>
      <c r="F317" s="13">
        <f t="shared" si="67"/>
        <v>3094</v>
      </c>
      <c r="G317" s="2"/>
      <c r="H317" s="2"/>
      <c r="I317" s="2">
        <f>12000/15</f>
        <v>800</v>
      </c>
      <c r="J317" s="13">
        <f t="shared" si="68"/>
        <v>1600</v>
      </c>
      <c r="K317" s="13">
        <f t="shared" si="69"/>
        <v>1494</v>
      </c>
      <c r="L317" s="14">
        <f t="shared" si="71"/>
        <v>0.53357142857142859</v>
      </c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2">
        <v>4</v>
      </c>
      <c r="B318" s="10" t="s">
        <v>17</v>
      </c>
      <c r="C318" s="11" t="s">
        <v>88</v>
      </c>
      <c r="D318" s="13">
        <v>1800</v>
      </c>
      <c r="E318" s="13">
        <f t="shared" si="66"/>
        <v>7200</v>
      </c>
      <c r="F318" s="13">
        <f t="shared" si="67"/>
        <v>7956</v>
      </c>
      <c r="G318" s="2"/>
      <c r="H318" s="2"/>
      <c r="I318" s="13">
        <f>1000</f>
        <v>1000</v>
      </c>
      <c r="J318" s="13">
        <f t="shared" si="68"/>
        <v>4000</v>
      </c>
      <c r="K318" s="13">
        <f t="shared" si="69"/>
        <v>3956</v>
      </c>
      <c r="L318" s="14">
        <f t="shared" si="71"/>
        <v>0.5494444444444444</v>
      </c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"/>
      <c r="B319" s="2"/>
      <c r="C319" s="4"/>
      <c r="D319" s="2"/>
      <c r="E319" s="2"/>
      <c r="F319" s="13"/>
      <c r="G319" s="2"/>
      <c r="H319" s="2"/>
      <c r="I319" s="2"/>
      <c r="J319" s="2"/>
      <c r="K319" s="2"/>
      <c r="L319" s="3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2"/>
      <c r="C320" s="4"/>
      <c r="D320" s="2"/>
      <c r="E320" s="13">
        <f t="shared" ref="E320:F320" si="72">SUM(E312:E318)</f>
        <v>27000</v>
      </c>
      <c r="F320" s="13">
        <f t="shared" si="72"/>
        <v>29835</v>
      </c>
      <c r="G320" s="2"/>
      <c r="H320" s="2"/>
      <c r="I320" s="2"/>
      <c r="J320" s="2"/>
      <c r="K320" s="13">
        <f>SUM(K312:K318)</f>
        <v>15098.025210084033</v>
      </c>
      <c r="L320" s="14">
        <f>K320/F320</f>
        <v>0.50605078632760292</v>
      </c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0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0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6" t="s">
        <v>108</v>
      </c>
      <c r="B323" s="1"/>
      <c r="C323" s="1"/>
      <c r="D323" s="22" t="s">
        <v>908</v>
      </c>
      <c r="E323" s="8">
        <v>46142</v>
      </c>
      <c r="F323" s="24" t="s">
        <v>37</v>
      </c>
      <c r="G323" s="2"/>
      <c r="H323" s="2"/>
      <c r="I323" s="2"/>
      <c r="J323" s="2"/>
      <c r="K323" s="2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2"/>
      <c r="C324" s="4"/>
      <c r="D324" s="2"/>
      <c r="E324" s="2"/>
      <c r="F324" s="2"/>
      <c r="G324" s="2"/>
      <c r="H324" s="2"/>
      <c r="I324" s="2"/>
      <c r="J324" s="2"/>
      <c r="K324" s="2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6" t="s">
        <v>3</v>
      </c>
      <c r="B325" s="10" t="s">
        <v>4</v>
      </c>
      <c r="C325" s="11" t="s">
        <v>5</v>
      </c>
      <c r="D325" s="10" t="s">
        <v>6</v>
      </c>
      <c r="E325" s="10" t="s">
        <v>7</v>
      </c>
      <c r="F325" s="2"/>
      <c r="G325" s="2"/>
      <c r="H325" s="2"/>
      <c r="I325" s="10" t="s">
        <v>6</v>
      </c>
      <c r="J325" s="10" t="s">
        <v>7</v>
      </c>
      <c r="K325" s="10" t="s">
        <v>10</v>
      </c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2">
        <v>2</v>
      </c>
      <c r="B326" s="10" t="s">
        <v>23</v>
      </c>
      <c r="C326" s="11" t="s">
        <v>26</v>
      </c>
      <c r="D326" s="13">
        <v>18000</v>
      </c>
      <c r="E326" s="13">
        <f t="shared" ref="E326:E336" si="73">A326*D326</f>
        <v>36000</v>
      </c>
      <c r="F326" s="2"/>
      <c r="G326" s="2"/>
      <c r="H326" s="2"/>
      <c r="I326" s="13">
        <v>12000</v>
      </c>
      <c r="J326" s="13">
        <f t="shared" ref="J326:J336" si="74">I326*A326</f>
        <v>24000</v>
      </c>
      <c r="K326" s="13">
        <f t="shared" ref="K326:K336" si="75">E326-J326</f>
        <v>12000</v>
      </c>
      <c r="L326" s="14">
        <f t="shared" ref="L326:L336" si="76">K326/E326</f>
        <v>0.33333333333333331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2">
        <v>2</v>
      </c>
      <c r="B327" s="10" t="s">
        <v>86</v>
      </c>
      <c r="C327" s="11" t="s">
        <v>88</v>
      </c>
      <c r="D327" s="13">
        <v>20000</v>
      </c>
      <c r="E327" s="13">
        <f t="shared" si="73"/>
        <v>40000</v>
      </c>
      <c r="F327" s="2"/>
      <c r="G327" s="2"/>
      <c r="H327" s="2"/>
      <c r="I327" s="13">
        <v>14000</v>
      </c>
      <c r="J327" s="13">
        <f t="shared" si="74"/>
        <v>28000</v>
      </c>
      <c r="K327" s="13">
        <f t="shared" si="75"/>
        <v>12000</v>
      </c>
      <c r="L327" s="14">
        <f t="shared" si="76"/>
        <v>0.3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2">
        <v>1</v>
      </c>
      <c r="B328" s="10" t="s">
        <v>100</v>
      </c>
      <c r="C328" s="11" t="s">
        <v>93</v>
      </c>
      <c r="D328" s="13">
        <v>12500</v>
      </c>
      <c r="E328" s="13">
        <f t="shared" si="73"/>
        <v>12500</v>
      </c>
      <c r="F328" s="2"/>
      <c r="G328" s="2"/>
      <c r="H328" s="2"/>
      <c r="I328" s="13">
        <f>1428*5</f>
        <v>7140</v>
      </c>
      <c r="J328" s="13">
        <f t="shared" si="74"/>
        <v>7140</v>
      </c>
      <c r="K328" s="13">
        <f t="shared" si="75"/>
        <v>5360</v>
      </c>
      <c r="L328" s="14">
        <f t="shared" si="76"/>
        <v>0.42880000000000001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2">
        <v>3</v>
      </c>
      <c r="B329" s="10" t="s">
        <v>17</v>
      </c>
      <c r="C329" s="11" t="s">
        <v>113</v>
      </c>
      <c r="D329" s="13">
        <v>4000</v>
      </c>
      <c r="E329" s="13">
        <f t="shared" si="73"/>
        <v>12000</v>
      </c>
      <c r="F329" s="2"/>
      <c r="G329" s="2"/>
      <c r="H329" s="2"/>
      <c r="I329" s="13">
        <v>2000</v>
      </c>
      <c r="J329" s="13">
        <f t="shared" si="74"/>
        <v>6000</v>
      </c>
      <c r="K329" s="13">
        <f t="shared" si="75"/>
        <v>6000</v>
      </c>
      <c r="L329" s="14">
        <f t="shared" si="76"/>
        <v>0.5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2">
        <v>3</v>
      </c>
      <c r="B330" s="10" t="s">
        <v>17</v>
      </c>
      <c r="C330" s="11" t="s">
        <v>25</v>
      </c>
      <c r="D330" s="13">
        <v>4600</v>
      </c>
      <c r="E330" s="13">
        <f t="shared" si="73"/>
        <v>13800</v>
      </c>
      <c r="F330" s="2"/>
      <c r="G330" s="2"/>
      <c r="H330" s="2"/>
      <c r="I330" s="13">
        <f>70000/19</f>
        <v>3684.2105263157896</v>
      </c>
      <c r="J330" s="13">
        <f t="shared" si="74"/>
        <v>11052.631578947368</v>
      </c>
      <c r="K330" s="13">
        <f t="shared" si="75"/>
        <v>2747.3684210526317</v>
      </c>
      <c r="L330" s="14">
        <f t="shared" si="76"/>
        <v>0.19908466819221968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2">
        <v>2</v>
      </c>
      <c r="B331" s="10" t="s">
        <v>21</v>
      </c>
      <c r="C331" s="11" t="s">
        <v>112</v>
      </c>
      <c r="D331" s="13">
        <v>3000</v>
      </c>
      <c r="E331" s="13">
        <f t="shared" si="73"/>
        <v>6000</v>
      </c>
      <c r="F331" s="2"/>
      <c r="G331" s="2"/>
      <c r="H331" s="2"/>
      <c r="I331" s="13">
        <v>2000</v>
      </c>
      <c r="J331" s="13">
        <f t="shared" si="74"/>
        <v>4000</v>
      </c>
      <c r="K331" s="13">
        <f t="shared" si="75"/>
        <v>2000</v>
      </c>
      <c r="L331" s="14">
        <f t="shared" si="76"/>
        <v>0.33333333333333331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2">
        <v>1</v>
      </c>
      <c r="B332" s="10" t="s">
        <v>86</v>
      </c>
      <c r="C332" s="11" t="s">
        <v>65</v>
      </c>
      <c r="D332" s="13">
        <v>38000</v>
      </c>
      <c r="E332" s="13">
        <f t="shared" si="73"/>
        <v>38000</v>
      </c>
      <c r="F332" s="2"/>
      <c r="G332" s="2"/>
      <c r="H332" s="2"/>
      <c r="I332" s="13">
        <v>10000</v>
      </c>
      <c r="J332" s="13">
        <f t="shared" si="74"/>
        <v>10000</v>
      </c>
      <c r="K332" s="13">
        <f t="shared" si="75"/>
        <v>28000</v>
      </c>
      <c r="L332" s="14">
        <f t="shared" si="76"/>
        <v>0.73684210526315785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2">
        <v>1</v>
      </c>
      <c r="B333" s="10" t="s">
        <v>17</v>
      </c>
      <c r="C333" s="11" t="s">
        <v>49</v>
      </c>
      <c r="D333" s="13">
        <v>3000</v>
      </c>
      <c r="E333" s="13">
        <f t="shared" si="73"/>
        <v>3000</v>
      </c>
      <c r="F333" s="2"/>
      <c r="G333" s="2"/>
      <c r="H333" s="2"/>
      <c r="I333" s="13">
        <f>20000/9</f>
        <v>2222.2222222222222</v>
      </c>
      <c r="J333" s="13">
        <f t="shared" si="74"/>
        <v>2222.2222222222222</v>
      </c>
      <c r="K333" s="13">
        <f t="shared" si="75"/>
        <v>777.77777777777783</v>
      </c>
      <c r="L333" s="14">
        <f t="shared" si="76"/>
        <v>0.2592592592592593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2">
        <v>4</v>
      </c>
      <c r="B334" s="10" t="s">
        <v>21</v>
      </c>
      <c r="C334" s="11" t="s">
        <v>42</v>
      </c>
      <c r="D334" s="13">
        <v>4000</v>
      </c>
      <c r="E334" s="13">
        <f t="shared" si="73"/>
        <v>16000</v>
      </c>
      <c r="F334" s="2"/>
      <c r="G334" s="2"/>
      <c r="H334" s="2"/>
      <c r="I334" s="13">
        <v>2700</v>
      </c>
      <c r="J334" s="13">
        <f t="shared" si="74"/>
        <v>10800</v>
      </c>
      <c r="K334" s="13">
        <f t="shared" si="75"/>
        <v>5200</v>
      </c>
      <c r="L334" s="14">
        <f t="shared" si="76"/>
        <v>0.32500000000000001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2">
        <v>2</v>
      </c>
      <c r="B335" s="10" t="s">
        <v>21</v>
      </c>
      <c r="C335" s="11" t="s">
        <v>29</v>
      </c>
      <c r="D335" s="13">
        <v>3000</v>
      </c>
      <c r="E335" s="13">
        <f t="shared" si="73"/>
        <v>6000</v>
      </c>
      <c r="F335" s="2"/>
      <c r="G335" s="2"/>
      <c r="H335" s="2"/>
      <c r="I335" s="13">
        <v>1000</v>
      </c>
      <c r="J335" s="13">
        <f t="shared" si="74"/>
        <v>2000</v>
      </c>
      <c r="K335" s="13">
        <f t="shared" si="75"/>
        <v>4000</v>
      </c>
      <c r="L335" s="14">
        <f t="shared" si="76"/>
        <v>0.66666666666666663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2">
        <v>2</v>
      </c>
      <c r="B336" s="10" t="s">
        <v>4</v>
      </c>
      <c r="C336" s="11" t="s">
        <v>114</v>
      </c>
      <c r="D336" s="13">
        <v>2200</v>
      </c>
      <c r="E336" s="13">
        <f t="shared" si="73"/>
        <v>4400</v>
      </c>
      <c r="F336" s="2"/>
      <c r="G336" s="2"/>
      <c r="H336" s="2"/>
      <c r="I336" s="13">
        <v>1000</v>
      </c>
      <c r="J336" s="13">
        <f t="shared" si="74"/>
        <v>2000</v>
      </c>
      <c r="K336" s="13">
        <f t="shared" si="75"/>
        <v>2400</v>
      </c>
      <c r="L336" s="14">
        <f t="shared" si="76"/>
        <v>0.54545454545454541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"/>
      <c r="B337" s="2"/>
      <c r="C337" s="4"/>
      <c r="D337" s="2"/>
      <c r="E337" s="2"/>
      <c r="F337" s="2"/>
      <c r="G337" s="4"/>
      <c r="H337" s="2"/>
      <c r="I337" s="2"/>
      <c r="J337" s="2"/>
      <c r="K337" s="2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"/>
      <c r="B338" s="2"/>
      <c r="C338" s="4"/>
      <c r="D338" s="2"/>
      <c r="E338" s="13">
        <f>SUM(E326:E336)</f>
        <v>187700</v>
      </c>
      <c r="F338" s="2"/>
      <c r="G338" s="2"/>
      <c r="H338" s="2"/>
      <c r="I338" s="2"/>
      <c r="J338" s="2"/>
      <c r="K338" s="13">
        <f>SUM(K326:K336)</f>
        <v>80485.146198830422</v>
      </c>
      <c r="L338" s="14">
        <f>K338/E338</f>
        <v>0.42879672988188822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0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0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0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0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0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0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6" t="s">
        <v>119</v>
      </c>
      <c r="B345" s="1"/>
      <c r="C345" s="1"/>
      <c r="D345" s="22" t="s">
        <v>1181</v>
      </c>
      <c r="E345" s="8">
        <v>46142</v>
      </c>
      <c r="F345" s="24" t="s">
        <v>1122</v>
      </c>
      <c r="G345" s="2"/>
      <c r="H345" s="2"/>
      <c r="I345" s="2"/>
      <c r="J345" s="2"/>
      <c r="K345" s="2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2"/>
      <c r="C346" s="4"/>
      <c r="D346" s="2"/>
      <c r="E346" s="2"/>
      <c r="F346" s="2"/>
      <c r="G346" s="2"/>
      <c r="H346" s="2"/>
      <c r="I346" s="2"/>
      <c r="J346" s="2"/>
      <c r="K346" s="2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6" t="s">
        <v>3</v>
      </c>
      <c r="B347" s="10" t="s">
        <v>4</v>
      </c>
      <c r="C347" s="11" t="s">
        <v>5</v>
      </c>
      <c r="D347" s="10" t="s">
        <v>6</v>
      </c>
      <c r="E347" s="10" t="s">
        <v>7</v>
      </c>
      <c r="F347" s="2"/>
      <c r="G347" s="2"/>
      <c r="H347" s="2"/>
      <c r="I347" s="10" t="s">
        <v>6</v>
      </c>
      <c r="J347" s="10" t="s">
        <v>7</v>
      </c>
      <c r="K347" s="10" t="s">
        <v>10</v>
      </c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2">
        <v>1.7</v>
      </c>
      <c r="B348" s="10" t="s">
        <v>17</v>
      </c>
      <c r="C348" s="11" t="s">
        <v>83</v>
      </c>
      <c r="D348" s="13">
        <v>1400</v>
      </c>
      <c r="E348" s="13">
        <f t="shared" ref="E348:E364" si="77">A348*D348</f>
        <v>2380</v>
      </c>
      <c r="F348" s="2"/>
      <c r="G348" s="2"/>
      <c r="H348" s="2"/>
      <c r="I348" s="13">
        <f>1000</f>
        <v>1000</v>
      </c>
      <c r="J348" s="13">
        <f t="shared" ref="J348:J364" si="78">I348*A348</f>
        <v>1700</v>
      </c>
      <c r="K348" s="13">
        <f t="shared" ref="K348:K364" si="79">E348-J348</f>
        <v>680</v>
      </c>
      <c r="L348" s="14">
        <f t="shared" ref="L348:L364" si="80">K348/E348</f>
        <v>0.2857142857142857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2">
        <v>1</v>
      </c>
      <c r="B349" s="10" t="s">
        <v>21</v>
      </c>
      <c r="C349" s="11" t="s">
        <v>51</v>
      </c>
      <c r="D349" s="13">
        <v>1500</v>
      </c>
      <c r="E349" s="13">
        <f t="shared" si="77"/>
        <v>1500</v>
      </c>
      <c r="F349" s="2"/>
      <c r="G349" s="7" t="s">
        <v>37</v>
      </c>
      <c r="H349" s="2"/>
      <c r="I349" s="13">
        <v>500</v>
      </c>
      <c r="J349" s="13">
        <f t="shared" si="78"/>
        <v>500</v>
      </c>
      <c r="K349" s="13">
        <f t="shared" si="79"/>
        <v>1000</v>
      </c>
      <c r="L349" s="14">
        <f t="shared" si="80"/>
        <v>0.66666666666666663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2">
        <v>2.2999999999999998</v>
      </c>
      <c r="B350" s="10" t="s">
        <v>17</v>
      </c>
      <c r="C350" s="11" t="s">
        <v>62</v>
      </c>
      <c r="D350" s="13">
        <v>2800</v>
      </c>
      <c r="E350" s="13">
        <f t="shared" si="77"/>
        <v>6439.9999999999991</v>
      </c>
      <c r="F350" s="2"/>
      <c r="G350" s="2"/>
      <c r="H350" s="2"/>
      <c r="I350" s="13">
        <f>28000/17</f>
        <v>1647.0588235294117</v>
      </c>
      <c r="J350" s="13">
        <f t="shared" si="78"/>
        <v>3788.2352941176468</v>
      </c>
      <c r="K350" s="13">
        <f t="shared" si="79"/>
        <v>2651.7647058823522</v>
      </c>
      <c r="L350" s="36">
        <f t="shared" si="80"/>
        <v>0.41176470588235287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2">
        <v>0.5</v>
      </c>
      <c r="B351" s="10" t="s">
        <v>17</v>
      </c>
      <c r="C351" s="11" t="s">
        <v>55</v>
      </c>
      <c r="D351" s="13">
        <v>21000</v>
      </c>
      <c r="E351" s="13">
        <f t="shared" si="77"/>
        <v>10500</v>
      </c>
      <c r="F351" s="2"/>
      <c r="G351" s="7" t="s">
        <v>37</v>
      </c>
      <c r="H351" s="2"/>
      <c r="I351" s="13">
        <v>18000</v>
      </c>
      <c r="J351" s="13">
        <f t="shared" si="78"/>
        <v>9000</v>
      </c>
      <c r="K351" s="13">
        <f t="shared" si="79"/>
        <v>1500</v>
      </c>
      <c r="L351" s="36">
        <f t="shared" si="80"/>
        <v>0.14285714285714285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2">
        <v>1.65</v>
      </c>
      <c r="B352" s="10" t="s">
        <v>17</v>
      </c>
      <c r="C352" s="11" t="s">
        <v>89</v>
      </c>
      <c r="D352" s="13">
        <v>16500</v>
      </c>
      <c r="E352" s="13">
        <f t="shared" si="77"/>
        <v>27225</v>
      </c>
      <c r="F352" s="2"/>
      <c r="G352" s="2"/>
      <c r="H352" s="2"/>
      <c r="I352" s="13"/>
      <c r="J352" s="13">
        <f t="shared" si="78"/>
        <v>0</v>
      </c>
      <c r="K352" s="13">
        <f t="shared" si="79"/>
        <v>27225</v>
      </c>
      <c r="L352" s="36">
        <f t="shared" si="80"/>
        <v>1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2">
        <v>1.5</v>
      </c>
      <c r="B353" s="10" t="s">
        <v>23</v>
      </c>
      <c r="C353" s="11" t="s">
        <v>85</v>
      </c>
      <c r="D353" s="13">
        <v>55000</v>
      </c>
      <c r="E353" s="13">
        <f t="shared" si="77"/>
        <v>82500</v>
      </c>
      <c r="F353" s="2"/>
      <c r="G353" s="2"/>
      <c r="H353" s="2"/>
      <c r="I353" s="13">
        <v>50000</v>
      </c>
      <c r="J353" s="13">
        <f t="shared" si="78"/>
        <v>75000</v>
      </c>
      <c r="K353" s="13">
        <f t="shared" si="79"/>
        <v>7500</v>
      </c>
      <c r="L353" s="18">
        <f t="shared" si="80"/>
        <v>9.0909090909090912E-2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2">
        <v>2</v>
      </c>
      <c r="B354" s="10" t="s">
        <v>17</v>
      </c>
      <c r="C354" s="11" t="s">
        <v>113</v>
      </c>
      <c r="D354" s="13">
        <v>4000</v>
      </c>
      <c r="E354" s="13">
        <f t="shared" si="77"/>
        <v>8000</v>
      </c>
      <c r="F354" s="2"/>
      <c r="G354" s="2"/>
      <c r="H354" s="2"/>
      <c r="I354" s="13">
        <v>2000</v>
      </c>
      <c r="J354" s="13">
        <f t="shared" si="78"/>
        <v>4000</v>
      </c>
      <c r="K354" s="13">
        <f t="shared" si="79"/>
        <v>4000</v>
      </c>
      <c r="L354" s="36">
        <f t="shared" si="80"/>
        <v>0.5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2">
        <v>1</v>
      </c>
      <c r="B355" s="10" t="s">
        <v>23</v>
      </c>
      <c r="C355" s="11" t="s">
        <v>88</v>
      </c>
      <c r="D355" s="13">
        <v>20000</v>
      </c>
      <c r="E355" s="13">
        <f t="shared" si="77"/>
        <v>20000</v>
      </c>
      <c r="F355" s="2"/>
      <c r="G355" s="2"/>
      <c r="H355" s="2"/>
      <c r="I355" s="13">
        <v>14000</v>
      </c>
      <c r="J355" s="13">
        <f t="shared" si="78"/>
        <v>14000</v>
      </c>
      <c r="K355" s="13">
        <f t="shared" si="79"/>
        <v>6000</v>
      </c>
      <c r="L355" s="18">
        <f t="shared" si="80"/>
        <v>0.3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2">
        <v>1</v>
      </c>
      <c r="B356" s="10" t="s">
        <v>17</v>
      </c>
      <c r="C356" s="11" t="s">
        <v>90</v>
      </c>
      <c r="D356" s="13">
        <v>8000</v>
      </c>
      <c r="E356" s="13">
        <f t="shared" si="77"/>
        <v>8000</v>
      </c>
      <c r="F356" s="2"/>
      <c r="G356" s="2"/>
      <c r="H356" s="2"/>
      <c r="I356" s="13">
        <f>5000</f>
        <v>5000</v>
      </c>
      <c r="J356" s="13">
        <f t="shared" si="78"/>
        <v>5000</v>
      </c>
      <c r="K356" s="13">
        <f t="shared" si="79"/>
        <v>3000</v>
      </c>
      <c r="L356" s="36">
        <f t="shared" si="80"/>
        <v>0.375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2">
        <v>1</v>
      </c>
      <c r="B357" s="10" t="s">
        <v>17</v>
      </c>
      <c r="C357" s="11" t="s">
        <v>31</v>
      </c>
      <c r="D357" s="13">
        <v>3000</v>
      </c>
      <c r="E357" s="13">
        <f t="shared" si="77"/>
        <v>3000</v>
      </c>
      <c r="F357" s="7"/>
      <c r="G357" s="2"/>
      <c r="H357" s="2"/>
      <c r="I357" s="13">
        <f>25000/14</f>
        <v>1785.7142857142858</v>
      </c>
      <c r="J357" s="13">
        <f t="shared" si="78"/>
        <v>1785.7142857142858</v>
      </c>
      <c r="K357" s="13">
        <f t="shared" si="79"/>
        <v>1214.2857142857142</v>
      </c>
      <c r="L357" s="36">
        <f t="shared" si="80"/>
        <v>0.40476190476190477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2">
        <v>1</v>
      </c>
      <c r="B358" s="10" t="s">
        <v>17</v>
      </c>
      <c r="C358" s="11" t="s">
        <v>32</v>
      </c>
      <c r="D358" s="13">
        <v>2600</v>
      </c>
      <c r="E358" s="13">
        <f t="shared" si="77"/>
        <v>2600</v>
      </c>
      <c r="F358" s="2"/>
      <c r="G358" s="2"/>
      <c r="H358" s="2"/>
      <c r="I358" s="13">
        <f>10000/7</f>
        <v>1428.5714285714287</v>
      </c>
      <c r="J358" s="13">
        <f t="shared" si="78"/>
        <v>1428.5714285714287</v>
      </c>
      <c r="K358" s="13">
        <f t="shared" si="79"/>
        <v>1171.4285714285713</v>
      </c>
      <c r="L358" s="36">
        <f t="shared" si="80"/>
        <v>0.4505494505494505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2">
        <v>1</v>
      </c>
      <c r="B359" s="10" t="s">
        <v>23</v>
      </c>
      <c r="C359" s="11" t="s">
        <v>26</v>
      </c>
      <c r="D359" s="13">
        <v>18000</v>
      </c>
      <c r="E359" s="13">
        <f t="shared" si="77"/>
        <v>18000</v>
      </c>
      <c r="F359" s="2"/>
      <c r="G359" s="7" t="s">
        <v>37</v>
      </c>
      <c r="H359" s="2"/>
      <c r="I359" s="13">
        <v>12000</v>
      </c>
      <c r="J359" s="13">
        <f t="shared" si="78"/>
        <v>12000</v>
      </c>
      <c r="K359" s="13">
        <f t="shared" si="79"/>
        <v>6000</v>
      </c>
      <c r="L359" s="36">
        <f t="shared" si="80"/>
        <v>0.33333333333333331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2">
        <v>15</v>
      </c>
      <c r="B360" s="10" t="s">
        <v>4</v>
      </c>
      <c r="C360" s="11" t="s">
        <v>65</v>
      </c>
      <c r="D360" s="13">
        <v>1800</v>
      </c>
      <c r="E360" s="13">
        <f t="shared" si="77"/>
        <v>27000</v>
      </c>
      <c r="F360" s="2"/>
      <c r="G360" s="2"/>
      <c r="H360" s="2"/>
      <c r="I360" s="13"/>
      <c r="J360" s="13">
        <f t="shared" si="78"/>
        <v>0</v>
      </c>
      <c r="K360" s="13">
        <f t="shared" si="79"/>
        <v>27000</v>
      </c>
      <c r="L360" s="36">
        <f t="shared" si="80"/>
        <v>1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2">
        <v>1</v>
      </c>
      <c r="B361" s="10" t="s">
        <v>17</v>
      </c>
      <c r="C361" s="11" t="s">
        <v>162</v>
      </c>
      <c r="D361" s="13">
        <v>4500</v>
      </c>
      <c r="E361" s="13">
        <f t="shared" si="77"/>
        <v>4500</v>
      </c>
      <c r="F361" s="2"/>
      <c r="G361" s="2"/>
      <c r="H361" s="2"/>
      <c r="I361" s="13">
        <v>3500</v>
      </c>
      <c r="J361" s="13">
        <f t="shared" si="78"/>
        <v>3500</v>
      </c>
      <c r="K361" s="13">
        <f t="shared" si="79"/>
        <v>1000</v>
      </c>
      <c r="L361" s="18">
        <f t="shared" si="80"/>
        <v>0.22222222222222221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2">
        <v>0.5</v>
      </c>
      <c r="B362" s="10" t="s">
        <v>17</v>
      </c>
      <c r="C362" s="11" t="s">
        <v>93</v>
      </c>
      <c r="D362" s="13">
        <v>2600</v>
      </c>
      <c r="E362" s="13">
        <f t="shared" si="77"/>
        <v>1300</v>
      </c>
      <c r="F362" s="2"/>
      <c r="G362" s="2"/>
      <c r="H362" s="2"/>
      <c r="I362" s="13">
        <f>10000/7</f>
        <v>1428.5714285714287</v>
      </c>
      <c r="J362" s="13">
        <f t="shared" si="78"/>
        <v>714.28571428571433</v>
      </c>
      <c r="K362" s="13">
        <f t="shared" si="79"/>
        <v>585.71428571428567</v>
      </c>
      <c r="L362" s="36">
        <f t="shared" si="80"/>
        <v>0.4505494505494505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2">
        <v>1</v>
      </c>
      <c r="B363" s="10" t="s">
        <v>23</v>
      </c>
      <c r="C363" s="11" t="s">
        <v>81</v>
      </c>
      <c r="D363" s="13">
        <v>22000</v>
      </c>
      <c r="E363" s="13">
        <f t="shared" si="77"/>
        <v>22000</v>
      </c>
      <c r="F363" s="2"/>
      <c r="G363" s="2"/>
      <c r="H363" s="2"/>
      <c r="I363" s="13">
        <v>13000</v>
      </c>
      <c r="J363" s="13">
        <f t="shared" si="78"/>
        <v>13000</v>
      </c>
      <c r="K363" s="13">
        <f t="shared" si="79"/>
        <v>9000</v>
      </c>
      <c r="L363" s="18">
        <f t="shared" si="80"/>
        <v>0.40909090909090912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2">
        <v>3.2</v>
      </c>
      <c r="B364" s="10" t="s">
        <v>17</v>
      </c>
      <c r="C364" s="11" t="s">
        <v>1145</v>
      </c>
      <c r="D364" s="13">
        <v>1000</v>
      </c>
      <c r="E364" s="13">
        <f t="shared" si="77"/>
        <v>3200</v>
      </c>
      <c r="F364" s="2"/>
      <c r="G364" s="2"/>
      <c r="H364" s="2"/>
      <c r="I364" s="13">
        <f>10000/16</f>
        <v>625</v>
      </c>
      <c r="J364" s="13">
        <f t="shared" si="78"/>
        <v>2000</v>
      </c>
      <c r="K364" s="13">
        <f t="shared" si="79"/>
        <v>1200</v>
      </c>
      <c r="L364" s="36">
        <f t="shared" si="80"/>
        <v>0.375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5"/>
      <c r="B365" s="2"/>
      <c r="C365" s="4"/>
      <c r="D365" s="2"/>
      <c r="E365" s="2"/>
      <c r="F365" s="2"/>
      <c r="G365" s="4"/>
      <c r="H365" s="2"/>
      <c r="I365" s="2"/>
      <c r="J365" s="2"/>
      <c r="K365" s="2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"/>
      <c r="B366" s="2"/>
      <c r="C366" s="4"/>
      <c r="D366" s="2"/>
      <c r="E366" s="13">
        <f>SUM(E348:E364)</f>
        <v>248145</v>
      </c>
      <c r="F366" s="2"/>
      <c r="G366" s="2"/>
      <c r="H366" s="2"/>
      <c r="I366" s="2"/>
      <c r="J366" s="2"/>
      <c r="K366" s="13">
        <f>SUM(K348:K364)</f>
        <v>100728.19327731093</v>
      </c>
      <c r="L366" s="14">
        <f>K366/E366</f>
        <v>0.40592473464027456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0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0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6" t="s">
        <v>121</v>
      </c>
      <c r="B369" s="1"/>
      <c r="C369" s="1"/>
      <c r="D369" s="22" t="s">
        <v>1182</v>
      </c>
      <c r="E369" s="8">
        <v>46142</v>
      </c>
      <c r="F369" s="24" t="s">
        <v>1122</v>
      </c>
      <c r="G369" s="2"/>
      <c r="H369" s="2"/>
      <c r="I369" s="2"/>
      <c r="J369" s="2"/>
      <c r="K369" s="2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2"/>
      <c r="C370" s="4"/>
      <c r="D370" s="2"/>
      <c r="E370" s="2"/>
      <c r="F370" s="2"/>
      <c r="G370" s="2"/>
      <c r="H370" s="2"/>
      <c r="I370" s="2"/>
      <c r="J370" s="2"/>
      <c r="K370" s="2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6" t="s">
        <v>3</v>
      </c>
      <c r="B371" s="10" t="s">
        <v>4</v>
      </c>
      <c r="C371" s="11" t="s">
        <v>5</v>
      </c>
      <c r="D371" s="10" t="s">
        <v>6</v>
      </c>
      <c r="E371" s="10" t="s">
        <v>7</v>
      </c>
      <c r="F371" s="2"/>
      <c r="G371" s="2"/>
      <c r="H371" s="2"/>
      <c r="I371" s="10" t="s">
        <v>6</v>
      </c>
      <c r="J371" s="10" t="s">
        <v>7</v>
      </c>
      <c r="K371" s="10" t="s">
        <v>10</v>
      </c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2">
        <v>1</v>
      </c>
      <c r="B372" s="10" t="s">
        <v>21</v>
      </c>
      <c r="C372" s="11" t="s">
        <v>51</v>
      </c>
      <c r="D372" s="13">
        <v>1500</v>
      </c>
      <c r="E372" s="13">
        <f t="shared" ref="E372:E386" si="81">A372*D372</f>
        <v>1500</v>
      </c>
      <c r="F372" s="7"/>
      <c r="G372" s="2"/>
      <c r="H372" s="2"/>
      <c r="I372" s="13">
        <v>500</v>
      </c>
      <c r="J372" s="13">
        <f t="shared" ref="J372:J386" si="82">I372*A372</f>
        <v>500</v>
      </c>
      <c r="K372" s="13">
        <f t="shared" ref="K372:K386" si="83">E372-J372</f>
        <v>1000</v>
      </c>
      <c r="L372" s="14">
        <f t="shared" ref="L372:L386" si="84">K372/E372</f>
        <v>0.66666666666666663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2">
        <v>1</v>
      </c>
      <c r="B373" s="10" t="s">
        <v>17</v>
      </c>
      <c r="C373" s="11" t="s">
        <v>62</v>
      </c>
      <c r="D373" s="13">
        <v>2800</v>
      </c>
      <c r="E373" s="13">
        <f t="shared" si="81"/>
        <v>2800</v>
      </c>
      <c r="F373" s="2"/>
      <c r="G373" s="2"/>
      <c r="H373" s="2"/>
      <c r="I373" s="13">
        <f>28000/17</f>
        <v>1647.0588235294117</v>
      </c>
      <c r="J373" s="13">
        <f t="shared" si="82"/>
        <v>1647.0588235294117</v>
      </c>
      <c r="K373" s="13">
        <f t="shared" si="83"/>
        <v>1152.9411764705883</v>
      </c>
      <c r="L373" s="14">
        <f t="shared" si="84"/>
        <v>0.41176470588235298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2">
        <v>1</v>
      </c>
      <c r="B374" s="10" t="s">
        <v>17</v>
      </c>
      <c r="C374" s="11" t="s">
        <v>77</v>
      </c>
      <c r="D374" s="13">
        <v>3200</v>
      </c>
      <c r="E374" s="13">
        <f t="shared" si="81"/>
        <v>3200</v>
      </c>
      <c r="F374" s="2"/>
      <c r="G374" s="2"/>
      <c r="H374" s="2"/>
      <c r="I374" s="13">
        <v>2300</v>
      </c>
      <c r="J374" s="13">
        <f t="shared" si="82"/>
        <v>2300</v>
      </c>
      <c r="K374" s="13">
        <f t="shared" si="83"/>
        <v>900</v>
      </c>
      <c r="L374" s="14">
        <f t="shared" si="84"/>
        <v>0.28125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2">
        <v>0.5</v>
      </c>
      <c r="B375" s="10" t="s">
        <v>17</v>
      </c>
      <c r="C375" s="11" t="s">
        <v>90</v>
      </c>
      <c r="D375" s="13">
        <v>8000</v>
      </c>
      <c r="E375" s="13">
        <f t="shared" si="81"/>
        <v>4000</v>
      </c>
      <c r="F375" s="2"/>
      <c r="G375" s="2"/>
      <c r="H375" s="2"/>
      <c r="I375" s="13">
        <v>5000</v>
      </c>
      <c r="J375" s="13">
        <f t="shared" si="82"/>
        <v>2500</v>
      </c>
      <c r="K375" s="13">
        <f t="shared" si="83"/>
        <v>1500</v>
      </c>
      <c r="L375" s="14">
        <f t="shared" si="84"/>
        <v>0.375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2">
        <v>0.5</v>
      </c>
      <c r="B376" s="10" t="s">
        <v>17</v>
      </c>
      <c r="C376" s="11" t="s">
        <v>190</v>
      </c>
      <c r="D376" s="13">
        <v>4500</v>
      </c>
      <c r="E376" s="13">
        <f t="shared" si="81"/>
        <v>2250</v>
      </c>
      <c r="F376" s="2"/>
      <c r="G376" s="2"/>
      <c r="H376" s="2"/>
      <c r="I376" s="13">
        <f>70000/19</f>
        <v>3684.2105263157896</v>
      </c>
      <c r="J376" s="13">
        <f t="shared" si="82"/>
        <v>1842.1052631578948</v>
      </c>
      <c r="K376" s="13">
        <f t="shared" si="83"/>
        <v>407.8947368421052</v>
      </c>
      <c r="L376" s="14">
        <f t="shared" si="84"/>
        <v>0.1812865497076023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2">
        <v>0.5</v>
      </c>
      <c r="B377" s="10" t="s">
        <v>17</v>
      </c>
      <c r="C377" s="11" t="s">
        <v>111</v>
      </c>
      <c r="D377" s="13">
        <v>9500</v>
      </c>
      <c r="E377" s="13">
        <f t="shared" si="81"/>
        <v>4750</v>
      </c>
      <c r="F377" s="2"/>
      <c r="G377" s="2"/>
      <c r="H377" s="7"/>
      <c r="I377" s="13">
        <v>7000</v>
      </c>
      <c r="J377" s="13">
        <f t="shared" si="82"/>
        <v>3500</v>
      </c>
      <c r="K377" s="13">
        <f t="shared" si="83"/>
        <v>1250</v>
      </c>
      <c r="L377" s="14">
        <f t="shared" si="84"/>
        <v>0.26315789473684209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2">
        <v>1</v>
      </c>
      <c r="B378" s="10" t="s">
        <v>17</v>
      </c>
      <c r="C378" s="11" t="s">
        <v>31</v>
      </c>
      <c r="D378" s="13">
        <v>3000</v>
      </c>
      <c r="E378" s="13">
        <f t="shared" si="81"/>
        <v>3000</v>
      </c>
      <c r="F378" s="2"/>
      <c r="G378" s="2"/>
      <c r="H378" s="2"/>
      <c r="I378" s="13">
        <f>25000/14</f>
        <v>1785.7142857142858</v>
      </c>
      <c r="J378" s="13">
        <f t="shared" si="82"/>
        <v>1785.7142857142858</v>
      </c>
      <c r="K378" s="13">
        <f t="shared" si="83"/>
        <v>1214.2857142857142</v>
      </c>
      <c r="L378" s="14">
        <f t="shared" si="84"/>
        <v>0.40476190476190477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2">
        <v>1</v>
      </c>
      <c r="B379" s="10" t="s">
        <v>21</v>
      </c>
      <c r="C379" s="11" t="s">
        <v>112</v>
      </c>
      <c r="D379" s="13">
        <v>3000</v>
      </c>
      <c r="E379" s="13">
        <f t="shared" si="81"/>
        <v>3000</v>
      </c>
      <c r="F379" s="7"/>
      <c r="G379" s="2"/>
      <c r="H379" s="2"/>
      <c r="I379" s="13">
        <v>2000</v>
      </c>
      <c r="J379" s="13">
        <f t="shared" si="82"/>
        <v>2000</v>
      </c>
      <c r="K379" s="13">
        <f t="shared" si="83"/>
        <v>1000</v>
      </c>
      <c r="L379" s="14">
        <f t="shared" si="84"/>
        <v>0.33333333333333331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2">
        <v>1</v>
      </c>
      <c r="B380" s="10" t="s">
        <v>17</v>
      </c>
      <c r="C380" s="11" t="s">
        <v>154</v>
      </c>
      <c r="D380" s="13">
        <v>1800</v>
      </c>
      <c r="E380" s="13">
        <f t="shared" si="81"/>
        <v>1800</v>
      </c>
      <c r="F380" s="7"/>
      <c r="G380" s="2"/>
      <c r="H380" s="2"/>
      <c r="I380" s="13">
        <f>19000/17</f>
        <v>1117.6470588235295</v>
      </c>
      <c r="J380" s="13">
        <f t="shared" si="82"/>
        <v>1117.6470588235295</v>
      </c>
      <c r="K380" s="13">
        <f t="shared" si="83"/>
        <v>682.35294117647049</v>
      </c>
      <c r="L380" s="14">
        <f t="shared" si="84"/>
        <v>0.37908496732026137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2">
        <v>1</v>
      </c>
      <c r="B381" s="10" t="s">
        <v>23</v>
      </c>
      <c r="C381" s="11" t="s">
        <v>26</v>
      </c>
      <c r="D381" s="13">
        <v>18000</v>
      </c>
      <c r="E381" s="13">
        <f t="shared" si="81"/>
        <v>18000</v>
      </c>
      <c r="F381" s="2"/>
      <c r="G381" s="2"/>
      <c r="H381" s="2"/>
      <c r="I381" s="13">
        <v>12000</v>
      </c>
      <c r="J381" s="13">
        <f t="shared" si="82"/>
        <v>12000</v>
      </c>
      <c r="K381" s="13">
        <f t="shared" si="83"/>
        <v>6000</v>
      </c>
      <c r="L381" s="14">
        <f t="shared" si="84"/>
        <v>0.33333333333333331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2">
        <v>12</v>
      </c>
      <c r="B382" s="10" t="s">
        <v>4</v>
      </c>
      <c r="C382" s="11" t="s">
        <v>65</v>
      </c>
      <c r="D382" s="13">
        <v>1800</v>
      </c>
      <c r="E382" s="13">
        <f t="shared" si="81"/>
        <v>21600</v>
      </c>
      <c r="F382" s="2"/>
      <c r="G382" s="2"/>
      <c r="H382" s="2"/>
      <c r="I382" s="13"/>
      <c r="J382" s="13">
        <f t="shared" si="82"/>
        <v>0</v>
      </c>
      <c r="K382" s="13">
        <f t="shared" si="83"/>
        <v>21600</v>
      </c>
      <c r="L382" s="14">
        <f t="shared" si="84"/>
        <v>1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2">
        <v>1</v>
      </c>
      <c r="B383" s="10" t="s">
        <v>17</v>
      </c>
      <c r="C383" s="11" t="s">
        <v>123</v>
      </c>
      <c r="D383" s="13">
        <v>2800</v>
      </c>
      <c r="E383" s="13">
        <f t="shared" si="81"/>
        <v>2800</v>
      </c>
      <c r="F383" s="2"/>
      <c r="G383" s="2"/>
      <c r="H383" s="2"/>
      <c r="I383" s="13">
        <f>25000/15</f>
        <v>1666.6666666666667</v>
      </c>
      <c r="J383" s="13">
        <f t="shared" si="82"/>
        <v>1666.6666666666667</v>
      </c>
      <c r="K383" s="13">
        <f t="shared" si="83"/>
        <v>1133.3333333333333</v>
      </c>
      <c r="L383" s="14">
        <f t="shared" si="84"/>
        <v>0.40476190476190471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2">
        <v>3</v>
      </c>
      <c r="B384" s="10" t="s">
        <v>126</v>
      </c>
      <c r="C384" s="11" t="s">
        <v>1078</v>
      </c>
      <c r="D384" s="13">
        <v>1000</v>
      </c>
      <c r="E384" s="13">
        <f t="shared" si="81"/>
        <v>3000</v>
      </c>
      <c r="F384" s="7"/>
      <c r="G384" s="7" t="s">
        <v>37</v>
      </c>
      <c r="H384" s="2"/>
      <c r="I384" s="13">
        <v>500</v>
      </c>
      <c r="J384" s="13">
        <f t="shared" si="82"/>
        <v>1500</v>
      </c>
      <c r="K384" s="13">
        <f t="shared" si="83"/>
        <v>1500</v>
      </c>
      <c r="L384" s="14">
        <f t="shared" si="84"/>
        <v>0.5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2">
        <v>1</v>
      </c>
      <c r="B385" s="10" t="s">
        <v>17</v>
      </c>
      <c r="C385" s="11" t="s">
        <v>81</v>
      </c>
      <c r="D385" s="13">
        <v>1800</v>
      </c>
      <c r="E385" s="13">
        <f t="shared" si="81"/>
        <v>1800</v>
      </c>
      <c r="F385" s="2"/>
      <c r="G385" s="2"/>
      <c r="H385" s="2"/>
      <c r="I385" s="13">
        <v>1000</v>
      </c>
      <c r="J385" s="13">
        <f t="shared" si="82"/>
        <v>1000</v>
      </c>
      <c r="K385" s="13">
        <f t="shared" si="83"/>
        <v>800</v>
      </c>
      <c r="L385" s="14">
        <f t="shared" si="84"/>
        <v>0.44444444444444442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2">
        <v>0.5</v>
      </c>
      <c r="B386" s="10" t="s">
        <v>17</v>
      </c>
      <c r="C386" s="11" t="s">
        <v>1085</v>
      </c>
      <c r="D386" s="13">
        <v>5000</v>
      </c>
      <c r="E386" s="13">
        <f t="shared" si="81"/>
        <v>2500</v>
      </c>
      <c r="F386" s="2"/>
      <c r="G386" s="2"/>
      <c r="H386" s="2"/>
      <c r="I386" s="13">
        <v>3000</v>
      </c>
      <c r="J386" s="13">
        <f t="shared" si="82"/>
        <v>1500</v>
      </c>
      <c r="K386" s="13">
        <f t="shared" si="83"/>
        <v>1000</v>
      </c>
      <c r="L386" s="14">
        <f t="shared" si="84"/>
        <v>0.4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5"/>
      <c r="B387" s="2"/>
      <c r="C387" s="4"/>
      <c r="D387" s="2"/>
      <c r="E387" s="2"/>
      <c r="F387" s="2"/>
      <c r="G387" s="4"/>
      <c r="H387" s="2"/>
      <c r="I387" s="2"/>
      <c r="J387" s="2"/>
      <c r="K387" s="2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"/>
      <c r="B388" s="2"/>
      <c r="C388" s="4"/>
      <c r="D388" s="2"/>
      <c r="E388" s="13">
        <f>SUM(E372:E386)</f>
        <v>76000</v>
      </c>
      <c r="F388" s="2"/>
      <c r="G388" s="2"/>
      <c r="H388" s="2"/>
      <c r="I388" s="2"/>
      <c r="J388" s="2"/>
      <c r="K388" s="13">
        <f>SUM(K372:K386)</f>
        <v>41140.807902108216</v>
      </c>
      <c r="L388" s="14">
        <f>K388/E388</f>
        <v>0.54132641976458173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0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0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0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0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6" t="s">
        <v>1163</v>
      </c>
      <c r="B393" s="1"/>
      <c r="C393" s="1"/>
      <c r="D393" s="22" t="s">
        <v>1183</v>
      </c>
      <c r="E393" s="8">
        <v>46142</v>
      </c>
      <c r="F393" s="24" t="s">
        <v>106</v>
      </c>
      <c r="G393" s="2"/>
      <c r="H393" s="2"/>
      <c r="I393" s="2"/>
      <c r="J393" s="2"/>
      <c r="K393" s="2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2"/>
      <c r="C394" s="4"/>
      <c r="D394" s="2"/>
      <c r="E394" s="2"/>
      <c r="F394" s="2"/>
      <c r="G394" s="2"/>
      <c r="H394" s="2"/>
      <c r="I394" s="2"/>
      <c r="J394" s="2"/>
      <c r="K394" s="2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6" t="s">
        <v>3</v>
      </c>
      <c r="B395" s="10" t="s">
        <v>4</v>
      </c>
      <c r="C395" s="11" t="s">
        <v>5</v>
      </c>
      <c r="D395" s="10" t="s">
        <v>6</v>
      </c>
      <c r="E395" s="10" t="s">
        <v>7</v>
      </c>
      <c r="F395" s="2"/>
      <c r="G395" s="2"/>
      <c r="H395" s="2"/>
      <c r="I395" s="10" t="s">
        <v>6</v>
      </c>
      <c r="J395" s="10" t="s">
        <v>7</v>
      </c>
      <c r="K395" s="10" t="s">
        <v>10</v>
      </c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2">
        <v>0.5</v>
      </c>
      <c r="B396" s="10" t="s">
        <v>17</v>
      </c>
      <c r="C396" s="11" t="s">
        <v>52</v>
      </c>
      <c r="D396" s="13">
        <v>2000</v>
      </c>
      <c r="E396" s="13">
        <f t="shared" ref="E396:E399" si="85">A396*D396</f>
        <v>1000</v>
      </c>
      <c r="F396" s="7"/>
      <c r="G396" s="2"/>
      <c r="H396" s="2"/>
      <c r="I396" s="7">
        <v>750</v>
      </c>
      <c r="J396" s="13">
        <f t="shared" ref="J396:J399" si="86">I396*A396</f>
        <v>375</v>
      </c>
      <c r="K396" s="13">
        <f t="shared" ref="K396:K399" si="87">E396-J396</f>
        <v>625</v>
      </c>
      <c r="L396" s="14">
        <f t="shared" ref="L396:L399" si="88">K396/E396</f>
        <v>0.625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2">
        <v>3</v>
      </c>
      <c r="B397" s="10" t="s">
        <v>4</v>
      </c>
      <c r="C397" s="11" t="s">
        <v>1184</v>
      </c>
      <c r="D397" s="13">
        <v>0</v>
      </c>
      <c r="E397" s="13">
        <f t="shared" si="85"/>
        <v>0</v>
      </c>
      <c r="F397" s="2"/>
      <c r="G397" s="2"/>
      <c r="H397" s="2"/>
      <c r="I397" s="13"/>
      <c r="J397" s="13">
        <f t="shared" si="86"/>
        <v>0</v>
      </c>
      <c r="K397" s="13">
        <f t="shared" si="87"/>
        <v>0</v>
      </c>
      <c r="L397" s="14" t="e">
        <f t="shared" si="88"/>
        <v>#DIV/0!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2">
        <v>10</v>
      </c>
      <c r="B398" s="10" t="s">
        <v>4</v>
      </c>
      <c r="C398" s="11" t="s">
        <v>65</v>
      </c>
      <c r="D398" s="13">
        <v>1800</v>
      </c>
      <c r="E398" s="13">
        <f t="shared" si="85"/>
        <v>18000</v>
      </c>
      <c r="F398" s="2"/>
      <c r="G398" s="2"/>
      <c r="H398" s="2"/>
      <c r="I398" s="13">
        <f>70000/60</f>
        <v>1166.6666666666667</v>
      </c>
      <c r="J398" s="13">
        <f t="shared" si="86"/>
        <v>11666.666666666668</v>
      </c>
      <c r="K398" s="13">
        <f t="shared" si="87"/>
        <v>6333.3333333333321</v>
      </c>
      <c r="L398" s="14">
        <f t="shared" si="88"/>
        <v>0.3518518518518518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12">
        <v>2</v>
      </c>
      <c r="B399" s="10" t="s">
        <v>17</v>
      </c>
      <c r="C399" s="11" t="s">
        <v>35</v>
      </c>
      <c r="D399" s="13">
        <v>2500</v>
      </c>
      <c r="E399" s="13">
        <f t="shared" si="85"/>
        <v>5000</v>
      </c>
      <c r="F399" s="2"/>
      <c r="G399" s="2"/>
      <c r="H399" s="2"/>
      <c r="I399" s="13">
        <f>10000/9</f>
        <v>1111.1111111111111</v>
      </c>
      <c r="J399" s="13">
        <f t="shared" si="86"/>
        <v>2222.2222222222222</v>
      </c>
      <c r="K399" s="13">
        <f t="shared" si="87"/>
        <v>2777.7777777777778</v>
      </c>
      <c r="L399" s="14">
        <f t="shared" si="88"/>
        <v>0.55555555555555558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5"/>
      <c r="B400" s="2"/>
      <c r="C400" s="4"/>
      <c r="D400" s="2"/>
      <c r="E400" s="2"/>
      <c r="F400" s="2"/>
      <c r="G400" s="4"/>
      <c r="H400" s="2"/>
      <c r="I400" s="2"/>
      <c r="J400" s="2"/>
      <c r="K400" s="2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"/>
      <c r="B401" s="2"/>
      <c r="C401" s="4"/>
      <c r="D401" s="2"/>
      <c r="E401" s="13">
        <f>SUM(E396:E399)</f>
        <v>24000</v>
      </c>
      <c r="F401" s="2"/>
      <c r="G401" s="2"/>
      <c r="H401" s="2"/>
      <c r="I401" s="2"/>
      <c r="J401" s="2"/>
      <c r="K401" s="13">
        <f>SUM(K396:K399)</f>
        <v>9736.1111111111095</v>
      </c>
      <c r="L401" s="14">
        <f>K401/E401</f>
        <v>0.40567129629629622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0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0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0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5.5" customHeight="1" x14ac:dyDescent="0.25">
      <c r="A405" s="26" t="s">
        <v>101</v>
      </c>
      <c r="B405" s="27">
        <f>E401+E388+E366+E338+F320+E306+F291+E272+E262+E237+F209+F174+F161+F134+F88+F70+F41</f>
        <v>4240826.4749999996</v>
      </c>
      <c r="C405" s="4"/>
      <c r="D405" s="4"/>
      <c r="E405" s="4"/>
      <c r="F405" s="4"/>
      <c r="G405" s="4"/>
      <c r="H405" s="4"/>
      <c r="I405" s="4"/>
      <c r="J405" s="4"/>
      <c r="K405" s="4"/>
      <c r="L405" s="28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8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7" customHeight="1" x14ac:dyDescent="0.25">
      <c r="A407" s="26" t="s">
        <v>102</v>
      </c>
      <c r="B407" s="27">
        <f>K401+K388+K366+K338+K320+K306+K291+K272+K262+K237+K209+K174+K161+K134+K88+K70+K41</f>
        <v>1846337.5109231411</v>
      </c>
      <c r="C407" s="4"/>
      <c r="D407" s="4"/>
      <c r="E407" s="4"/>
      <c r="F407" s="4"/>
      <c r="G407" s="4"/>
      <c r="H407" s="4"/>
      <c r="I407" s="4"/>
      <c r="J407" s="4"/>
      <c r="K407" s="4"/>
      <c r="L407" s="28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8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8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6.25" customHeight="1" x14ac:dyDescent="0.25">
      <c r="A410" s="26" t="s">
        <v>103</v>
      </c>
      <c r="B410" s="29">
        <f>B407/B405</f>
        <v>0.43537209593635667</v>
      </c>
      <c r="C410" s="4"/>
      <c r="D410" s="4"/>
      <c r="E410" s="4"/>
      <c r="F410" s="4"/>
      <c r="G410" s="4"/>
      <c r="H410" s="4"/>
      <c r="I410" s="4"/>
      <c r="J410" s="4"/>
      <c r="K410" s="4"/>
      <c r="L410" s="28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8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90" t="s">
        <v>104</v>
      </c>
      <c r="B412" s="89"/>
      <c r="C412" s="4"/>
      <c r="D412" s="4"/>
      <c r="E412" s="4"/>
      <c r="F412" s="4"/>
      <c r="G412" s="4"/>
      <c r="H412" s="4"/>
      <c r="I412" s="4"/>
      <c r="J412" s="4"/>
      <c r="K412" s="4"/>
      <c r="L412" s="28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2"/>
      <c r="B413" s="10"/>
      <c r="C413" s="11"/>
      <c r="D413" s="13"/>
      <c r="E413" s="13"/>
      <c r="F413" s="13"/>
      <c r="G413" s="2"/>
      <c r="H413" s="2"/>
      <c r="I413" s="13"/>
      <c r="J413" s="13"/>
      <c r="K413" s="13"/>
      <c r="L413" s="14"/>
      <c r="M413" s="4"/>
      <c r="N413" s="2"/>
      <c r="O413" s="4"/>
      <c r="P413" s="2"/>
      <c r="Q413" s="2"/>
      <c r="R413" s="4"/>
      <c r="S413" s="2"/>
      <c r="T413" s="2"/>
      <c r="U413" s="1"/>
      <c r="V413" s="2"/>
      <c r="W413" s="2"/>
      <c r="X413" s="2"/>
      <c r="Y413" s="2"/>
      <c r="Z413" s="2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0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0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0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0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0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0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0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0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0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0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0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0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0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0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0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0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0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0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0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0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0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0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0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0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0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0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0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0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0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0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0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0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0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0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0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0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0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0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0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0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0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0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0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0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0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0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0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0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0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0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0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0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0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0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0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0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0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0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0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0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0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0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0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0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0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0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0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0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0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0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0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0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0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0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0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0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0"/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0"/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0"/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0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0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0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0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0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0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0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0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0"/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0"/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0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0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0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0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0"/>
      <c r="M507" s="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0"/>
      <c r="M508" s="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0"/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0"/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0"/>
      <c r="M511" s="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0"/>
      <c r="M512" s="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0"/>
      <c r="M513" s="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0"/>
      <c r="M514" s="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0"/>
      <c r="M515" s="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0"/>
      <c r="M516" s="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0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0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0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0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0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0"/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0"/>
      <c r="M523" s="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0"/>
      <c r="M524" s="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0"/>
      <c r="M525" s="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0"/>
      <c r="M526" s="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0"/>
      <c r="M527" s="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0"/>
      <c r="M528" s="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0"/>
      <c r="M529" s="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0"/>
      <c r="M530" s="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0"/>
      <c r="M531" s="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0"/>
      <c r="M532" s="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0"/>
      <c r="M533" s="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0"/>
      <c r="M534" s="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0"/>
      <c r="M535" s="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0"/>
      <c r="M536" s="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0"/>
      <c r="M537" s="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0"/>
      <c r="M538" s="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0"/>
      <c r="M539" s="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0"/>
      <c r="M540" s="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0"/>
      <c r="M541" s="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0"/>
      <c r="M542" s="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0"/>
      <c r="M543" s="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0"/>
      <c r="M544" s="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0"/>
      <c r="M545" s="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0"/>
      <c r="M546" s="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0"/>
      <c r="M547" s="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0"/>
      <c r="M548" s="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0"/>
      <c r="M549" s="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0"/>
      <c r="M550" s="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0"/>
      <c r="M551" s="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0"/>
      <c r="M552" s="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0"/>
      <c r="M553" s="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0"/>
      <c r="M554" s="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0"/>
      <c r="M555" s="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0"/>
      <c r="M556" s="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0"/>
      <c r="M557" s="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0"/>
      <c r="M558" s="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0"/>
      <c r="M559" s="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0"/>
      <c r="M560" s="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0"/>
      <c r="M561" s="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0"/>
      <c r="M562" s="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0"/>
      <c r="M563" s="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0"/>
      <c r="M564" s="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0"/>
      <c r="M565" s="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0"/>
      <c r="M566" s="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0"/>
      <c r="M567" s="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0"/>
      <c r="M568" s="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0"/>
      <c r="M569" s="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0"/>
      <c r="M570" s="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0"/>
      <c r="M571" s="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0"/>
      <c r="M572" s="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0"/>
      <c r="M573" s="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0"/>
      <c r="M574" s="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0"/>
      <c r="M575" s="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0"/>
      <c r="M576" s="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0"/>
      <c r="M577" s="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0"/>
      <c r="M578" s="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0"/>
      <c r="M579" s="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0"/>
      <c r="M580" s="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0"/>
      <c r="M581" s="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0"/>
      <c r="M582" s="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0"/>
      <c r="M583" s="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0"/>
      <c r="M584" s="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0"/>
      <c r="M585" s="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0"/>
      <c r="M586" s="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0"/>
      <c r="M587" s="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0"/>
      <c r="M588" s="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0"/>
      <c r="M589" s="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0"/>
      <c r="M590" s="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0"/>
      <c r="M591" s="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0"/>
      <c r="M592" s="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0"/>
      <c r="M593" s="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0"/>
      <c r="M594" s="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0"/>
      <c r="M595" s="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0"/>
      <c r="M596" s="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0"/>
      <c r="M597" s="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0"/>
      <c r="M598" s="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0"/>
      <c r="M599" s="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0"/>
      <c r="M600" s="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0"/>
      <c r="M601" s="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0"/>
      <c r="M602" s="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0"/>
      <c r="M603" s="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0"/>
      <c r="M604" s="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0"/>
      <c r="M605" s="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0"/>
      <c r="M606" s="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0"/>
      <c r="M607" s="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0"/>
      <c r="M608" s="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0"/>
      <c r="M609" s="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0"/>
      <c r="M610" s="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0"/>
      <c r="M611" s="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0"/>
      <c r="M612" s="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0"/>
      <c r="M613" s="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0"/>
      <c r="M614" s="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0"/>
      <c r="M615" s="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0"/>
      <c r="M616" s="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0"/>
      <c r="M617" s="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0"/>
      <c r="M618" s="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0"/>
      <c r="M619" s="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0"/>
      <c r="M620" s="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0"/>
      <c r="M621" s="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0"/>
      <c r="M622" s="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0"/>
      <c r="M623" s="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0"/>
      <c r="M624" s="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0"/>
      <c r="M625" s="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0"/>
      <c r="M626" s="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0"/>
      <c r="M627" s="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0"/>
      <c r="M628" s="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0"/>
      <c r="M629" s="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0"/>
      <c r="M630" s="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0"/>
      <c r="M631" s="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0"/>
      <c r="M632" s="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0"/>
      <c r="M633" s="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0"/>
      <c r="M634" s="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0"/>
      <c r="M635" s="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0"/>
      <c r="M636" s="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0"/>
      <c r="M637" s="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0"/>
      <c r="M638" s="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0"/>
      <c r="M639" s="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0"/>
      <c r="M640" s="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0"/>
      <c r="M641" s="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0"/>
      <c r="M642" s="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0"/>
      <c r="M643" s="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0"/>
      <c r="M644" s="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0"/>
      <c r="M645" s="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0"/>
      <c r="M646" s="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0"/>
      <c r="M647" s="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0"/>
      <c r="M648" s="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0"/>
      <c r="M649" s="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0"/>
      <c r="M650" s="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0"/>
      <c r="M651" s="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0"/>
      <c r="M652" s="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0"/>
      <c r="M653" s="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0"/>
      <c r="M654" s="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0"/>
      <c r="M655" s="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0"/>
      <c r="M656" s="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0"/>
      <c r="M657" s="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0"/>
      <c r="M658" s="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0"/>
      <c r="M659" s="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0"/>
      <c r="M660" s="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0"/>
      <c r="M661" s="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0"/>
      <c r="M662" s="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0"/>
      <c r="M663" s="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0"/>
      <c r="M664" s="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0"/>
      <c r="M665" s="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0"/>
      <c r="M666" s="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0"/>
      <c r="M667" s="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0"/>
      <c r="M668" s="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0"/>
      <c r="M669" s="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0"/>
      <c r="M670" s="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0"/>
      <c r="M671" s="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0"/>
      <c r="M672" s="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0"/>
      <c r="M673" s="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0"/>
      <c r="M674" s="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0"/>
      <c r="M675" s="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0"/>
      <c r="M676" s="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0"/>
      <c r="M677" s="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0"/>
      <c r="M678" s="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0"/>
      <c r="M679" s="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0"/>
      <c r="M680" s="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0"/>
      <c r="M681" s="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0"/>
      <c r="M682" s="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0"/>
      <c r="M683" s="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0"/>
      <c r="M684" s="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0"/>
      <c r="M685" s="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0"/>
      <c r="M686" s="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0"/>
      <c r="M687" s="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0"/>
      <c r="M688" s="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0"/>
      <c r="M689" s="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0"/>
      <c r="M690" s="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0"/>
      <c r="M691" s="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0"/>
      <c r="M692" s="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0"/>
      <c r="M693" s="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0"/>
      <c r="M694" s="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0"/>
      <c r="M695" s="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0"/>
      <c r="M696" s="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0"/>
      <c r="M697" s="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0"/>
      <c r="M698" s="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0"/>
      <c r="M699" s="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0"/>
      <c r="M700" s="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0"/>
      <c r="M701" s="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0"/>
      <c r="M702" s="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0"/>
      <c r="M703" s="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0"/>
      <c r="M704" s="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0"/>
      <c r="M705" s="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0"/>
      <c r="M706" s="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0"/>
      <c r="M707" s="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0"/>
      <c r="M708" s="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0"/>
      <c r="M709" s="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0"/>
      <c r="M710" s="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0"/>
      <c r="M711" s="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0"/>
      <c r="M712" s="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0"/>
      <c r="M713" s="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0"/>
      <c r="M714" s="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0"/>
      <c r="M715" s="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0"/>
      <c r="M716" s="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0"/>
      <c r="M717" s="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0"/>
      <c r="M718" s="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0"/>
      <c r="M719" s="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0"/>
      <c r="M720" s="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0"/>
      <c r="M721" s="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0"/>
      <c r="M722" s="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0"/>
      <c r="M723" s="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0"/>
      <c r="M724" s="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0"/>
      <c r="M725" s="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0"/>
      <c r="M726" s="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0"/>
      <c r="M727" s="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0"/>
      <c r="M728" s="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0"/>
      <c r="M729" s="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0"/>
      <c r="M730" s="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0"/>
      <c r="M731" s="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0"/>
      <c r="M732" s="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0"/>
      <c r="M733" s="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0"/>
      <c r="M734" s="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0"/>
      <c r="M735" s="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0"/>
      <c r="M736" s="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0"/>
      <c r="M737" s="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0"/>
      <c r="M738" s="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0"/>
      <c r="M739" s="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0"/>
      <c r="M740" s="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0"/>
      <c r="M741" s="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0"/>
      <c r="M742" s="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0"/>
      <c r="M743" s="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0"/>
      <c r="M744" s="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0"/>
      <c r="M745" s="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0"/>
      <c r="M746" s="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0"/>
      <c r="M747" s="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0"/>
      <c r="M748" s="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0"/>
      <c r="M749" s="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0"/>
      <c r="M750" s="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0"/>
      <c r="M751" s="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0"/>
      <c r="M752" s="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0"/>
      <c r="M753" s="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0"/>
      <c r="M754" s="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0"/>
      <c r="M755" s="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0"/>
      <c r="M756" s="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0"/>
      <c r="M757" s="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0"/>
      <c r="M758" s="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0"/>
      <c r="M759" s="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0"/>
      <c r="M760" s="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0"/>
      <c r="M761" s="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0"/>
      <c r="M762" s="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0"/>
      <c r="M763" s="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0"/>
      <c r="M764" s="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0"/>
      <c r="M765" s="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0"/>
      <c r="M766" s="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0"/>
      <c r="M767" s="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0"/>
      <c r="M768" s="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0"/>
      <c r="M769" s="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0"/>
      <c r="M770" s="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0"/>
      <c r="M771" s="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0"/>
      <c r="M772" s="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0"/>
      <c r="M773" s="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0"/>
      <c r="M774" s="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0"/>
      <c r="M775" s="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0"/>
      <c r="M776" s="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0"/>
      <c r="M777" s="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0"/>
      <c r="M778" s="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0"/>
      <c r="M779" s="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0"/>
      <c r="M780" s="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0"/>
      <c r="M781" s="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0"/>
      <c r="M782" s="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0"/>
      <c r="M783" s="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0"/>
      <c r="M784" s="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0"/>
      <c r="M785" s="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0"/>
      <c r="M786" s="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0"/>
      <c r="M787" s="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0"/>
      <c r="M788" s="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0"/>
      <c r="M789" s="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0"/>
      <c r="M790" s="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0"/>
      <c r="M791" s="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0"/>
      <c r="M792" s="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0"/>
      <c r="M793" s="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0"/>
      <c r="M794" s="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0"/>
      <c r="M795" s="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0"/>
      <c r="M796" s="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0"/>
      <c r="M797" s="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0"/>
      <c r="M798" s="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0"/>
      <c r="M799" s="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0"/>
      <c r="M800" s="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0"/>
      <c r="M801" s="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0"/>
      <c r="M802" s="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0"/>
      <c r="M803" s="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0"/>
      <c r="M804" s="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0"/>
      <c r="M805" s="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0"/>
      <c r="M806" s="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0"/>
      <c r="M807" s="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0"/>
      <c r="M808" s="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0"/>
      <c r="M809" s="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0"/>
      <c r="M810" s="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0"/>
      <c r="M811" s="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0"/>
      <c r="M812" s="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0"/>
      <c r="M813" s="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0"/>
      <c r="M814" s="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0"/>
      <c r="M815" s="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0"/>
      <c r="M816" s="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0"/>
      <c r="M817" s="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0"/>
      <c r="M818" s="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0"/>
      <c r="M819" s="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0"/>
      <c r="M820" s="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0"/>
      <c r="M821" s="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0"/>
      <c r="M822" s="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0"/>
      <c r="M823" s="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0"/>
      <c r="M824" s="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0"/>
      <c r="M825" s="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0"/>
      <c r="M826" s="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0"/>
      <c r="M827" s="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0"/>
      <c r="M828" s="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0"/>
      <c r="M829" s="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0"/>
      <c r="M830" s="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0"/>
      <c r="M831" s="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0"/>
      <c r="M832" s="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0"/>
      <c r="M833" s="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0"/>
      <c r="M834" s="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0"/>
      <c r="M835" s="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0"/>
      <c r="M836" s="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0"/>
      <c r="M837" s="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0"/>
      <c r="M838" s="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0"/>
      <c r="M839" s="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0"/>
      <c r="M840" s="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0"/>
      <c r="M841" s="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0"/>
      <c r="M842" s="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0"/>
      <c r="M843" s="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0"/>
      <c r="M844" s="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0"/>
      <c r="M845" s="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0"/>
      <c r="M846" s="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0"/>
      <c r="M847" s="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0"/>
      <c r="M848" s="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0"/>
      <c r="M849" s="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0"/>
      <c r="M850" s="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0"/>
      <c r="M851" s="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0"/>
      <c r="M852" s="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0"/>
      <c r="M853" s="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0"/>
      <c r="M854" s="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0"/>
      <c r="M855" s="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0"/>
      <c r="M856" s="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0"/>
      <c r="M857" s="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0"/>
      <c r="M858" s="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0"/>
      <c r="M859" s="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0"/>
      <c r="M860" s="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0"/>
      <c r="M861" s="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0"/>
      <c r="M862" s="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0"/>
      <c r="M863" s="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0"/>
      <c r="M864" s="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0"/>
      <c r="M865" s="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0"/>
      <c r="M866" s="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0"/>
      <c r="M867" s="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0"/>
      <c r="M868" s="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0"/>
      <c r="M869" s="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0"/>
      <c r="M870" s="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0"/>
      <c r="M871" s="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0"/>
      <c r="M872" s="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0"/>
      <c r="M873" s="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0"/>
      <c r="M874" s="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0"/>
      <c r="M875" s="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0"/>
      <c r="M876" s="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0"/>
      <c r="M877" s="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0"/>
      <c r="M878" s="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0"/>
      <c r="M879" s="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0"/>
      <c r="M880" s="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0"/>
      <c r="M881" s="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0"/>
      <c r="M882" s="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0"/>
      <c r="M883" s="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0"/>
      <c r="M884" s="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0"/>
      <c r="M885" s="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0"/>
      <c r="M886" s="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0"/>
      <c r="M887" s="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0"/>
      <c r="M888" s="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0"/>
      <c r="M889" s="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0"/>
      <c r="M890" s="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0"/>
      <c r="M891" s="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0"/>
      <c r="M892" s="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0"/>
      <c r="M893" s="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0"/>
      <c r="M894" s="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0"/>
      <c r="M895" s="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0"/>
      <c r="M896" s="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0"/>
      <c r="M897" s="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0"/>
      <c r="M898" s="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0"/>
      <c r="M899" s="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0"/>
      <c r="M900" s="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0"/>
      <c r="M901" s="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0"/>
      <c r="M902" s="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0"/>
      <c r="M903" s="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0"/>
      <c r="M904" s="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0"/>
      <c r="M905" s="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0"/>
      <c r="M906" s="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0"/>
      <c r="M907" s="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0"/>
      <c r="M908" s="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0"/>
      <c r="M909" s="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0"/>
      <c r="M910" s="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0"/>
      <c r="M911" s="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0"/>
      <c r="M912" s="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0"/>
      <c r="M913" s="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0"/>
      <c r="M914" s="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0"/>
      <c r="M915" s="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0"/>
      <c r="M916" s="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0"/>
      <c r="M917" s="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0"/>
      <c r="M918" s="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0"/>
      <c r="M919" s="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0"/>
      <c r="M920" s="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0"/>
      <c r="M921" s="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0"/>
      <c r="M922" s="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0"/>
      <c r="M923" s="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0"/>
      <c r="M924" s="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0"/>
      <c r="M925" s="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0"/>
      <c r="M926" s="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0"/>
      <c r="M927" s="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0"/>
      <c r="M928" s="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0"/>
      <c r="M929" s="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0"/>
      <c r="M930" s="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0"/>
      <c r="M931" s="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0"/>
      <c r="M932" s="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0"/>
      <c r="M933" s="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0"/>
      <c r="M934" s="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0"/>
      <c r="M935" s="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0"/>
      <c r="M936" s="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0"/>
      <c r="M937" s="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0"/>
      <c r="M938" s="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0"/>
      <c r="M939" s="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0"/>
      <c r="M940" s="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0"/>
      <c r="M941" s="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0"/>
      <c r="M942" s="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0"/>
      <c r="M943" s="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0"/>
      <c r="M944" s="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0"/>
      <c r="M945" s="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0"/>
      <c r="M946" s="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0"/>
      <c r="M947" s="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0"/>
      <c r="M948" s="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0"/>
      <c r="M949" s="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0"/>
      <c r="M950" s="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0"/>
      <c r="M951" s="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0"/>
      <c r="M952" s="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0"/>
      <c r="M953" s="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0"/>
      <c r="M954" s="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0"/>
      <c r="M955" s="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0"/>
      <c r="M956" s="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0"/>
      <c r="M957" s="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0"/>
      <c r="M958" s="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0"/>
      <c r="M959" s="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0"/>
      <c r="M960" s="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0"/>
      <c r="M961" s="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0"/>
      <c r="M962" s="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0"/>
      <c r="M963" s="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0"/>
      <c r="M964" s="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0"/>
      <c r="M965" s="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0"/>
      <c r="M966" s="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0"/>
      <c r="M967" s="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0"/>
      <c r="M968" s="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0"/>
      <c r="M969" s="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0"/>
      <c r="M970" s="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0"/>
      <c r="M971" s="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0"/>
      <c r="M972" s="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0"/>
      <c r="M973" s="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0"/>
      <c r="M974" s="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0"/>
      <c r="M975" s="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0"/>
      <c r="M976" s="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0"/>
      <c r="M977" s="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0"/>
      <c r="M978" s="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0"/>
      <c r="M979" s="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0"/>
      <c r="M980" s="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0"/>
      <c r="M981" s="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0"/>
      <c r="M982" s="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0"/>
      <c r="M983" s="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0"/>
      <c r="M984" s="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0"/>
      <c r="M985" s="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0"/>
      <c r="M986" s="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0"/>
      <c r="M987" s="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0"/>
      <c r="M988" s="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0"/>
      <c r="M989" s="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0"/>
      <c r="M990" s="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0"/>
      <c r="M991" s="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0"/>
      <c r="M992" s="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0"/>
      <c r="M993" s="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0"/>
      <c r="M994" s="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0"/>
      <c r="M995" s="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0"/>
      <c r="M996" s="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0"/>
      <c r="M997" s="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0"/>
      <c r="M998" s="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0"/>
      <c r="M999" s="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0"/>
      <c r="M1000" s="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0"/>
      <c r="M1001" s="1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0"/>
      <c r="M1002" s="1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0"/>
      <c r="M1003" s="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0"/>
      <c r="M1004" s="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0"/>
      <c r="M1005" s="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0"/>
      <c r="M1006" s="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0"/>
      <c r="M1007" s="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0"/>
      <c r="M1008" s="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0"/>
      <c r="M1009" s="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0"/>
      <c r="M1010" s="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0"/>
      <c r="M1011" s="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0"/>
      <c r="M1012" s="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0"/>
      <c r="M1013" s="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20"/>
      <c r="M1014" s="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20"/>
      <c r="M1015" s="1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20"/>
      <c r="M1016" s="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20"/>
      <c r="M1017" s="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20"/>
      <c r="M1018" s="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20"/>
      <c r="M1019" s="1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20"/>
      <c r="M1020" s="1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20"/>
      <c r="M1021" s="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20"/>
      <c r="M1022" s="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20"/>
      <c r="M1023" s="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20"/>
      <c r="M1024" s="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20"/>
      <c r="M1025" s="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20"/>
      <c r="M1026" s="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20"/>
      <c r="M1027" s="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20"/>
      <c r="M1028" s="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20"/>
      <c r="M1029" s="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20"/>
      <c r="M1030" s="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20"/>
      <c r="M1031" s="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20"/>
      <c r="M1032" s="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20"/>
      <c r="M1033" s="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20"/>
      <c r="M1034" s="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20"/>
      <c r="M1035" s="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20"/>
      <c r="M1036" s="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20"/>
      <c r="M1037" s="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20"/>
      <c r="M1038" s="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20"/>
      <c r="M1039" s="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20"/>
      <c r="M1040" s="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20"/>
      <c r="M1041" s="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20"/>
      <c r="M1042" s="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20"/>
      <c r="M1043" s="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20"/>
      <c r="M1044" s="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20"/>
      <c r="M1045" s="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20"/>
      <c r="M1046" s="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20"/>
      <c r="M1047" s="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20"/>
      <c r="M1048" s="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20"/>
      <c r="M1049" s="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20"/>
      <c r="M1050" s="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20"/>
      <c r="M1051" s="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20"/>
      <c r="M1052" s="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20"/>
      <c r="M1053" s="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20"/>
      <c r="M1054" s="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20"/>
      <c r="M1055" s="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20"/>
      <c r="M1056" s="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20"/>
      <c r="M1057" s="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20"/>
      <c r="M1058" s="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20"/>
      <c r="M1059" s="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20"/>
      <c r="M1060" s="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20"/>
      <c r="M1061" s="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20"/>
      <c r="M1062" s="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20"/>
      <c r="M1063" s="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20"/>
      <c r="M1064" s="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20"/>
      <c r="M1065" s="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20"/>
      <c r="M1066" s="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20"/>
      <c r="M1067" s="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20"/>
      <c r="M1068" s="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20"/>
      <c r="M1069" s="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20"/>
      <c r="M1070" s="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20"/>
      <c r="M1071" s="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20"/>
      <c r="M1072" s="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20"/>
      <c r="M1073" s="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20"/>
      <c r="M1074" s="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20"/>
      <c r="M1075" s="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20"/>
      <c r="M1076" s="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20"/>
      <c r="M1077" s="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20"/>
      <c r="M1078" s="1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20"/>
      <c r="M1079" s="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20"/>
      <c r="M1080" s="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20"/>
      <c r="M1081" s="1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20"/>
      <c r="M1082" s="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20"/>
      <c r="M1083" s="1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20"/>
      <c r="M1084" s="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20"/>
      <c r="M1085" s="1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20"/>
      <c r="M1086" s="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20"/>
      <c r="M1087" s="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20"/>
      <c r="M1088" s="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20"/>
      <c r="M1089" s="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20"/>
      <c r="M1090" s="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20"/>
      <c r="M1091" s="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20"/>
      <c r="M1092" s="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20"/>
      <c r="M1093" s="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20"/>
      <c r="M1094" s="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20"/>
      <c r="M1095" s="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20"/>
      <c r="M1096" s="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20"/>
      <c r="M1097" s="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20"/>
      <c r="M1098" s="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20"/>
      <c r="M1099" s="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20"/>
      <c r="M1100" s="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20"/>
      <c r="M1101" s="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20"/>
      <c r="M1102" s="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20"/>
      <c r="M1103" s="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20"/>
      <c r="M1104" s="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20"/>
      <c r="M1105" s="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20"/>
      <c r="M1106" s="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20"/>
      <c r="M1107" s="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20"/>
      <c r="M1108" s="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20"/>
      <c r="M1109" s="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20"/>
      <c r="M1110" s="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20"/>
      <c r="M1111" s="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20"/>
      <c r="M1112" s="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20"/>
      <c r="M1113" s="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20"/>
      <c r="M1114" s="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20"/>
      <c r="M1115" s="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20"/>
      <c r="M1116" s="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20"/>
      <c r="M1117" s="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20"/>
      <c r="M1118" s="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20"/>
      <c r="M1119" s="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20"/>
      <c r="M1120" s="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20"/>
      <c r="M1121" s="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20"/>
      <c r="M1122" s="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20"/>
      <c r="M1123" s="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20"/>
      <c r="M1124" s="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20"/>
      <c r="M1125" s="1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20"/>
      <c r="M1126" s="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20"/>
      <c r="M1127" s="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20"/>
      <c r="M1128" s="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20"/>
      <c r="M1129" s="1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20"/>
      <c r="M1130" s="1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20"/>
      <c r="M1131" s="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20"/>
      <c r="M1132" s="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20"/>
      <c r="M1133" s="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20"/>
      <c r="M1134" s="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20"/>
      <c r="M1135" s="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20"/>
      <c r="M1136" s="1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20"/>
      <c r="M1137" s="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20"/>
      <c r="M1138" s="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20"/>
      <c r="M1139" s="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20"/>
      <c r="M1140" s="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20"/>
      <c r="M1141" s="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20"/>
      <c r="M1142" s="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20"/>
      <c r="M1143" s="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20"/>
      <c r="M1144" s="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20"/>
      <c r="M1145" s="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20"/>
      <c r="M1146" s="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20"/>
      <c r="M1147" s="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20"/>
      <c r="M1148" s="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20"/>
      <c r="M1149" s="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20"/>
      <c r="M1150" s="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20"/>
      <c r="M1151" s="1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20"/>
      <c r="M1152" s="1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20"/>
      <c r="M1153" s="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20"/>
      <c r="M1154" s="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20"/>
      <c r="M1155" s="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20"/>
      <c r="M1156" s="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20"/>
      <c r="M1157" s="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20"/>
      <c r="M1158" s="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20"/>
      <c r="M1159" s="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20"/>
      <c r="M1160" s="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20"/>
      <c r="M1161" s="1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20"/>
      <c r="M1162" s="1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20"/>
      <c r="M1163" s="1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20"/>
      <c r="M1164" s="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20"/>
      <c r="M1165" s="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20"/>
      <c r="M1166" s="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20"/>
      <c r="M1167" s="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20"/>
      <c r="M1168" s="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20"/>
      <c r="M1169" s="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20"/>
      <c r="M1170" s="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20"/>
      <c r="M1171" s="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20"/>
      <c r="M1172" s="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20"/>
      <c r="M1173" s="1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20"/>
      <c r="M1174" s="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20"/>
      <c r="M1175" s="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20"/>
      <c r="M1176" s="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20"/>
      <c r="M1177" s="1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20"/>
      <c r="M1178" s="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20"/>
      <c r="M1179" s="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20"/>
      <c r="M1180" s="1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20"/>
      <c r="M1181" s="1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20"/>
      <c r="M1182" s="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20"/>
      <c r="M1183" s="1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20"/>
      <c r="M1184" s="1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20"/>
      <c r="M1185" s="1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20"/>
      <c r="M1186" s="1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20"/>
      <c r="M1187" s="1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20"/>
      <c r="M1188" s="1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20"/>
      <c r="M1189" s="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20"/>
      <c r="M1190" s="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20"/>
      <c r="M1191" s="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20"/>
      <c r="M1192" s="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20"/>
      <c r="M1193" s="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20"/>
      <c r="M1194" s="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20"/>
      <c r="M1195" s="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20"/>
      <c r="M1196" s="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20"/>
      <c r="M1197" s="1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20"/>
      <c r="M1198" s="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20"/>
      <c r="M1199" s="1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20"/>
      <c r="M1200" s="1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20"/>
      <c r="M1201" s="1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20"/>
      <c r="M1202" s="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20"/>
      <c r="M1203" s="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20"/>
      <c r="M1204" s="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20"/>
      <c r="M1205" s="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20"/>
      <c r="M1206" s="1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20"/>
      <c r="M1207" s="1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20"/>
      <c r="M1208" s="1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20"/>
      <c r="M1209" s="1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20"/>
      <c r="M1210" s="1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20"/>
      <c r="M1211" s="1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20"/>
      <c r="M1212" s="1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20"/>
      <c r="M1213" s="1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20"/>
      <c r="M1214" s="1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20"/>
      <c r="M1215" s="1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20"/>
      <c r="M1216" s="1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20"/>
      <c r="M1217" s="1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20"/>
      <c r="M1218" s="1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20"/>
      <c r="M1219" s="1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20"/>
      <c r="M1220" s="1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20"/>
      <c r="M1221" s="1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20"/>
      <c r="M1222" s="1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20"/>
      <c r="M1223" s="1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20"/>
      <c r="M1224" s="1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20"/>
      <c r="M1225" s="1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20"/>
      <c r="M1226" s="1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20"/>
      <c r="M1227" s="1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20"/>
      <c r="M1228" s="1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20"/>
      <c r="M1229" s="1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20"/>
      <c r="M1230" s="1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20"/>
      <c r="M1231" s="1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20"/>
      <c r="M1232" s="1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20"/>
      <c r="M1233" s="1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20"/>
      <c r="M1234" s="1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20"/>
      <c r="M1235" s="1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20"/>
      <c r="M1236" s="1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20"/>
      <c r="M1237" s="1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</sheetData>
  <mergeCells count="11">
    <mergeCell ref="A166:C166"/>
    <mergeCell ref="A3:C3"/>
    <mergeCell ref="A46:C46"/>
    <mergeCell ref="A73:C73"/>
    <mergeCell ref="A91:C91"/>
    <mergeCell ref="A139:C139"/>
    <mergeCell ref="A178:C178"/>
    <mergeCell ref="I178:K178"/>
    <mergeCell ref="A277:C277"/>
    <mergeCell ref="A309:C309"/>
    <mergeCell ref="A412:B412"/>
  </mergeCells>
  <conditionalFormatting sqref="L1:L1237">
    <cfRule type="cellIs" dxfId="7" priority="8" operator="lessThan">
      <formula>"25%"</formula>
    </cfRule>
    <cfRule type="cellIs" dxfId="6" priority="7" operator="between">
      <formula>"25%"</formula>
      <formula>"30%"</formula>
    </cfRule>
    <cfRule type="cellIs" dxfId="5" priority="6" operator="greaterThanOrEqual">
      <formula>"30%"</formula>
    </cfRule>
  </conditionalFormatting>
  <conditionalFormatting sqref="L405:L412">
    <cfRule type="cellIs" dxfId="4" priority="4" operator="greaterThan">
      <formula>"25%"</formula>
    </cfRule>
    <cfRule type="cellIs" dxfId="3" priority="1" operator="between">
      <formula>"20%"</formula>
      <formula>"25%"</formula>
    </cfRule>
    <cfRule type="cellIs" dxfId="2" priority="3" operator="between">
      <formula>"20.01%"</formula>
      <formula>"25%"</formula>
    </cfRule>
    <cfRule type="cellIs" dxfId="1" priority="2" operator="lessThanOrEqual">
      <formula>"20%"</formula>
    </cfRule>
  </conditionalFormatting>
  <conditionalFormatting sqref="L405:L413 L345:L364">
    <cfRule type="cellIs" dxfId="0" priority="5" operator="greaterThan">
      <formula>"30%"</formula>
    </cfRule>
  </conditionalFormatting>
  <printOptions horizontalCentered="1"/>
  <pageMargins left="0.25" right="0.25" top="0.75" bottom="0.75" header="0" footer="0"/>
  <pageSetup paperSize="9" pageOrder="overThenDown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5330-4CA6-9C4A-B152-E73F20184803}">
  <dimension ref="A1:Z1029"/>
  <sheetViews>
    <sheetView workbookViewId="0"/>
  </sheetViews>
  <sheetFormatPr baseColWidth="10" defaultColWidth="12.6640625" defaultRowHeight="15" customHeight="1" x14ac:dyDescent="0.2"/>
  <cols>
    <col min="1" max="1" width="30.5" customWidth="1"/>
    <col min="2" max="2" width="24.83203125" customWidth="1"/>
    <col min="3" max="5" width="15.6640625" customWidth="1"/>
    <col min="6" max="6" width="15.83203125" customWidth="1"/>
    <col min="7" max="7" width="4.6640625" customWidth="1"/>
    <col min="8" max="8" width="6.1640625" customWidth="1"/>
    <col min="9" max="9" width="14.33203125" customWidth="1"/>
    <col min="10" max="10" width="16.1640625" customWidth="1"/>
  </cols>
  <sheetData>
    <row r="1" spans="1:12" ht="15" customHeight="1" thickBot="1" x14ac:dyDescent="0.25"/>
    <row r="2" spans="1:12" ht="15.75" customHeight="1" x14ac:dyDescent="0.2">
      <c r="A2" s="41" t="s">
        <v>197</v>
      </c>
      <c r="B2" s="41" t="s">
        <v>198</v>
      </c>
      <c r="C2" s="41" t="s">
        <v>199</v>
      </c>
      <c r="D2" s="41" t="s">
        <v>200</v>
      </c>
      <c r="E2" s="41" t="s">
        <v>201</v>
      </c>
      <c r="F2" s="41" t="s">
        <v>202</v>
      </c>
      <c r="I2" s="42" t="s">
        <v>203</v>
      </c>
    </row>
    <row r="3" spans="1:12" ht="15.75" customHeight="1" x14ac:dyDescent="0.2">
      <c r="A3" s="43" t="s">
        <v>204</v>
      </c>
      <c r="B3" s="44">
        <v>0</v>
      </c>
      <c r="C3" s="45"/>
      <c r="D3" s="45"/>
      <c r="F3" s="45">
        <v>0</v>
      </c>
      <c r="G3" s="24"/>
      <c r="H3" s="46"/>
      <c r="I3" s="47">
        <f t="shared" ref="I3:I17" si="0">F3/$F$51</f>
        <v>0</v>
      </c>
    </row>
    <row r="4" spans="1:12" ht="15.75" customHeight="1" x14ac:dyDescent="0.2">
      <c r="A4" s="43" t="s">
        <v>205</v>
      </c>
      <c r="B4" s="44">
        <v>666368.65</v>
      </c>
      <c r="C4" s="48">
        <f>'[2]06-04-2026 '!E581+'[2]13-04-2026 '!E222+'20-04-2026 '!E238+'29-04-2026 '!E145</f>
        <v>1455500</v>
      </c>
      <c r="D4" s="45">
        <f>500000+600000</f>
        <v>1100000</v>
      </c>
      <c r="E4" s="45">
        <v>0</v>
      </c>
      <c r="F4" s="45">
        <f t="shared" ref="F4:F5" si="1">B4+C4-D4</f>
        <v>1021868.6499999999</v>
      </c>
      <c r="G4" s="24" t="s">
        <v>106</v>
      </c>
      <c r="H4" s="46"/>
      <c r="I4" s="47">
        <f t="shared" si="0"/>
        <v>1.7026139267762041E-2</v>
      </c>
    </row>
    <row r="5" spans="1:12" ht="15.75" customHeight="1" x14ac:dyDescent="0.2">
      <c r="A5" s="43" t="s">
        <v>171</v>
      </c>
      <c r="B5" s="44">
        <v>107752.17</v>
      </c>
      <c r="C5" s="45">
        <f>'[2]06-04-2026 '!F595+'[2]15-04-2026 '!F125+'30-04-2026 '!F320</f>
        <v>110645</v>
      </c>
      <c r="D5" s="44">
        <f>76233.75+39034.5</f>
        <v>115268.25</v>
      </c>
      <c r="E5" s="45">
        <v>0</v>
      </c>
      <c r="F5" s="45">
        <f t="shared" si="1"/>
        <v>103128.91999999998</v>
      </c>
      <c r="G5" s="24" t="s">
        <v>106</v>
      </c>
      <c r="H5" s="46"/>
      <c r="I5" s="47">
        <f t="shared" si="0"/>
        <v>1.7183102294545294E-3</v>
      </c>
      <c r="J5" s="49"/>
    </row>
    <row r="6" spans="1:12" ht="15.75" customHeight="1" x14ac:dyDescent="0.2">
      <c r="A6" s="43" t="s">
        <v>108</v>
      </c>
      <c r="B6" s="44">
        <v>915459.29</v>
      </c>
      <c r="C6" s="45">
        <f>'[2]02-04-2026 '!E33+'[2]07-04-2026 '!E239+'[2]10-04-2026 '!E612+'[2]15-04-2026 '!E252+'[2]17-04-2026 '!E591+'22-04-2026 '!E241+'24-04-2026 '!E557+'28-04-2026 '!E329+'30-04-2026 '!E338</f>
        <v>1603600</v>
      </c>
      <c r="D6" s="45">
        <f>752884.52+591592.02</f>
        <v>1344476.54</v>
      </c>
      <c r="E6" s="45">
        <f>10904.98+9315.47</f>
        <v>20220.449999999997</v>
      </c>
      <c r="F6" s="45">
        <f>B6+C6-D6-E6</f>
        <v>1154362.3</v>
      </c>
      <c r="G6" s="24" t="s">
        <v>106</v>
      </c>
      <c r="H6" s="46"/>
      <c r="I6" s="47">
        <f t="shared" si="0"/>
        <v>1.9233717841577888E-2</v>
      </c>
    </row>
    <row r="7" spans="1:12" ht="15.75" customHeight="1" x14ac:dyDescent="0.2">
      <c r="A7" s="43" t="s">
        <v>206</v>
      </c>
      <c r="B7" s="44">
        <v>0</v>
      </c>
      <c r="C7" s="45">
        <f>'27-04-2026 '!E330+'30-04-2026 '!E272</f>
        <v>146700</v>
      </c>
      <c r="D7" s="45">
        <v>146700</v>
      </c>
      <c r="E7" s="45">
        <v>0</v>
      </c>
      <c r="F7" s="45">
        <f t="shared" ref="F7:F15" si="2">B7+C7-D7</f>
        <v>0</v>
      </c>
      <c r="G7" s="24" t="s">
        <v>106</v>
      </c>
      <c r="H7" s="46"/>
      <c r="I7" s="47">
        <f t="shared" si="0"/>
        <v>0</v>
      </c>
    </row>
    <row r="8" spans="1:12" ht="15.75" customHeight="1" x14ac:dyDescent="0.2">
      <c r="A8" s="43" t="s">
        <v>207</v>
      </c>
      <c r="B8" s="44">
        <v>324620</v>
      </c>
      <c r="C8" s="45">
        <f>'[2]06-04-2026 '!E657+'[2]07-04-2026 '!E262+'[2]13-04-2026 '!E316+'20-04-2026 '!E307+'22-04-2026 '!E288+'24-04-2026 '!E633+'27-04-2026 '!E286</f>
        <v>607320</v>
      </c>
      <c r="D8" s="45">
        <f>300000+200000</f>
        <v>500000</v>
      </c>
      <c r="E8" s="45">
        <v>0</v>
      </c>
      <c r="F8" s="45">
        <f t="shared" si="2"/>
        <v>431940</v>
      </c>
      <c r="G8" s="24" t="s">
        <v>106</v>
      </c>
      <c r="H8" s="46"/>
      <c r="I8" s="47">
        <f t="shared" si="0"/>
        <v>7.1968844482283873E-3</v>
      </c>
    </row>
    <row r="9" spans="1:12" ht="15.75" customHeight="1" x14ac:dyDescent="0.2">
      <c r="A9" s="43" t="s">
        <v>208</v>
      </c>
      <c r="B9" s="44">
        <v>73950</v>
      </c>
      <c r="C9" s="45"/>
      <c r="D9" s="45">
        <v>73950</v>
      </c>
      <c r="E9" s="45">
        <v>0</v>
      </c>
      <c r="F9" s="45">
        <f t="shared" si="2"/>
        <v>0</v>
      </c>
      <c r="G9" s="24" t="s">
        <v>106</v>
      </c>
      <c r="H9" s="46"/>
      <c r="I9" s="47">
        <f t="shared" si="0"/>
        <v>0</v>
      </c>
    </row>
    <row r="10" spans="1:12" ht="15.75" customHeight="1" x14ac:dyDescent="0.2">
      <c r="A10" s="43" t="s">
        <v>209</v>
      </c>
      <c r="B10" s="44">
        <v>0</v>
      </c>
      <c r="C10" s="45"/>
      <c r="D10" s="45"/>
      <c r="E10" s="45">
        <v>0</v>
      </c>
      <c r="F10" s="45">
        <f t="shared" si="2"/>
        <v>0</v>
      </c>
      <c r="G10" s="24" t="s">
        <v>106</v>
      </c>
      <c r="H10" s="46"/>
      <c r="I10" s="47">
        <f t="shared" si="0"/>
        <v>0</v>
      </c>
    </row>
    <row r="11" spans="1:12" ht="15.75" customHeight="1" x14ac:dyDescent="0.2">
      <c r="A11" s="43" t="s">
        <v>210</v>
      </c>
      <c r="B11" s="44">
        <v>0</v>
      </c>
      <c r="C11" s="45"/>
      <c r="D11" s="50"/>
      <c r="E11" s="45">
        <v>0</v>
      </c>
      <c r="F11" s="45">
        <f t="shared" si="2"/>
        <v>0</v>
      </c>
      <c r="G11" s="24" t="s">
        <v>106</v>
      </c>
      <c r="H11" s="46"/>
      <c r="I11" s="47">
        <f t="shared" si="0"/>
        <v>0</v>
      </c>
      <c r="L11" s="5"/>
    </row>
    <row r="12" spans="1:12" ht="15.75" customHeight="1" x14ac:dyDescent="0.2">
      <c r="A12" s="43" t="s">
        <v>211</v>
      </c>
      <c r="B12" s="44">
        <v>0</v>
      </c>
      <c r="C12" s="45"/>
      <c r="D12" s="50"/>
      <c r="E12" s="45">
        <v>0</v>
      </c>
      <c r="F12" s="45">
        <f t="shared" si="2"/>
        <v>0</v>
      </c>
      <c r="G12" s="24" t="s">
        <v>106</v>
      </c>
      <c r="H12" s="46"/>
      <c r="I12" s="47">
        <f t="shared" si="0"/>
        <v>0</v>
      </c>
    </row>
    <row r="13" spans="1:12" ht="15.75" customHeight="1" x14ac:dyDescent="0.2">
      <c r="A13" s="43" t="s">
        <v>212</v>
      </c>
      <c r="B13" s="44">
        <v>0</v>
      </c>
      <c r="C13" s="45"/>
      <c r="D13" s="50"/>
      <c r="E13" s="45">
        <v>0</v>
      </c>
      <c r="F13" s="45">
        <f t="shared" si="2"/>
        <v>0</v>
      </c>
      <c r="G13" s="24" t="s">
        <v>106</v>
      </c>
      <c r="H13" s="46"/>
      <c r="I13" s="47">
        <f t="shared" si="0"/>
        <v>0</v>
      </c>
      <c r="J13" s="5"/>
    </row>
    <row r="14" spans="1:12" ht="15.75" customHeight="1" x14ac:dyDescent="0.2">
      <c r="A14" s="43" t="s">
        <v>149</v>
      </c>
      <c r="B14" s="44">
        <v>2015190</v>
      </c>
      <c r="C14" s="45">
        <f>'[2]06-04-2026 '!E422+'[2]10-04-2026 '!E388+'[2]13-04-2026 '!E81+'[2]17-04-2026 '!E381+'20-04-2026 '!E90+'24-04-2026 '!E361+'27-04-2026 '!E96+'30-04-2026 '!E262</f>
        <v>1695200</v>
      </c>
      <c r="D14" s="45">
        <f>384800+412000+510300+430000</f>
        <v>1737100</v>
      </c>
      <c r="E14" s="45">
        <v>0</v>
      </c>
      <c r="F14" s="45">
        <f t="shared" si="2"/>
        <v>1973290</v>
      </c>
      <c r="G14" s="24"/>
      <c r="H14" s="46"/>
      <c r="I14" s="47">
        <f t="shared" si="0"/>
        <v>3.2878501904997443E-2</v>
      </c>
    </row>
    <row r="15" spans="1:12" ht="15.75" customHeight="1" x14ac:dyDescent="0.2">
      <c r="A15" s="43" t="s">
        <v>116</v>
      </c>
      <c r="B15" s="44">
        <v>4193780</v>
      </c>
      <c r="C15" s="45">
        <f>'[2]02-04-2026 '!E53+'[2]06-04-2026 '!E389+'[2]10-04-2026 '!E375+'[2]13-04-2026 '!E59+'[2]17-04-2026 '!E365+'20-04-2026 '!E66+'24-04-2026 '!E340+'27-04-2026 '!E77+'30-04-2026 '!E237</f>
        <v>1920270</v>
      </c>
      <c r="D15" s="45">
        <f>364460+473575+730300+776610+681108</f>
        <v>3026053</v>
      </c>
      <c r="E15" s="45">
        <v>0</v>
      </c>
      <c r="F15" s="45">
        <f t="shared" si="2"/>
        <v>3087997</v>
      </c>
      <c r="G15" s="24" t="s">
        <v>106</v>
      </c>
      <c r="H15" s="46"/>
      <c r="I15" s="47">
        <f t="shared" si="0"/>
        <v>5.1451492303273408E-2</v>
      </c>
    </row>
    <row r="16" spans="1:12" ht="15.75" customHeight="1" x14ac:dyDescent="0.2">
      <c r="A16" s="43" t="s">
        <v>213</v>
      </c>
      <c r="B16" s="45">
        <v>17179419.649999999</v>
      </c>
      <c r="C16" s="45">
        <f>'[2]06-04-2026 '!F497+'[2]09-04-2026 '!F40+'[2]13-04-2026 '!F153+'[2]15-04-2026 '!F295+'[2]17-04-2026 '!F638+'20-04-2026 '!F164+'22-04-2026 '!F276+'27-04-2026 '!F166+'30-04-2026 '!F291</f>
        <v>9785203</v>
      </c>
      <c r="D16" s="45">
        <f>2889353.25+1270264.1+10389949.5+1649147.5</f>
        <v>16198714.35</v>
      </c>
      <c r="E16" s="45">
        <f>201897.25+24605.6+64589.7+201012+540361.5+31780+91927.5</f>
        <v>1156173.55</v>
      </c>
      <c r="F16" s="45">
        <f>B16+C16-D16-E16</f>
        <v>9609734.7499999981</v>
      </c>
      <c r="G16" s="24" t="s">
        <v>106</v>
      </c>
      <c r="H16" s="46"/>
      <c r="I16" s="47">
        <f t="shared" si="0"/>
        <v>0.16011517936258485</v>
      </c>
      <c r="J16" s="5"/>
    </row>
    <row r="17" spans="1:14" ht="15.75" customHeight="1" x14ac:dyDescent="0.2">
      <c r="A17" s="43" t="s">
        <v>214</v>
      </c>
      <c r="B17" s="44">
        <v>0</v>
      </c>
      <c r="C17" s="45">
        <f>'[2]10-04-2026 '!E414+'[2]17-04-2026 '!E420+'24-04-2026 '!E391+'24-04-2026 '!E413</f>
        <v>632520</v>
      </c>
      <c r="D17" s="45">
        <f>188000+444520</f>
        <v>632520</v>
      </c>
      <c r="E17" s="45">
        <v>0</v>
      </c>
      <c r="F17" s="45">
        <f t="shared" ref="F17:F33" si="3">B17+C17-D17</f>
        <v>0</v>
      </c>
      <c r="G17" s="24" t="s">
        <v>106</v>
      </c>
      <c r="H17" s="46"/>
      <c r="I17" s="47">
        <f t="shared" si="0"/>
        <v>0</v>
      </c>
    </row>
    <row r="18" spans="1:14" ht="15.75" customHeight="1" x14ac:dyDescent="0.2">
      <c r="A18" s="43" t="s">
        <v>215</v>
      </c>
      <c r="B18" s="44">
        <v>0</v>
      </c>
      <c r="C18" s="45"/>
      <c r="D18" s="45"/>
      <c r="E18" s="45">
        <v>0</v>
      </c>
      <c r="F18" s="45">
        <f t="shared" si="3"/>
        <v>0</v>
      </c>
      <c r="G18" s="24" t="s">
        <v>106</v>
      </c>
      <c r="H18" s="46"/>
      <c r="I18" s="47">
        <f>F18/F51</f>
        <v>0</v>
      </c>
      <c r="J18" s="5"/>
    </row>
    <row r="19" spans="1:14" ht="16.5" customHeight="1" x14ac:dyDescent="0.2">
      <c r="A19" s="43" t="s">
        <v>75</v>
      </c>
      <c r="B19" s="44">
        <v>482850</v>
      </c>
      <c r="C19" s="45">
        <f>'[2]01-04-2026 '!E292+'[2]08-04-2026 '!E208+'[2]15-04-2026 '!E220+'22-04-2026 '!E225+'29-04-2026 '!E135</f>
        <v>1202460</v>
      </c>
      <c r="D19" s="44">
        <v>754980</v>
      </c>
      <c r="E19" s="44">
        <v>0</v>
      </c>
      <c r="F19" s="45">
        <f t="shared" si="3"/>
        <v>930330</v>
      </c>
      <c r="G19" s="24" t="s">
        <v>106</v>
      </c>
      <c r="H19" s="46"/>
      <c r="I19" s="47">
        <f>F19/F51</f>
        <v>1.5500943438256044E-2</v>
      </c>
      <c r="N19" s="60"/>
    </row>
    <row r="20" spans="1:14" ht="16.5" customHeight="1" x14ac:dyDescent="0.2">
      <c r="A20" s="43" t="s">
        <v>216</v>
      </c>
      <c r="B20" s="44">
        <v>0</v>
      </c>
      <c r="C20" s="45"/>
      <c r="D20" s="44"/>
      <c r="E20" s="44">
        <v>0</v>
      </c>
      <c r="F20" s="45">
        <f t="shared" si="3"/>
        <v>0</v>
      </c>
      <c r="G20" s="24" t="s">
        <v>106</v>
      </c>
      <c r="H20" s="46"/>
      <c r="I20" s="47">
        <f>F20/$F$51</f>
        <v>0</v>
      </c>
    </row>
    <row r="21" spans="1:14" ht="16.5" customHeight="1" x14ac:dyDescent="0.2">
      <c r="A21" s="43" t="s">
        <v>91</v>
      </c>
      <c r="B21" s="44">
        <v>0</v>
      </c>
      <c r="C21" s="45">
        <f>'[2]01-04-2026 '!E308+'[2]02-04-2026 '!E12+'[2]06-04-2026 '!E611+'[2]08-04-2026 '!E179+'[2]10-04-2026 '!E461+'[2]13-04-2026 '!E258+'[2]17-04-2026 '!E516+'21-04-2026 '!E214+'22-04-2026 '!E254+'24-04-2026 '!E492+'27-04-2026 '!E343+'30-04-2026 '!E306</f>
        <v>475895</v>
      </c>
      <c r="D21" s="44">
        <f>33500+204395+57100+110500+70400</f>
        <v>475895</v>
      </c>
      <c r="E21" s="44">
        <v>0</v>
      </c>
      <c r="F21" s="52">
        <f t="shared" si="3"/>
        <v>0</v>
      </c>
      <c r="G21" s="24" t="s">
        <v>37</v>
      </c>
      <c r="H21" s="46"/>
      <c r="I21" s="47">
        <f>F21/F51</f>
        <v>0</v>
      </c>
    </row>
    <row r="22" spans="1:14" ht="16.5" customHeight="1" x14ac:dyDescent="0.2">
      <c r="A22" s="43" t="s">
        <v>217</v>
      </c>
      <c r="B22" s="44">
        <v>0</v>
      </c>
      <c r="C22" s="45"/>
      <c r="D22" s="44"/>
      <c r="E22" s="44">
        <v>0</v>
      </c>
      <c r="F22" s="45">
        <f t="shared" si="3"/>
        <v>0</v>
      </c>
      <c r="G22" s="24" t="s">
        <v>106</v>
      </c>
      <c r="H22" s="46"/>
      <c r="I22" s="47">
        <f>F22/F51</f>
        <v>0</v>
      </c>
    </row>
    <row r="23" spans="1:14" ht="16.5" customHeight="1" x14ac:dyDescent="0.2">
      <c r="A23" s="43" t="s">
        <v>119</v>
      </c>
      <c r="B23" s="44">
        <v>1262390</v>
      </c>
      <c r="C23" s="48">
        <f>'[2]02-04-2026 '!E65+'[2]06-04-2026 '!E335+'[2]07-04-2026 '!E178+'[2]10-04-2026 '!E572+'[2]13-04-2026 '!E23+'[2]17-04-2026 '!E561+'20-04-2026 '!E22+'27-04-2026 '!E19+'30-04-2026 '!E366</f>
        <v>1990145</v>
      </c>
      <c r="D23" s="44">
        <f>542300+408450</f>
        <v>950750</v>
      </c>
      <c r="E23" s="44">
        <v>0</v>
      </c>
      <c r="F23" s="45">
        <f t="shared" si="3"/>
        <v>2301785</v>
      </c>
      <c r="G23" s="24" t="s">
        <v>106</v>
      </c>
      <c r="H23" s="46"/>
      <c r="I23" s="47">
        <f>F23/F51</f>
        <v>3.8351809671865023E-2</v>
      </c>
    </row>
    <row r="24" spans="1:14" ht="16.5" customHeight="1" x14ac:dyDescent="0.2">
      <c r="A24" s="43" t="s">
        <v>1185</v>
      </c>
      <c r="B24" s="44">
        <v>32451732.800000001</v>
      </c>
      <c r="C24" s="48">
        <f>'[2]01-04-2026 '!F34+'[2]01-04-2026 '!F60+'[2]01-04-2026 '!F81+'[2]01-04-2026 '!F102+'[2]01-04-2026 '!F123+'[2]01-04-2026 '!F155+'[2]01-04-2026 '!F173+'[2]01-04-2026 '!F197+'[2]01-04-2026 '!F220+'[2]01-04-2026 '!F238+'[2]01-04-2026 '!F256+'[2]06-04-2026 '!F13+'[2]06-04-2026 '!F58+'[2]06-04-2026 '!F94+'[2]06-04-2026 '!F137+'[2]06-04-2026 '!F160+'[2]06-04-2026 '!F202+'[2]06-04-2026 '!F242+'[2]06-04-2026 '!F277+'[2]06-04-2026 '!F313+'[2]07-04-2026 '!F45+'[2]07-04-2026 '!F89+'[2]07-04-2026 '!F127+'[2]07-04-2026 '!F144+'[2]07-04-2026 '!F169+'[2]08-04-2026 '!F36+'[2]08-04-2026 '!F61+'[2]08-04-2026 '!F98+'[2]08-04-2026 '!F113+'[2]08-04-2026 '!F144+'[2]09-04-2026 '!F49+'[2]10-04-2026 '!F38+'[2]10-04-2026 '!F65+'[2]10-04-2026 '!F103+'[2]10-04-2026 '!F150+'[2]10-04-2026 '!F191+'[2]10-04-2026 '!F228+'[2]10-04-2026 '!F266+'[2]10-04-2026 '!F307+'[2]10-04-2026 '!F346+'[2]10-04-2026 '!F642+'[2]13-04-2026 '!F239+'[2]14-04-2026 '!F42+'[2]14-04-2026 '!F86+'[2]14-04-2026 '!F125+'[2]14-04-2026 '!F169+'[2]14-04-2026 '!F194+'[2]14-04-2026 '!F268+'[2]14-04-2026 '!F305+'[2]15-04-2026 '!F34+'[2]15-04-2026 '!F68+'[2]15-04-2026 '!F110+'[2]15-04-2026 '!F158+'[2]17-04-2026 '!F39+'[2]17-04-2026 '!F73+'[2]17-04-2026 '!F112+'[2]17-04-2026 '!F156+'[2]17-04-2026 '!F193+'[2]17-04-2026 '!F222+'[2]17-04-2026 '!F261+'[2]17-04-2026 '!F303+'[2]17-04-2026 '!F342+'[2]17-04-2026 '!F457+'[2]17-04-2026 '!F622+'20-04-2026 '!F266+'20-04-2026 '!F253+'21-04-2026 '!F306+'21-04-2026 '!F268+'21-04-2026 '!F164+'21-04-2026 '!F118+'21-04-2026 '!F79+'21-04-2026 '!F41+'22-04-2026 '!F26+'22-04-2026 '!F62+'22-04-2026 '!F93+'22-04-2026 '!F118+'22-04-2026 '!F159+'24-04-2026 '!F595+'24-04-2026 '!F459+'24-04-2026 '!F314+'24-04-2026 '!F279+'24-04-2026 '!F242+'24-04-2026 '!F207+'24-04-2026 '!F173+'24-04-2026 '!F142+'24-04-2026 '!F98+'24-04-2026 '!F71+'24-04-2026 '!F36+'27-04-2026 '!F312+'28-04-2026 '!F41+'28-04-2026 '!F81+'28-04-2026 '!F121+'28-04-2026 '!F162+'28-04-2026 '!F275+'28-04-2026 '!F314+'29-04-2026 '!F81+'29-04-2026 '!F61+'29-04-2026 '!F22+'30-04-2026 '!F41+'30-04-2026 '!F70+'30-04-2026 '!F88+'30-04-2026 '!F134+'30-04-2026 '!F161+'30-04-2026 '!F174+'30-04-2026 '!F209</f>
        <v>38188759.149999991</v>
      </c>
      <c r="D24" s="44">
        <f>4275563+19521772.29+8365108.13+6282095.7</f>
        <v>38444539.119999997</v>
      </c>
      <c r="E24" s="44">
        <v>0</v>
      </c>
      <c r="F24" s="45">
        <f t="shared" si="3"/>
        <v>32195952.829999991</v>
      </c>
      <c r="G24" s="24"/>
      <c r="H24" s="46"/>
      <c r="I24" s="47">
        <f t="shared" ref="I24:I49" si="4">F24/$F$51</f>
        <v>0.5364415247907619</v>
      </c>
    </row>
    <row r="25" spans="1:14" ht="16.5" customHeight="1" x14ac:dyDescent="0.2">
      <c r="A25" s="43" t="s">
        <v>219</v>
      </c>
      <c r="B25" s="44">
        <v>0</v>
      </c>
      <c r="C25" s="45"/>
      <c r="D25" s="44"/>
      <c r="E25" s="44">
        <v>0</v>
      </c>
      <c r="F25" s="45">
        <f t="shared" si="3"/>
        <v>0</v>
      </c>
      <c r="G25" s="24" t="s">
        <v>106</v>
      </c>
      <c r="H25" s="46"/>
      <c r="I25" s="47">
        <f t="shared" si="4"/>
        <v>0</v>
      </c>
    </row>
    <row r="26" spans="1:14" ht="16.5" customHeight="1" x14ac:dyDescent="0.2">
      <c r="A26" s="43" t="s">
        <v>220</v>
      </c>
      <c r="B26" s="44">
        <v>0</v>
      </c>
      <c r="C26" s="45"/>
      <c r="D26" s="44"/>
      <c r="E26" s="44">
        <v>0</v>
      </c>
      <c r="F26" s="45">
        <f t="shared" si="3"/>
        <v>0</v>
      </c>
      <c r="G26" s="24" t="s">
        <v>106</v>
      </c>
      <c r="H26" s="46"/>
      <c r="I26" s="47">
        <f t="shared" si="4"/>
        <v>0</v>
      </c>
    </row>
    <row r="27" spans="1:14" ht="16.5" customHeight="1" x14ac:dyDescent="0.2">
      <c r="A27" s="43" t="s">
        <v>221</v>
      </c>
      <c r="B27" s="44">
        <v>0</v>
      </c>
      <c r="C27" s="45"/>
      <c r="D27" s="44"/>
      <c r="E27" s="44"/>
      <c r="F27" s="45">
        <f t="shared" si="3"/>
        <v>0</v>
      </c>
      <c r="G27" s="24" t="s">
        <v>106</v>
      </c>
      <c r="H27" s="46"/>
      <c r="I27" s="47">
        <f t="shared" si="4"/>
        <v>0</v>
      </c>
    </row>
    <row r="28" spans="1:14" ht="16.5" customHeight="1" x14ac:dyDescent="0.2">
      <c r="A28" s="43" t="s">
        <v>222</v>
      </c>
      <c r="B28" s="44">
        <v>2213080</v>
      </c>
      <c r="C28" s="45">
        <f>'[2]02-04-2026 '!E93+'[2]07-04-2026 '!E198+'[2]10-04-2026 '!E429+'[2]14-04-2026 '!E211+'[2]17-04-2026 '!E435+'21-04-2026 '!E183+'21-04-2026 '!E202+'24-04-2026 '!E433+'28-04-2026 '!E175</f>
        <v>949110</v>
      </c>
      <c r="D28" s="44">
        <f>1685830+29350</f>
        <v>1715180</v>
      </c>
      <c r="E28" s="44">
        <v>0</v>
      </c>
      <c r="F28" s="45">
        <f t="shared" si="3"/>
        <v>1447010</v>
      </c>
      <c r="G28" s="24"/>
      <c r="H28" s="46"/>
      <c r="I28" s="47">
        <f t="shared" si="4"/>
        <v>2.4109746181022733E-2</v>
      </c>
    </row>
    <row r="29" spans="1:14" ht="16.5" customHeight="1" x14ac:dyDescent="0.2">
      <c r="A29" s="43" t="s">
        <v>174</v>
      </c>
      <c r="B29" s="44">
        <v>2036600</v>
      </c>
      <c r="C29" s="45">
        <f>'[2]06-04-2026 '!E623+'[2]07-04-2026 '!E225+'[2]09-04-2026 '!E65+'[2]10-04-2026 '!E495+'[2]13-04-2026 '!E281+'[2]14-04-2026 '!E228+'[2]15-04-2026 '!E277+'[2]17-04-2026 '!E482+'28-04-2026 '!E355</f>
        <v>4918340</v>
      </c>
      <c r="D29" s="44">
        <f>2459600+3709840</f>
        <v>6169440</v>
      </c>
      <c r="E29" s="44"/>
      <c r="F29" s="45">
        <f t="shared" si="3"/>
        <v>785500</v>
      </c>
      <c r="G29" s="24" t="s">
        <v>106</v>
      </c>
      <c r="H29" s="46"/>
      <c r="I29" s="47">
        <f t="shared" si="4"/>
        <v>1.3087819451968788E-2</v>
      </c>
    </row>
    <row r="30" spans="1:14" ht="16.5" customHeight="1" x14ac:dyDescent="0.2">
      <c r="A30" s="43" t="s">
        <v>128</v>
      </c>
      <c r="B30" s="44">
        <v>2389809.1</v>
      </c>
      <c r="C30" s="45">
        <f>'[2]02-04-2026 '!F105+'[2]09-04-2026 '!F20+'[2]15-04-2026 '!F239+'20-04-2026 '!F284+'24-04-2026 '!F606+'27-04-2026 '!F261</f>
        <v>1892110</v>
      </c>
      <c r="D30" s="44">
        <f>2000000+1600000</f>
        <v>3600000</v>
      </c>
      <c r="E30" s="44">
        <v>0</v>
      </c>
      <c r="F30" s="45">
        <f t="shared" si="3"/>
        <v>681919.09999999963</v>
      </c>
      <c r="G30" s="24"/>
      <c r="H30" s="46"/>
      <c r="I30" s="47">
        <f t="shared" si="4"/>
        <v>1.1361978436217753E-2</v>
      </c>
    </row>
    <row r="31" spans="1:14" ht="16.5" customHeight="1" x14ac:dyDescent="0.2">
      <c r="A31" s="43" t="s">
        <v>223</v>
      </c>
      <c r="B31" s="44">
        <v>340190.13</v>
      </c>
      <c r="C31" s="45">
        <f>'[2]02-04-2026 '!E131+'[2]06-04-2026 '!E448+'[2]10-04-2026 '!E403+'[2]13-04-2026 '!E103+'[2]17-04-2026 '!E405+'20-04-2026 '!E113+'24-04-2026 '!E381+'27-04-2026 '!E116</f>
        <v>698635</v>
      </c>
      <c r="D31" s="44">
        <f>250140+90050+133230+139500+111200</f>
        <v>724120</v>
      </c>
      <c r="E31" s="44">
        <v>0</v>
      </c>
      <c r="F31" s="45">
        <f t="shared" si="3"/>
        <v>314705.13</v>
      </c>
      <c r="G31" s="24"/>
      <c r="H31" s="46"/>
      <c r="I31" s="47">
        <f t="shared" si="4"/>
        <v>5.2435441400997661E-3</v>
      </c>
    </row>
    <row r="32" spans="1:14" ht="16.5" customHeight="1" x14ac:dyDescent="0.2">
      <c r="A32" s="43" t="s">
        <v>224</v>
      </c>
      <c r="B32" s="44">
        <v>82000</v>
      </c>
      <c r="C32" s="45"/>
      <c r="D32" s="44"/>
      <c r="E32" s="44">
        <v>0</v>
      </c>
      <c r="F32" s="45">
        <f t="shared" si="3"/>
        <v>82000</v>
      </c>
      <c r="G32" s="24"/>
      <c r="H32" s="46"/>
      <c r="I32" s="47">
        <f t="shared" si="4"/>
        <v>1.3662650478185113E-3</v>
      </c>
    </row>
    <row r="33" spans="1:26" ht="16.5" customHeight="1" x14ac:dyDescent="0.2">
      <c r="A33" s="43" t="s">
        <v>225</v>
      </c>
      <c r="B33" s="92">
        <v>2265890.7799999998</v>
      </c>
      <c r="C33" s="92">
        <v>2958564.75</v>
      </c>
      <c r="D33" s="92">
        <v>3163292.28</v>
      </c>
      <c r="E33" s="92">
        <v>0</v>
      </c>
      <c r="F33" s="92">
        <f t="shared" si="3"/>
        <v>2061163.2499999995</v>
      </c>
      <c r="G33" s="24" t="s">
        <v>106</v>
      </c>
      <c r="H33" s="46"/>
      <c r="I33" s="47">
        <f t="shared" si="4"/>
        <v>3.4342625686865948E-2</v>
      </c>
    </row>
    <row r="34" spans="1:26" ht="16.5" customHeight="1" x14ac:dyDescent="0.2">
      <c r="A34" s="43" t="s">
        <v>226</v>
      </c>
      <c r="B34" s="93"/>
      <c r="C34" s="93"/>
      <c r="D34" s="94"/>
      <c r="E34" s="93"/>
      <c r="F34" s="93"/>
      <c r="G34" s="24" t="s">
        <v>106</v>
      </c>
      <c r="H34" s="46"/>
      <c r="I34" s="47">
        <f t="shared" si="4"/>
        <v>0</v>
      </c>
    </row>
    <row r="35" spans="1:26" ht="16.5" customHeight="1" x14ac:dyDescent="0.2">
      <c r="A35" s="43" t="s">
        <v>227</v>
      </c>
      <c r="B35" s="44">
        <v>0</v>
      </c>
      <c r="C35" s="45"/>
      <c r="D35" s="44"/>
      <c r="E35" s="44">
        <v>0</v>
      </c>
      <c r="F35" s="45">
        <f t="shared" ref="F35:F44" si="5">B35+C35-D35</f>
        <v>0</v>
      </c>
      <c r="G35" s="24" t="s">
        <v>106</v>
      </c>
      <c r="H35" s="46"/>
      <c r="I35" s="47">
        <f t="shared" si="4"/>
        <v>0</v>
      </c>
    </row>
    <row r="36" spans="1:26" ht="16.5" customHeight="1" x14ac:dyDescent="0.2">
      <c r="A36" s="43" t="s">
        <v>228</v>
      </c>
      <c r="B36" s="44">
        <v>0</v>
      </c>
      <c r="C36" s="45"/>
      <c r="D36" s="44"/>
      <c r="E36" s="44">
        <v>0</v>
      </c>
      <c r="F36" s="45">
        <f t="shared" si="5"/>
        <v>0</v>
      </c>
      <c r="G36" s="24" t="s">
        <v>106</v>
      </c>
      <c r="H36" s="46"/>
      <c r="I36" s="47">
        <f t="shared" si="4"/>
        <v>0</v>
      </c>
    </row>
    <row r="37" spans="1:26" ht="16.5" customHeight="1" x14ac:dyDescent="0.2">
      <c r="A37" s="43" t="s">
        <v>229</v>
      </c>
      <c r="B37" s="44">
        <v>0</v>
      </c>
      <c r="C37" s="54">
        <f>'[2]10-04-2026 '!F447+'24-04-2026 '!F621</f>
        <v>266835.40000000002</v>
      </c>
      <c r="D37" s="44">
        <f>C37</f>
        <v>266835.40000000002</v>
      </c>
      <c r="E37" s="44">
        <v>0</v>
      </c>
      <c r="F37" s="45">
        <f t="shared" si="5"/>
        <v>0</v>
      </c>
      <c r="G37" s="24" t="s">
        <v>106</v>
      </c>
      <c r="H37" s="46"/>
      <c r="I37" s="47">
        <f t="shared" si="4"/>
        <v>0</v>
      </c>
    </row>
    <row r="38" spans="1:26" ht="16.5" customHeight="1" x14ac:dyDescent="0.2">
      <c r="A38" s="43" t="s">
        <v>230</v>
      </c>
      <c r="B38" s="44">
        <v>137800</v>
      </c>
      <c r="C38" s="45">
        <f>'[2]01-04-2026 '!E320+'[2]10-04-2026 '!E549+'[2]13-04-2026 '!E291+'[2]17-04-2026 '!E539+'24-04-2026 '!E516</f>
        <v>247000</v>
      </c>
      <c r="D38" s="44">
        <f>60000+99800+38000+39500</f>
        <v>237300</v>
      </c>
      <c r="E38" s="44">
        <v>0</v>
      </c>
      <c r="F38" s="45">
        <f t="shared" si="5"/>
        <v>147500</v>
      </c>
      <c r="G38" s="24"/>
      <c r="H38" s="46"/>
      <c r="I38" s="47">
        <f t="shared" si="4"/>
        <v>2.4576109091857369E-3</v>
      </c>
    </row>
    <row r="39" spans="1:26" ht="16.5" customHeight="1" x14ac:dyDescent="0.2">
      <c r="A39" s="43" t="s">
        <v>231</v>
      </c>
      <c r="B39" s="44">
        <v>235600</v>
      </c>
      <c r="C39" s="45">
        <f>'[2]06-04-2026 '!E468+'[2]13-04-2026 '!E130+'20-04-2026 '!E132+'27-04-2026 '!E138</f>
        <v>736060</v>
      </c>
      <c r="D39" s="44">
        <f>401160+243000</f>
        <v>644160</v>
      </c>
      <c r="E39" s="44">
        <v>0</v>
      </c>
      <c r="F39" s="45">
        <f t="shared" si="5"/>
        <v>327500</v>
      </c>
      <c r="G39" s="24"/>
      <c r="H39" s="46"/>
      <c r="I39" s="47">
        <f t="shared" si="4"/>
        <v>5.4567293068361273E-3</v>
      </c>
    </row>
    <row r="40" spans="1:26" ht="16.5" customHeight="1" x14ac:dyDescent="0.2">
      <c r="A40" s="43" t="s">
        <v>121</v>
      </c>
      <c r="B40" s="44">
        <v>175900</v>
      </c>
      <c r="C40" s="45">
        <f>'[2]02-04-2026 '!E78+'[2]06-04-2026 '!E359+'[2]10-04-2026 '!E595+'[2]13-04-2026 '!E36+'[2]17-04-2026 '!E579+'20-04-2026 '!E40+'24-04-2026 '!E536+'27-04-2026 '!E49+'30-04-2026 '!E388</f>
        <v>592400</v>
      </c>
      <c r="D40" s="44">
        <f>230200+147300+123300</f>
        <v>500800</v>
      </c>
      <c r="E40" s="44">
        <v>0</v>
      </c>
      <c r="F40" s="45">
        <f t="shared" si="5"/>
        <v>267500</v>
      </c>
      <c r="G40" s="24" t="s">
        <v>106</v>
      </c>
      <c r="H40" s="46"/>
      <c r="I40" s="47">
        <f t="shared" si="4"/>
        <v>4.4570231742859972E-3</v>
      </c>
    </row>
    <row r="41" spans="1:26" ht="16.5" customHeight="1" x14ac:dyDescent="0.2">
      <c r="A41" s="43" t="s">
        <v>184</v>
      </c>
      <c r="B41" s="44">
        <v>91300</v>
      </c>
      <c r="C41" s="45">
        <f>'[2]07-04-2026 '!E207+'[2]15-04-2026 '!E191</f>
        <v>148300</v>
      </c>
      <c r="D41" s="44"/>
      <c r="E41" s="44">
        <v>0</v>
      </c>
      <c r="F41" s="45">
        <f t="shared" si="5"/>
        <v>239600</v>
      </c>
      <c r="G41" s="24" t="s">
        <v>106</v>
      </c>
      <c r="H41" s="46"/>
      <c r="I41" s="47">
        <f t="shared" si="4"/>
        <v>3.992159822650187E-3</v>
      </c>
    </row>
    <row r="42" spans="1:26" ht="16.5" customHeight="1" x14ac:dyDescent="0.2">
      <c r="A42" s="43" t="s">
        <v>232</v>
      </c>
      <c r="B42" s="44">
        <v>0</v>
      </c>
      <c r="C42" s="45"/>
      <c r="D42" s="44"/>
      <c r="E42" s="44">
        <v>0</v>
      </c>
      <c r="F42" s="45">
        <f t="shared" si="5"/>
        <v>0</v>
      </c>
      <c r="G42" s="24" t="s">
        <v>106</v>
      </c>
      <c r="H42" s="46"/>
      <c r="I42" s="47">
        <f t="shared" si="4"/>
        <v>0</v>
      </c>
    </row>
    <row r="43" spans="1:26" ht="16.5" customHeight="1" x14ac:dyDescent="0.2">
      <c r="A43" s="43" t="s">
        <v>96</v>
      </c>
      <c r="B43" s="44">
        <v>0</v>
      </c>
      <c r="C43" s="45">
        <f>'[2]01-04-2026 '!E340+'[2]06-04-2026 '!E639+'[2]08-04-2026 '!E166+'[2]10-04-2026 '!E511+'[2]15-04-2026 '!E179+'[2]17-04-2026 '!E502+'22-04-2026 '!E178+'24-04-2026 '!E479+'29-04-2026 '!E107</f>
        <v>2359660</v>
      </c>
      <c r="D43" s="44">
        <f>182000+654500+315000+275300+269000+307000</f>
        <v>2002800</v>
      </c>
      <c r="E43" s="44">
        <v>0</v>
      </c>
      <c r="F43" s="45">
        <f t="shared" si="5"/>
        <v>356860</v>
      </c>
      <c r="G43" s="24" t="s">
        <v>106</v>
      </c>
      <c r="H43" s="46"/>
      <c r="I43" s="47">
        <f t="shared" si="4"/>
        <v>5.945918841030658E-3</v>
      </c>
    </row>
    <row r="44" spans="1:26" ht="16.5" customHeight="1" x14ac:dyDescent="0.2">
      <c r="A44" s="43" t="s">
        <v>233</v>
      </c>
      <c r="B44" s="45">
        <v>82250</v>
      </c>
      <c r="C44" s="55">
        <f>'[2]10-04-2026 '!E524</f>
        <v>83500</v>
      </c>
      <c r="D44" s="45">
        <f>82250+83500</f>
        <v>165750</v>
      </c>
      <c r="E44" s="45">
        <v>0</v>
      </c>
      <c r="F44" s="55">
        <f t="shared" si="5"/>
        <v>0</v>
      </c>
      <c r="G44" s="24" t="s">
        <v>106</v>
      </c>
      <c r="H44" s="56"/>
      <c r="I44" s="47">
        <f t="shared" si="4"/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43" t="s">
        <v>1124</v>
      </c>
      <c r="B45" s="44"/>
      <c r="C45" s="48">
        <f>'22-04-2026 '!E192+'28-04-2026 '!E218</f>
        <v>132210</v>
      </c>
      <c r="D45" s="44"/>
      <c r="E45" s="44"/>
      <c r="F45" s="45"/>
      <c r="G45" s="24"/>
      <c r="H45" s="46"/>
      <c r="I45" s="47">
        <f t="shared" si="4"/>
        <v>0</v>
      </c>
    </row>
    <row r="46" spans="1:26" ht="16.5" customHeight="1" x14ac:dyDescent="0.2">
      <c r="A46" s="43" t="s">
        <v>1154</v>
      </c>
      <c r="B46" s="44"/>
      <c r="C46" s="48">
        <f>'27-04-2026 '!E246</f>
        <v>164000</v>
      </c>
      <c r="D46" s="44"/>
      <c r="E46" s="44"/>
      <c r="F46" s="45"/>
      <c r="G46" s="24"/>
      <c r="H46" s="46"/>
      <c r="I46" s="47">
        <f t="shared" si="4"/>
        <v>0</v>
      </c>
    </row>
    <row r="47" spans="1:26" ht="16.5" customHeight="1" x14ac:dyDescent="0.2">
      <c r="A47" s="43" t="s">
        <v>1170</v>
      </c>
      <c r="B47" s="44"/>
      <c r="C47" s="48">
        <f>'28-04-2026 '!F237</f>
        <v>97416.8</v>
      </c>
      <c r="D47" s="44"/>
      <c r="E47" s="44">
        <v>0</v>
      </c>
      <c r="F47" s="45">
        <f t="shared" ref="F47:F49" si="6">B47+C47-D47</f>
        <v>97416.8</v>
      </c>
      <c r="G47" s="24" t="s">
        <v>106</v>
      </c>
      <c r="H47" s="46"/>
      <c r="I47" s="47">
        <f t="shared" si="4"/>
        <v>1.6231362062234921E-3</v>
      </c>
    </row>
    <row r="48" spans="1:26" ht="16.5" customHeight="1" x14ac:dyDescent="0.2">
      <c r="A48" s="43" t="s">
        <v>1163</v>
      </c>
      <c r="B48" s="44"/>
      <c r="C48" s="48">
        <f>'28-04-2026 '!E198+'30-04-2026 '!E401</f>
        <v>110020</v>
      </c>
      <c r="D48" s="44">
        <v>110020</v>
      </c>
      <c r="E48" s="44">
        <v>0</v>
      </c>
      <c r="F48" s="45">
        <f t="shared" si="6"/>
        <v>0</v>
      </c>
      <c r="G48" s="24" t="s">
        <v>106</v>
      </c>
      <c r="H48" s="46"/>
      <c r="I48" s="47">
        <f t="shared" si="4"/>
        <v>0</v>
      </c>
    </row>
    <row r="49" spans="1:9" ht="16.5" customHeight="1" x14ac:dyDescent="0.2">
      <c r="A49" s="43" t="s">
        <v>140</v>
      </c>
      <c r="B49" s="44">
        <v>127738</v>
      </c>
      <c r="C49" s="48">
        <f>'[2]02-04-2026 '!F142+'[2]07-04-2026 '!F253+'[2]10-04-2026 '!F535+'[2]17-04-2026 '!F529+'21-04-2026 '!F226+'24-04-2026 '!F504+'27-04-2026 '!F356</f>
        <v>589517.5</v>
      </c>
      <c r="D49" s="44">
        <f>318682</f>
        <v>318682</v>
      </c>
      <c r="E49" s="44">
        <v>0</v>
      </c>
      <c r="F49" s="45">
        <f t="shared" si="6"/>
        <v>398573.5</v>
      </c>
      <c r="G49" s="24" t="s">
        <v>106</v>
      </c>
      <c r="H49" s="46"/>
      <c r="I49" s="47">
        <f t="shared" si="4"/>
        <v>6.6409395370328221E-3</v>
      </c>
    </row>
    <row r="50" spans="1:9" ht="18" customHeight="1" thickBot="1" x14ac:dyDescent="0.25">
      <c r="C50" s="49"/>
      <c r="D50" s="49"/>
      <c r="E50" s="49"/>
      <c r="F50" s="49"/>
    </row>
    <row r="51" spans="1:9" ht="15.75" customHeight="1" thickBot="1" x14ac:dyDescent="0.25">
      <c r="B51" s="49">
        <f t="shared" ref="B51:D51" si="7">SUM(B3:B49)</f>
        <v>69851670.570000008</v>
      </c>
      <c r="C51" s="49">
        <f t="shared" si="7"/>
        <v>76757896.599999994</v>
      </c>
      <c r="D51" s="49">
        <f t="shared" si="7"/>
        <v>85119325.939999998</v>
      </c>
      <c r="E51" s="49"/>
      <c r="F51" s="57">
        <f>SUM(F3:F50)</f>
        <v>60017637.229999989</v>
      </c>
      <c r="H51" s="49"/>
      <c r="I51" s="58">
        <f>SUM(I3:I49)</f>
        <v>1.0000000000000002</v>
      </c>
    </row>
    <row r="52" spans="1:9" ht="15" customHeight="1" x14ac:dyDescent="0.2">
      <c r="C52" s="59"/>
      <c r="G52" s="60"/>
    </row>
    <row r="53" spans="1:9" ht="15.75" customHeight="1" x14ac:dyDescent="0.2">
      <c r="B53" s="11" t="s">
        <v>234</v>
      </c>
      <c r="C53" s="49">
        <f>B64</f>
        <v>77007721.325000003</v>
      </c>
      <c r="D53" s="49"/>
      <c r="E53" s="49"/>
      <c r="F53" s="49"/>
    </row>
    <row r="54" spans="1:9" ht="15.75" customHeight="1" x14ac:dyDescent="0.2">
      <c r="C54" s="49"/>
      <c r="F54" s="60"/>
    </row>
    <row r="55" spans="1:9" ht="15.75" customHeight="1" x14ac:dyDescent="0.2">
      <c r="B55" s="11" t="s">
        <v>235</v>
      </c>
      <c r="C55" s="49">
        <f>'[2]01-04-2026 '!B346+'[2]02-04-2026 '!B148+'[2]06-04-2026 '!B667+'[2]07-04-2026 '!B268+'[2]08-04-2026 '!B214+'[2]09-04-2026 '!B75+'[2]10-04-2026 '!B648+'[2]13-04-2026 '!B321+'[2]14-04-2026 '!B310+'[2]15-04-2026 '!B305+'[2]17-04-2026 '!B646+'20-04-2026 '!B312+'21-04-2026 '!B311+'22-04-2026 '!B294+'24-04-2026 '!B639+'27-04-2026 '!B362+'28-04-2026 '!B363+'29-04-2026 '!B150+'30-04-2026 '!B407</f>
        <v>27958206.236198116</v>
      </c>
      <c r="D55" s="61">
        <f>C55/C53</f>
        <v>0.3630571812169916</v>
      </c>
      <c r="E55" s="61"/>
      <c r="F55" s="49"/>
      <c r="G55" s="11"/>
    </row>
    <row r="56" spans="1:9" ht="15.75" customHeight="1" x14ac:dyDescent="0.2">
      <c r="C56" s="49"/>
      <c r="G56" s="49"/>
    </row>
    <row r="57" spans="1:9" ht="15.75" customHeight="1" x14ac:dyDescent="0.2">
      <c r="D57" s="62"/>
      <c r="F57" s="24" t="s">
        <v>37</v>
      </c>
    </row>
    <row r="58" spans="1:9" ht="15.75" customHeight="1" x14ac:dyDescent="0.2">
      <c r="A58" s="11" t="s">
        <v>237</v>
      </c>
      <c r="B58" s="49">
        <f>'[2]01-04-2026 '!B344+'[2]02-04-2026 '!B146</f>
        <v>3527262.25</v>
      </c>
      <c r="C58" s="60"/>
      <c r="D58" s="60"/>
      <c r="E58" s="87"/>
      <c r="F58" s="49"/>
    </row>
    <row r="59" spans="1:9" ht="15.75" customHeight="1" x14ac:dyDescent="0.2">
      <c r="A59" s="11" t="s">
        <v>238</v>
      </c>
      <c r="B59" s="49">
        <f>'[2]06-04-2026 '!B665+'[2]07-04-2026 '!B266+'[2]08-04-2026 '!B212+'[2]09-04-2026 '!B73+'[2]10-04-2026 '!B646</f>
        <v>23175232.699999999</v>
      </c>
      <c r="C59" s="60"/>
      <c r="D59" s="60"/>
    </row>
    <row r="60" spans="1:9" ht="15.75" customHeight="1" x14ac:dyDescent="0.2">
      <c r="A60" s="11" t="s">
        <v>239</v>
      </c>
      <c r="B60" s="49">
        <v>20201607</v>
      </c>
      <c r="C60" s="60"/>
      <c r="D60" s="60"/>
      <c r="E60" s="49"/>
    </row>
    <row r="61" spans="1:9" ht="15.75" customHeight="1" x14ac:dyDescent="0.2">
      <c r="A61" s="11" t="s">
        <v>240</v>
      </c>
      <c r="B61" s="49">
        <f>'20-04-2026 '!B310+'21-04-2026 '!B309+'22-04-2026 '!B292+'24-04-2026 '!B637</f>
        <v>16537090.65</v>
      </c>
      <c r="C61" s="60"/>
      <c r="D61" s="60"/>
      <c r="E61" s="49"/>
    </row>
    <row r="62" spans="1:9" ht="15.75" customHeight="1" x14ac:dyDescent="0.2">
      <c r="A62" s="11" t="s">
        <v>241</v>
      </c>
      <c r="B62" s="49">
        <f>'27-04-2026 '!B360+'28-04-2026 '!B361+'29-04-2026 '!B148+'30-04-2026 '!B405</f>
        <v>13566528.725</v>
      </c>
      <c r="C62" s="60"/>
      <c r="D62" s="60"/>
      <c r="E62" s="49"/>
    </row>
    <row r="63" spans="1:9" ht="15.75" customHeight="1" x14ac:dyDescent="0.2">
      <c r="B63" s="49"/>
      <c r="C63" s="60"/>
      <c r="D63" s="60"/>
      <c r="E63" s="49"/>
    </row>
    <row r="64" spans="1:9" ht="15.75" customHeight="1" x14ac:dyDescent="0.2">
      <c r="A64" s="30" t="s">
        <v>243</v>
      </c>
      <c r="B64" s="49">
        <f>SUM(B58:B63)</f>
        <v>77007721.325000003</v>
      </c>
      <c r="C64" s="60"/>
      <c r="D64" s="60"/>
    </row>
    <row r="65" spans="1:4" ht="15.75" customHeight="1" x14ac:dyDescent="0.2">
      <c r="B65" s="49"/>
      <c r="C65" s="60"/>
      <c r="D65" s="60"/>
    </row>
    <row r="66" spans="1:4" ht="15.75" customHeight="1" x14ac:dyDescent="0.2">
      <c r="C66" s="60"/>
      <c r="D66" s="60"/>
    </row>
    <row r="67" spans="1:4" ht="15.75" customHeight="1" x14ac:dyDescent="0.2">
      <c r="A67" s="30" t="s">
        <v>244</v>
      </c>
      <c r="B67" s="49">
        <f>B64/19</f>
        <v>4053037.9644736843</v>
      </c>
    </row>
    <row r="68" spans="1:4" ht="15.75" customHeight="1" x14ac:dyDescent="0.2">
      <c r="A68" s="30" t="s">
        <v>245</v>
      </c>
      <c r="B68" s="49">
        <f>C55/19</f>
        <v>1471484.5387472692</v>
      </c>
      <c r="C68" s="24"/>
    </row>
    <row r="69" spans="1:4" ht="15.75" customHeight="1" x14ac:dyDescent="0.2"/>
    <row r="70" spans="1:4" ht="15.75" customHeight="1" x14ac:dyDescent="0.2"/>
    <row r="71" spans="1:4" ht="15.75" customHeight="1" x14ac:dyDescent="0.2"/>
    <row r="72" spans="1:4" ht="15.75" customHeight="1" x14ac:dyDescent="0.2">
      <c r="D72" s="24"/>
    </row>
    <row r="73" spans="1:4" ht="15.75" customHeight="1" x14ac:dyDescent="0.2"/>
    <row r="74" spans="1:4" ht="15.75" customHeight="1" x14ac:dyDescent="0.2"/>
    <row r="75" spans="1:4" ht="15.75" customHeight="1" x14ac:dyDescent="0.2"/>
    <row r="76" spans="1:4" ht="15.75" customHeight="1" x14ac:dyDescent="0.2"/>
    <row r="77" spans="1:4" ht="15.75" customHeight="1" x14ac:dyDescent="0.2"/>
    <row r="78" spans="1:4" ht="15.75" customHeight="1" x14ac:dyDescent="0.2"/>
    <row r="79" spans="1:4" ht="15.75" customHeight="1" x14ac:dyDescent="0.2"/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</sheetData>
  <mergeCells count="5">
    <mergeCell ref="B33:B34"/>
    <mergeCell ref="C33:C34"/>
    <mergeCell ref="D33:D34"/>
    <mergeCell ref="E33:E34"/>
    <mergeCell ref="F33:F34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1025"/>
  <sheetViews>
    <sheetView topLeftCell="A27" workbookViewId="0"/>
  </sheetViews>
  <sheetFormatPr baseColWidth="10" defaultColWidth="12.6640625" defaultRowHeight="15" customHeight="1" x14ac:dyDescent="0.2"/>
  <cols>
    <col min="1" max="1" width="29" customWidth="1"/>
    <col min="2" max="2" width="24.83203125" customWidth="1"/>
    <col min="3" max="5" width="15.6640625" customWidth="1"/>
    <col min="6" max="6" width="15.83203125" customWidth="1"/>
    <col min="7" max="7" width="4.6640625" customWidth="1"/>
    <col min="8" max="8" width="6.1640625" customWidth="1"/>
    <col min="9" max="9" width="14.33203125" customWidth="1"/>
    <col min="10" max="10" width="16.1640625" customWidth="1"/>
  </cols>
  <sheetData>
    <row r="2" spans="1:12" ht="15.75" customHeight="1" x14ac:dyDescent="0.2">
      <c r="A2" s="41" t="s">
        <v>197</v>
      </c>
      <c r="B2" s="41" t="s">
        <v>246</v>
      </c>
      <c r="C2" s="41" t="s">
        <v>199</v>
      </c>
      <c r="D2" s="41" t="s">
        <v>200</v>
      </c>
      <c r="E2" s="41" t="s">
        <v>201</v>
      </c>
      <c r="F2" s="41" t="s">
        <v>202</v>
      </c>
      <c r="I2" s="42" t="s">
        <v>203</v>
      </c>
    </row>
    <row r="3" spans="1:12" ht="15.75" customHeight="1" x14ac:dyDescent="0.2">
      <c r="A3" s="43" t="s">
        <v>204</v>
      </c>
      <c r="B3" s="44" t="s">
        <v>247</v>
      </c>
      <c r="C3" s="45"/>
      <c r="D3" s="45"/>
      <c r="F3" s="45" t="s">
        <v>247</v>
      </c>
      <c r="G3" s="24"/>
      <c r="H3" s="46"/>
      <c r="I3" s="47">
        <v>0</v>
      </c>
    </row>
    <row r="4" spans="1:12" ht="15.75" customHeight="1" x14ac:dyDescent="0.2">
      <c r="A4" s="43" t="s">
        <v>205</v>
      </c>
      <c r="B4" s="44">
        <v>799908.65</v>
      </c>
      <c r="C4" s="48">
        <v>1866460</v>
      </c>
      <c r="D4" s="45">
        <v>2000000</v>
      </c>
      <c r="E4" s="45" t="s">
        <v>247</v>
      </c>
      <c r="F4" s="45">
        <v>666368.65</v>
      </c>
      <c r="G4" s="24" t="s">
        <v>106</v>
      </c>
      <c r="H4" s="46"/>
      <c r="I4" s="47">
        <v>9.4999999999999998E-3</v>
      </c>
    </row>
    <row r="5" spans="1:12" ht="15.75" customHeight="1" x14ac:dyDescent="0.2">
      <c r="A5" s="43" t="s">
        <v>171</v>
      </c>
      <c r="B5" s="44">
        <v>131259.10999999999</v>
      </c>
      <c r="C5" s="45">
        <v>103812.13</v>
      </c>
      <c r="D5" s="44">
        <v>127319.06</v>
      </c>
      <c r="E5" s="45" t="s">
        <v>247</v>
      </c>
      <c r="F5" s="45">
        <v>107752.17</v>
      </c>
      <c r="G5" s="24" t="s">
        <v>106</v>
      </c>
      <c r="H5" s="46"/>
      <c r="I5" s="47">
        <v>1.5E-3</v>
      </c>
      <c r="J5" s="49"/>
    </row>
    <row r="6" spans="1:12" ht="15.75" customHeight="1" x14ac:dyDescent="0.2">
      <c r="A6" s="43" t="s">
        <v>108</v>
      </c>
      <c r="B6" s="44">
        <v>2148899.9900000002</v>
      </c>
      <c r="C6" s="45">
        <v>1842400</v>
      </c>
      <c r="D6" s="45">
        <v>3032655.54</v>
      </c>
      <c r="E6" s="45">
        <v>43185.16</v>
      </c>
      <c r="F6" s="45">
        <v>915459.29</v>
      </c>
      <c r="G6" s="24" t="s">
        <v>106</v>
      </c>
      <c r="H6" s="46"/>
      <c r="I6" s="47">
        <v>1.3100000000000001E-2</v>
      </c>
    </row>
    <row r="7" spans="1:12" ht="15.75" customHeight="1" x14ac:dyDescent="0.2">
      <c r="A7" s="43" t="s">
        <v>206</v>
      </c>
      <c r="B7" s="44" t="s">
        <v>247</v>
      </c>
      <c r="C7" s="45"/>
      <c r="D7" s="45"/>
      <c r="E7" s="45" t="s">
        <v>247</v>
      </c>
      <c r="F7" s="45" t="s">
        <v>247</v>
      </c>
      <c r="G7" s="24" t="s">
        <v>106</v>
      </c>
      <c r="H7" s="46"/>
      <c r="I7" s="47">
        <v>0</v>
      </c>
    </row>
    <row r="8" spans="1:12" ht="15.75" customHeight="1" x14ac:dyDescent="0.2">
      <c r="A8" s="43" t="s">
        <v>207</v>
      </c>
      <c r="B8" s="44">
        <v>401620</v>
      </c>
      <c r="C8" s="45">
        <v>773000</v>
      </c>
      <c r="D8" s="45">
        <v>850000</v>
      </c>
      <c r="E8" s="45" t="s">
        <v>247</v>
      </c>
      <c r="F8" s="45">
        <v>324620</v>
      </c>
      <c r="G8" s="24" t="s">
        <v>106</v>
      </c>
      <c r="H8" s="46"/>
      <c r="I8" s="47">
        <v>4.5999999999999999E-3</v>
      </c>
    </row>
    <row r="9" spans="1:12" ht="15.75" customHeight="1" x14ac:dyDescent="0.2">
      <c r="A9" s="43" t="s">
        <v>208</v>
      </c>
      <c r="B9" s="44">
        <v>73950</v>
      </c>
      <c r="C9" s="45"/>
      <c r="D9" s="50"/>
      <c r="E9" s="45" t="s">
        <v>247</v>
      </c>
      <c r="F9" s="45">
        <v>73950</v>
      </c>
      <c r="G9" s="24" t="s">
        <v>106</v>
      </c>
      <c r="H9" s="46"/>
      <c r="I9" s="47">
        <v>1.1000000000000001E-3</v>
      </c>
    </row>
    <row r="10" spans="1:12" ht="15.75" customHeight="1" x14ac:dyDescent="0.2">
      <c r="A10" s="43" t="s">
        <v>209</v>
      </c>
      <c r="B10" s="44" t="s">
        <v>247</v>
      </c>
      <c r="C10" s="45"/>
      <c r="D10" s="45"/>
      <c r="E10" s="45" t="s">
        <v>247</v>
      </c>
      <c r="F10" s="45" t="s">
        <v>247</v>
      </c>
      <c r="G10" s="24" t="s">
        <v>106</v>
      </c>
      <c r="H10" s="46"/>
      <c r="I10" s="47">
        <v>0</v>
      </c>
    </row>
    <row r="11" spans="1:12" ht="15.75" customHeight="1" x14ac:dyDescent="0.2">
      <c r="A11" s="43" t="s">
        <v>210</v>
      </c>
      <c r="B11" s="44" t="s">
        <v>247</v>
      </c>
      <c r="C11" s="45"/>
      <c r="D11" s="50"/>
      <c r="E11" s="45" t="s">
        <v>247</v>
      </c>
      <c r="F11" s="45" t="s">
        <v>247</v>
      </c>
      <c r="G11" s="24" t="s">
        <v>106</v>
      </c>
      <c r="H11" s="46"/>
      <c r="I11" s="47">
        <v>0</v>
      </c>
      <c r="L11" s="5"/>
    </row>
    <row r="12" spans="1:12" ht="15.75" customHeight="1" x14ac:dyDescent="0.2">
      <c r="A12" s="43" t="s">
        <v>211</v>
      </c>
      <c r="B12" s="44" t="s">
        <v>247</v>
      </c>
      <c r="C12" s="45"/>
      <c r="D12" s="50"/>
      <c r="E12" s="45" t="s">
        <v>247</v>
      </c>
      <c r="F12" s="45" t="s">
        <v>247</v>
      </c>
      <c r="G12" s="24" t="s">
        <v>106</v>
      </c>
      <c r="H12" s="46"/>
      <c r="I12" s="47">
        <v>0</v>
      </c>
    </row>
    <row r="13" spans="1:12" ht="15.75" customHeight="1" x14ac:dyDescent="0.2">
      <c r="A13" s="43" t="s">
        <v>212</v>
      </c>
      <c r="B13" s="44" t="s">
        <v>247</v>
      </c>
      <c r="C13" s="45"/>
      <c r="D13" s="50"/>
      <c r="E13" s="45" t="s">
        <v>247</v>
      </c>
      <c r="F13" s="45" t="s">
        <v>247</v>
      </c>
      <c r="G13" s="24" t="s">
        <v>106</v>
      </c>
      <c r="H13" s="46"/>
      <c r="I13" s="47">
        <v>0</v>
      </c>
      <c r="J13" s="5"/>
    </row>
    <row r="14" spans="1:12" ht="15.75" customHeight="1" x14ac:dyDescent="0.2">
      <c r="A14" s="43" t="s">
        <v>149</v>
      </c>
      <c r="B14" s="44">
        <v>1649890</v>
      </c>
      <c r="C14" s="45">
        <v>1926400</v>
      </c>
      <c r="D14" s="45">
        <v>1561100</v>
      </c>
      <c r="E14" s="45" t="s">
        <v>247</v>
      </c>
      <c r="F14" s="45">
        <v>2015190</v>
      </c>
      <c r="G14" s="24"/>
      <c r="H14" s="46"/>
      <c r="I14" s="47">
        <v>2.8799999999999999E-2</v>
      </c>
    </row>
    <row r="15" spans="1:12" ht="15.75" customHeight="1" x14ac:dyDescent="0.2">
      <c r="A15" s="43" t="s">
        <v>116</v>
      </c>
      <c r="B15" s="44">
        <v>3722860</v>
      </c>
      <c r="C15" s="45">
        <v>2225545</v>
      </c>
      <c r="D15" s="45">
        <v>1754625</v>
      </c>
      <c r="E15" s="45" t="s">
        <v>247</v>
      </c>
      <c r="F15" s="45">
        <v>4193780</v>
      </c>
      <c r="G15" s="24" t="s">
        <v>106</v>
      </c>
      <c r="H15" s="46"/>
      <c r="I15" s="47">
        <v>0.06</v>
      </c>
    </row>
    <row r="16" spans="1:12" ht="15.75" customHeight="1" x14ac:dyDescent="0.2">
      <c r="A16" s="43" t="s">
        <v>213</v>
      </c>
      <c r="B16" s="45">
        <v>22284555.699999999</v>
      </c>
      <c r="C16" s="45">
        <v>12476249.9</v>
      </c>
      <c r="D16" s="45">
        <v>16060915.84</v>
      </c>
      <c r="E16" s="45">
        <v>1454170.11</v>
      </c>
      <c r="F16" s="45">
        <v>17245719.649999999</v>
      </c>
      <c r="G16" s="24" t="s">
        <v>106</v>
      </c>
      <c r="H16" s="46"/>
      <c r="I16" s="47">
        <v>0.2467</v>
      </c>
      <c r="J16" s="5"/>
    </row>
    <row r="17" spans="1:14" ht="15.75" customHeight="1" x14ac:dyDescent="0.2">
      <c r="A17" s="43" t="s">
        <v>214</v>
      </c>
      <c r="B17" s="44" t="s">
        <v>247</v>
      </c>
      <c r="C17" s="45">
        <v>260800</v>
      </c>
      <c r="D17" s="45">
        <v>260800</v>
      </c>
      <c r="E17" s="45" t="s">
        <v>247</v>
      </c>
      <c r="F17" s="45" t="s">
        <v>247</v>
      </c>
      <c r="G17" s="24" t="s">
        <v>106</v>
      </c>
      <c r="H17" s="46"/>
      <c r="I17" s="47">
        <v>0</v>
      </c>
    </row>
    <row r="18" spans="1:14" ht="15.75" customHeight="1" x14ac:dyDescent="0.2">
      <c r="A18" s="43" t="s">
        <v>215</v>
      </c>
      <c r="B18" s="44" t="s">
        <v>247</v>
      </c>
      <c r="C18" s="45"/>
      <c r="D18" s="45"/>
      <c r="E18" s="45" t="s">
        <v>247</v>
      </c>
      <c r="F18" s="45" t="s">
        <v>247</v>
      </c>
      <c r="G18" s="24" t="s">
        <v>106</v>
      </c>
      <c r="H18" s="46"/>
      <c r="I18" s="47">
        <v>0</v>
      </c>
      <c r="J18" s="5"/>
    </row>
    <row r="19" spans="1:14" ht="16.5" customHeight="1" x14ac:dyDescent="0.2">
      <c r="A19" s="43" t="s">
        <v>75</v>
      </c>
      <c r="B19" s="44">
        <v>302390</v>
      </c>
      <c r="C19" s="45">
        <v>943680</v>
      </c>
      <c r="D19" s="44">
        <v>763220</v>
      </c>
      <c r="E19" s="44" t="s">
        <v>247</v>
      </c>
      <c r="F19" s="45">
        <v>482850</v>
      </c>
      <c r="G19" s="24" t="s">
        <v>106</v>
      </c>
      <c r="H19" s="46"/>
      <c r="I19" s="47">
        <v>6.8999999999999999E-3</v>
      </c>
      <c r="N19" s="51"/>
    </row>
    <row r="20" spans="1:14" ht="16.5" customHeight="1" x14ac:dyDescent="0.2">
      <c r="A20" s="43" t="s">
        <v>216</v>
      </c>
      <c r="B20" s="44" t="s">
        <v>247</v>
      </c>
      <c r="C20" s="45"/>
      <c r="D20" s="44"/>
      <c r="E20" s="44" t="s">
        <v>247</v>
      </c>
      <c r="F20" s="45" t="s">
        <v>247</v>
      </c>
      <c r="G20" s="24" t="s">
        <v>106</v>
      </c>
      <c r="H20" s="46"/>
      <c r="I20" s="47">
        <v>0</v>
      </c>
    </row>
    <row r="21" spans="1:14" ht="16.5" customHeight="1" x14ac:dyDescent="0.2">
      <c r="A21" s="43" t="s">
        <v>91</v>
      </c>
      <c r="B21" s="44">
        <v>546775</v>
      </c>
      <c r="C21" s="45">
        <v>346050</v>
      </c>
      <c r="D21" s="44">
        <v>892825</v>
      </c>
      <c r="E21" s="44" t="s">
        <v>247</v>
      </c>
      <c r="F21" s="52" t="s">
        <v>247</v>
      </c>
      <c r="G21" s="24"/>
      <c r="H21" s="46"/>
      <c r="I21" s="47">
        <v>0</v>
      </c>
    </row>
    <row r="22" spans="1:14" ht="16.5" customHeight="1" x14ac:dyDescent="0.2">
      <c r="A22" s="43" t="s">
        <v>217</v>
      </c>
      <c r="B22" s="44" t="s">
        <v>247</v>
      </c>
      <c r="C22" s="45">
        <v>292500</v>
      </c>
      <c r="D22" s="44">
        <v>292500</v>
      </c>
      <c r="E22" s="44" t="s">
        <v>247</v>
      </c>
      <c r="F22" s="45" t="s">
        <v>247</v>
      </c>
      <c r="G22" s="24" t="s">
        <v>106</v>
      </c>
      <c r="H22" s="46"/>
      <c r="I22" s="47">
        <v>0</v>
      </c>
    </row>
    <row r="23" spans="1:14" ht="16.5" customHeight="1" x14ac:dyDescent="0.2">
      <c r="A23" s="43" t="s">
        <v>119</v>
      </c>
      <c r="B23" s="44">
        <v>988940</v>
      </c>
      <c r="C23" s="48">
        <v>2192540</v>
      </c>
      <c r="D23" s="44">
        <v>1919090</v>
      </c>
      <c r="E23" s="44" t="s">
        <v>247</v>
      </c>
      <c r="F23" s="45">
        <v>1262390</v>
      </c>
      <c r="G23" s="24" t="s">
        <v>106</v>
      </c>
      <c r="H23" s="46"/>
      <c r="I23" s="47">
        <v>1.8100000000000002E-2</v>
      </c>
    </row>
    <row r="24" spans="1:14" ht="16.5" customHeight="1" x14ac:dyDescent="0.2">
      <c r="A24" s="43" t="s">
        <v>218</v>
      </c>
      <c r="B24" s="44">
        <v>17160070.41</v>
      </c>
      <c r="C24" s="48">
        <v>32451732.800000001</v>
      </c>
      <c r="D24" s="44">
        <v>17160070.41</v>
      </c>
      <c r="E24" s="44" t="s">
        <v>247</v>
      </c>
      <c r="F24" s="45">
        <v>32451732.800000001</v>
      </c>
      <c r="G24" s="24"/>
      <c r="H24" s="46"/>
      <c r="I24" s="47">
        <v>0.4642</v>
      </c>
    </row>
    <row r="25" spans="1:14" ht="16.5" customHeight="1" x14ac:dyDescent="0.2">
      <c r="A25" s="43" t="s">
        <v>219</v>
      </c>
      <c r="B25" s="44" t="s">
        <v>247</v>
      </c>
      <c r="C25" s="45"/>
      <c r="D25" s="44"/>
      <c r="E25" s="44" t="s">
        <v>247</v>
      </c>
      <c r="F25" s="45" t="s">
        <v>247</v>
      </c>
      <c r="G25" s="24" t="s">
        <v>106</v>
      </c>
      <c r="H25" s="46"/>
      <c r="I25" s="47">
        <v>0</v>
      </c>
    </row>
    <row r="26" spans="1:14" ht="16.5" customHeight="1" x14ac:dyDescent="0.2">
      <c r="A26" s="43" t="s">
        <v>220</v>
      </c>
      <c r="B26" s="44" t="s">
        <v>247</v>
      </c>
      <c r="C26" s="45"/>
      <c r="D26" s="44"/>
      <c r="E26" s="44" t="s">
        <v>247</v>
      </c>
      <c r="F26" s="45" t="s">
        <v>247</v>
      </c>
      <c r="G26" s="24" t="s">
        <v>106</v>
      </c>
      <c r="H26" s="46"/>
      <c r="I26" s="47">
        <v>0</v>
      </c>
    </row>
    <row r="27" spans="1:14" ht="16.5" customHeight="1" x14ac:dyDescent="0.2">
      <c r="A27" s="43" t="s">
        <v>221</v>
      </c>
      <c r="B27" s="44">
        <v>39780</v>
      </c>
      <c r="C27" s="45">
        <v>96466.5</v>
      </c>
      <c r="D27" s="44">
        <v>137246.5</v>
      </c>
      <c r="E27" s="44"/>
      <c r="F27" s="45">
        <v>-1000</v>
      </c>
      <c r="G27" s="24" t="s">
        <v>106</v>
      </c>
      <c r="H27" s="46"/>
      <c r="I27" s="47">
        <v>0</v>
      </c>
    </row>
    <row r="28" spans="1:14" ht="16.5" customHeight="1" x14ac:dyDescent="0.2">
      <c r="A28" s="43" t="s">
        <v>222</v>
      </c>
      <c r="B28" s="44">
        <v>602000</v>
      </c>
      <c r="C28" s="45">
        <v>1611080</v>
      </c>
      <c r="D28" s="44"/>
      <c r="E28" s="44" t="s">
        <v>247</v>
      </c>
      <c r="F28" s="45">
        <v>2213080</v>
      </c>
      <c r="G28" s="24"/>
      <c r="H28" s="46"/>
      <c r="I28" s="47">
        <v>3.1699999999999999E-2</v>
      </c>
    </row>
    <row r="29" spans="1:14" ht="16.5" customHeight="1" x14ac:dyDescent="0.2">
      <c r="A29" s="43" t="s">
        <v>174</v>
      </c>
      <c r="B29" s="44">
        <v>1361220</v>
      </c>
      <c r="C29" s="45">
        <v>6508320</v>
      </c>
      <c r="D29" s="44">
        <v>5832940</v>
      </c>
      <c r="E29" s="44"/>
      <c r="F29" s="45">
        <v>2036600</v>
      </c>
      <c r="G29" s="24" t="s">
        <v>106</v>
      </c>
      <c r="H29" s="46"/>
      <c r="I29" s="47">
        <v>2.9100000000000001E-2</v>
      </c>
    </row>
    <row r="30" spans="1:14" ht="16.5" customHeight="1" x14ac:dyDescent="0.2">
      <c r="A30" s="43" t="s">
        <v>128</v>
      </c>
      <c r="B30" s="44">
        <v>1569277.4</v>
      </c>
      <c r="C30" s="45">
        <v>1820531.7</v>
      </c>
      <c r="D30" s="44">
        <v>1000000</v>
      </c>
      <c r="E30" s="44" t="s">
        <v>247</v>
      </c>
      <c r="F30" s="45">
        <v>2389809.1</v>
      </c>
      <c r="G30" s="24"/>
      <c r="H30" s="46"/>
      <c r="I30" s="47">
        <v>3.4200000000000001E-2</v>
      </c>
    </row>
    <row r="31" spans="1:14" ht="16.5" customHeight="1" x14ac:dyDescent="0.2">
      <c r="A31" s="43" t="s">
        <v>223</v>
      </c>
      <c r="B31" s="44">
        <v>687011.13</v>
      </c>
      <c r="C31" s="45">
        <v>900210</v>
      </c>
      <c r="D31" s="44">
        <v>1247031</v>
      </c>
      <c r="E31" s="44" t="s">
        <v>247</v>
      </c>
      <c r="F31" s="45">
        <v>340190.13</v>
      </c>
      <c r="G31" s="24"/>
      <c r="H31" s="46"/>
      <c r="I31" s="47">
        <v>4.8999999999999998E-3</v>
      </c>
    </row>
    <row r="32" spans="1:14" ht="16.5" customHeight="1" x14ac:dyDescent="0.2">
      <c r="A32" s="43" t="s">
        <v>224</v>
      </c>
      <c r="B32" s="44">
        <v>82000</v>
      </c>
      <c r="C32" s="45"/>
      <c r="D32" s="44"/>
      <c r="E32" s="44" t="s">
        <v>247</v>
      </c>
      <c r="F32" s="45">
        <v>82000</v>
      </c>
      <c r="G32" s="24"/>
      <c r="H32" s="46"/>
      <c r="I32" s="47">
        <v>1.1999999999999999E-3</v>
      </c>
    </row>
    <row r="33" spans="1:26" ht="16.5" customHeight="1" x14ac:dyDescent="0.2">
      <c r="A33" s="43" t="s">
        <v>225</v>
      </c>
      <c r="B33" s="53">
        <v>1277103.8799999999</v>
      </c>
      <c r="C33" s="53">
        <v>2988786.9</v>
      </c>
      <c r="D33" s="53">
        <v>2000000</v>
      </c>
      <c r="E33" s="53" t="s">
        <v>247</v>
      </c>
      <c r="F33" s="53">
        <v>2265890.7799999998</v>
      </c>
      <c r="G33" s="24" t="s">
        <v>106</v>
      </c>
      <c r="H33" s="46"/>
      <c r="I33" s="47">
        <v>3.2399999999999998E-2</v>
      </c>
    </row>
    <row r="34" spans="1:26" ht="16.5" customHeight="1" x14ac:dyDescent="0.2">
      <c r="A34" s="43" t="s">
        <v>226</v>
      </c>
      <c r="B34" s="67"/>
      <c r="C34" s="67"/>
      <c r="D34" s="67"/>
      <c r="E34" s="67"/>
      <c r="F34" s="67"/>
      <c r="G34" s="24" t="s">
        <v>106</v>
      </c>
      <c r="H34" s="46"/>
      <c r="I34" s="47">
        <v>0</v>
      </c>
    </row>
    <row r="35" spans="1:26" ht="16.5" customHeight="1" x14ac:dyDescent="0.2">
      <c r="A35" s="43" t="s">
        <v>227</v>
      </c>
      <c r="B35" s="44" t="s">
        <v>247</v>
      </c>
      <c r="C35" s="45"/>
      <c r="D35" s="44"/>
      <c r="E35" s="44" t="s">
        <v>247</v>
      </c>
      <c r="F35" s="45" t="s">
        <v>247</v>
      </c>
      <c r="G35" s="24" t="s">
        <v>106</v>
      </c>
      <c r="H35" s="46"/>
      <c r="I35" s="47">
        <v>0</v>
      </c>
    </row>
    <row r="36" spans="1:26" ht="16.5" customHeight="1" x14ac:dyDescent="0.2">
      <c r="A36" s="43" t="s">
        <v>228</v>
      </c>
      <c r="B36" s="44" t="s">
        <v>247</v>
      </c>
      <c r="C36" s="45"/>
      <c r="D36" s="44"/>
      <c r="E36" s="44" t="s">
        <v>247</v>
      </c>
      <c r="F36" s="45" t="s">
        <v>247</v>
      </c>
      <c r="G36" s="24" t="s">
        <v>106</v>
      </c>
      <c r="H36" s="46"/>
      <c r="I36" s="47">
        <v>0</v>
      </c>
    </row>
    <row r="37" spans="1:26" ht="16.5" customHeight="1" x14ac:dyDescent="0.2">
      <c r="A37" s="43" t="s">
        <v>229</v>
      </c>
      <c r="B37" s="44" t="s">
        <v>247</v>
      </c>
      <c r="C37" s="54">
        <v>410275.45</v>
      </c>
      <c r="D37" s="44">
        <v>410275.45</v>
      </c>
      <c r="E37" s="44" t="s">
        <v>247</v>
      </c>
      <c r="F37" s="45" t="s">
        <v>247</v>
      </c>
      <c r="G37" s="24" t="s">
        <v>106</v>
      </c>
      <c r="H37" s="46"/>
      <c r="I37" s="47">
        <v>0</v>
      </c>
    </row>
    <row r="38" spans="1:26" ht="16.5" customHeight="1" x14ac:dyDescent="0.2">
      <c r="A38" s="43" t="s">
        <v>230</v>
      </c>
      <c r="B38" s="44" t="s">
        <v>247</v>
      </c>
      <c r="C38" s="45">
        <v>339800</v>
      </c>
      <c r="D38" s="44">
        <v>202000</v>
      </c>
      <c r="E38" s="44"/>
      <c r="F38" s="45">
        <v>137800</v>
      </c>
      <c r="G38" s="24"/>
      <c r="H38" s="46"/>
      <c r="I38" s="47">
        <v>2E-3</v>
      </c>
    </row>
    <row r="39" spans="1:26" ht="16.5" customHeight="1" x14ac:dyDescent="0.2">
      <c r="A39" s="43" t="s">
        <v>231</v>
      </c>
      <c r="B39" s="44"/>
      <c r="C39" s="45">
        <v>298600</v>
      </c>
      <c r="D39" s="44">
        <v>63000</v>
      </c>
      <c r="E39" s="44"/>
      <c r="F39" s="45">
        <v>235600</v>
      </c>
      <c r="G39" s="24"/>
      <c r="H39" s="46"/>
      <c r="I39" s="47">
        <v>3.3999999999999998E-3</v>
      </c>
    </row>
    <row r="40" spans="1:26" ht="16.5" customHeight="1" x14ac:dyDescent="0.2">
      <c r="A40" s="43" t="s">
        <v>121</v>
      </c>
      <c r="B40" s="44" t="s">
        <v>247</v>
      </c>
      <c r="C40" s="45">
        <v>585250</v>
      </c>
      <c r="D40" s="44">
        <v>409350</v>
      </c>
      <c r="E40" s="44" t="s">
        <v>247</v>
      </c>
      <c r="F40" s="45">
        <v>175900</v>
      </c>
      <c r="G40" s="24" t="s">
        <v>106</v>
      </c>
      <c r="H40" s="46"/>
      <c r="I40" s="47">
        <v>2.5000000000000001E-3</v>
      </c>
    </row>
    <row r="41" spans="1:26" ht="16.5" customHeight="1" x14ac:dyDescent="0.2">
      <c r="A41" s="43" t="s">
        <v>184</v>
      </c>
      <c r="B41" s="44" t="s">
        <v>247</v>
      </c>
      <c r="C41" s="45">
        <v>91300</v>
      </c>
      <c r="D41" s="44"/>
      <c r="E41" s="44" t="s">
        <v>247</v>
      </c>
      <c r="F41" s="45">
        <v>91300</v>
      </c>
      <c r="G41" s="24" t="s">
        <v>106</v>
      </c>
      <c r="H41" s="46"/>
      <c r="I41" s="47">
        <v>1.2999999999999999E-3</v>
      </c>
    </row>
    <row r="42" spans="1:26" ht="16.5" customHeight="1" x14ac:dyDescent="0.2">
      <c r="A42" s="43" t="s">
        <v>232</v>
      </c>
      <c r="B42" s="44" t="s">
        <v>247</v>
      </c>
      <c r="C42" s="45"/>
      <c r="D42" s="44"/>
      <c r="E42" s="44" t="s">
        <v>247</v>
      </c>
      <c r="F42" s="45" t="s">
        <v>247</v>
      </c>
      <c r="G42" s="24" t="s">
        <v>106</v>
      </c>
      <c r="H42" s="46"/>
      <c r="I42" s="47">
        <v>0</v>
      </c>
    </row>
    <row r="43" spans="1:26" ht="16.5" customHeight="1" x14ac:dyDescent="0.2">
      <c r="A43" s="43" t="s">
        <v>96</v>
      </c>
      <c r="B43" s="44" t="s">
        <v>247</v>
      </c>
      <c r="C43" s="45">
        <v>197700</v>
      </c>
      <c r="D43" s="44">
        <v>200000</v>
      </c>
      <c r="E43" s="44" t="s">
        <v>247</v>
      </c>
      <c r="F43" s="45">
        <v>-2300</v>
      </c>
      <c r="G43" s="24" t="s">
        <v>106</v>
      </c>
      <c r="H43" s="46"/>
      <c r="I43" s="47">
        <v>0</v>
      </c>
    </row>
    <row r="44" spans="1:26" ht="16.5" customHeight="1" x14ac:dyDescent="0.2">
      <c r="A44" s="43" t="s">
        <v>233</v>
      </c>
      <c r="B44" s="45" t="s">
        <v>247</v>
      </c>
      <c r="C44" s="55">
        <v>82250</v>
      </c>
      <c r="D44" s="45" t="s">
        <v>247</v>
      </c>
      <c r="E44" s="45" t="s">
        <v>247</v>
      </c>
      <c r="F44" s="55">
        <v>82250</v>
      </c>
      <c r="G44" s="24" t="s">
        <v>106</v>
      </c>
      <c r="H44" s="56"/>
      <c r="I44" s="47">
        <v>1.1999999999999999E-3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43" t="s">
        <v>140</v>
      </c>
      <c r="B45" s="44" t="s">
        <v>247</v>
      </c>
      <c r="C45" s="45">
        <v>127738</v>
      </c>
      <c r="D45" s="44" t="s">
        <v>247</v>
      </c>
      <c r="E45" s="44" t="s">
        <v>247</v>
      </c>
      <c r="F45" s="45">
        <v>127738</v>
      </c>
      <c r="G45" s="24" t="s">
        <v>106</v>
      </c>
      <c r="H45" s="46"/>
      <c r="I45" s="47">
        <v>1.8E-3</v>
      </c>
    </row>
    <row r="46" spans="1:26" ht="18" customHeight="1" x14ac:dyDescent="0.2">
      <c r="C46" s="49"/>
      <c r="D46" s="49"/>
      <c r="E46" s="49"/>
      <c r="F46" s="49"/>
    </row>
    <row r="47" spans="1:26" ht="15.75" customHeight="1" x14ac:dyDescent="0.2">
      <c r="B47" s="49">
        <v>55829511.259999998</v>
      </c>
      <c r="C47" s="49">
        <v>73759478.379999995</v>
      </c>
      <c r="D47" s="49">
        <v>58176963.799999997</v>
      </c>
      <c r="E47" s="49"/>
      <c r="F47" s="57">
        <v>69914670.569999993</v>
      </c>
      <c r="H47" s="49"/>
      <c r="I47" s="58">
        <v>1</v>
      </c>
    </row>
    <row r="48" spans="1:26" ht="15" customHeight="1" x14ac:dyDescent="0.2">
      <c r="C48" s="59"/>
      <c r="G48" s="60"/>
    </row>
    <row r="49" spans="1:7" ht="15.75" customHeight="1" x14ac:dyDescent="0.2">
      <c r="B49" s="11" t="s">
        <v>234</v>
      </c>
      <c r="C49" s="49">
        <v>73759478.379999995</v>
      </c>
      <c r="D49" s="49"/>
      <c r="E49" s="49"/>
      <c r="F49" s="49"/>
    </row>
    <row r="50" spans="1:7" ht="15.75" customHeight="1" x14ac:dyDescent="0.2">
      <c r="C50" s="49"/>
      <c r="F50" s="60"/>
    </row>
    <row r="51" spans="1:7" ht="15.75" customHeight="1" x14ac:dyDescent="0.2">
      <c r="B51" s="11" t="s">
        <v>235</v>
      </c>
      <c r="C51" s="49">
        <v>25617880.5</v>
      </c>
      <c r="D51" s="61">
        <v>0.3473</v>
      </c>
      <c r="E51" s="61"/>
      <c r="F51" s="49"/>
      <c r="G51" s="11"/>
    </row>
    <row r="52" spans="1:7" ht="15.75" customHeight="1" x14ac:dyDescent="0.2">
      <c r="C52" s="49"/>
      <c r="G52" s="49"/>
    </row>
    <row r="53" spans="1:7" ht="15.75" customHeight="1" x14ac:dyDescent="0.2">
      <c r="D53" s="62" t="s">
        <v>236</v>
      </c>
      <c r="F53" s="23"/>
    </row>
    <row r="54" spans="1:7" ht="15.75" customHeight="1" x14ac:dyDescent="0.2">
      <c r="A54" s="11" t="s">
        <v>248</v>
      </c>
      <c r="B54" s="49">
        <v>16622254.48</v>
      </c>
      <c r="D54" s="63">
        <v>0</v>
      </c>
      <c r="E54" s="64"/>
      <c r="F54" s="49"/>
    </row>
    <row r="55" spans="1:7" ht="15.75" customHeight="1" x14ac:dyDescent="0.2">
      <c r="A55" s="11" t="s">
        <v>249</v>
      </c>
      <c r="B55" s="49">
        <v>20237579.030000001</v>
      </c>
      <c r="D55" s="65">
        <v>0</v>
      </c>
    </row>
    <row r="56" spans="1:7" ht="15.75" customHeight="1" x14ac:dyDescent="0.2">
      <c r="A56" s="11" t="s">
        <v>250</v>
      </c>
      <c r="B56" s="49">
        <v>16262143.029999999</v>
      </c>
      <c r="C56" s="23"/>
      <c r="D56" s="65">
        <v>0</v>
      </c>
      <c r="E56" s="49"/>
    </row>
    <row r="57" spans="1:7" ht="15.75" customHeight="1" x14ac:dyDescent="0.2">
      <c r="A57" s="11" t="s">
        <v>251</v>
      </c>
      <c r="B57" s="49">
        <v>15779133.35</v>
      </c>
      <c r="C57" s="59"/>
      <c r="D57" s="65">
        <v>0</v>
      </c>
      <c r="E57" s="49"/>
    </row>
    <row r="58" spans="1:7" ht="15.75" customHeight="1" x14ac:dyDescent="0.2">
      <c r="A58" s="11" t="s">
        <v>252</v>
      </c>
      <c r="B58" s="49">
        <v>4858368.5</v>
      </c>
      <c r="C58" s="59"/>
      <c r="D58" s="66">
        <v>0</v>
      </c>
      <c r="E58" s="49"/>
    </row>
    <row r="59" spans="1:7" ht="15.75" customHeight="1" x14ac:dyDescent="0.2">
      <c r="B59" s="49"/>
      <c r="C59" s="30" t="s">
        <v>242</v>
      </c>
      <c r="D59" s="65">
        <v>0</v>
      </c>
      <c r="E59" s="49"/>
    </row>
    <row r="60" spans="1:7" ht="15.75" customHeight="1" x14ac:dyDescent="0.2">
      <c r="A60" s="30" t="s">
        <v>243</v>
      </c>
      <c r="B60" s="49">
        <v>73759478.379999995</v>
      </c>
    </row>
    <row r="61" spans="1:7" ht="15.75" customHeight="1" x14ac:dyDescent="0.2">
      <c r="B61" s="49"/>
      <c r="C61" s="60"/>
      <c r="D61" s="60"/>
    </row>
    <row r="62" spans="1:7" ht="15.75" customHeight="1" x14ac:dyDescent="0.2"/>
    <row r="63" spans="1:7" ht="15.75" customHeight="1" x14ac:dyDescent="0.2">
      <c r="A63" s="30" t="s">
        <v>244</v>
      </c>
      <c r="B63" s="49">
        <v>3512356.11</v>
      </c>
    </row>
    <row r="64" spans="1:7" ht="15.75" customHeight="1" x14ac:dyDescent="0.2">
      <c r="A64" s="30" t="s">
        <v>245</v>
      </c>
      <c r="B64" s="49">
        <v>1219899.07</v>
      </c>
      <c r="C64" s="24"/>
    </row>
    <row r="65" spans="4:4" ht="15.75" customHeight="1" x14ac:dyDescent="0.2"/>
    <row r="66" spans="4:4" ht="15.75" customHeight="1" x14ac:dyDescent="0.2"/>
    <row r="67" spans="4:4" ht="15.75" customHeight="1" x14ac:dyDescent="0.2"/>
    <row r="68" spans="4:4" ht="15.75" customHeight="1" x14ac:dyDescent="0.2">
      <c r="D68" s="23"/>
    </row>
    <row r="69" spans="4:4" ht="15.75" customHeight="1" x14ac:dyDescent="0.2"/>
    <row r="70" spans="4:4" ht="15.75" customHeight="1" x14ac:dyDescent="0.2"/>
    <row r="71" spans="4:4" ht="15.75" customHeight="1" x14ac:dyDescent="0.2"/>
    <row r="72" spans="4:4" ht="15.75" customHeight="1" x14ac:dyDescent="0.2"/>
    <row r="73" spans="4:4" ht="15.75" customHeight="1" x14ac:dyDescent="0.2"/>
    <row r="74" spans="4:4" ht="15.75" customHeight="1" x14ac:dyDescent="0.2"/>
    <row r="75" spans="4:4" ht="15.75" customHeight="1" x14ac:dyDescent="0.2"/>
    <row r="76" spans="4:4" ht="15.75" customHeight="1" x14ac:dyDescent="0.2"/>
    <row r="77" spans="4:4" ht="15.75" customHeight="1" x14ac:dyDescent="0.2"/>
    <row r="78" spans="4:4" ht="15.75" customHeight="1" x14ac:dyDescent="0.2"/>
    <row r="79" spans="4:4" ht="15.75" customHeight="1" x14ac:dyDescent="0.2"/>
    <row r="80" spans="4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Z1025"/>
  <sheetViews>
    <sheetView workbookViewId="0"/>
  </sheetViews>
  <sheetFormatPr baseColWidth="10" defaultColWidth="12.6640625" defaultRowHeight="15" customHeight="1" x14ac:dyDescent="0.2"/>
  <cols>
    <col min="1" max="1" width="29" customWidth="1"/>
    <col min="2" max="2" width="24.83203125" customWidth="1"/>
    <col min="3" max="5" width="15.6640625" customWidth="1"/>
    <col min="6" max="6" width="15.83203125" customWidth="1"/>
    <col min="7" max="7" width="4.6640625" customWidth="1"/>
    <col min="8" max="8" width="6.1640625" customWidth="1"/>
    <col min="9" max="9" width="14.33203125" customWidth="1"/>
    <col min="10" max="10" width="16.1640625" customWidth="1"/>
  </cols>
  <sheetData>
    <row r="2" spans="1:12" ht="15.75" customHeight="1" x14ac:dyDescent="0.2">
      <c r="A2" s="41" t="s">
        <v>197</v>
      </c>
      <c r="B2" s="41" t="s">
        <v>253</v>
      </c>
      <c r="C2" s="41" t="s">
        <v>199</v>
      </c>
      <c r="D2" s="41" t="s">
        <v>200</v>
      </c>
      <c r="E2" s="41" t="s">
        <v>201</v>
      </c>
      <c r="F2" s="41" t="s">
        <v>202</v>
      </c>
      <c r="I2" s="42" t="s">
        <v>203</v>
      </c>
    </row>
    <row r="3" spans="1:12" ht="15.75" customHeight="1" x14ac:dyDescent="0.2">
      <c r="A3" s="43" t="s">
        <v>204</v>
      </c>
      <c r="B3" s="44" t="s">
        <v>247</v>
      </c>
      <c r="C3" s="45"/>
      <c r="D3" s="45"/>
      <c r="F3" s="45" t="s">
        <v>247</v>
      </c>
      <c r="G3" s="24"/>
      <c r="H3" s="46"/>
      <c r="I3" s="47">
        <v>0</v>
      </c>
    </row>
    <row r="4" spans="1:12" ht="15.75" customHeight="1" x14ac:dyDescent="0.2">
      <c r="A4" s="43" t="s">
        <v>205</v>
      </c>
      <c r="B4" s="44">
        <v>1476708.65</v>
      </c>
      <c r="C4" s="48">
        <v>1623200</v>
      </c>
      <c r="D4" s="45">
        <v>2300000</v>
      </c>
      <c r="E4" s="45" t="s">
        <v>247</v>
      </c>
      <c r="F4" s="45">
        <v>799908.65</v>
      </c>
      <c r="G4" s="24" t="s">
        <v>106</v>
      </c>
      <c r="H4" s="46"/>
      <c r="I4" s="47">
        <v>1.43E-2</v>
      </c>
    </row>
    <row r="5" spans="1:12" ht="15.75" customHeight="1" x14ac:dyDescent="0.2">
      <c r="A5" s="43" t="s">
        <v>171</v>
      </c>
      <c r="B5" s="44">
        <v>149039.70000000001</v>
      </c>
      <c r="C5" s="45">
        <v>129367.88</v>
      </c>
      <c r="D5" s="44">
        <v>147148.47</v>
      </c>
      <c r="E5" s="45" t="s">
        <v>247</v>
      </c>
      <c r="F5" s="45">
        <v>131259.10999999999</v>
      </c>
      <c r="G5" s="24" t="s">
        <v>106</v>
      </c>
      <c r="H5" s="46"/>
      <c r="I5" s="47">
        <v>2.3E-3</v>
      </c>
      <c r="J5" s="49"/>
    </row>
    <row r="6" spans="1:12" ht="15.75" customHeight="1" x14ac:dyDescent="0.2">
      <c r="A6" s="43" t="s">
        <v>108</v>
      </c>
      <c r="B6" s="44">
        <v>1428930</v>
      </c>
      <c r="C6" s="45">
        <v>2519200</v>
      </c>
      <c r="D6" s="45">
        <v>1771144.77</v>
      </c>
      <c r="E6" s="45">
        <v>28085.24</v>
      </c>
      <c r="F6" s="45">
        <v>2148899.9900000002</v>
      </c>
      <c r="G6" s="24" t="s">
        <v>106</v>
      </c>
      <c r="H6" s="46"/>
      <c r="I6" s="47">
        <v>3.85E-2</v>
      </c>
    </row>
    <row r="7" spans="1:12" ht="15.75" customHeight="1" x14ac:dyDescent="0.2">
      <c r="A7" s="43" t="s">
        <v>206</v>
      </c>
      <c r="B7" s="44">
        <v>2970</v>
      </c>
      <c r="C7" s="45">
        <v>42000</v>
      </c>
      <c r="D7" s="45">
        <v>44970</v>
      </c>
      <c r="E7" s="45" t="s">
        <v>247</v>
      </c>
      <c r="F7" s="45" t="s">
        <v>247</v>
      </c>
      <c r="G7" s="24" t="s">
        <v>106</v>
      </c>
      <c r="H7" s="46"/>
      <c r="I7" s="47">
        <v>0</v>
      </c>
    </row>
    <row r="8" spans="1:12" ht="15.75" customHeight="1" x14ac:dyDescent="0.2">
      <c r="A8" s="43" t="s">
        <v>207</v>
      </c>
      <c r="B8" s="44">
        <v>589770</v>
      </c>
      <c r="C8" s="45">
        <v>548150</v>
      </c>
      <c r="D8" s="45">
        <v>736300</v>
      </c>
      <c r="E8" s="45" t="s">
        <v>247</v>
      </c>
      <c r="F8" s="45">
        <v>401620</v>
      </c>
      <c r="G8" s="24" t="s">
        <v>106</v>
      </c>
      <c r="H8" s="46"/>
      <c r="I8" s="47">
        <v>7.1999999999999998E-3</v>
      </c>
    </row>
    <row r="9" spans="1:12" ht="15.75" customHeight="1" x14ac:dyDescent="0.2">
      <c r="A9" s="43" t="s">
        <v>208</v>
      </c>
      <c r="B9" s="44">
        <v>73950</v>
      </c>
      <c r="C9" s="45"/>
      <c r="D9" s="50"/>
      <c r="E9" s="45" t="s">
        <v>247</v>
      </c>
      <c r="F9" s="45">
        <v>73950</v>
      </c>
      <c r="G9" s="24" t="s">
        <v>106</v>
      </c>
      <c r="H9" s="46"/>
      <c r="I9" s="47">
        <v>1.2999999999999999E-3</v>
      </c>
    </row>
    <row r="10" spans="1:12" ht="15.75" customHeight="1" x14ac:dyDescent="0.2">
      <c r="A10" s="43" t="s">
        <v>209</v>
      </c>
      <c r="B10" s="44" t="s">
        <v>247</v>
      </c>
      <c r="C10" s="45"/>
      <c r="D10" s="45"/>
      <c r="E10" s="45" t="s">
        <v>247</v>
      </c>
      <c r="F10" s="45" t="s">
        <v>247</v>
      </c>
      <c r="G10" s="24" t="s">
        <v>106</v>
      </c>
      <c r="H10" s="46"/>
      <c r="I10" s="47">
        <v>0</v>
      </c>
    </row>
    <row r="11" spans="1:12" ht="15.75" customHeight="1" x14ac:dyDescent="0.2">
      <c r="A11" s="43" t="s">
        <v>210</v>
      </c>
      <c r="B11" s="44">
        <v>19040</v>
      </c>
      <c r="C11" s="45"/>
      <c r="D11" s="68">
        <v>19040</v>
      </c>
      <c r="E11" s="45" t="s">
        <v>247</v>
      </c>
      <c r="F11" s="45" t="s">
        <v>247</v>
      </c>
      <c r="G11" s="24" t="s">
        <v>106</v>
      </c>
      <c r="H11" s="46"/>
      <c r="I11" s="47">
        <v>0</v>
      </c>
      <c r="L11" s="5"/>
    </row>
    <row r="12" spans="1:12" ht="15.75" customHeight="1" x14ac:dyDescent="0.2">
      <c r="A12" s="43" t="s">
        <v>211</v>
      </c>
      <c r="B12" s="44" t="s">
        <v>247</v>
      </c>
      <c r="C12" s="45"/>
      <c r="D12" s="50"/>
      <c r="E12" s="45" t="s">
        <v>247</v>
      </c>
      <c r="F12" s="45" t="s">
        <v>247</v>
      </c>
      <c r="G12" s="24" t="s">
        <v>106</v>
      </c>
      <c r="H12" s="46"/>
      <c r="I12" s="47">
        <v>0</v>
      </c>
    </row>
    <row r="13" spans="1:12" ht="15.75" customHeight="1" x14ac:dyDescent="0.2">
      <c r="A13" s="43" t="s">
        <v>212</v>
      </c>
      <c r="B13" s="44">
        <v>13229.37</v>
      </c>
      <c r="C13" s="45"/>
      <c r="D13" s="68">
        <v>13229.37</v>
      </c>
      <c r="E13" s="45" t="s">
        <v>247</v>
      </c>
      <c r="F13" s="45" t="s">
        <v>247</v>
      </c>
      <c r="G13" s="24" t="s">
        <v>106</v>
      </c>
      <c r="H13" s="46"/>
      <c r="I13" s="47">
        <v>0</v>
      </c>
      <c r="J13" s="5"/>
    </row>
    <row r="14" spans="1:12" ht="15.75" customHeight="1" x14ac:dyDescent="0.2">
      <c r="A14" s="43" t="s">
        <v>149</v>
      </c>
      <c r="B14" s="44">
        <v>1266140</v>
      </c>
      <c r="C14" s="45">
        <v>1883850</v>
      </c>
      <c r="D14" s="45">
        <v>1500100</v>
      </c>
      <c r="E14" s="45" t="s">
        <v>247</v>
      </c>
      <c r="F14" s="45">
        <v>1649890</v>
      </c>
      <c r="G14" s="24" t="s">
        <v>106</v>
      </c>
      <c r="H14" s="46"/>
      <c r="I14" s="47">
        <v>2.9499999999999998E-2</v>
      </c>
    </row>
    <row r="15" spans="1:12" ht="15.75" customHeight="1" x14ac:dyDescent="0.2">
      <c r="A15" s="43" t="s">
        <v>116</v>
      </c>
      <c r="B15" s="44">
        <v>3019690</v>
      </c>
      <c r="C15" s="45">
        <v>2170335</v>
      </c>
      <c r="D15" s="45">
        <v>1467165</v>
      </c>
      <c r="E15" s="45" t="s">
        <v>247</v>
      </c>
      <c r="F15" s="45">
        <v>3722860</v>
      </c>
      <c r="G15" s="24" t="s">
        <v>106</v>
      </c>
      <c r="H15" s="46"/>
      <c r="I15" s="47">
        <v>6.6600000000000006E-2</v>
      </c>
    </row>
    <row r="16" spans="1:12" ht="15.75" customHeight="1" x14ac:dyDescent="0.2">
      <c r="A16" s="43" t="s">
        <v>213</v>
      </c>
      <c r="B16" s="45">
        <v>10484581.699999999</v>
      </c>
      <c r="C16" s="45">
        <v>15017406</v>
      </c>
      <c r="D16" s="45">
        <v>2904986</v>
      </c>
      <c r="E16" s="45">
        <v>259406</v>
      </c>
      <c r="F16" s="45">
        <v>22337595.699999999</v>
      </c>
      <c r="G16" s="24" t="s">
        <v>106</v>
      </c>
      <c r="H16" s="46"/>
      <c r="I16" s="47">
        <v>0.3997</v>
      </c>
      <c r="J16" s="5"/>
    </row>
    <row r="17" spans="1:14" ht="15.75" customHeight="1" x14ac:dyDescent="0.2">
      <c r="A17" s="43" t="s">
        <v>214</v>
      </c>
      <c r="B17" s="44" t="s">
        <v>247</v>
      </c>
      <c r="C17" s="45">
        <v>51000</v>
      </c>
      <c r="D17" s="45">
        <v>51000</v>
      </c>
      <c r="E17" s="45" t="s">
        <v>247</v>
      </c>
      <c r="F17" s="45" t="s">
        <v>247</v>
      </c>
      <c r="G17" s="24" t="s">
        <v>106</v>
      </c>
      <c r="H17" s="46"/>
      <c r="I17" s="47">
        <v>0</v>
      </c>
    </row>
    <row r="18" spans="1:14" ht="15.75" customHeight="1" x14ac:dyDescent="0.2">
      <c r="A18" s="43" t="s">
        <v>215</v>
      </c>
      <c r="B18" s="44" t="s">
        <v>247</v>
      </c>
      <c r="C18" s="45"/>
      <c r="D18" s="45"/>
      <c r="E18" s="45" t="s">
        <v>247</v>
      </c>
      <c r="F18" s="45" t="s">
        <v>247</v>
      </c>
      <c r="G18" s="24" t="s">
        <v>106</v>
      </c>
      <c r="H18" s="46"/>
      <c r="I18" s="47">
        <v>0</v>
      </c>
      <c r="J18" s="5"/>
    </row>
    <row r="19" spans="1:14" ht="16.5" customHeight="1" x14ac:dyDescent="0.2">
      <c r="A19" s="43" t="s">
        <v>75</v>
      </c>
      <c r="B19" s="44">
        <v>317510</v>
      </c>
      <c r="C19" s="45">
        <v>986740</v>
      </c>
      <c r="D19" s="44">
        <v>1001860</v>
      </c>
      <c r="E19" s="44" t="s">
        <v>247</v>
      </c>
      <c r="F19" s="45">
        <v>302390</v>
      </c>
      <c r="G19" s="24" t="s">
        <v>106</v>
      </c>
      <c r="H19" s="46"/>
      <c r="I19" s="47">
        <v>5.4000000000000003E-3</v>
      </c>
      <c r="N19" s="51"/>
    </row>
    <row r="20" spans="1:14" ht="16.5" customHeight="1" x14ac:dyDescent="0.2">
      <c r="A20" s="43" t="s">
        <v>216</v>
      </c>
      <c r="B20" s="44" t="s">
        <v>247</v>
      </c>
      <c r="C20" s="45"/>
      <c r="D20" s="44"/>
      <c r="E20" s="44" t="s">
        <v>247</v>
      </c>
      <c r="F20" s="45" t="s">
        <v>247</v>
      </c>
      <c r="G20" s="24" t="s">
        <v>106</v>
      </c>
      <c r="H20" s="46"/>
      <c r="I20" s="47">
        <v>0</v>
      </c>
    </row>
    <row r="21" spans="1:14" ht="16.5" customHeight="1" x14ac:dyDescent="0.2">
      <c r="A21" s="43" t="s">
        <v>91</v>
      </c>
      <c r="B21" s="44">
        <v>392625</v>
      </c>
      <c r="C21" s="45">
        <v>380225</v>
      </c>
      <c r="D21" s="44">
        <v>226075</v>
      </c>
      <c r="E21" s="44" t="s">
        <v>247</v>
      </c>
      <c r="F21" s="52">
        <v>546775</v>
      </c>
      <c r="G21" s="24"/>
      <c r="H21" s="46"/>
      <c r="I21" s="47">
        <v>9.7999999999999997E-3</v>
      </c>
    </row>
    <row r="22" spans="1:14" ht="16.5" customHeight="1" x14ac:dyDescent="0.2">
      <c r="A22" s="43" t="s">
        <v>217</v>
      </c>
      <c r="B22" s="44" t="s">
        <v>247</v>
      </c>
      <c r="C22" s="45"/>
      <c r="D22" s="44"/>
      <c r="E22" s="44" t="s">
        <v>247</v>
      </c>
      <c r="F22" s="45" t="s">
        <v>247</v>
      </c>
      <c r="G22" s="24" t="s">
        <v>106</v>
      </c>
      <c r="H22" s="46"/>
      <c r="I22" s="47">
        <v>0</v>
      </c>
    </row>
    <row r="23" spans="1:14" ht="16.5" customHeight="1" x14ac:dyDescent="0.2">
      <c r="A23" s="43" t="s">
        <v>119</v>
      </c>
      <c r="B23" s="44">
        <v>1047340</v>
      </c>
      <c r="C23" s="48">
        <v>1634050</v>
      </c>
      <c r="D23" s="44">
        <v>1692450</v>
      </c>
      <c r="E23" s="44" t="s">
        <v>247</v>
      </c>
      <c r="F23" s="45">
        <v>988940</v>
      </c>
      <c r="G23" s="24" t="s">
        <v>106</v>
      </c>
      <c r="H23" s="46"/>
      <c r="I23" s="47">
        <v>1.77E-2</v>
      </c>
    </row>
    <row r="24" spans="1:14" ht="16.5" customHeight="1" x14ac:dyDescent="0.2">
      <c r="A24" s="43" t="s">
        <v>218</v>
      </c>
      <c r="B24" s="44" t="s">
        <v>247</v>
      </c>
      <c r="C24" s="48">
        <v>17160070.41</v>
      </c>
      <c r="D24" s="44" t="s">
        <v>247</v>
      </c>
      <c r="E24" s="44" t="s">
        <v>247</v>
      </c>
      <c r="F24" s="45">
        <v>17160070.41</v>
      </c>
      <c r="G24" s="24"/>
      <c r="H24" s="46"/>
      <c r="I24" s="47">
        <v>0.30709999999999998</v>
      </c>
    </row>
    <row r="25" spans="1:14" ht="16.5" customHeight="1" x14ac:dyDescent="0.2">
      <c r="A25" s="43" t="s">
        <v>219</v>
      </c>
      <c r="B25" s="44" t="s">
        <v>247</v>
      </c>
      <c r="C25" s="45" t="s">
        <v>247</v>
      </c>
      <c r="D25" s="44" t="s">
        <v>247</v>
      </c>
      <c r="E25" s="44" t="s">
        <v>247</v>
      </c>
      <c r="F25" s="45" t="s">
        <v>247</v>
      </c>
      <c r="G25" s="24" t="s">
        <v>106</v>
      </c>
      <c r="H25" s="46"/>
      <c r="I25" s="47">
        <v>0</v>
      </c>
    </row>
    <row r="26" spans="1:14" ht="16.5" customHeight="1" x14ac:dyDescent="0.2">
      <c r="A26" s="43" t="s">
        <v>220</v>
      </c>
      <c r="B26" s="44" t="s">
        <v>247</v>
      </c>
      <c r="C26" s="45" t="s">
        <v>247</v>
      </c>
      <c r="D26" s="44" t="s">
        <v>247</v>
      </c>
      <c r="E26" s="44" t="s">
        <v>247</v>
      </c>
      <c r="F26" s="45" t="s">
        <v>247</v>
      </c>
      <c r="G26" s="24" t="s">
        <v>106</v>
      </c>
      <c r="H26" s="46"/>
      <c r="I26" s="47">
        <v>0</v>
      </c>
    </row>
    <row r="27" spans="1:14" ht="16.5" customHeight="1" x14ac:dyDescent="0.2">
      <c r="A27" s="43" t="s">
        <v>221</v>
      </c>
      <c r="B27" s="44"/>
      <c r="C27" s="45">
        <v>39780</v>
      </c>
      <c r="D27" s="44" t="s">
        <v>247</v>
      </c>
      <c r="E27" s="44"/>
      <c r="F27" s="45">
        <v>39780</v>
      </c>
      <c r="G27" s="24" t="s">
        <v>106</v>
      </c>
      <c r="H27" s="46"/>
      <c r="I27" s="47">
        <v>6.9999999999999999E-4</v>
      </c>
    </row>
    <row r="28" spans="1:14" ht="16.5" customHeight="1" x14ac:dyDescent="0.2">
      <c r="A28" s="43" t="s">
        <v>222</v>
      </c>
      <c r="B28" s="44">
        <v>1421000</v>
      </c>
      <c r="C28" s="45">
        <v>1505450</v>
      </c>
      <c r="D28" s="44">
        <v>2324450</v>
      </c>
      <c r="E28" s="44" t="s">
        <v>247</v>
      </c>
      <c r="F28" s="45">
        <v>602000</v>
      </c>
      <c r="G28" s="24"/>
      <c r="H28" s="46"/>
      <c r="I28" s="47">
        <v>1.0800000000000001E-2</v>
      </c>
    </row>
    <row r="29" spans="1:14" ht="16.5" customHeight="1" x14ac:dyDescent="0.2">
      <c r="A29" s="43" t="s">
        <v>174</v>
      </c>
      <c r="B29" s="44">
        <v>1045000</v>
      </c>
      <c r="C29" s="45">
        <v>3741520</v>
      </c>
      <c r="D29" s="44">
        <v>3425300</v>
      </c>
      <c r="E29" s="44"/>
      <c r="F29" s="45">
        <v>1361220</v>
      </c>
      <c r="G29" s="24" t="s">
        <v>106</v>
      </c>
      <c r="H29" s="46"/>
      <c r="I29" s="47">
        <v>2.4400000000000002E-2</v>
      </c>
    </row>
    <row r="30" spans="1:14" ht="16.5" customHeight="1" x14ac:dyDescent="0.2">
      <c r="A30" s="43" t="s">
        <v>128</v>
      </c>
      <c r="B30" s="44">
        <v>241774</v>
      </c>
      <c r="C30" s="45">
        <v>2181503.4</v>
      </c>
      <c r="D30" s="44">
        <v>854000</v>
      </c>
      <c r="E30" s="44" t="s">
        <v>247</v>
      </c>
      <c r="F30" s="45">
        <v>1569277.4</v>
      </c>
      <c r="G30" s="24"/>
      <c r="H30" s="46"/>
      <c r="I30" s="47">
        <v>2.81E-2</v>
      </c>
    </row>
    <row r="31" spans="1:14" ht="16.5" customHeight="1" x14ac:dyDescent="0.2">
      <c r="A31" s="43" t="s">
        <v>223</v>
      </c>
      <c r="B31" s="44">
        <v>335616.13</v>
      </c>
      <c r="C31" s="45">
        <v>916299</v>
      </c>
      <c r="D31" s="44">
        <v>564904</v>
      </c>
      <c r="E31" s="44" t="s">
        <v>247</v>
      </c>
      <c r="F31" s="45">
        <v>687011.13</v>
      </c>
      <c r="G31" s="24"/>
      <c r="H31" s="46"/>
      <c r="I31" s="47">
        <v>1.23E-2</v>
      </c>
    </row>
    <row r="32" spans="1:14" ht="16.5" customHeight="1" x14ac:dyDescent="0.2">
      <c r="A32" s="43" t="s">
        <v>224</v>
      </c>
      <c r="B32" s="44" t="s">
        <v>247</v>
      </c>
      <c r="C32" s="45">
        <v>182000</v>
      </c>
      <c r="D32" s="44">
        <v>100000</v>
      </c>
      <c r="E32" s="44" t="s">
        <v>247</v>
      </c>
      <c r="F32" s="45">
        <v>82000</v>
      </c>
      <c r="G32" s="24"/>
      <c r="H32" s="46"/>
      <c r="I32" s="47">
        <v>1.5E-3</v>
      </c>
    </row>
    <row r="33" spans="1:26" ht="16.5" customHeight="1" x14ac:dyDescent="0.2">
      <c r="A33" s="43" t="s">
        <v>225</v>
      </c>
      <c r="B33" s="53"/>
      <c r="C33" s="53">
        <v>2759807.18</v>
      </c>
      <c r="D33" s="53">
        <v>1482703.3</v>
      </c>
      <c r="E33" s="53" t="s">
        <v>247</v>
      </c>
      <c r="F33" s="53">
        <v>1277103.8799999999</v>
      </c>
      <c r="G33" s="24" t="s">
        <v>106</v>
      </c>
      <c r="H33" s="46"/>
      <c r="I33" s="47">
        <v>2.29E-2</v>
      </c>
    </row>
    <row r="34" spans="1:26" ht="16.5" customHeight="1" x14ac:dyDescent="0.2">
      <c r="A34" s="43" t="s">
        <v>226</v>
      </c>
      <c r="B34" s="67"/>
      <c r="C34" s="67"/>
      <c r="D34" s="67"/>
      <c r="E34" s="67"/>
      <c r="F34" s="67"/>
      <c r="G34" s="24" t="s">
        <v>106</v>
      </c>
      <c r="H34" s="46"/>
      <c r="I34" s="47">
        <v>0</v>
      </c>
    </row>
    <row r="35" spans="1:26" ht="16.5" customHeight="1" x14ac:dyDescent="0.2">
      <c r="A35" s="43" t="s">
        <v>227</v>
      </c>
      <c r="B35" s="44" t="s">
        <v>247</v>
      </c>
      <c r="C35" s="45" t="s">
        <v>247</v>
      </c>
      <c r="D35" s="44" t="s">
        <v>247</v>
      </c>
      <c r="E35" s="44" t="s">
        <v>247</v>
      </c>
      <c r="F35" s="45" t="s">
        <v>247</v>
      </c>
      <c r="G35" s="24" t="s">
        <v>106</v>
      </c>
      <c r="H35" s="46"/>
      <c r="I35" s="47">
        <v>0</v>
      </c>
    </row>
    <row r="36" spans="1:26" ht="16.5" customHeight="1" x14ac:dyDescent="0.2">
      <c r="A36" s="43" t="s">
        <v>228</v>
      </c>
      <c r="B36" s="44">
        <v>24925</v>
      </c>
      <c r="C36" s="45">
        <v>104800</v>
      </c>
      <c r="D36" s="44">
        <v>129725</v>
      </c>
      <c r="E36" s="44" t="s">
        <v>247</v>
      </c>
      <c r="F36" s="45" t="s">
        <v>247</v>
      </c>
      <c r="G36" s="24" t="s">
        <v>106</v>
      </c>
      <c r="H36" s="46"/>
      <c r="I36" s="47">
        <v>0</v>
      </c>
    </row>
    <row r="37" spans="1:26" ht="16.5" customHeight="1" x14ac:dyDescent="0.2">
      <c r="A37" s="43" t="s">
        <v>229</v>
      </c>
      <c r="B37" s="44" t="s">
        <v>247</v>
      </c>
      <c r="C37" s="54">
        <v>524654</v>
      </c>
      <c r="D37" s="44">
        <v>524654</v>
      </c>
      <c r="E37" s="44" t="s">
        <v>247</v>
      </c>
      <c r="F37" s="45" t="s">
        <v>247</v>
      </c>
      <c r="G37" s="24" t="s">
        <v>106</v>
      </c>
      <c r="H37" s="46"/>
      <c r="I37" s="47">
        <v>0</v>
      </c>
    </row>
    <row r="38" spans="1:26" ht="16.5" customHeight="1" x14ac:dyDescent="0.2">
      <c r="A38" s="43" t="s">
        <v>232</v>
      </c>
      <c r="B38" s="44" t="s">
        <v>247</v>
      </c>
      <c r="C38" s="45">
        <v>203600</v>
      </c>
      <c r="D38" s="44">
        <v>203600</v>
      </c>
      <c r="E38" s="44" t="s">
        <v>247</v>
      </c>
      <c r="F38" s="45" t="s">
        <v>247</v>
      </c>
      <c r="G38" s="24" t="s">
        <v>106</v>
      </c>
      <c r="H38" s="46"/>
      <c r="I38" s="47">
        <v>0</v>
      </c>
    </row>
    <row r="39" spans="1:26" ht="16.5" customHeight="1" x14ac:dyDescent="0.2">
      <c r="A39" s="43"/>
      <c r="B39" s="44"/>
      <c r="C39" s="45"/>
      <c r="D39" s="44"/>
      <c r="E39" s="44"/>
      <c r="F39" s="45"/>
      <c r="G39" s="24"/>
      <c r="H39" s="46"/>
      <c r="I39" s="47"/>
    </row>
    <row r="40" spans="1:26" ht="16.5" customHeight="1" x14ac:dyDescent="0.2">
      <c r="A40" s="43"/>
      <c r="B40" s="44">
        <v>23349839.550000001</v>
      </c>
      <c r="C40" s="45">
        <v>56305007.859999999</v>
      </c>
      <c r="D40" s="44">
        <v>23484804.91</v>
      </c>
      <c r="E40" s="44"/>
      <c r="F40" s="45">
        <v>55882551.259999998</v>
      </c>
      <c r="G40" s="24"/>
      <c r="H40" s="46"/>
      <c r="I40" s="47">
        <v>1</v>
      </c>
    </row>
    <row r="41" spans="1:26" ht="16.5" customHeight="1" x14ac:dyDescent="0.2">
      <c r="A41" s="43"/>
      <c r="B41" s="44"/>
      <c r="C41" s="45"/>
      <c r="D41" s="44"/>
      <c r="E41" s="44"/>
      <c r="F41" s="45"/>
      <c r="G41" s="24"/>
      <c r="H41" s="46"/>
      <c r="I41" s="47"/>
    </row>
    <row r="42" spans="1:26" ht="16.5" customHeight="1" x14ac:dyDescent="0.2">
      <c r="A42" s="43"/>
      <c r="B42" s="44" t="s">
        <v>234</v>
      </c>
      <c r="C42" s="45">
        <v>56305007.859999999</v>
      </c>
      <c r="D42" s="44"/>
      <c r="E42" s="44"/>
      <c r="F42" s="45"/>
      <c r="G42" s="24"/>
      <c r="H42" s="46"/>
      <c r="I42" s="47"/>
    </row>
    <row r="43" spans="1:26" ht="16.5" customHeight="1" x14ac:dyDescent="0.2">
      <c r="A43" s="43"/>
      <c r="B43" s="44"/>
      <c r="C43" s="45"/>
      <c r="D43" s="44"/>
      <c r="E43" s="44"/>
      <c r="F43" s="45"/>
      <c r="G43" s="24"/>
      <c r="H43" s="46"/>
      <c r="I43" s="47"/>
    </row>
    <row r="44" spans="1:26" ht="16.5" customHeight="1" x14ac:dyDescent="0.2">
      <c r="A44" s="43"/>
      <c r="B44" s="45" t="s">
        <v>235</v>
      </c>
      <c r="C44" s="55">
        <v>19911264.469999999</v>
      </c>
      <c r="D44" s="69">
        <v>0.35360000000000003</v>
      </c>
      <c r="E44" s="45"/>
      <c r="F44" s="55"/>
      <c r="G44" s="24"/>
      <c r="H44" s="56"/>
      <c r="I44" s="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43"/>
      <c r="B45" s="44"/>
      <c r="C45" s="45"/>
      <c r="D45" s="44"/>
      <c r="E45" s="44"/>
      <c r="F45" s="45"/>
      <c r="G45" s="24"/>
      <c r="H45" s="46"/>
      <c r="I45" s="47"/>
    </row>
    <row r="46" spans="1:26" ht="18" customHeight="1" x14ac:dyDescent="0.2">
      <c r="C46" s="49"/>
      <c r="D46" s="49" t="s">
        <v>236</v>
      </c>
      <c r="E46" s="49"/>
      <c r="F46" s="49"/>
    </row>
    <row r="47" spans="1:26" ht="15.75" customHeight="1" x14ac:dyDescent="0.2">
      <c r="A47" s="70" t="s">
        <v>254</v>
      </c>
      <c r="B47" s="49">
        <v>10328404.050000001</v>
      </c>
      <c r="C47" s="49"/>
      <c r="D47" s="49">
        <v>0</v>
      </c>
      <c r="E47" s="49"/>
      <c r="F47" s="57"/>
      <c r="H47" s="49"/>
      <c r="I47" s="58"/>
    </row>
    <row r="48" spans="1:26" ht="15" customHeight="1" x14ac:dyDescent="0.2">
      <c r="A48" s="70" t="s">
        <v>255</v>
      </c>
      <c r="B48" s="71">
        <v>14378852.960000001</v>
      </c>
      <c r="C48" s="59"/>
      <c r="D48" s="70">
        <v>418</v>
      </c>
      <c r="G48" s="60"/>
    </row>
    <row r="49" spans="1:7" ht="15.75" customHeight="1" x14ac:dyDescent="0.2">
      <c r="A49" s="70" t="s">
        <v>256</v>
      </c>
      <c r="B49" s="34">
        <v>12476758.18</v>
      </c>
      <c r="C49" s="49"/>
      <c r="D49" s="49">
        <v>418</v>
      </c>
      <c r="E49" s="49"/>
      <c r="F49" s="49"/>
    </row>
    <row r="50" spans="1:7" ht="15.75" customHeight="1" x14ac:dyDescent="0.2">
      <c r="A50" s="70" t="s">
        <v>257</v>
      </c>
      <c r="B50" s="71">
        <v>19120992.68</v>
      </c>
      <c r="C50" s="49"/>
      <c r="D50" s="70">
        <v>596</v>
      </c>
      <c r="F50" s="60"/>
    </row>
    <row r="51" spans="1:7" ht="15.75" customHeight="1" x14ac:dyDescent="0.2">
      <c r="B51" s="11"/>
      <c r="C51" s="49" t="s">
        <v>242</v>
      </c>
      <c r="D51" s="11">
        <v>1432</v>
      </c>
      <c r="E51" s="61"/>
      <c r="F51" s="49"/>
      <c r="G51" s="11"/>
    </row>
    <row r="52" spans="1:7" ht="15.75" customHeight="1" x14ac:dyDescent="0.2">
      <c r="A52" s="70" t="s">
        <v>243</v>
      </c>
      <c r="B52" s="71">
        <v>56305007.859999999</v>
      </c>
      <c r="C52" s="49"/>
      <c r="G52" s="49"/>
    </row>
    <row r="53" spans="1:7" ht="15.75" customHeight="1" x14ac:dyDescent="0.2">
      <c r="D53" s="62"/>
      <c r="F53" s="23"/>
    </row>
    <row r="54" spans="1:7" ht="15.75" customHeight="1" x14ac:dyDescent="0.2">
      <c r="A54" s="11"/>
      <c r="B54" s="49"/>
      <c r="D54" s="63"/>
      <c r="E54" s="64"/>
      <c r="F54" s="49"/>
    </row>
    <row r="55" spans="1:7" ht="15.75" customHeight="1" x14ac:dyDescent="0.2">
      <c r="A55" s="11" t="s">
        <v>244</v>
      </c>
      <c r="B55" s="49">
        <v>2963421.47</v>
      </c>
      <c r="D55" s="65"/>
    </row>
    <row r="56" spans="1:7" ht="15.75" customHeight="1" x14ac:dyDescent="0.2">
      <c r="A56" s="11" t="s">
        <v>245</v>
      </c>
      <c r="B56" s="49">
        <v>1047961.29</v>
      </c>
      <c r="C56" s="23"/>
      <c r="D56" s="65"/>
      <c r="E56" s="49"/>
    </row>
    <row r="57" spans="1:7" ht="15.75" customHeight="1" x14ac:dyDescent="0.2">
      <c r="A57" s="11"/>
      <c r="B57" s="49"/>
      <c r="C57" s="59"/>
      <c r="D57" s="65"/>
      <c r="E57" s="49"/>
    </row>
    <row r="58" spans="1:7" ht="15.75" customHeight="1" x14ac:dyDescent="0.2">
      <c r="A58" s="11" t="s">
        <v>241</v>
      </c>
      <c r="B58" s="49"/>
      <c r="C58" s="59"/>
      <c r="D58" s="66">
        <v>0</v>
      </c>
      <c r="E58" s="49"/>
    </row>
    <row r="59" spans="1:7" ht="15.75" customHeight="1" x14ac:dyDescent="0.2">
      <c r="B59" s="49"/>
      <c r="C59" s="30" t="s">
        <v>242</v>
      </c>
      <c r="D59" s="65">
        <f>SUM(D54:D57)</f>
        <v>0</v>
      </c>
      <c r="E59" s="49"/>
    </row>
    <row r="60" spans="1:7" ht="15.75" customHeight="1" x14ac:dyDescent="0.2">
      <c r="A60" s="30" t="s">
        <v>243</v>
      </c>
      <c r="B60" s="49">
        <f>SUM(B54:B59)</f>
        <v>4011382.7600000002</v>
      </c>
    </row>
    <row r="61" spans="1:7" ht="15.75" customHeight="1" x14ac:dyDescent="0.2">
      <c r="B61" s="49"/>
      <c r="C61" s="60"/>
      <c r="D61" s="60"/>
    </row>
    <row r="62" spans="1:7" ht="15.75" customHeight="1" x14ac:dyDescent="0.2"/>
    <row r="63" spans="1:7" ht="15.75" customHeight="1" x14ac:dyDescent="0.2">
      <c r="A63" s="30" t="s">
        <v>244</v>
      </c>
      <c r="B63" s="49">
        <f>B60/6</f>
        <v>668563.79333333333</v>
      </c>
    </row>
    <row r="64" spans="1:7" ht="15.75" customHeight="1" x14ac:dyDescent="0.2">
      <c r="A64" s="30" t="s">
        <v>245</v>
      </c>
      <c r="B64" s="49" t="e">
        <f>C51/6</f>
        <v>#VALUE!</v>
      </c>
      <c r="C64" s="24"/>
    </row>
    <row r="65" spans="4:4" ht="15.75" customHeight="1" x14ac:dyDescent="0.2"/>
    <row r="66" spans="4:4" ht="15.75" customHeight="1" x14ac:dyDescent="0.2"/>
    <row r="67" spans="4:4" ht="15.75" customHeight="1" x14ac:dyDescent="0.2"/>
    <row r="68" spans="4:4" ht="15.75" customHeight="1" x14ac:dyDescent="0.2">
      <c r="D68" s="23"/>
    </row>
    <row r="69" spans="4:4" ht="15.75" customHeight="1" x14ac:dyDescent="0.2"/>
    <row r="70" spans="4:4" ht="15.75" customHeight="1" x14ac:dyDescent="0.2"/>
    <row r="71" spans="4:4" ht="15.75" customHeight="1" x14ac:dyDescent="0.2"/>
    <row r="72" spans="4:4" ht="15.75" customHeight="1" x14ac:dyDescent="0.2"/>
    <row r="73" spans="4:4" ht="15.75" customHeight="1" x14ac:dyDescent="0.2"/>
    <row r="74" spans="4:4" ht="15.75" customHeight="1" x14ac:dyDescent="0.2"/>
    <row r="75" spans="4:4" ht="15.75" customHeight="1" x14ac:dyDescent="0.2"/>
    <row r="76" spans="4:4" ht="15.75" customHeight="1" x14ac:dyDescent="0.2"/>
    <row r="77" spans="4:4" ht="15.75" customHeight="1" x14ac:dyDescent="0.2"/>
    <row r="78" spans="4:4" ht="15.75" customHeight="1" x14ac:dyDescent="0.2"/>
    <row r="79" spans="4:4" ht="15.75" customHeight="1" x14ac:dyDescent="0.2"/>
    <row r="80" spans="4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1013"/>
  <sheetViews>
    <sheetView workbookViewId="0"/>
  </sheetViews>
  <sheetFormatPr baseColWidth="10" defaultColWidth="12.6640625" defaultRowHeight="15" customHeight="1" x14ac:dyDescent="0.2"/>
  <cols>
    <col min="1" max="1" width="29" customWidth="1"/>
    <col min="2" max="2" width="24.83203125" customWidth="1"/>
    <col min="3" max="5" width="15.6640625" customWidth="1"/>
    <col min="6" max="6" width="15.83203125" customWidth="1"/>
    <col min="7" max="7" width="4.6640625" customWidth="1"/>
    <col min="8" max="8" width="6.1640625" customWidth="1"/>
    <col min="9" max="9" width="14.33203125" customWidth="1"/>
    <col min="10" max="10" width="16.1640625" customWidth="1"/>
  </cols>
  <sheetData>
    <row r="2" spans="1:12" ht="15.75" customHeight="1" x14ac:dyDescent="0.2">
      <c r="A2" s="41" t="s">
        <v>197</v>
      </c>
      <c r="B2" s="41" t="s">
        <v>258</v>
      </c>
      <c r="C2" s="41" t="s">
        <v>199</v>
      </c>
      <c r="D2" s="41" t="s">
        <v>200</v>
      </c>
      <c r="E2" s="41" t="s">
        <v>201</v>
      </c>
      <c r="F2" s="41" t="s">
        <v>202</v>
      </c>
      <c r="I2" s="42" t="s">
        <v>203</v>
      </c>
    </row>
    <row r="3" spans="1:12" ht="15.75" customHeight="1" x14ac:dyDescent="0.2">
      <c r="A3" s="43" t="s">
        <v>204</v>
      </c>
      <c r="B3" s="44" t="s">
        <v>247</v>
      </c>
      <c r="C3" s="45"/>
      <c r="D3" s="45"/>
      <c r="F3" s="45" t="s">
        <v>247</v>
      </c>
      <c r="G3" s="24"/>
      <c r="H3" s="46"/>
      <c r="I3" s="47">
        <v>0</v>
      </c>
    </row>
    <row r="4" spans="1:12" ht="15.75" customHeight="1" x14ac:dyDescent="0.2">
      <c r="A4" s="43" t="s">
        <v>205</v>
      </c>
      <c r="B4" s="44">
        <v>2523508.65</v>
      </c>
      <c r="C4" s="48">
        <v>653200</v>
      </c>
      <c r="D4" s="45">
        <v>1700000</v>
      </c>
      <c r="E4" s="45" t="s">
        <v>247</v>
      </c>
      <c r="F4" s="45">
        <v>1476708.65</v>
      </c>
      <c r="G4" s="24"/>
      <c r="H4" s="46"/>
      <c r="I4" s="47">
        <v>6.3200000000000006E-2</v>
      </c>
    </row>
    <row r="5" spans="1:12" ht="15.75" customHeight="1" x14ac:dyDescent="0.2">
      <c r="A5" s="43" t="s">
        <v>171</v>
      </c>
      <c r="B5" s="44">
        <v>275984.75</v>
      </c>
      <c r="C5" s="45">
        <v>149501.20000000001</v>
      </c>
      <c r="D5" s="44">
        <v>271603.12</v>
      </c>
      <c r="E5" s="45">
        <v>4370.63</v>
      </c>
      <c r="F5" s="45">
        <v>149512.20000000001</v>
      </c>
      <c r="G5" s="24"/>
      <c r="H5" s="46"/>
      <c r="I5" s="47">
        <v>6.4000000000000003E-3</v>
      </c>
      <c r="J5" s="49"/>
    </row>
    <row r="6" spans="1:12" ht="15.75" customHeight="1" x14ac:dyDescent="0.2">
      <c r="A6" s="43" t="s">
        <v>108</v>
      </c>
      <c r="B6" s="44">
        <v>1600000</v>
      </c>
      <c r="C6" s="45">
        <v>2049180</v>
      </c>
      <c r="D6" s="45">
        <v>2184544.4900000002</v>
      </c>
      <c r="E6" s="45">
        <v>35705.51</v>
      </c>
      <c r="F6" s="45">
        <v>1428930</v>
      </c>
      <c r="G6" s="24"/>
      <c r="H6" s="46"/>
      <c r="I6" s="47">
        <v>6.1199999999999997E-2</v>
      </c>
    </row>
    <row r="7" spans="1:12" ht="15.75" customHeight="1" x14ac:dyDescent="0.2">
      <c r="A7" s="43" t="s">
        <v>206</v>
      </c>
      <c r="B7" s="44">
        <v>73270</v>
      </c>
      <c r="C7" s="45"/>
      <c r="D7" s="45">
        <v>70300</v>
      </c>
      <c r="E7" s="45" t="s">
        <v>247</v>
      </c>
      <c r="F7" s="45">
        <v>2970</v>
      </c>
      <c r="G7" s="24"/>
      <c r="H7" s="46"/>
      <c r="I7" s="47">
        <v>1E-4</v>
      </c>
    </row>
    <row r="8" spans="1:12" ht="15.75" customHeight="1" x14ac:dyDescent="0.2">
      <c r="A8" s="43" t="s">
        <v>207</v>
      </c>
      <c r="B8" s="44">
        <v>765750</v>
      </c>
      <c r="C8" s="45">
        <v>474930</v>
      </c>
      <c r="D8" s="45">
        <v>650910</v>
      </c>
      <c r="E8" s="45" t="s">
        <v>247</v>
      </c>
      <c r="F8" s="45">
        <v>589770</v>
      </c>
      <c r="G8" s="24"/>
      <c r="H8" s="46"/>
      <c r="I8" s="47">
        <v>2.53E-2</v>
      </c>
    </row>
    <row r="9" spans="1:12" ht="15.75" customHeight="1" x14ac:dyDescent="0.2">
      <c r="A9" s="43" t="s">
        <v>208</v>
      </c>
      <c r="B9" s="44">
        <v>73950</v>
      </c>
      <c r="C9" s="45"/>
      <c r="D9" s="50"/>
      <c r="E9" s="45" t="s">
        <v>247</v>
      </c>
      <c r="F9" s="45">
        <v>73950</v>
      </c>
      <c r="G9" s="24"/>
      <c r="H9" s="46"/>
      <c r="I9" s="47">
        <v>3.2000000000000002E-3</v>
      </c>
    </row>
    <row r="10" spans="1:12" ht="15.75" customHeight="1" x14ac:dyDescent="0.2">
      <c r="A10" s="43" t="s">
        <v>209</v>
      </c>
      <c r="B10" s="44" t="s">
        <v>247</v>
      </c>
      <c r="C10" s="45"/>
      <c r="D10" s="45"/>
      <c r="E10" s="45" t="s">
        <v>247</v>
      </c>
      <c r="F10" s="45" t="s">
        <v>247</v>
      </c>
      <c r="G10" s="24"/>
      <c r="H10" s="46"/>
      <c r="I10" s="47">
        <v>0</v>
      </c>
    </row>
    <row r="11" spans="1:12" ht="15.75" customHeight="1" x14ac:dyDescent="0.2">
      <c r="A11" s="43" t="s">
        <v>210</v>
      </c>
      <c r="B11" s="44">
        <v>19040</v>
      </c>
      <c r="C11" s="45"/>
      <c r="D11" s="50"/>
      <c r="E11" s="45" t="s">
        <v>247</v>
      </c>
      <c r="F11" s="45">
        <v>19040</v>
      </c>
      <c r="G11" s="24"/>
      <c r="H11" s="46"/>
      <c r="I11" s="47">
        <v>8.0000000000000004E-4</v>
      </c>
      <c r="L11" s="5"/>
    </row>
    <row r="12" spans="1:12" ht="15.75" customHeight="1" x14ac:dyDescent="0.2">
      <c r="A12" s="43" t="s">
        <v>211</v>
      </c>
      <c r="B12" s="44" t="s">
        <v>247</v>
      </c>
      <c r="C12" s="45"/>
      <c r="D12" s="50"/>
      <c r="E12" s="45" t="s">
        <v>247</v>
      </c>
      <c r="F12" s="45" t="s">
        <v>247</v>
      </c>
      <c r="G12" s="24"/>
      <c r="H12" s="46"/>
      <c r="I12" s="47">
        <v>0</v>
      </c>
    </row>
    <row r="13" spans="1:12" ht="15.75" customHeight="1" x14ac:dyDescent="0.2">
      <c r="A13" s="43" t="s">
        <v>212</v>
      </c>
      <c r="B13" s="44">
        <v>13229.37</v>
      </c>
      <c r="C13" s="45"/>
      <c r="D13" s="50"/>
      <c r="E13" s="45" t="s">
        <v>247</v>
      </c>
      <c r="F13" s="45">
        <v>13229.37</v>
      </c>
      <c r="G13" s="24"/>
      <c r="H13" s="46"/>
      <c r="I13" s="47">
        <v>5.9999999999999995E-4</v>
      </c>
      <c r="J13" s="5"/>
    </row>
    <row r="14" spans="1:12" ht="15.75" customHeight="1" x14ac:dyDescent="0.2">
      <c r="A14" s="43" t="s">
        <v>149</v>
      </c>
      <c r="B14" s="44">
        <v>1178290</v>
      </c>
      <c r="C14" s="45">
        <v>1132150</v>
      </c>
      <c r="D14" s="45">
        <v>1044300</v>
      </c>
      <c r="E14" s="45" t="s">
        <v>247</v>
      </c>
      <c r="F14" s="45">
        <v>1266140</v>
      </c>
      <c r="G14" s="24"/>
      <c r="H14" s="46"/>
      <c r="I14" s="47">
        <v>5.4199999999999998E-2</v>
      </c>
    </row>
    <row r="15" spans="1:12" ht="15.75" customHeight="1" x14ac:dyDescent="0.2">
      <c r="A15" s="43" t="s">
        <v>116</v>
      </c>
      <c r="B15" s="44">
        <v>1927275</v>
      </c>
      <c r="C15" s="45">
        <v>2223115</v>
      </c>
      <c r="D15" s="45">
        <v>1130700</v>
      </c>
      <c r="E15" s="45" t="s">
        <v>247</v>
      </c>
      <c r="F15" s="45">
        <v>3019690</v>
      </c>
      <c r="G15" s="24"/>
      <c r="H15" s="46"/>
      <c r="I15" s="47">
        <v>0.1293</v>
      </c>
    </row>
    <row r="16" spans="1:12" ht="15.75" customHeight="1" x14ac:dyDescent="0.2">
      <c r="A16" s="43" t="s">
        <v>213</v>
      </c>
      <c r="B16" s="45">
        <v>9720684.5</v>
      </c>
      <c r="C16" s="45">
        <v>10894302.199999999</v>
      </c>
      <c r="D16" s="45">
        <v>9295545</v>
      </c>
      <c r="E16" s="45">
        <v>834860</v>
      </c>
      <c r="F16" s="45">
        <v>10484581.699999999</v>
      </c>
      <c r="G16" s="24"/>
      <c r="H16" s="46"/>
      <c r="I16" s="47">
        <v>0.44900000000000001</v>
      </c>
      <c r="J16" s="5"/>
    </row>
    <row r="17" spans="1:14" ht="15.75" customHeight="1" x14ac:dyDescent="0.2">
      <c r="A17" s="43" t="s">
        <v>214</v>
      </c>
      <c r="B17" s="44" t="s">
        <v>247</v>
      </c>
      <c r="C17" s="45"/>
      <c r="D17" s="45"/>
      <c r="E17" s="45" t="s">
        <v>247</v>
      </c>
      <c r="F17" s="45" t="s">
        <v>247</v>
      </c>
      <c r="G17" s="24"/>
      <c r="H17" s="46"/>
      <c r="I17" s="47">
        <v>0</v>
      </c>
    </row>
    <row r="18" spans="1:14" ht="15.75" customHeight="1" x14ac:dyDescent="0.2">
      <c r="A18" s="43" t="s">
        <v>215</v>
      </c>
      <c r="B18" s="44" t="s">
        <v>247</v>
      </c>
      <c r="C18" s="45"/>
      <c r="D18" s="45"/>
      <c r="E18" s="45" t="s">
        <v>247</v>
      </c>
      <c r="F18" s="45" t="s">
        <v>247</v>
      </c>
      <c r="G18" s="24"/>
      <c r="H18" s="46"/>
      <c r="I18" s="47">
        <v>0</v>
      </c>
      <c r="J18" s="5"/>
    </row>
    <row r="19" spans="1:14" ht="16.5" customHeight="1" x14ac:dyDescent="0.2">
      <c r="A19" s="43" t="s">
        <v>75</v>
      </c>
      <c r="B19" s="44">
        <v>1503780</v>
      </c>
      <c r="C19" s="45">
        <v>1250110</v>
      </c>
      <c r="D19" s="44">
        <v>2436380</v>
      </c>
      <c r="E19" s="44" t="s">
        <v>247</v>
      </c>
      <c r="F19" s="45">
        <v>317510</v>
      </c>
      <c r="G19" s="24"/>
      <c r="H19" s="46"/>
      <c r="I19" s="47">
        <v>1.3599999999999999E-2</v>
      </c>
      <c r="N19" s="51"/>
    </row>
    <row r="20" spans="1:14" ht="16.5" customHeight="1" x14ac:dyDescent="0.2">
      <c r="A20" s="43" t="s">
        <v>216</v>
      </c>
      <c r="B20" s="44" t="s">
        <v>247</v>
      </c>
      <c r="C20" s="45"/>
      <c r="D20" s="44"/>
      <c r="E20" s="44" t="s">
        <v>247</v>
      </c>
      <c r="F20" s="45" t="s">
        <v>247</v>
      </c>
      <c r="G20" s="24"/>
      <c r="H20" s="46"/>
      <c r="I20" s="47">
        <v>0</v>
      </c>
    </row>
    <row r="21" spans="1:14" ht="16.5" customHeight="1" x14ac:dyDescent="0.2">
      <c r="A21" s="43" t="s">
        <v>91</v>
      </c>
      <c r="B21" s="44">
        <v>392625</v>
      </c>
      <c r="C21" s="45">
        <v>596905</v>
      </c>
      <c r="D21" s="44">
        <v>596905</v>
      </c>
      <c r="E21" s="44" t="s">
        <v>247</v>
      </c>
      <c r="F21" s="52">
        <v>392625</v>
      </c>
      <c r="G21" s="24"/>
      <c r="H21" s="46"/>
      <c r="I21" s="47">
        <v>1.6799999999999999E-2</v>
      </c>
    </row>
    <row r="22" spans="1:14" ht="16.5" customHeight="1" x14ac:dyDescent="0.2">
      <c r="A22" s="43" t="s">
        <v>217</v>
      </c>
      <c r="B22" s="44" t="s">
        <v>247</v>
      </c>
      <c r="C22" s="45"/>
      <c r="D22" s="44"/>
      <c r="E22" s="44" t="s">
        <v>247</v>
      </c>
      <c r="F22" s="45" t="s">
        <v>247</v>
      </c>
      <c r="G22" s="24"/>
      <c r="H22" s="46"/>
      <c r="I22" s="47">
        <v>0</v>
      </c>
    </row>
    <row r="23" spans="1:14" ht="16.5" customHeight="1" x14ac:dyDescent="0.2">
      <c r="A23" s="43" t="s">
        <v>119</v>
      </c>
      <c r="B23" s="44">
        <v>1249650</v>
      </c>
      <c r="C23" s="48">
        <v>1402585</v>
      </c>
      <c r="D23" s="44">
        <v>1604895</v>
      </c>
      <c r="E23" s="44" t="s">
        <v>247</v>
      </c>
      <c r="F23" s="45">
        <v>1047340</v>
      </c>
      <c r="G23" s="24"/>
      <c r="H23" s="46"/>
      <c r="I23" s="47">
        <v>4.4900000000000002E-2</v>
      </c>
    </row>
    <row r="24" spans="1:14" ht="16.5" customHeight="1" x14ac:dyDescent="0.2">
      <c r="A24" s="43" t="s">
        <v>218</v>
      </c>
      <c r="B24" s="44" t="s">
        <v>247</v>
      </c>
      <c r="C24" s="48"/>
      <c r="D24" s="44"/>
      <c r="E24" s="44" t="s">
        <v>247</v>
      </c>
      <c r="F24" s="45" t="s">
        <v>247</v>
      </c>
      <c r="G24" s="24"/>
      <c r="H24" s="46"/>
      <c r="I24" s="47">
        <v>0</v>
      </c>
    </row>
    <row r="25" spans="1:14" ht="16.5" customHeight="1" x14ac:dyDescent="0.2">
      <c r="A25" s="43" t="s">
        <v>219</v>
      </c>
      <c r="B25" s="44" t="s">
        <v>247</v>
      </c>
      <c r="C25" s="45"/>
      <c r="D25" s="44"/>
      <c r="E25" s="44" t="s">
        <v>247</v>
      </c>
      <c r="F25" s="45" t="s">
        <v>247</v>
      </c>
      <c r="G25" s="24"/>
      <c r="H25" s="46"/>
      <c r="I25" s="47">
        <v>0</v>
      </c>
    </row>
    <row r="26" spans="1:14" ht="16.5" customHeight="1" x14ac:dyDescent="0.2">
      <c r="A26" s="43" t="s">
        <v>220</v>
      </c>
      <c r="B26" s="44">
        <v>226700</v>
      </c>
      <c r="C26" s="45">
        <v>94000</v>
      </c>
      <c r="D26" s="44">
        <v>320700</v>
      </c>
      <c r="E26" s="44" t="s">
        <v>247</v>
      </c>
      <c r="F26" s="45" t="s">
        <v>247</v>
      </c>
      <c r="G26" s="24"/>
      <c r="H26" s="46"/>
      <c r="I26" s="47">
        <v>0</v>
      </c>
    </row>
    <row r="27" spans="1:14" ht="16.5" customHeight="1" x14ac:dyDescent="0.2">
      <c r="A27" s="43" t="s">
        <v>222</v>
      </c>
      <c r="B27" s="44">
        <v>460550</v>
      </c>
      <c r="C27" s="45">
        <v>1796850</v>
      </c>
      <c r="D27" s="44">
        <v>836400</v>
      </c>
      <c r="E27" s="44" t="s">
        <v>247</v>
      </c>
      <c r="F27" s="45">
        <v>1421000</v>
      </c>
      <c r="G27" s="24"/>
      <c r="H27" s="46"/>
      <c r="I27" s="47">
        <v>6.0900000000000003E-2</v>
      </c>
    </row>
    <row r="28" spans="1:14" ht="16.5" customHeight="1" x14ac:dyDescent="0.2">
      <c r="A28" s="43" t="s">
        <v>259</v>
      </c>
      <c r="B28" s="44"/>
      <c r="C28" s="45">
        <v>1045000</v>
      </c>
      <c r="D28" s="44"/>
      <c r="E28" s="44"/>
      <c r="F28" s="45">
        <v>1045000</v>
      </c>
      <c r="G28" s="24"/>
      <c r="H28" s="46"/>
      <c r="I28" s="47">
        <v>4.48E-2</v>
      </c>
    </row>
    <row r="29" spans="1:14" ht="16.5" customHeight="1" x14ac:dyDescent="0.2">
      <c r="A29" s="43" t="s">
        <v>128</v>
      </c>
      <c r="B29" s="44" t="s">
        <v>247</v>
      </c>
      <c r="C29" s="45">
        <v>241774</v>
      </c>
      <c r="D29" s="44" t="s">
        <v>247</v>
      </c>
      <c r="E29" s="44" t="s">
        <v>247</v>
      </c>
      <c r="F29" s="45">
        <v>241774</v>
      </c>
      <c r="G29" s="24"/>
      <c r="H29" s="46"/>
      <c r="I29" s="47">
        <v>1.04E-2</v>
      </c>
    </row>
    <row r="30" spans="1:14" ht="16.5" customHeight="1" x14ac:dyDescent="0.2">
      <c r="A30" s="43" t="s">
        <v>223</v>
      </c>
      <c r="B30" s="44" t="s">
        <v>247</v>
      </c>
      <c r="C30" s="45">
        <v>335616.13</v>
      </c>
      <c r="D30" s="44" t="s">
        <v>247</v>
      </c>
      <c r="E30" s="44" t="s">
        <v>247</v>
      </c>
      <c r="F30" s="45">
        <v>335616.13</v>
      </c>
      <c r="G30" s="24"/>
      <c r="H30" s="46"/>
      <c r="I30" s="47">
        <v>1.44E-2</v>
      </c>
    </row>
    <row r="31" spans="1:14" ht="16.5" customHeight="1" x14ac:dyDescent="0.2">
      <c r="A31" s="43" t="s">
        <v>224</v>
      </c>
      <c r="B31" s="44" t="s">
        <v>247</v>
      </c>
      <c r="C31" s="45">
        <v>16000</v>
      </c>
      <c r="D31" s="44">
        <v>16000</v>
      </c>
      <c r="E31" s="44"/>
      <c r="F31" s="45" t="s">
        <v>247</v>
      </c>
      <c r="G31" s="24"/>
      <c r="H31" s="46"/>
      <c r="I31" s="47">
        <v>0</v>
      </c>
    </row>
    <row r="32" spans="1:14" ht="16.5" customHeight="1" x14ac:dyDescent="0.2">
      <c r="A32" s="43" t="s">
        <v>227</v>
      </c>
      <c r="B32" s="44" t="s">
        <v>247</v>
      </c>
      <c r="C32" s="45">
        <v>143850</v>
      </c>
      <c r="D32" s="44">
        <v>143850</v>
      </c>
      <c r="E32" s="44" t="s">
        <v>247</v>
      </c>
      <c r="F32" s="45" t="s">
        <v>247</v>
      </c>
      <c r="G32" s="24"/>
      <c r="H32" s="46"/>
      <c r="I32" s="47">
        <v>0</v>
      </c>
    </row>
    <row r="33" spans="1:9" ht="16.5" customHeight="1" x14ac:dyDescent="0.2">
      <c r="A33" s="43" t="s">
        <v>228</v>
      </c>
      <c r="B33" s="44" t="s">
        <v>247</v>
      </c>
      <c r="C33" s="45">
        <v>24925</v>
      </c>
      <c r="D33" s="44" t="s">
        <v>247</v>
      </c>
      <c r="E33" s="44" t="s">
        <v>247</v>
      </c>
      <c r="F33" s="45">
        <v>24925</v>
      </c>
      <c r="G33" s="24"/>
      <c r="H33" s="46"/>
      <c r="I33" s="47">
        <v>1.1000000000000001E-3</v>
      </c>
    </row>
    <row r="34" spans="1:9" ht="16.5" customHeight="1" x14ac:dyDescent="0.2">
      <c r="A34" s="43" t="s">
        <v>229</v>
      </c>
      <c r="B34" s="44" t="s">
        <v>247</v>
      </c>
      <c r="C34" s="45">
        <v>389236.25</v>
      </c>
      <c r="D34" s="44">
        <v>389236.25</v>
      </c>
      <c r="E34" s="44" t="s">
        <v>247</v>
      </c>
      <c r="F34" s="45" t="s">
        <v>247</v>
      </c>
      <c r="G34" s="24"/>
      <c r="H34" s="46"/>
      <c r="I34" s="47">
        <v>0</v>
      </c>
    </row>
    <row r="35" spans="1:9" ht="18" customHeight="1" x14ac:dyDescent="0.2">
      <c r="C35" s="49"/>
      <c r="D35" s="49"/>
      <c r="E35" s="49"/>
      <c r="F35" s="49"/>
    </row>
    <row r="36" spans="1:9" ht="15.75" customHeight="1" x14ac:dyDescent="0.2">
      <c r="B36" s="49">
        <v>22004287.27</v>
      </c>
      <c r="C36" s="49">
        <v>24913229.780000001</v>
      </c>
      <c r="D36" s="49">
        <v>22692268.859999999</v>
      </c>
      <c r="E36" s="49"/>
      <c r="F36" s="57">
        <v>23350312.050000001</v>
      </c>
      <c r="H36" s="49"/>
      <c r="I36" s="58">
        <v>1</v>
      </c>
    </row>
    <row r="37" spans="1:9" ht="15" customHeight="1" x14ac:dyDescent="0.2">
      <c r="C37" s="59"/>
      <c r="G37" s="60"/>
    </row>
    <row r="38" spans="1:9" ht="15.75" customHeight="1" x14ac:dyDescent="0.2">
      <c r="B38" s="11" t="s">
        <v>234</v>
      </c>
      <c r="C38" s="49">
        <v>24913229.780000001</v>
      </c>
      <c r="D38" s="49"/>
      <c r="E38" s="49"/>
      <c r="F38" s="49"/>
    </row>
    <row r="39" spans="1:9" ht="15.75" customHeight="1" x14ac:dyDescent="0.2">
      <c r="C39" s="49"/>
      <c r="F39" s="60"/>
    </row>
    <row r="40" spans="1:9" ht="15.75" customHeight="1" x14ac:dyDescent="0.2">
      <c r="B40" s="11" t="s">
        <v>235</v>
      </c>
      <c r="C40" s="49">
        <v>8924138.3900000006</v>
      </c>
      <c r="D40" s="61">
        <v>0.35820000000000002</v>
      </c>
      <c r="E40" s="61"/>
      <c r="F40" s="49"/>
      <c r="G40" s="11"/>
    </row>
    <row r="41" spans="1:9" ht="15.75" customHeight="1" x14ac:dyDescent="0.2">
      <c r="C41" s="49"/>
      <c r="G41" s="49"/>
    </row>
    <row r="42" spans="1:9" ht="15.75" customHeight="1" x14ac:dyDescent="0.2">
      <c r="D42" s="62" t="s">
        <v>236</v>
      </c>
      <c r="F42" s="23"/>
    </row>
    <row r="43" spans="1:9" ht="15.75" customHeight="1" x14ac:dyDescent="0.2">
      <c r="A43" s="11" t="s">
        <v>260</v>
      </c>
      <c r="B43" s="49">
        <v>8946212.5</v>
      </c>
      <c r="D43" s="63">
        <v>238</v>
      </c>
      <c r="E43" s="64"/>
      <c r="F43" s="49"/>
    </row>
    <row r="44" spans="1:9" ht="15.75" customHeight="1" x14ac:dyDescent="0.2">
      <c r="A44" s="11" t="s">
        <v>261</v>
      </c>
      <c r="B44" s="49">
        <v>7453574.1500000004</v>
      </c>
      <c r="D44" s="65">
        <v>205</v>
      </c>
    </row>
    <row r="45" spans="1:9" ht="15.75" customHeight="1" x14ac:dyDescent="0.2">
      <c r="A45" s="11" t="s">
        <v>262</v>
      </c>
      <c r="B45" s="49">
        <v>3796089.5</v>
      </c>
      <c r="C45" s="23"/>
      <c r="D45" s="65"/>
      <c r="E45" s="49"/>
    </row>
    <row r="46" spans="1:9" ht="15.75" customHeight="1" x14ac:dyDescent="0.2">
      <c r="A46" s="11" t="s">
        <v>263</v>
      </c>
      <c r="B46" s="49">
        <v>4717353.63</v>
      </c>
      <c r="C46" s="59"/>
      <c r="D46" s="65"/>
      <c r="E46" s="49"/>
    </row>
    <row r="47" spans="1:9" ht="15.75" customHeight="1" x14ac:dyDescent="0.2">
      <c r="B47" s="49"/>
      <c r="C47" s="30" t="s">
        <v>242</v>
      </c>
      <c r="D47" s="65">
        <v>443</v>
      </c>
      <c r="E47" s="49"/>
    </row>
    <row r="48" spans="1:9" ht="15.75" customHeight="1" x14ac:dyDescent="0.2">
      <c r="A48" s="30" t="s">
        <v>243</v>
      </c>
      <c r="B48" s="49">
        <v>24913229.780000001</v>
      </c>
    </row>
    <row r="49" spans="1:4" ht="15.75" customHeight="1" x14ac:dyDescent="0.2">
      <c r="B49" s="49"/>
      <c r="C49" s="60"/>
      <c r="D49" s="60"/>
    </row>
    <row r="50" spans="1:4" ht="15.75" customHeight="1" x14ac:dyDescent="0.2"/>
    <row r="51" spans="1:4" ht="15.75" customHeight="1" x14ac:dyDescent="0.2">
      <c r="A51" s="30" t="s">
        <v>244</v>
      </c>
      <c r="B51" s="49">
        <v>1083183.8999999999</v>
      </c>
    </row>
    <row r="52" spans="1:4" ht="15.75" customHeight="1" x14ac:dyDescent="0.2">
      <c r="A52" s="30" t="s">
        <v>245</v>
      </c>
      <c r="B52" s="49">
        <v>371839.1</v>
      </c>
      <c r="C52" s="24"/>
    </row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>
      <c r="D56" s="23"/>
    </row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60"/>
  <sheetViews>
    <sheetView workbookViewId="0"/>
  </sheetViews>
  <sheetFormatPr baseColWidth="10" defaultColWidth="12.6640625" defaultRowHeight="15" customHeight="1" x14ac:dyDescent="0.2"/>
  <cols>
    <col min="1" max="1" width="3.83203125" customWidth="1"/>
    <col min="2" max="2" width="10" customWidth="1"/>
    <col min="3" max="3" width="11.1640625" customWidth="1"/>
    <col min="4" max="4" width="5.1640625" customWidth="1"/>
  </cols>
  <sheetData>
    <row r="1" spans="1:6" x14ac:dyDescent="0.2">
      <c r="A1" s="4"/>
      <c r="B1" s="4"/>
      <c r="C1" s="4"/>
      <c r="D1" s="4"/>
      <c r="E1" s="4"/>
      <c r="F1" s="4"/>
    </row>
    <row r="2" spans="1:6" x14ac:dyDescent="0.2">
      <c r="A2" s="4"/>
      <c r="B2" s="4"/>
      <c r="C2" s="4"/>
      <c r="D2" s="4"/>
      <c r="E2" s="2"/>
      <c r="F2" s="72"/>
    </row>
    <row r="3" spans="1:6" x14ac:dyDescent="0.2">
      <c r="A3" s="4"/>
      <c r="B3" s="4"/>
      <c r="C3" s="4"/>
      <c r="D3" s="4"/>
      <c r="E3" s="2"/>
      <c r="F3" s="72"/>
    </row>
    <row r="4" spans="1:6" x14ac:dyDescent="0.2">
      <c r="A4" s="4"/>
      <c r="B4" s="95" t="s">
        <v>264</v>
      </c>
      <c r="C4" s="96"/>
      <c r="D4" s="4"/>
      <c r="E4" s="2"/>
      <c r="F4" s="4"/>
    </row>
    <row r="5" spans="1:6" x14ac:dyDescent="0.2">
      <c r="A5" s="4"/>
      <c r="B5" s="73" t="s">
        <v>265</v>
      </c>
      <c r="C5" s="74">
        <v>35365</v>
      </c>
      <c r="D5" s="4"/>
      <c r="E5" s="2"/>
      <c r="F5" s="4"/>
    </row>
    <row r="6" spans="1:6" x14ac:dyDescent="0.2">
      <c r="A6" s="4"/>
      <c r="B6" s="4"/>
      <c r="C6" s="4"/>
      <c r="D6" s="4"/>
      <c r="E6" s="2"/>
      <c r="F6" s="4"/>
    </row>
    <row r="7" spans="1:6" x14ac:dyDescent="0.2">
      <c r="A7" s="4"/>
      <c r="B7" s="95" t="s">
        <v>266</v>
      </c>
      <c r="C7" s="96"/>
      <c r="D7" s="4"/>
      <c r="E7" s="2"/>
      <c r="F7" s="4"/>
    </row>
    <row r="8" spans="1:6" x14ac:dyDescent="0.2">
      <c r="A8" s="4"/>
      <c r="B8" s="73" t="s">
        <v>265</v>
      </c>
      <c r="C8" s="74">
        <v>282229.25</v>
      </c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95" t="s">
        <v>267</v>
      </c>
      <c r="C10" s="96"/>
      <c r="D10" s="4"/>
      <c r="E10" s="4"/>
      <c r="F10" s="4"/>
    </row>
    <row r="11" spans="1:6" x14ac:dyDescent="0.2">
      <c r="A11" s="4"/>
      <c r="B11" s="73" t="s">
        <v>265</v>
      </c>
      <c r="C11" s="74">
        <v>300174</v>
      </c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2"/>
      <c r="F14" s="1"/>
    </row>
    <row r="15" spans="1:6" x14ac:dyDescent="0.2">
      <c r="A15" s="4"/>
      <c r="B15" s="4"/>
      <c r="C15" s="4"/>
      <c r="D15" s="4"/>
      <c r="E15" s="2"/>
      <c r="F15" s="1"/>
    </row>
    <row r="16" spans="1:6" x14ac:dyDescent="0.2">
      <c r="A16" s="4"/>
      <c r="B16" s="4"/>
      <c r="C16" s="4"/>
      <c r="D16" s="4"/>
      <c r="E16" s="2"/>
      <c r="F16" s="1"/>
    </row>
    <row r="17" spans="1:6" x14ac:dyDescent="0.2">
      <c r="A17" s="4"/>
      <c r="B17" s="4"/>
      <c r="C17" s="4"/>
      <c r="D17" s="4"/>
      <c r="E17" s="2"/>
      <c r="F17" s="1"/>
    </row>
    <row r="18" spans="1:6" x14ac:dyDescent="0.2">
      <c r="A18" s="4"/>
      <c r="B18" s="4"/>
      <c r="C18" s="4"/>
      <c r="D18" s="4"/>
      <c r="E18" s="2"/>
      <c r="F18" s="1"/>
    </row>
    <row r="19" spans="1:6" x14ac:dyDescent="0.2">
      <c r="A19" s="4"/>
      <c r="B19" s="4"/>
      <c r="C19" s="4"/>
      <c r="D19" s="4"/>
      <c r="E19" s="2"/>
      <c r="F19" s="1"/>
    </row>
    <row r="20" spans="1:6" x14ac:dyDescent="0.2">
      <c r="A20" s="4"/>
      <c r="B20" s="4"/>
      <c r="C20" s="4"/>
      <c r="D20" s="4"/>
      <c r="E20" s="2"/>
      <c r="F20" s="1"/>
    </row>
    <row r="21" spans="1:6" x14ac:dyDescent="0.2">
      <c r="A21" s="4"/>
      <c r="B21" s="4"/>
      <c r="C21" s="4"/>
      <c r="D21" s="4"/>
      <c r="E21" s="2"/>
      <c r="F21" s="4"/>
    </row>
    <row r="22" spans="1:6" x14ac:dyDescent="0.2">
      <c r="A22" s="4"/>
      <c r="B22" s="4"/>
      <c r="C22" s="2"/>
      <c r="D22" s="2"/>
      <c r="E22" s="2"/>
      <c r="F22" s="4"/>
    </row>
    <row r="23" spans="1:6" x14ac:dyDescent="0.2">
      <c r="A23" s="4"/>
      <c r="B23" s="4"/>
      <c r="C23" s="2"/>
      <c r="D23" s="2"/>
      <c r="E23" s="2"/>
      <c r="F23" s="4"/>
    </row>
    <row r="24" spans="1:6" x14ac:dyDescent="0.2">
      <c r="A24" s="4"/>
      <c r="B24" s="4"/>
      <c r="C24" s="2"/>
      <c r="D24" s="2"/>
      <c r="E24" s="2"/>
      <c r="F24" s="4"/>
    </row>
    <row r="25" spans="1:6" x14ac:dyDescent="0.2">
      <c r="A25" s="4"/>
      <c r="B25" s="5"/>
      <c r="C25" s="5"/>
      <c r="D25" s="5"/>
      <c r="E25" s="2"/>
      <c r="F25" s="4"/>
    </row>
    <row r="26" spans="1:6" x14ac:dyDescent="0.2">
      <c r="A26" s="4"/>
      <c r="B26" s="4"/>
      <c r="C26" s="2"/>
      <c r="D26" s="2"/>
      <c r="E26" s="2"/>
      <c r="F26" s="4"/>
    </row>
    <row r="27" spans="1:6" x14ac:dyDescent="0.2">
      <c r="A27" s="4"/>
      <c r="B27" s="4"/>
      <c r="C27" s="2"/>
      <c r="D27" s="2"/>
      <c r="E27" s="2"/>
      <c r="F27" s="4"/>
    </row>
    <row r="28" spans="1:6" x14ac:dyDescent="0.2">
      <c r="A28" s="4"/>
      <c r="B28" s="4"/>
      <c r="C28" s="2"/>
      <c r="D28" s="2"/>
      <c r="E28" s="2"/>
      <c r="F28" s="4"/>
    </row>
    <row r="59" spans="5:5" x14ac:dyDescent="0.2">
      <c r="E59" s="13"/>
    </row>
    <row r="60" spans="5:5" x14ac:dyDescent="0.2">
      <c r="E60" s="13"/>
    </row>
  </sheetData>
  <mergeCells count="3">
    <mergeCell ref="B4:C4"/>
    <mergeCell ref="B7:C7"/>
    <mergeCell ref="B10:C10"/>
  </mergeCells>
  <printOptions horizontalCentered="1"/>
  <pageMargins left="0.25" right="0.25" top="0.59251968503937003" bottom="0.59251968503937003" header="0" footer="0"/>
  <pageSetup paperSize="9" scale="95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01-04-2026 </vt:lpstr>
      <vt:lpstr>02-04-2026 </vt:lpstr>
      <vt:lpstr>06-04-2026 </vt:lpstr>
      <vt:lpstr>07-04-2026 </vt:lpstr>
      <vt:lpstr>08-04-2026 </vt:lpstr>
      <vt:lpstr>09-04-2026 </vt:lpstr>
      <vt:lpstr>10-04-2026</vt:lpstr>
      <vt:lpstr>13-04-2026 </vt:lpstr>
      <vt:lpstr>14-04-2026 </vt:lpstr>
      <vt:lpstr>15-04-2026 </vt:lpstr>
      <vt:lpstr>17-04-2026 </vt:lpstr>
      <vt:lpstr>20-04-2026 </vt:lpstr>
      <vt:lpstr>21-04-2026 </vt:lpstr>
      <vt:lpstr>22-04-2026 </vt:lpstr>
      <vt:lpstr>24-04-2026 </vt:lpstr>
      <vt:lpstr>27-04-2026 </vt:lpstr>
      <vt:lpstr>28-04-2026 </vt:lpstr>
      <vt:lpstr>29-04-2026 </vt:lpstr>
      <vt:lpstr>30-04-2026 </vt:lpstr>
      <vt:lpstr>CUENTAS CORRIENTES ABRIL</vt:lpstr>
      <vt:lpstr>CUENTAS CORRIENTES MARZO</vt:lpstr>
      <vt:lpstr>CUENTAS CORRIENTES FEBRERO</vt:lpstr>
      <vt:lpstr>CUENTAS CORRIENTES ENERO</vt:lpstr>
      <vt:lpstr>JUAN COMISION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Fede</dc:creator>
  <cp:lastModifiedBy>Microsoft Office User</cp:lastModifiedBy>
  <dcterms:created xsi:type="dcterms:W3CDTF">2024-12-01T23:15:56Z</dcterms:created>
  <dcterms:modified xsi:type="dcterms:W3CDTF">2026-05-04T21:11:53Z</dcterms:modified>
</cp:coreProperties>
</file>